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ja\Dropbox\Ale2\"/>
    </mc:Choice>
  </mc:AlternateContent>
  <xr:revisionPtr revIDLastSave="24" documentId="13_ncr:1_{3FF6C3DB-93F9-40BB-BD77-998750F52255}" xr6:coauthVersionLast="47" xr6:coauthVersionMax="47" xr10:uidLastSave="{7ED493BC-F902-431E-B33F-2CBF91E74ED9}"/>
  <bookViews>
    <workbookView xWindow="-120" yWindow="-120" windowWidth="29040" windowHeight="15840" firstSheet="5" activeTab="5" xr2:uid="{E8F1DA21-8B3C-458B-9CA0-8E109515249A}"/>
  </bookViews>
  <sheets>
    <sheet name="TRATO BANDA" sheetId="13" r:id="rId1"/>
    <sheet name="EDITORIALES 2025" sheetId="1" r:id="rId2"/>
    <sheet name="PRECIO VENTA LIBROS" sheetId="2" r:id="rId3"/>
    <sheet name="ENTREGA 1 PAQUTES LIBROS" sheetId="6" r:id="rId4"/>
    <sheet name="INGRESO TES 2025" sheetId="11" r:id="rId5"/>
    <sheet name="MATRICULA 2025" sheetId="3" r:id="rId6"/>
    <sheet name="A TRAVES DE BAC" sheetId="7" r:id="rId7"/>
    <sheet name="Hoja3" sheetId="16" r:id="rId8"/>
    <sheet name="VIAJE AL CAJON" sheetId="17" r:id="rId9"/>
    <sheet name="VIAJE A LA TIGRA" sheetId="14" r:id="rId10"/>
    <sheet name="VIAJE A PUERTO CORTES" sheetId="20" r:id="rId11"/>
    <sheet name="Hoja4" sheetId="18" r:id="rId12"/>
    <sheet name="PENDIENTES KIT LIBROS" sheetId="9" r:id="rId13"/>
    <sheet name="A TRAVES DE OCCI TRANSF" sheetId="10" r:id="rId14"/>
    <sheet name="DEBITOS AUTOMATICOS" sheetId="4" r:id="rId15"/>
    <sheet name="VISITA MUSEO BCH" sheetId="5" r:id="rId16"/>
    <sheet name="Hoja1" sheetId="19" r:id="rId17"/>
    <sheet name="Hoja2" sheetId="15" r:id="rId18"/>
  </sheet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51" i="3" l="1"/>
  <c r="E51" i="3"/>
  <c r="G120" i="17"/>
  <c r="E120" i="17"/>
  <c r="F120" i="17"/>
  <c r="E16" i="15"/>
  <c r="E17" i="15"/>
  <c r="E18" i="15"/>
  <c r="E19" i="15"/>
  <c r="E20" i="15"/>
  <c r="E21" i="15"/>
  <c r="E22" i="15"/>
  <c r="E23" i="15"/>
  <c r="E15" i="15"/>
  <c r="E6" i="15"/>
  <c r="E7" i="15"/>
  <c r="E13" i="15" s="1"/>
  <c r="E8" i="15"/>
  <c r="E9" i="15"/>
  <c r="E10" i="15"/>
  <c r="E11" i="15"/>
  <c r="E12" i="15"/>
  <c r="E5" i="15"/>
  <c r="C666" i="7"/>
  <c r="C665" i="7"/>
  <c r="D111" i="17"/>
  <c r="U119" i="3"/>
  <c r="C677" i="7"/>
  <c r="R624" i="3"/>
  <c r="R620" i="3"/>
  <c r="R622" i="3"/>
  <c r="E25" i="15" l="1"/>
  <c r="E28" i="15" s="1"/>
  <c r="E30" i="15" s="1"/>
  <c r="D159" i="4"/>
  <c r="F158" i="4"/>
  <c r="F159" i="4" s="1"/>
  <c r="D158" i="4"/>
  <c r="Z354" i="3"/>
  <c r="N98" i="3"/>
  <c r="N297" i="3"/>
  <c r="N208" i="3"/>
  <c r="G16" i="17"/>
  <c r="E107" i="17"/>
  <c r="F107" i="17"/>
  <c r="F111" i="17" s="1"/>
  <c r="E79" i="17"/>
  <c r="F79" i="17"/>
  <c r="E47" i="17"/>
  <c r="G47" i="17" s="1"/>
  <c r="F47" i="17"/>
  <c r="E16" i="17"/>
  <c r="A53" i="17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Y349" i="3"/>
  <c r="D87" i="18"/>
  <c r="D89" i="18" s="1"/>
  <c r="D84" i="18"/>
  <c r="D72" i="17"/>
  <c r="C17" i="19"/>
  <c r="D72" i="18"/>
  <c r="D80" i="18" s="1"/>
  <c r="D82" i="18" s="1"/>
  <c r="D70" i="18"/>
  <c r="S585" i="3"/>
  <c r="A83" i="17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20" i="17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3" i="17"/>
  <c r="A4" i="17" s="1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Z189" i="3"/>
  <c r="Z339" i="3"/>
  <c r="Z568" i="3"/>
  <c r="Z338" i="3"/>
  <c r="Y369" i="3"/>
  <c r="C467" i="7"/>
  <c r="U75" i="3"/>
  <c r="Z274" i="3"/>
  <c r="Z241" i="3"/>
  <c r="Y143" i="3"/>
  <c r="G107" i="17" l="1"/>
  <c r="E111" i="17"/>
  <c r="G79" i="17"/>
  <c r="B607" i="16"/>
  <c r="B573" i="16"/>
  <c r="B525" i="16"/>
  <c r="B518" i="16"/>
  <c r="B506" i="16"/>
  <c r="B497" i="16"/>
  <c r="B492" i="16"/>
  <c r="B484" i="16"/>
  <c r="B457" i="16"/>
  <c r="B446" i="16"/>
  <c r="B444" i="16"/>
  <c r="B378" i="16"/>
  <c r="B347" i="16"/>
  <c r="B328" i="16"/>
  <c r="B317" i="16"/>
  <c r="B296" i="16"/>
  <c r="B274" i="16"/>
  <c r="B254" i="16"/>
  <c r="B229" i="16"/>
  <c r="B200" i="16"/>
  <c r="B183" i="16"/>
  <c r="B172" i="16"/>
  <c r="B123" i="16"/>
  <c r="B118" i="16"/>
  <c r="B115" i="16"/>
  <c r="B80" i="16"/>
  <c r="B70" i="16"/>
  <c r="B58" i="16"/>
  <c r="B33" i="16"/>
  <c r="Z58" i="3"/>
  <c r="X603" i="3"/>
  <c r="G111" i="17" l="1"/>
  <c r="Z518" i="3"/>
  <c r="Z497" i="3"/>
  <c r="Y292" i="3"/>
  <c r="Z506" i="3" l="1"/>
  <c r="F155" i="4" l="1"/>
  <c r="AA293" i="3"/>
  <c r="F165" i="4"/>
  <c r="F166" i="4"/>
  <c r="F167" i="4" s="1"/>
  <c r="F168" i="4" s="1"/>
  <c r="F169" i="4" s="1"/>
  <c r="F170" i="4" s="1"/>
  <c r="F171" i="4" s="1"/>
  <c r="F172" i="4" s="1"/>
  <c r="F173" i="4" s="1"/>
  <c r="F174" i="4" s="1"/>
  <c r="F175" i="4" s="1"/>
  <c r="F176" i="4" s="1"/>
  <c r="F177" i="4" s="1"/>
  <c r="F178" i="4" s="1"/>
  <c r="F179" i="4" s="1"/>
  <c r="F180" i="4" s="1"/>
  <c r="F181" i="4" s="1"/>
  <c r="F182" i="4" s="1"/>
  <c r="F183" i="4" s="1"/>
  <c r="F184" i="4" s="1"/>
  <c r="F185" i="4" s="1"/>
  <c r="F186" i="4" s="1"/>
  <c r="F187" i="4" s="1"/>
  <c r="D164" i="4"/>
  <c r="D167" i="4"/>
  <c r="D170" i="4"/>
  <c r="D174" i="4"/>
  <c r="D175" i="4"/>
  <c r="D176" i="4"/>
  <c r="D177" i="4"/>
  <c r="D178" i="4"/>
  <c r="D180" i="4"/>
  <c r="D181" i="4"/>
  <c r="Y80" i="3"/>
  <c r="Z80" i="3"/>
  <c r="X80" i="3"/>
  <c r="Z446" i="3"/>
  <c r="Z484" i="3"/>
  <c r="V234" i="3"/>
  <c r="AA406" i="3"/>
  <c r="Z347" i="3"/>
  <c r="Z33" i="3"/>
  <c r="Z200" i="3"/>
  <c r="N202" i="3"/>
  <c r="AA296" i="3" l="1"/>
  <c r="Z296" i="3"/>
  <c r="Z573" i="3"/>
  <c r="Y33" i="3"/>
  <c r="Z115" i="3"/>
  <c r="Z254" i="3"/>
  <c r="D152" i="4"/>
  <c r="D151" i="4"/>
  <c r="D147" i="4"/>
  <c r="E79" i="14" l="1"/>
  <c r="Z607" i="3"/>
  <c r="Y413" i="3"/>
  <c r="C75" i="14" l="1"/>
  <c r="C78" i="14"/>
  <c r="E69" i="14"/>
  <c r="E70" i="14" s="1"/>
  <c r="Z183" i="3"/>
  <c r="Y444" i="3" l="1"/>
  <c r="Y172" i="3"/>
  <c r="Z172" i="3"/>
  <c r="Z444" i="3"/>
  <c r="Z525" i="3"/>
  <c r="AA270" i="3"/>
  <c r="Y388" i="3"/>
  <c r="X413" i="3"/>
  <c r="X143" i="3"/>
  <c r="Z457" i="3"/>
  <c r="C509" i="7"/>
  <c r="F119" i="4" l="1"/>
  <c r="F120" i="4" s="1"/>
  <c r="F121" i="4" s="1"/>
  <c r="F122" i="4" s="1"/>
  <c r="F123" i="4" s="1"/>
  <c r="F124" i="4" s="1"/>
  <c r="F125" i="4" s="1"/>
  <c r="F126" i="4" s="1"/>
  <c r="F127" i="4" s="1"/>
  <c r="F128" i="4" s="1"/>
  <c r="F129" i="4" s="1"/>
  <c r="F130" i="4" s="1"/>
  <c r="F131" i="4" s="1"/>
  <c r="F132" i="4" s="1"/>
  <c r="F133" i="4" s="1"/>
  <c r="F134" i="4" s="1"/>
  <c r="F135" i="4" s="1"/>
  <c r="F136" i="4" s="1"/>
  <c r="F137" i="4" s="1"/>
  <c r="F138" i="4" s="1"/>
  <c r="F139" i="4" s="1"/>
  <c r="F140" i="4" s="1"/>
  <c r="F141" i="4" s="1"/>
  <c r="B137" i="4"/>
  <c r="D137" i="4" s="1"/>
  <c r="D139" i="4"/>
  <c r="D138" i="4"/>
  <c r="D136" i="4"/>
  <c r="C135" i="4"/>
  <c r="D135" i="4" s="1"/>
  <c r="C134" i="4"/>
  <c r="D134" i="4" s="1"/>
  <c r="D133" i="4"/>
  <c r="C132" i="4"/>
  <c r="D132" i="4" s="1"/>
  <c r="C131" i="4"/>
  <c r="D131" i="4" s="1"/>
  <c r="C130" i="4"/>
  <c r="D130" i="4" s="1"/>
  <c r="C129" i="4"/>
  <c r="D129" i="4" s="1"/>
  <c r="C128" i="4"/>
  <c r="D128" i="4" s="1"/>
  <c r="D127" i="4"/>
  <c r="D126" i="4"/>
  <c r="D125" i="4"/>
  <c r="C124" i="4"/>
  <c r="D124" i="4" s="1"/>
  <c r="D123" i="4"/>
  <c r="D122" i="4"/>
  <c r="C121" i="4"/>
  <c r="D121" i="4" s="1"/>
  <c r="C146" i="4"/>
  <c r="D146" i="4" s="1"/>
  <c r="D120" i="4"/>
  <c r="D119" i="4"/>
  <c r="C118" i="4"/>
  <c r="D118" i="4" s="1"/>
  <c r="E9" i="3" l="1"/>
  <c r="E10" i="3"/>
  <c r="E11" i="3"/>
  <c r="E12" i="3"/>
  <c r="E13" i="3" s="1"/>
  <c r="E14" i="3" s="1"/>
  <c r="E15" i="3" s="1"/>
  <c r="E16" i="3" s="1"/>
  <c r="Z123" i="3" l="1"/>
  <c r="Z492" i="3"/>
  <c r="X492" i="3" l="1"/>
  <c r="E286" i="3"/>
  <c r="X63" i="3"/>
  <c r="S63" i="3"/>
  <c r="Z378" i="3"/>
  <c r="N378" i="3"/>
  <c r="Y406" i="3"/>
  <c r="Y417" i="3"/>
  <c r="Z118" i="3"/>
  <c r="Z328" i="3"/>
  <c r="C81" i="10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34" i="1"/>
  <c r="N57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34" i="1"/>
  <c r="C410" i="7"/>
  <c r="E59" i="13"/>
  <c r="E57" i="13"/>
  <c r="B57" i="13"/>
  <c r="L155" i="1" l="1"/>
  <c r="L151" i="1"/>
  <c r="L152" i="1"/>
  <c r="L153" i="1"/>
  <c r="L150" i="1"/>
  <c r="H151" i="1"/>
  <c r="H152" i="1"/>
  <c r="H153" i="1"/>
  <c r="H150" i="1"/>
  <c r="J150" i="1"/>
  <c r="K150" i="1"/>
  <c r="J151" i="1"/>
  <c r="K151" i="1"/>
  <c r="J152" i="1"/>
  <c r="K152" i="1"/>
  <c r="J153" i="1"/>
  <c r="K153" i="1" s="1"/>
  <c r="D113" i="4" l="1"/>
  <c r="D114" i="4"/>
  <c r="D112" i="4"/>
  <c r="F112" i="4"/>
  <c r="F113" i="4" s="1"/>
  <c r="X374" i="3" l="1"/>
  <c r="X230" i="3"/>
  <c r="S145" i="3"/>
  <c r="S192" i="3"/>
  <c r="S100" i="3"/>
  <c r="S84" i="3"/>
  <c r="S103" i="3"/>
  <c r="S188" i="3"/>
  <c r="S545" i="3"/>
  <c r="S28" i="3"/>
  <c r="S461" i="3"/>
  <c r="S204" i="3"/>
  <c r="S189" i="3"/>
  <c r="S349" i="3"/>
  <c r="S105" i="3"/>
  <c r="S556" i="3"/>
  <c r="J93" i="1"/>
  <c r="J94" i="1"/>
  <c r="J95" i="1"/>
  <c r="J96" i="1"/>
  <c r="J92" i="1"/>
  <c r="F93" i="1"/>
  <c r="F94" i="1"/>
  <c r="F95" i="1"/>
  <c r="F96" i="1"/>
  <c r="F92" i="1"/>
  <c r="X33" i="3"/>
  <c r="Y320" i="3" l="1"/>
  <c r="X408" i="3"/>
  <c r="Y408" i="3"/>
  <c r="Y328" i="3"/>
  <c r="Y354" i="3"/>
  <c r="Y509" i="3"/>
  <c r="X509" i="3"/>
  <c r="X42" i="3"/>
  <c r="Y338" i="3" l="1"/>
  <c r="Y241" i="3"/>
  <c r="Y607" i="3"/>
  <c r="Y586" i="3"/>
  <c r="X417" i="3" l="1"/>
  <c r="X151" i="3"/>
  <c r="X321" i="3"/>
  <c r="P433" i="3"/>
  <c r="Y283" i="3"/>
  <c r="X422" i="3"/>
  <c r="Y296" i="3" l="1"/>
  <c r="P348" i="3"/>
  <c r="P54" i="3"/>
  <c r="Y177" i="3" l="1"/>
  <c r="Y567" i="3"/>
  <c r="Y330" i="3" l="1"/>
  <c r="L111" i="1" l="1"/>
  <c r="L107" i="1"/>
  <c r="L108" i="1"/>
  <c r="L106" i="1"/>
  <c r="H107" i="1"/>
  <c r="H108" i="1"/>
  <c r="H106" i="1"/>
  <c r="I185" i="1" l="1"/>
  <c r="F185" i="1"/>
  <c r="F121" i="1" l="1"/>
  <c r="J121" i="1" s="1"/>
  <c r="F122" i="1"/>
  <c r="F123" i="1"/>
  <c r="F124" i="1"/>
  <c r="F125" i="1"/>
  <c r="J125" i="1" s="1"/>
  <c r="F126" i="1"/>
  <c r="J126" i="1" s="1"/>
  <c r="F127" i="1"/>
  <c r="F128" i="1"/>
  <c r="F129" i="1"/>
  <c r="J129" i="1" s="1"/>
  <c r="J122" i="1"/>
  <c r="J123" i="1"/>
  <c r="J124" i="1"/>
  <c r="J127" i="1"/>
  <c r="J128" i="1"/>
  <c r="J120" i="1"/>
  <c r="F120" i="1"/>
  <c r="L140" i="1"/>
  <c r="L141" i="1"/>
  <c r="L139" i="1"/>
  <c r="H140" i="1"/>
  <c r="H141" i="1"/>
  <c r="H139" i="1"/>
  <c r="D122" i="1"/>
  <c r="L57" i="1"/>
  <c r="H58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34" i="1"/>
  <c r="F55" i="1"/>
  <c r="F56" i="1"/>
  <c r="J10" i="1"/>
  <c r="J18" i="1"/>
  <c r="J21" i="1"/>
  <c r="J22" i="1"/>
  <c r="F9" i="1"/>
  <c r="J9" i="1" s="1"/>
  <c r="F10" i="1"/>
  <c r="F11" i="1"/>
  <c r="J11" i="1" s="1"/>
  <c r="F12" i="1"/>
  <c r="J12" i="1" s="1"/>
  <c r="F13" i="1"/>
  <c r="J13" i="1" s="1"/>
  <c r="F14" i="1"/>
  <c r="J14" i="1" s="1"/>
  <c r="F15" i="1"/>
  <c r="J15" i="1" s="1"/>
  <c r="F16" i="1"/>
  <c r="J16" i="1" s="1"/>
  <c r="F17" i="1"/>
  <c r="J17" i="1" s="1"/>
  <c r="F18" i="1"/>
  <c r="F19" i="1"/>
  <c r="J19" i="1" s="1"/>
  <c r="F20" i="1"/>
  <c r="J20" i="1" s="1"/>
  <c r="F21" i="1"/>
  <c r="F22" i="1"/>
  <c r="F23" i="1"/>
  <c r="J23" i="1" s="1"/>
  <c r="F24" i="1"/>
  <c r="J24" i="1" s="1"/>
  <c r="E8" i="1"/>
  <c r="F8" i="1" s="1"/>
  <c r="J8" i="1" s="1"/>
  <c r="D19" i="1"/>
  <c r="D25" i="1" s="1"/>
  <c r="D24" i="1"/>
  <c r="Y407" i="3"/>
  <c r="C345" i="7"/>
  <c r="C351" i="7" s="1"/>
  <c r="X428" i="3"/>
  <c r="X425" i="3"/>
  <c r="Y420" i="3"/>
  <c r="Y115" i="3"/>
  <c r="P61" i="3"/>
  <c r="Y27" i="3"/>
  <c r="X27" i="3"/>
  <c r="X549" i="3"/>
  <c r="Y525" i="3"/>
  <c r="X525" i="3"/>
  <c r="Y272" i="3"/>
  <c r="U204" i="3"/>
  <c r="U447" i="3"/>
  <c r="Y447" i="3"/>
  <c r="P349" i="3"/>
  <c r="N286" i="3"/>
  <c r="X192" i="3"/>
  <c r="X78" i="3"/>
  <c r="X363" i="3"/>
  <c r="J131" i="1" l="1"/>
  <c r="E25" i="1"/>
  <c r="J25" i="1"/>
  <c r="X511" i="3"/>
  <c r="X406" i="3"/>
  <c r="Y484" i="3"/>
  <c r="Y446" i="3"/>
  <c r="X484" i="3"/>
  <c r="X446" i="3"/>
  <c r="X65" i="3"/>
  <c r="C12" i="10"/>
  <c r="X384" i="3"/>
  <c r="Y308" i="3"/>
  <c r="X308" i="3"/>
  <c r="C286" i="7"/>
  <c r="C285" i="7"/>
  <c r="C284" i="7"/>
  <c r="Y548" i="3"/>
  <c r="X548" i="3"/>
  <c r="X567" i="3"/>
  <c r="X566" i="3"/>
  <c r="C289" i="7" l="1"/>
  <c r="X233" i="3"/>
  <c r="X83" i="3" l="1"/>
  <c r="F145" i="4" l="1"/>
  <c r="F146" i="4" s="1"/>
  <c r="F147" i="4" s="1"/>
  <c r="F148" i="4" s="1"/>
  <c r="F149" i="4" s="1"/>
  <c r="F150" i="4" s="1"/>
  <c r="F151" i="4" s="1"/>
  <c r="F152" i="4" s="1"/>
  <c r="D145" i="4"/>
  <c r="X124" i="3"/>
  <c r="Y118" i="3"/>
  <c r="X536" i="3"/>
  <c r="N245" i="3"/>
  <c r="X551" i="3"/>
  <c r="N433" i="3"/>
  <c r="Y294" i="3" l="1"/>
  <c r="X354" i="3"/>
  <c r="C300" i="7"/>
  <c r="C299" i="7"/>
  <c r="A35" i="11"/>
  <c r="A36" i="11" s="1"/>
  <c r="A37" i="11" s="1"/>
  <c r="A38" i="11" s="1"/>
  <c r="A39" i="11" s="1"/>
  <c r="A40" i="11" s="1"/>
  <c r="A41" i="11" s="1"/>
  <c r="A42" i="11" s="1"/>
  <c r="A43" i="11" s="1"/>
  <c r="A44" i="11" s="1"/>
  <c r="A45" i="11" s="1"/>
  <c r="A46" i="11" s="1"/>
  <c r="A47" i="11" s="1"/>
  <c r="A48" i="11" s="1"/>
  <c r="A49" i="11" s="1"/>
  <c r="A50" i="11" s="1"/>
  <c r="A51" i="11" s="1"/>
  <c r="A52" i="11" s="1"/>
  <c r="A53" i="11" s="1"/>
  <c r="A54" i="11" s="1"/>
  <c r="A55" i="11" s="1"/>
  <c r="A56" i="11" s="1"/>
  <c r="A57" i="11" s="1"/>
  <c r="A58" i="11" s="1"/>
  <c r="A59" i="11" s="1"/>
  <c r="A60" i="11" s="1"/>
  <c r="A34" i="11"/>
  <c r="A6" i="11"/>
  <c r="A7" i="11"/>
  <c r="A8" i="11"/>
  <c r="A9" i="11"/>
  <c r="A10" i="11" s="1"/>
  <c r="A11" i="11" s="1"/>
  <c r="A12" i="11" s="1"/>
  <c r="A13" i="11" s="1"/>
  <c r="A14" i="11" s="1"/>
  <c r="A15" i="11" s="1"/>
  <c r="A16" i="11" s="1"/>
  <c r="A17" i="11" s="1"/>
  <c r="A18" i="11" s="1"/>
  <c r="A19" i="11" s="1"/>
  <c r="A20" i="11" s="1"/>
  <c r="A21" i="11" s="1"/>
  <c r="A22" i="11" s="1"/>
  <c r="A23" i="11" s="1"/>
  <c r="A24" i="11" s="1"/>
  <c r="A25" i="11" s="1"/>
  <c r="A26" i="11" s="1"/>
  <c r="A27" i="11" s="1"/>
  <c r="A28" i="11" s="1"/>
  <c r="A5" i="11"/>
  <c r="E62" i="11"/>
  <c r="F62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62" i="11" s="1"/>
  <c r="N57" i="11"/>
  <c r="N58" i="11"/>
  <c r="N59" i="11"/>
  <c r="N33" i="11"/>
  <c r="E30" i="11"/>
  <c r="F30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30" i="11" s="1"/>
  <c r="N21" i="11"/>
  <c r="N22" i="11"/>
  <c r="N23" i="11"/>
  <c r="N24" i="11"/>
  <c r="N25" i="11"/>
  <c r="N26" i="11"/>
  <c r="N27" i="11"/>
  <c r="N28" i="11"/>
  <c r="N4" i="11"/>
  <c r="E48" i="11"/>
  <c r="Y391" i="3"/>
  <c r="X391" i="3"/>
  <c r="Y439" i="3"/>
  <c r="X439" i="3"/>
  <c r="N64" i="11" l="1"/>
  <c r="N593" i="3"/>
  <c r="X108" i="3"/>
  <c r="X14" i="3"/>
  <c r="C251" i="7"/>
  <c r="C250" i="7"/>
  <c r="Y60" i="3" l="1"/>
  <c r="Y492" i="3"/>
  <c r="D105" i="4"/>
  <c r="D104" i="4"/>
  <c r="C128" i="7" l="1"/>
  <c r="F99" i="4" l="1"/>
  <c r="F100" i="4" s="1"/>
  <c r="F73" i="4"/>
  <c r="F74" i="4" s="1"/>
  <c r="F75" i="4" s="1"/>
  <c r="F76" i="4" s="1"/>
  <c r="F77" i="4" s="1"/>
  <c r="F78" i="4" s="1"/>
  <c r="F79" i="4" s="1"/>
  <c r="F80" i="4" s="1"/>
  <c r="F81" i="4" s="1"/>
  <c r="F82" i="4" s="1"/>
  <c r="F83" i="4" s="1"/>
  <c r="F84" i="4" s="1"/>
  <c r="F85" i="4" s="1"/>
  <c r="F86" i="4" s="1"/>
  <c r="F87" i="4" s="1"/>
  <c r="F88" i="4" s="1"/>
  <c r="F89" i="4" s="1"/>
  <c r="F90" i="4" s="1"/>
  <c r="F91" i="4" s="1"/>
  <c r="F92" i="4" s="1"/>
  <c r="F93" i="4" s="1"/>
  <c r="F94" i="4" s="1"/>
  <c r="F95" i="4" s="1"/>
  <c r="F96" i="4" s="1"/>
  <c r="D73" i="4"/>
  <c r="D74" i="4"/>
  <c r="D77" i="4"/>
  <c r="D78" i="4"/>
  <c r="D80" i="4"/>
  <c r="D81" i="4"/>
  <c r="D82" i="4"/>
  <c r="D88" i="4"/>
  <c r="D91" i="4"/>
  <c r="D92" i="4"/>
  <c r="D93" i="4"/>
  <c r="D94" i="4"/>
  <c r="D96" i="4"/>
  <c r="C75" i="4"/>
  <c r="D75" i="4" s="1"/>
  <c r="C76" i="4"/>
  <c r="D76" i="4" s="1"/>
  <c r="C79" i="4"/>
  <c r="D79" i="4" s="1"/>
  <c r="C83" i="4"/>
  <c r="D83" i="4" s="1"/>
  <c r="C84" i="4"/>
  <c r="D84" i="4" s="1"/>
  <c r="C85" i="4"/>
  <c r="D85" i="4" s="1"/>
  <c r="C86" i="4"/>
  <c r="D86" i="4" s="1"/>
  <c r="C87" i="4"/>
  <c r="D87" i="4" s="1"/>
  <c r="C89" i="4"/>
  <c r="D89" i="4" s="1"/>
  <c r="C90" i="4"/>
  <c r="D90" i="4" s="1"/>
  <c r="C72" i="4"/>
  <c r="D72" i="4" s="1"/>
  <c r="Y170" i="3"/>
  <c r="Y123" i="3"/>
  <c r="Y456" i="3"/>
  <c r="X456" i="3"/>
  <c r="C184" i="7"/>
  <c r="C183" i="7"/>
  <c r="X53" i="3" l="1"/>
  <c r="X58" i="3"/>
  <c r="X327" i="3"/>
  <c r="U612" i="3"/>
  <c r="E161" i="1" l="1"/>
  <c r="K173" i="1"/>
  <c r="K174" i="1"/>
  <c r="K172" i="1"/>
  <c r="K162" i="1"/>
  <c r="K163" i="1"/>
  <c r="K164" i="1"/>
  <c r="K165" i="1"/>
  <c r="K166" i="1"/>
  <c r="K167" i="1"/>
  <c r="K168" i="1"/>
  <c r="K169" i="1"/>
  <c r="K170" i="1"/>
  <c r="K171" i="1"/>
  <c r="K161" i="1"/>
  <c r="D125" i="1"/>
  <c r="F63" i="4"/>
  <c r="F64" i="4" s="1"/>
  <c r="F65" i="4" s="1"/>
  <c r="F66" i="4" s="1"/>
  <c r="F67" i="4" s="1"/>
  <c r="F68" i="4" s="1"/>
  <c r="K176" i="1" l="1"/>
  <c r="S388" i="3"/>
  <c r="S78" i="3" l="1"/>
  <c r="S502" i="3"/>
  <c r="S216" i="3"/>
  <c r="S325" i="3" l="1"/>
  <c r="Y337" i="3"/>
  <c r="X444" i="3"/>
  <c r="X172" i="3"/>
  <c r="Y583" i="3"/>
  <c r="X575" i="3"/>
  <c r="X241" i="3"/>
  <c r="X338" i="3"/>
  <c r="S533" i="3" l="1"/>
  <c r="S171" i="3"/>
  <c r="X320" i="3" l="1"/>
  <c r="S363" i="3"/>
  <c r="N526" i="3"/>
  <c r="N527" i="3"/>
  <c r="N528" i="3"/>
  <c r="N529" i="3"/>
  <c r="N530" i="3"/>
  <c r="N531" i="3"/>
  <c r="N532" i="3"/>
  <c r="N533" i="3"/>
  <c r="N534" i="3"/>
  <c r="N535" i="3"/>
  <c r="N536" i="3"/>
  <c r="N525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381" i="3"/>
  <c r="E439" i="3" l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X518" i="3"/>
  <c r="X170" i="3"/>
  <c r="X328" i="3"/>
  <c r="X552" i="3"/>
  <c r="X582" i="3" l="1"/>
  <c r="X596" i="3"/>
  <c r="X557" i="3"/>
  <c r="N556" i="3"/>
  <c r="N557" i="3"/>
  <c r="X457" i="3"/>
  <c r="X564" i="3"/>
  <c r="X123" i="3"/>
  <c r="S320" i="3" l="1"/>
  <c r="S205" i="3"/>
  <c r="S8" i="3"/>
  <c r="S607" i="3"/>
  <c r="X177" i="3" l="1"/>
  <c r="X607" i="3"/>
  <c r="X461" i="3"/>
  <c r="X337" i="3"/>
  <c r="X60" i="3" l="1"/>
  <c r="X296" i="3"/>
  <c r="N7" i="3"/>
  <c r="X118" i="3"/>
  <c r="X56" i="3"/>
  <c r="X534" i="3"/>
  <c r="X600" i="3"/>
  <c r="X115" i="3"/>
  <c r="X291" i="3"/>
  <c r="Y317" i="3"/>
  <c r="Z317" i="3"/>
  <c r="AA317" i="3"/>
  <c r="AB317" i="3"/>
  <c r="AC317" i="3"/>
  <c r="X317" i="3"/>
  <c r="Y229" i="3"/>
  <c r="Z229" i="3"/>
  <c r="AA229" i="3"/>
  <c r="AB229" i="3"/>
  <c r="AC229" i="3"/>
  <c r="X229" i="3"/>
  <c r="W571" i="3"/>
  <c r="X20" i="3"/>
  <c r="X41" i="3"/>
  <c r="N439" i="3"/>
  <c r="C519" i="9" l="1"/>
  <c r="C457" i="9"/>
  <c r="C341" i="9"/>
  <c r="C318" i="9"/>
  <c r="C245" i="9"/>
  <c r="C202" i="9"/>
  <c r="C190" i="9"/>
  <c r="C145" i="9"/>
  <c r="C139" i="9"/>
  <c r="C128" i="9"/>
  <c r="C121" i="9"/>
  <c r="C116" i="9"/>
  <c r="C49" i="9"/>
  <c r="C32" i="9"/>
  <c r="C27" i="9"/>
  <c r="C5" i="9"/>
  <c r="S244" i="3"/>
  <c r="S5" i="3"/>
  <c r="E563" i="3"/>
  <c r="E545" i="3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92" i="3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381" i="3"/>
  <c r="N282" i="3"/>
  <c r="S26" i="3"/>
  <c r="F53" i="4"/>
  <c r="C611" i="9" l="1"/>
  <c r="C128" i="6"/>
  <c r="C112" i="6"/>
  <c r="C42" i="6"/>
  <c r="C32" i="6"/>
  <c r="B71" i="5"/>
  <c r="B50" i="5"/>
  <c r="B25" i="5"/>
  <c r="C58" i="4"/>
  <c r="C38" i="4"/>
  <c r="C36" i="4"/>
  <c r="C34" i="4"/>
  <c r="C33" i="4"/>
  <c r="C31" i="4"/>
  <c r="C30" i="4"/>
  <c r="C29" i="4"/>
  <c r="C28" i="4"/>
  <c r="C27" i="4"/>
  <c r="C22" i="4"/>
  <c r="C19" i="4"/>
  <c r="C18" i="4"/>
  <c r="F17" i="4"/>
  <c r="F18" i="4" s="1"/>
  <c r="F19" i="4" s="1"/>
  <c r="F20" i="4" s="1"/>
  <c r="F21" i="4" s="1"/>
  <c r="F22" i="4" s="1"/>
  <c r="F23" i="4" s="1"/>
  <c r="F24" i="4" s="1"/>
  <c r="F25" i="4" s="1"/>
  <c r="F26" i="4" s="1"/>
  <c r="F27" i="4" s="1"/>
  <c r="F6" i="4"/>
  <c r="F7" i="4" s="1"/>
  <c r="Q615" i="3"/>
  <c r="Q616" i="3" s="1"/>
  <c r="N612" i="3"/>
  <c r="N611" i="3"/>
  <c r="N610" i="3"/>
  <c r="N609" i="3"/>
  <c r="N604" i="3"/>
  <c r="N596" i="3"/>
  <c r="N582" i="3"/>
  <c r="N592" i="3"/>
  <c r="N591" i="3"/>
  <c r="N601" i="3"/>
  <c r="N600" i="3"/>
  <c r="N606" i="3"/>
  <c r="N597" i="3"/>
  <c r="N608" i="3"/>
  <c r="N607" i="3"/>
  <c r="N605" i="3"/>
  <c r="N603" i="3"/>
  <c r="P602" i="3"/>
  <c r="N602" i="3"/>
  <c r="N599" i="3"/>
  <c r="N598" i="3"/>
  <c r="N595" i="3"/>
  <c r="N594" i="3"/>
  <c r="N590" i="3"/>
  <c r="N589" i="3"/>
  <c r="N588" i="3"/>
  <c r="K587" i="3"/>
  <c r="N587" i="3" s="1"/>
  <c r="N586" i="3"/>
  <c r="N585" i="3"/>
  <c r="N584" i="3"/>
  <c r="N583" i="3"/>
  <c r="N577" i="3"/>
  <c r="N567" i="3"/>
  <c r="N575" i="3"/>
  <c r="N564" i="3"/>
  <c r="N573" i="3"/>
  <c r="N571" i="3"/>
  <c r="N574" i="3"/>
  <c r="N572" i="3"/>
  <c r="N570" i="3"/>
  <c r="X569" i="3"/>
  <c r="N569" i="3"/>
  <c r="G569" i="3"/>
  <c r="G578" i="3" s="1"/>
  <c r="N568" i="3"/>
  <c r="N566" i="3"/>
  <c r="N565" i="3"/>
  <c r="N563" i="3"/>
  <c r="N562" i="3"/>
  <c r="N551" i="3"/>
  <c r="N545" i="3"/>
  <c r="N549" i="3"/>
  <c r="N555" i="3"/>
  <c r="N554" i="3"/>
  <c r="N553" i="3"/>
  <c r="N552" i="3"/>
  <c r="N550" i="3"/>
  <c r="N548" i="3"/>
  <c r="N547" i="3"/>
  <c r="N546" i="3"/>
  <c r="N544" i="3"/>
  <c r="N539" i="3"/>
  <c r="N538" i="3"/>
  <c r="N537" i="3"/>
  <c r="N523" i="3"/>
  <c r="N517" i="3"/>
  <c r="N516" i="3"/>
  <c r="N513" i="3"/>
  <c r="N511" i="3"/>
  <c r="N506" i="3"/>
  <c r="N518" i="3"/>
  <c r="N519" i="3"/>
  <c r="X503" i="3"/>
  <c r="N503" i="3"/>
  <c r="X507" i="3"/>
  <c r="N507" i="3"/>
  <c r="N514" i="3"/>
  <c r="N502" i="3"/>
  <c r="S520" i="3"/>
  <c r="N520" i="3"/>
  <c r="N512" i="3"/>
  <c r="N510" i="3"/>
  <c r="N515" i="3"/>
  <c r="N509" i="3"/>
  <c r="N508" i="3"/>
  <c r="N504" i="3"/>
  <c r="N505" i="3"/>
  <c r="G500" i="3"/>
  <c r="N477" i="3"/>
  <c r="N478" i="3"/>
  <c r="N495" i="3"/>
  <c r="N484" i="3"/>
  <c r="N497" i="3"/>
  <c r="N496" i="3"/>
  <c r="N494" i="3"/>
  <c r="N493" i="3"/>
  <c r="N492" i="3"/>
  <c r="N491" i="3"/>
  <c r="N490" i="3"/>
  <c r="N489" i="3"/>
  <c r="N488" i="3"/>
  <c r="N487" i="3"/>
  <c r="N486" i="3"/>
  <c r="K485" i="3"/>
  <c r="N485" i="3" s="1"/>
  <c r="X483" i="3"/>
  <c r="N483" i="3"/>
  <c r="N482" i="3"/>
  <c r="N481" i="3"/>
  <c r="N480" i="3"/>
  <c r="N479" i="3"/>
  <c r="N476" i="3"/>
  <c r="N475" i="3"/>
  <c r="N474" i="3"/>
  <c r="E474" i="3"/>
  <c r="E475" i="3" s="1"/>
  <c r="E476" i="3" s="1"/>
  <c r="N473" i="3"/>
  <c r="G469" i="3"/>
  <c r="N461" i="3"/>
  <c r="N447" i="3"/>
  <c r="N446" i="3"/>
  <c r="N455" i="3"/>
  <c r="N444" i="3"/>
  <c r="N442" i="3"/>
  <c r="N464" i="3"/>
  <c r="N463" i="3"/>
  <c r="N462" i="3"/>
  <c r="N460" i="3"/>
  <c r="N459" i="3"/>
  <c r="S458" i="3"/>
  <c r="N458" i="3"/>
  <c r="P457" i="3"/>
  <c r="N457" i="3"/>
  <c r="P456" i="3"/>
  <c r="N456" i="3"/>
  <c r="N454" i="3"/>
  <c r="N453" i="3"/>
  <c r="N452" i="3"/>
  <c r="K451" i="3"/>
  <c r="N451" i="3" s="1"/>
  <c r="N450" i="3"/>
  <c r="N449" i="3"/>
  <c r="N448" i="3"/>
  <c r="N445" i="3"/>
  <c r="N443" i="3"/>
  <c r="N441" i="3"/>
  <c r="N440" i="3"/>
  <c r="N438" i="3"/>
  <c r="N436" i="3"/>
  <c r="G435" i="3"/>
  <c r="N414" i="3"/>
  <c r="N413" i="3"/>
  <c r="N432" i="3"/>
  <c r="N430" i="3"/>
  <c r="N427" i="3"/>
  <c r="N425" i="3"/>
  <c r="N424" i="3"/>
  <c r="N422" i="3"/>
  <c r="N421" i="3"/>
  <c r="N419" i="3"/>
  <c r="N418" i="3"/>
  <c r="N417" i="3"/>
  <c r="N412" i="3"/>
  <c r="N410" i="3"/>
  <c r="N409" i="3"/>
  <c r="N406" i="3"/>
  <c r="N431" i="3"/>
  <c r="N429" i="3"/>
  <c r="N428" i="3"/>
  <c r="N426" i="3"/>
  <c r="N423" i="3"/>
  <c r="N420" i="3"/>
  <c r="N416" i="3"/>
  <c r="N415" i="3"/>
  <c r="N411" i="3"/>
  <c r="N408" i="3"/>
  <c r="N407" i="3"/>
  <c r="N405" i="3"/>
  <c r="N404" i="3"/>
  <c r="E404" i="3"/>
  <c r="E405" i="3" s="1"/>
  <c r="E382" i="3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N377" i="3"/>
  <c r="N376" i="3"/>
  <c r="P375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E361" i="3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N360" i="3"/>
  <c r="N346" i="3"/>
  <c r="N320" i="3"/>
  <c r="P356" i="3"/>
  <c r="N356" i="3"/>
  <c r="N354" i="3"/>
  <c r="N353" i="3"/>
  <c r="N352" i="3"/>
  <c r="N351" i="3"/>
  <c r="N349" i="3"/>
  <c r="N348" i="3"/>
  <c r="N347" i="3"/>
  <c r="N324" i="3"/>
  <c r="N345" i="3"/>
  <c r="N343" i="3"/>
  <c r="N342" i="3"/>
  <c r="S341" i="3"/>
  <c r="N341" i="3"/>
  <c r="N340" i="3"/>
  <c r="S318" i="3"/>
  <c r="N318" i="3"/>
  <c r="N339" i="3"/>
  <c r="N338" i="3"/>
  <c r="N337" i="3"/>
  <c r="N328" i="3"/>
  <c r="N333" i="3"/>
  <c r="N355" i="3"/>
  <c r="N332" i="3"/>
  <c r="N331" i="3"/>
  <c r="N330" i="3"/>
  <c r="N327" i="3"/>
  <c r="N350" i="3"/>
  <c r="N326" i="3"/>
  <c r="N325" i="3"/>
  <c r="N323" i="3"/>
  <c r="N322" i="3"/>
  <c r="N321" i="3"/>
  <c r="N319" i="3"/>
  <c r="N317" i="3"/>
  <c r="N316" i="3"/>
  <c r="E316" i="3"/>
  <c r="E317" i="3" s="1"/>
  <c r="P315" i="3"/>
  <c r="N315" i="3"/>
  <c r="N295" i="3"/>
  <c r="X293" i="3"/>
  <c r="N293" i="3"/>
  <c r="N310" i="3"/>
  <c r="N285" i="3"/>
  <c r="N309" i="3"/>
  <c r="N284" i="3"/>
  <c r="N308" i="3"/>
  <c r="N307" i="3"/>
  <c r="N281" i="3"/>
  <c r="N305" i="3"/>
  <c r="N304" i="3"/>
  <c r="X303" i="3"/>
  <c r="N303" i="3"/>
  <c r="G303" i="3"/>
  <c r="N277" i="3"/>
  <c r="N299" i="3"/>
  <c r="N298" i="3"/>
  <c r="N296" i="3"/>
  <c r="N274" i="3"/>
  <c r="N294" i="3"/>
  <c r="N269" i="3"/>
  <c r="N292" i="3"/>
  <c r="N291" i="3"/>
  <c r="N290" i="3"/>
  <c r="N306" i="3"/>
  <c r="N283" i="3"/>
  <c r="N280" i="3"/>
  <c r="N279" i="3"/>
  <c r="N302" i="3"/>
  <c r="N301" i="3"/>
  <c r="N278" i="3"/>
  <c r="N300" i="3"/>
  <c r="N276" i="3"/>
  <c r="N275" i="3"/>
  <c r="N273" i="3"/>
  <c r="N272" i="3"/>
  <c r="N271" i="3"/>
  <c r="N270" i="3"/>
  <c r="N268" i="3"/>
  <c r="N267" i="3"/>
  <c r="E267" i="3"/>
  <c r="E268" i="3" s="1"/>
  <c r="G265" i="3"/>
  <c r="N263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3" i="3"/>
  <c r="N222" i="3"/>
  <c r="N221" i="3"/>
  <c r="N220" i="3"/>
  <c r="N247" i="3"/>
  <c r="N219" i="3"/>
  <c r="X218" i="3"/>
  <c r="N218" i="3"/>
  <c r="N217" i="3"/>
  <c r="P216" i="3"/>
  <c r="N216" i="3"/>
  <c r="N262" i="3"/>
  <c r="N261" i="3"/>
  <c r="N260" i="3"/>
  <c r="N259" i="3"/>
  <c r="N258" i="3"/>
  <c r="N257" i="3"/>
  <c r="N256" i="3"/>
  <c r="N255" i="3"/>
  <c r="N224" i="3"/>
  <c r="N254" i="3"/>
  <c r="N253" i="3"/>
  <c r="N252" i="3"/>
  <c r="N251" i="3"/>
  <c r="N250" i="3"/>
  <c r="N249" i="3"/>
  <c r="N248" i="3"/>
  <c r="N246" i="3"/>
  <c r="N244" i="3"/>
  <c r="N243" i="3"/>
  <c r="N242" i="3"/>
  <c r="E242" i="3"/>
  <c r="E243" i="3" s="1"/>
  <c r="N241" i="3"/>
  <c r="N214" i="3"/>
  <c r="G211" i="3"/>
  <c r="N177" i="3"/>
  <c r="N174" i="3"/>
  <c r="N168" i="3"/>
  <c r="N166" i="3"/>
  <c r="N170" i="3"/>
  <c r="N172" i="3"/>
  <c r="N182" i="3"/>
  <c r="N181" i="3"/>
  <c r="N180" i="3"/>
  <c r="N179" i="3"/>
  <c r="N178" i="3"/>
  <c r="N176" i="3"/>
  <c r="N175" i="3"/>
  <c r="N195" i="3"/>
  <c r="N173" i="3"/>
  <c r="N171" i="3"/>
  <c r="N169" i="3"/>
  <c r="N167" i="3"/>
  <c r="N190" i="3"/>
  <c r="N165" i="3"/>
  <c r="N164" i="3"/>
  <c r="N163" i="3"/>
  <c r="N162" i="3"/>
  <c r="N161" i="3"/>
  <c r="K208" i="3"/>
  <c r="P207" i="3"/>
  <c r="N207" i="3"/>
  <c r="N183" i="3"/>
  <c r="N206" i="3"/>
  <c r="P205" i="3"/>
  <c r="N205" i="3"/>
  <c r="P204" i="3"/>
  <c r="N204" i="3"/>
  <c r="N203" i="3"/>
  <c r="S201" i="3"/>
  <c r="N201" i="3"/>
  <c r="N200" i="3"/>
  <c r="N199" i="3"/>
  <c r="N198" i="3"/>
  <c r="N197" i="3"/>
  <c r="N196" i="3"/>
  <c r="N194" i="3"/>
  <c r="N193" i="3"/>
  <c r="N192" i="3"/>
  <c r="N191" i="3"/>
  <c r="P189" i="3"/>
  <c r="N189" i="3"/>
  <c r="N188" i="3"/>
  <c r="N187" i="3"/>
  <c r="E188" i="3"/>
  <c r="N159" i="3"/>
  <c r="S115" i="3"/>
  <c r="N115" i="3"/>
  <c r="N123" i="3"/>
  <c r="N118" i="3"/>
  <c r="X116" i="3"/>
  <c r="N116" i="3"/>
  <c r="S127" i="3"/>
  <c r="N127" i="3"/>
  <c r="N148" i="3"/>
  <c r="N149" i="3"/>
  <c r="N156" i="3"/>
  <c r="N155" i="3"/>
  <c r="N154" i="3"/>
  <c r="N153" i="3"/>
  <c r="N128" i="3"/>
  <c r="N152" i="3"/>
  <c r="N151" i="3"/>
  <c r="N150" i="3"/>
  <c r="N125" i="3"/>
  <c r="N146" i="3"/>
  <c r="N145" i="3"/>
  <c r="S144" i="3"/>
  <c r="N144" i="3"/>
  <c r="P143" i="3"/>
  <c r="N143" i="3"/>
  <c r="N142" i="3"/>
  <c r="N141" i="3"/>
  <c r="N140" i="3"/>
  <c r="N139" i="3"/>
  <c r="S138" i="3"/>
  <c r="N138" i="3"/>
  <c r="N136" i="3"/>
  <c r="N132" i="3"/>
  <c r="N131" i="3"/>
  <c r="N130" i="3"/>
  <c r="N129" i="3"/>
  <c r="N126" i="3"/>
  <c r="N147" i="3"/>
  <c r="N124" i="3"/>
  <c r="N122" i="3"/>
  <c r="N121" i="3"/>
  <c r="S120" i="3"/>
  <c r="N120" i="3"/>
  <c r="N119" i="3"/>
  <c r="N117" i="3"/>
  <c r="N114" i="3"/>
  <c r="N113" i="3"/>
  <c r="N137" i="3"/>
  <c r="E113" i="3"/>
  <c r="E114" i="3" s="1"/>
  <c r="N112" i="3"/>
  <c r="N75" i="3"/>
  <c r="N73" i="3"/>
  <c r="N96" i="3"/>
  <c r="N81" i="3"/>
  <c r="N101" i="3"/>
  <c r="N107" i="3"/>
  <c r="N103" i="3"/>
  <c r="X106" i="3"/>
  <c r="N106" i="3"/>
  <c r="N87" i="3"/>
  <c r="N86" i="3"/>
  <c r="N108" i="3"/>
  <c r="N85" i="3"/>
  <c r="N105" i="3"/>
  <c r="N82" i="3"/>
  <c r="N79" i="3"/>
  <c r="N78" i="3"/>
  <c r="N100" i="3"/>
  <c r="N76" i="3"/>
  <c r="N74" i="3"/>
  <c r="N95" i="3"/>
  <c r="N93" i="3"/>
  <c r="N91" i="3"/>
  <c r="N84" i="3"/>
  <c r="N104" i="3"/>
  <c r="N83" i="3"/>
  <c r="N80" i="3"/>
  <c r="N102" i="3"/>
  <c r="N77" i="3"/>
  <c r="N99" i="3"/>
  <c r="N97" i="3"/>
  <c r="N94" i="3"/>
  <c r="N72" i="3"/>
  <c r="N92" i="3"/>
  <c r="P71" i="3"/>
  <c r="N71" i="3"/>
  <c r="E71" i="3"/>
  <c r="N70" i="3"/>
  <c r="N53" i="3"/>
  <c r="N62" i="3"/>
  <c r="N66" i="3"/>
  <c r="X55" i="3"/>
  <c r="N55" i="3"/>
  <c r="N60" i="3"/>
  <c r="N56" i="3"/>
  <c r="N65" i="3"/>
  <c r="N64" i="3"/>
  <c r="N63" i="3"/>
  <c r="N61" i="3"/>
  <c r="N59" i="3"/>
  <c r="N58" i="3"/>
  <c r="N57" i="3"/>
  <c r="N54" i="3"/>
  <c r="N50" i="3"/>
  <c r="N41" i="3"/>
  <c r="N47" i="3"/>
  <c r="N49" i="3"/>
  <c r="S48" i="3"/>
  <c r="N48" i="3"/>
  <c r="N46" i="3"/>
  <c r="N45" i="3"/>
  <c r="N44" i="3"/>
  <c r="N43" i="3"/>
  <c r="N42" i="3"/>
  <c r="N40" i="3"/>
  <c r="N39" i="3"/>
  <c r="N38" i="3"/>
  <c r="N37" i="3"/>
  <c r="E37" i="3"/>
  <c r="E38" i="3" s="1"/>
  <c r="E39" i="3" s="1"/>
  <c r="E40" i="3" s="1"/>
  <c r="N27" i="3"/>
  <c r="N4" i="3"/>
  <c r="X29" i="3"/>
  <c r="N29" i="3"/>
  <c r="N10" i="3"/>
  <c r="N16" i="3"/>
  <c r="N15" i="3"/>
  <c r="N13" i="3"/>
  <c r="N30" i="3"/>
  <c r="N24" i="3"/>
  <c r="N32" i="3"/>
  <c r="N12" i="3"/>
  <c r="N19" i="3"/>
  <c r="N28" i="3"/>
  <c r="N11" i="3"/>
  <c r="N14" i="3"/>
  <c r="N8" i="3"/>
  <c r="N3" i="3"/>
  <c r="N22" i="3"/>
  <c r="N6" i="3"/>
  <c r="N21" i="3"/>
  <c r="N9" i="3"/>
  <c r="N33" i="3"/>
  <c r="S31" i="3"/>
  <c r="N31" i="3"/>
  <c r="N26" i="3"/>
  <c r="N25" i="3"/>
  <c r="N23" i="3"/>
  <c r="N5" i="3"/>
  <c r="N20" i="3"/>
  <c r="C74" i="2"/>
  <c r="M66" i="2"/>
  <c r="K66" i="2"/>
  <c r="I66" i="2"/>
  <c r="G66" i="2"/>
  <c r="E66" i="2"/>
  <c r="C66" i="2"/>
  <c r="K35" i="2"/>
  <c r="I35" i="2"/>
  <c r="G35" i="2"/>
  <c r="E35" i="2"/>
  <c r="C35" i="2"/>
  <c r="K16" i="2"/>
  <c r="I16" i="2"/>
  <c r="G16" i="2"/>
  <c r="E16" i="2"/>
  <c r="C16" i="2"/>
  <c r="E196" i="1"/>
  <c r="D187" i="1"/>
  <c r="E177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K157" i="1"/>
  <c r="F153" i="1"/>
  <c r="F152" i="1"/>
  <c r="F151" i="1"/>
  <c r="F150" i="1"/>
  <c r="F155" i="1" s="1"/>
  <c r="F141" i="1"/>
  <c r="F139" i="1"/>
  <c r="D131" i="1"/>
  <c r="I129" i="1"/>
  <c r="I128" i="1"/>
  <c r="I127" i="1"/>
  <c r="I126" i="1"/>
  <c r="I125" i="1"/>
  <c r="I124" i="1"/>
  <c r="I123" i="1"/>
  <c r="I122" i="1"/>
  <c r="I121" i="1"/>
  <c r="I120" i="1"/>
  <c r="J109" i="1"/>
  <c r="K109" i="1" s="1"/>
  <c r="F109" i="1"/>
  <c r="J108" i="1"/>
  <c r="K108" i="1" s="1"/>
  <c r="F108" i="1"/>
  <c r="J107" i="1"/>
  <c r="K107" i="1" s="1"/>
  <c r="F107" i="1"/>
  <c r="J106" i="1"/>
  <c r="K106" i="1" s="1"/>
  <c r="F106" i="1"/>
  <c r="D98" i="1"/>
  <c r="H96" i="1"/>
  <c r="I96" i="1" s="1"/>
  <c r="H95" i="1"/>
  <c r="I95" i="1" s="1"/>
  <c r="H94" i="1"/>
  <c r="I94" i="1" s="1"/>
  <c r="I93" i="1"/>
  <c r="H93" i="1"/>
  <c r="H92" i="1"/>
  <c r="I92" i="1" s="1"/>
  <c r="K81" i="1"/>
  <c r="I80" i="1"/>
  <c r="J80" i="1" s="1"/>
  <c r="F80" i="1"/>
  <c r="K80" i="1" s="1"/>
  <c r="I79" i="1"/>
  <c r="J79" i="1" s="1"/>
  <c r="F79" i="1"/>
  <c r="K79" i="1" s="1"/>
  <c r="I78" i="1"/>
  <c r="J78" i="1" s="1"/>
  <c r="F78" i="1"/>
  <c r="K78" i="1" s="1"/>
  <c r="I77" i="1"/>
  <c r="J77" i="1" s="1"/>
  <c r="F77" i="1"/>
  <c r="K77" i="1" s="1"/>
  <c r="I76" i="1"/>
  <c r="J76" i="1" s="1"/>
  <c r="F76" i="1"/>
  <c r="K76" i="1" s="1"/>
  <c r="I75" i="1"/>
  <c r="J75" i="1" s="1"/>
  <c r="F75" i="1"/>
  <c r="K75" i="1" s="1"/>
  <c r="I74" i="1"/>
  <c r="J74" i="1" s="1"/>
  <c r="F74" i="1"/>
  <c r="K74" i="1" s="1"/>
  <c r="I73" i="1"/>
  <c r="J73" i="1" s="1"/>
  <c r="F73" i="1"/>
  <c r="K73" i="1" s="1"/>
  <c r="I72" i="1"/>
  <c r="J72" i="1" s="1"/>
  <c r="F72" i="1"/>
  <c r="K72" i="1" s="1"/>
  <c r="I71" i="1"/>
  <c r="J71" i="1" s="1"/>
  <c r="F71" i="1"/>
  <c r="K71" i="1" s="1"/>
  <c r="I70" i="1"/>
  <c r="J70" i="1" s="1"/>
  <c r="F70" i="1"/>
  <c r="K70" i="1" s="1"/>
  <c r="I69" i="1"/>
  <c r="J69" i="1" s="1"/>
  <c r="F69" i="1"/>
  <c r="K69" i="1" s="1"/>
  <c r="I68" i="1"/>
  <c r="J68" i="1" s="1"/>
  <c r="F68" i="1"/>
  <c r="K68" i="1" s="1"/>
  <c r="I67" i="1"/>
  <c r="J67" i="1" s="1"/>
  <c r="F67" i="1"/>
  <c r="K67" i="1" s="1"/>
  <c r="I66" i="1"/>
  <c r="J66" i="1" s="1"/>
  <c r="F66" i="1"/>
  <c r="K66" i="1" s="1"/>
  <c r="J56" i="1"/>
  <c r="K56" i="1" s="1"/>
  <c r="J55" i="1"/>
  <c r="K55" i="1" s="1"/>
  <c r="J54" i="1"/>
  <c r="K54" i="1" s="1"/>
  <c r="J53" i="1"/>
  <c r="K53" i="1" s="1"/>
  <c r="J52" i="1"/>
  <c r="K52" i="1" s="1"/>
  <c r="J50" i="1"/>
  <c r="K50" i="1" s="1"/>
  <c r="F50" i="1"/>
  <c r="J49" i="1"/>
  <c r="K49" i="1" s="1"/>
  <c r="F49" i="1"/>
  <c r="J48" i="1"/>
  <c r="K48" i="1" s="1"/>
  <c r="F48" i="1"/>
  <c r="J47" i="1"/>
  <c r="K47" i="1" s="1"/>
  <c r="F47" i="1"/>
  <c r="J45" i="1"/>
  <c r="K45" i="1" s="1"/>
  <c r="J44" i="1"/>
  <c r="K44" i="1" s="1"/>
  <c r="J43" i="1"/>
  <c r="K43" i="1" s="1"/>
  <c r="J41" i="1"/>
  <c r="K41" i="1" s="1"/>
  <c r="J40" i="1"/>
  <c r="K40" i="1" s="1"/>
  <c r="F40" i="1"/>
  <c r="J39" i="1"/>
  <c r="K39" i="1" s="1"/>
  <c r="F39" i="1"/>
  <c r="J38" i="1"/>
  <c r="K38" i="1" s="1"/>
  <c r="F38" i="1"/>
  <c r="J34" i="1"/>
  <c r="K34" i="1" s="1"/>
  <c r="F34" i="1"/>
  <c r="H24" i="1"/>
  <c r="I24" i="1" s="1"/>
  <c r="H23" i="1"/>
  <c r="I23" i="1" s="1"/>
  <c r="H22" i="1"/>
  <c r="I22" i="1" s="1"/>
  <c r="H21" i="1"/>
  <c r="I21" i="1" s="1"/>
  <c r="H20" i="1"/>
  <c r="I20" i="1" s="1"/>
  <c r="H19" i="1"/>
  <c r="I19" i="1" s="1"/>
  <c r="H18" i="1"/>
  <c r="I18" i="1" s="1"/>
  <c r="H17" i="1"/>
  <c r="I17" i="1" s="1"/>
  <c r="H16" i="1"/>
  <c r="I16" i="1" s="1"/>
  <c r="H15" i="1"/>
  <c r="I15" i="1" s="1"/>
  <c r="I14" i="1"/>
  <c r="H14" i="1"/>
  <c r="H13" i="1"/>
  <c r="I13" i="1" s="1"/>
  <c r="H12" i="1"/>
  <c r="I12" i="1" s="1"/>
  <c r="H11" i="1"/>
  <c r="I11" i="1" s="1"/>
  <c r="H10" i="1"/>
  <c r="I10" i="1" s="1"/>
  <c r="H9" i="1"/>
  <c r="I9" i="1" s="1"/>
  <c r="H8" i="1"/>
  <c r="I8" i="1" s="1"/>
  <c r="L142" i="1" l="1"/>
  <c r="F143" i="1"/>
  <c r="L58" i="1"/>
  <c r="L60" i="1" s="1"/>
  <c r="F58" i="1"/>
  <c r="J97" i="1"/>
  <c r="B73" i="5"/>
  <c r="F82" i="1"/>
  <c r="K82" i="1" s="1"/>
  <c r="K83" i="1" s="1"/>
  <c r="E244" i="3"/>
  <c r="E245" i="3" s="1"/>
  <c r="E246" i="3" s="1"/>
  <c r="E189" i="3"/>
  <c r="P615" i="3"/>
  <c r="S612" i="3"/>
  <c r="N211" i="3"/>
  <c r="N578" i="3"/>
  <c r="C44" i="4"/>
  <c r="F28" i="4"/>
  <c r="F29" i="4" s="1"/>
  <c r="F30" i="4" s="1"/>
  <c r="F31" i="4" s="1"/>
  <c r="F32" i="4" s="1"/>
  <c r="F33" i="4" s="1"/>
  <c r="F34" i="4" s="1"/>
  <c r="F35" i="4" s="1"/>
  <c r="F36" i="4" s="1"/>
  <c r="F37" i="4" s="1"/>
  <c r="F38" i="4" s="1"/>
  <c r="F39" i="4" s="1"/>
  <c r="N469" i="3"/>
  <c r="N435" i="3"/>
  <c r="F111" i="1"/>
  <c r="F40" i="4" l="1"/>
  <c r="F41" i="4" s="1"/>
  <c r="F42" i="4" s="1"/>
  <c r="E72" i="3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3" i="3" l="1"/>
  <c r="E4" i="3" s="1"/>
  <c r="E5" i="3" s="1"/>
  <c r="E6" i="3" s="1"/>
  <c r="E7" i="3" s="1"/>
  <c r="E8" i="3" s="1"/>
  <c r="E19" i="3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41" i="3"/>
  <c r="E42" i="3" s="1"/>
  <c r="E43" i="3" s="1"/>
  <c r="E44" i="3" s="1"/>
  <c r="E45" i="3" s="1"/>
  <c r="E46" i="3" s="1"/>
  <c r="E47" i="3" s="1"/>
  <c r="E48" i="3" s="1"/>
  <c r="E49" i="3" s="1"/>
  <c r="E50" i="3" s="1"/>
  <c r="E55" i="3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53" i="3"/>
  <c r="E115" i="3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6" i="3"/>
  <c r="E138" i="3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61" i="3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90" i="3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16" i="3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47" i="3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9" i="3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90" i="3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8" i="3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7" i="3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406" i="3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77" i="3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502" i="3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432" i="3" l="1"/>
  <c r="E526" i="3" l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64" i="3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82" i="3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G401" i="3"/>
</calcChain>
</file>

<file path=xl/sharedStrings.xml><?xml version="1.0" encoding="utf-8"?>
<sst xmlns="http://schemas.openxmlformats.org/spreadsheetml/2006/main" count="6689" uniqueCount="2300">
  <si>
    <t xml:space="preserve">SABADOS </t>
  </si>
  <si>
    <t>DOMINGOS</t>
  </si>
  <si>
    <t>MARZO</t>
  </si>
  <si>
    <t>FERIADO</t>
  </si>
  <si>
    <t>ABRIL</t>
  </si>
  <si>
    <t>MAYO</t>
  </si>
  <si>
    <t>JUNIO</t>
  </si>
  <si>
    <t>JULIO</t>
  </si>
  <si>
    <t>AGOSTO</t>
  </si>
  <si>
    <t>SEPT</t>
  </si>
  <si>
    <t>OCT</t>
  </si>
  <si>
    <t xml:space="preserve">SUMA </t>
  </si>
  <si>
    <t>Con Rene Alejandro Rodriguez Lanza</t>
  </si>
  <si>
    <t xml:space="preserve">Trato año 2025 asesoria banda , se quedo en L 20,000.00 por los dias sabados en ensayo mas </t>
  </si>
  <si>
    <t>L10,000.00 por los dias domingos que acompaña en las presentaciones con la OBH .</t>
  </si>
  <si>
    <t>Se pagara de forma mensual, comprendiendon pagos desde marzo a octubre (L 30,000/8= L 3,750.00)</t>
  </si>
  <si>
    <t>Tambien como beneficio adicional se le estara otorgando descuento especial del 25% en las mensualidades</t>
  </si>
  <si>
    <t>de sus hijo Mario Alejandro Rodriguez 1B año 2025.</t>
  </si>
  <si>
    <t>Quedando con el ofrecimiento que en el año que cominece su hija menor la edad escolar , se le otorgara</t>
  </si>
  <si>
    <t>beca escolar en las mismas condiciones de los hijos de maestros docentes del IJCV.</t>
  </si>
  <si>
    <t>Asimismo Rene Alejandro Rodriguez se hara cargo del mantenimiento, orden, limpieza y guardado de</t>
  </si>
  <si>
    <t>los instrumentos de la banda antes de los desfiles y final de año.</t>
  </si>
  <si>
    <t>Fechas de pago ya rralizadas en el año 2025:</t>
  </si>
  <si>
    <t>a traves de transferencia en BAC</t>
  </si>
  <si>
    <t>PEDIDO DE LIBROS A EDITORIALES</t>
  </si>
  <si>
    <t>EDITORIAL ABC MARNY</t>
  </si>
  <si>
    <t>DEVOLUCION</t>
  </si>
  <si>
    <t>A PAGAR</t>
  </si>
  <si>
    <t>COSTO</t>
  </si>
  <si>
    <t>GANANCIA</t>
  </si>
  <si>
    <t>P. VENTA</t>
  </si>
  <si>
    <t>total a pagar</t>
  </si>
  <si>
    <t>MATH</t>
  </si>
  <si>
    <t>1°</t>
  </si>
  <si>
    <t>2°</t>
  </si>
  <si>
    <t>3°</t>
  </si>
  <si>
    <t>4°</t>
  </si>
  <si>
    <t>5°</t>
  </si>
  <si>
    <t>6°</t>
  </si>
  <si>
    <t>Teen 2 teen</t>
  </si>
  <si>
    <t>7°</t>
  </si>
  <si>
    <t>8°</t>
  </si>
  <si>
    <t>9°</t>
  </si>
  <si>
    <t>10° español</t>
  </si>
  <si>
    <t>Phonics All Star</t>
  </si>
  <si>
    <t>Phonics kinder</t>
  </si>
  <si>
    <t>kinder</t>
  </si>
  <si>
    <t>PAGADO</t>
  </si>
  <si>
    <t>EDITORIAL SANTILLANA</t>
  </si>
  <si>
    <t>LIBRO</t>
  </si>
  <si>
    <t>GRADO</t>
  </si>
  <si>
    <t>BILINGÜE</t>
  </si>
  <si>
    <t>ESPAÑOL</t>
  </si>
  <si>
    <t>TOTAL PEDIDO</t>
  </si>
  <si>
    <t>EN DEVOLUCION</t>
  </si>
  <si>
    <t>PACK FLY HIGH ( STUDENT , PRACTICE, MATH,</t>
  </si>
  <si>
    <t>KINDER</t>
  </si>
  <si>
    <t>BOOK)</t>
  </si>
  <si>
    <t>CONECTA KIT</t>
  </si>
  <si>
    <t>COMPRENSION LECTORA A</t>
  </si>
  <si>
    <t>CONECTA</t>
  </si>
  <si>
    <t>Español</t>
  </si>
  <si>
    <t>Flay higher A1+ /SCIENCE</t>
  </si>
  <si>
    <t>Flay higher A2/SCIENCE</t>
  </si>
  <si>
    <t>Flay higher B1/SCIENCE</t>
  </si>
  <si>
    <t>Flay higher B1+/SCIENCE</t>
  </si>
  <si>
    <t>10°</t>
  </si>
  <si>
    <t>Ortografia</t>
  </si>
  <si>
    <t xml:space="preserve">Español </t>
  </si>
  <si>
    <t>Lengua y Literatura</t>
  </si>
  <si>
    <t>11°</t>
  </si>
  <si>
    <t>SUMA LIBROS</t>
  </si>
  <si>
    <t>ADRIAN BARQUERO</t>
  </si>
  <si>
    <t>Libro</t>
  </si>
  <si>
    <t>Grado</t>
  </si>
  <si>
    <t>Cuentos infantiles</t>
  </si>
  <si>
    <t>El gato que le enseño a volar a la gaviota</t>
  </si>
  <si>
    <t>El Principito</t>
  </si>
  <si>
    <t>Cuentos Maravillosos</t>
  </si>
  <si>
    <t>Caballero de la Armadura Oxidada</t>
  </si>
  <si>
    <t xml:space="preserve">Cuentame cuentos catrachos </t>
  </si>
  <si>
    <t>Versos de Honduras</t>
  </si>
  <si>
    <t>Frankenstein</t>
  </si>
  <si>
    <t>Diario de Ana Frank</t>
  </si>
  <si>
    <t>Historias selectas</t>
  </si>
  <si>
    <t>El llanto de las cosas</t>
  </si>
  <si>
    <t>Literatura Estadounidense No 4</t>
  </si>
  <si>
    <t>Quiroga pasado amor</t>
  </si>
  <si>
    <t>La vuelta al mundo en ochenta dias</t>
  </si>
  <si>
    <t>cuenta 21 401 15 66 31 3</t>
  </si>
  <si>
    <t>bco de occidente cuenta de ahooro</t>
  </si>
  <si>
    <t>abono 1 fecha 19/02/2025 transf</t>
  </si>
  <si>
    <t>Adrian Barquero</t>
  </si>
  <si>
    <t>abono 2 fecha  11/04/2025 transfrencia occi</t>
  </si>
  <si>
    <t>EDITORIAL NAVARRO</t>
  </si>
  <si>
    <t xml:space="preserve">A PAGAR </t>
  </si>
  <si>
    <t>Caligrafia Larousse</t>
  </si>
  <si>
    <t>cancelado el 23/04/2025</t>
  </si>
  <si>
    <t>SUMA PEDIDO</t>
  </si>
  <si>
    <t>EDITORIAL FARES</t>
  </si>
  <si>
    <t>Computacion 7°</t>
  </si>
  <si>
    <t>Computacion 8°</t>
  </si>
  <si>
    <t>Informatica 10°</t>
  </si>
  <si>
    <t>Ofimatica</t>
  </si>
  <si>
    <t>10 B</t>
  </si>
  <si>
    <t>**PENDIENTE DE PAGO</t>
  </si>
  <si>
    <t>EDITORIAL DIANA MOYA</t>
  </si>
  <si>
    <t xml:space="preserve">Math </t>
  </si>
  <si>
    <t>Matematicas</t>
  </si>
  <si>
    <t>SUSAETA</t>
  </si>
  <si>
    <t>COSTO AÑO 2025</t>
  </si>
  <si>
    <t>Estudios Sociales</t>
  </si>
  <si>
    <t>EDITORIAL RAMSES</t>
  </si>
  <si>
    <t>probable</t>
  </si>
  <si>
    <t>TOTAL</t>
  </si>
  <si>
    <t xml:space="preserve">a PAGAR </t>
  </si>
  <si>
    <t>Caligrafia</t>
  </si>
  <si>
    <t>saldo</t>
  </si>
  <si>
    <t>EDITORIAL SEMILLA</t>
  </si>
  <si>
    <t>Bilingüe</t>
  </si>
  <si>
    <t>Ciencias Naturales</t>
  </si>
  <si>
    <t>Biologia I y II</t>
  </si>
  <si>
    <t>Quimica I y II</t>
  </si>
  <si>
    <t xml:space="preserve">Psicologia </t>
  </si>
  <si>
    <t>Quimica 11° grado</t>
  </si>
  <si>
    <t>Educaion Ambiental</t>
  </si>
  <si>
    <t>Biologia Humana</t>
  </si>
  <si>
    <t>Fisisca Elemetal 10°</t>
  </si>
  <si>
    <t>Fisica Elemetal 11°</t>
  </si>
  <si>
    <t xml:space="preserve">ESPAÑOL </t>
  </si>
  <si>
    <t>LIBRO DE ADELBIS</t>
  </si>
  <si>
    <t>devolucion</t>
  </si>
  <si>
    <t>a pagar</t>
  </si>
  <si>
    <t>precio costo</t>
  </si>
  <si>
    <t>precio venta</t>
  </si>
  <si>
    <t>Phonics P-K</t>
  </si>
  <si>
    <t>pre kinder</t>
  </si>
  <si>
    <t>Reading Though Phonics</t>
  </si>
  <si>
    <t>RAINIER</t>
  </si>
  <si>
    <t>The Inccredible Shrin King</t>
  </si>
  <si>
    <t>AMCO</t>
  </si>
  <si>
    <t>AÑO 2024</t>
  </si>
  <si>
    <t>AÑO 2025</t>
  </si>
  <si>
    <t>PRESCOLAR</t>
  </si>
  <si>
    <t>PRIMARIA</t>
  </si>
  <si>
    <t>PRECIOS VENTA DE LIBROS PARA EL AÑO 2025</t>
  </si>
  <si>
    <t>7TH GRADE</t>
  </si>
  <si>
    <t>8TH GRADE</t>
  </si>
  <si>
    <t>9TH GRADE</t>
  </si>
  <si>
    <t>10TH GRADE</t>
  </si>
  <si>
    <t>11TH GRADE</t>
  </si>
  <si>
    <t>EDIT SANTILLANA</t>
  </si>
  <si>
    <t>Flay higher A1+</t>
  </si>
  <si>
    <t>Flay higher A2</t>
  </si>
  <si>
    <t>Flay higher B1</t>
  </si>
  <si>
    <t>Flay higher B1+</t>
  </si>
  <si>
    <t>All Science</t>
  </si>
  <si>
    <t>EDICIONES FARES</t>
  </si>
  <si>
    <t>LIC DIANA MOYA</t>
  </si>
  <si>
    <t>EDIT RAMSES</t>
  </si>
  <si>
    <t>7° ESPAÑOL</t>
  </si>
  <si>
    <t>8° ESPAÑOL</t>
  </si>
  <si>
    <t>9° ESPAÑOL</t>
  </si>
  <si>
    <t>10° ESPAÑOL</t>
  </si>
  <si>
    <t>11° ESPAÑOL</t>
  </si>
  <si>
    <t>EDIT ABC</t>
  </si>
  <si>
    <t>EDIT SEMILLA</t>
  </si>
  <si>
    <t>Educacion Ambiental</t>
  </si>
  <si>
    <t>SECUNDARIA ESPAÑOL</t>
  </si>
  <si>
    <t>SECUNDARIA BILINGÜE</t>
  </si>
  <si>
    <t>AREA PRIMARIA</t>
  </si>
  <si>
    <t>FIRST GRADE</t>
  </si>
  <si>
    <t>SECONDO GRADE</t>
  </si>
  <si>
    <t>THIRD GRADE</t>
  </si>
  <si>
    <t>FOURTH GRADE</t>
  </si>
  <si>
    <t>FIFTH GRADE</t>
  </si>
  <si>
    <t>SIXTH GRADE</t>
  </si>
  <si>
    <t>EDIT NAVARRO</t>
  </si>
  <si>
    <t>EDIT RAINIER</t>
  </si>
  <si>
    <t>PLATAFORMA</t>
  </si>
  <si>
    <t>SUMA</t>
  </si>
  <si>
    <t>SANTILLANA</t>
  </si>
  <si>
    <t>PACK FLY HIGH ( STUDENT , PRACTICE, MATH BOOK)</t>
  </si>
  <si>
    <t>LIC. ADELBIS</t>
  </si>
  <si>
    <t>LIC ALEXANDRA GUERRA</t>
  </si>
  <si>
    <t>EDT ABC</t>
  </si>
  <si>
    <t>PHONICS MCP K</t>
  </si>
  <si>
    <t>PRIMERA LISTA DE ENTREGA DE LIBROS, PENDIENTES EN LAS AREAS DE SECUNDARIA LIBRO DE CALIGRAFIA, EDICIONES RAMSES</t>
  </si>
  <si>
    <t>PRE KINDER</t>
  </si>
  <si>
    <t>LIBROS No RECIBO</t>
  </si>
  <si>
    <t>VALOR PAGADO LIBROS</t>
  </si>
  <si>
    <t>ADEUDA SALDO</t>
  </si>
  <si>
    <t>FIRMA DE RECIBIDO</t>
  </si>
  <si>
    <t>FECHA</t>
  </si>
  <si>
    <t>KINDER GRADE A</t>
  </si>
  <si>
    <t>VALENTINA DESIREE LEMUS RODRIGUEZ</t>
  </si>
  <si>
    <t>debe L 1,885.00</t>
  </si>
  <si>
    <t>DESERET HIRONY GARCIA ROMERO</t>
  </si>
  <si>
    <t>FARATH ELIZABETH PANTING CUELLAR</t>
  </si>
  <si>
    <t>debe L 2,385</t>
  </si>
  <si>
    <t>IAN SANTIAGO LAINEZ FLORES</t>
  </si>
  <si>
    <t>KEREN ZIRAEL DURON CERRATO</t>
  </si>
  <si>
    <t>MATTHEW GERARDO SANCHEZ MATAMOROS</t>
  </si>
  <si>
    <t>DAVID ENRIQUE LAGOS MONTOYA</t>
  </si>
  <si>
    <t>THIAGO DAVID GALINDO CRUZ</t>
  </si>
  <si>
    <t>debe L 6,329.00</t>
  </si>
  <si>
    <t>YAKOV ANDRE GOMEZ GARCIA</t>
  </si>
  <si>
    <t>IAN MATEO MONDRAGON CUELLAR</t>
  </si>
  <si>
    <t>AYLIN LISBETH ZEPEDA AVILEZ</t>
  </si>
  <si>
    <t>LUKAS CALEB VALERIANO ORDOÑEZ</t>
  </si>
  <si>
    <t>SECOND GRADE</t>
  </si>
  <si>
    <t>ANDREA SOFIA BARRERA BARAHONA</t>
  </si>
  <si>
    <t>DIEGO ALBERTO MONTOYA DURON</t>
  </si>
  <si>
    <t>*se le debe 2 polos y un buzo</t>
  </si>
  <si>
    <t>ANTHONY SAMUEL SIERRA DURON</t>
  </si>
  <si>
    <t>MARYETH ALEZANDRA ZELAYA BARAHONA</t>
  </si>
  <si>
    <t>NELSON DAVID MATUTE CASCO</t>
  </si>
  <si>
    <t>RUTH DAELI GUERRA CERRATO</t>
  </si>
  <si>
    <t>JEREMY MATEO FUENTES BLANDIN</t>
  </si>
  <si>
    <t>MADISON CHARLOTTE BLANDIN ARCHAGA</t>
  </si>
  <si>
    <t>CARLOS MANUEL ALVARENGA RODRIGUEZ</t>
  </si>
  <si>
    <t>DANNA MAYLEN DURON SOSA</t>
  </si>
  <si>
    <t>ANTHONY SANTIAGO LICONA SANDOVAL</t>
  </si>
  <si>
    <t>DAYELIN VIVIANA GODOY FONSECA</t>
  </si>
  <si>
    <t>saldo L3,835.00</t>
  </si>
  <si>
    <t>DIEGO ANDRE GALINDO CRUZ</t>
  </si>
  <si>
    <t>ANDRE SEBASTIAN GONZALES ORDOÑEZ</t>
  </si>
  <si>
    <t>IKER ALESSANDRO SOLANO ALEMAN</t>
  </si>
  <si>
    <t>KEINER JARED CRUZ QUIROZ</t>
  </si>
  <si>
    <t>CLARIS NATALIA MENA TERUEL</t>
  </si>
  <si>
    <t>AMY GABRIELA AVILA AVILA</t>
  </si>
  <si>
    <t>debe L 6,000.00</t>
  </si>
  <si>
    <t>LUCIANA NOREL MARTINEZ ARGUIJO</t>
  </si>
  <si>
    <t>saldo a favor L 122.00</t>
  </si>
  <si>
    <t>MATHIAS ALESSANDRO GARCIA ROMERO</t>
  </si>
  <si>
    <t>2516 y 2762</t>
  </si>
  <si>
    <t>MILGIAN MARCELA MATAMOROS MERLO</t>
  </si>
  <si>
    <t>RENESMITH SOFIA PANTING CUELLAR</t>
  </si>
  <si>
    <t>debe L 4,613.00</t>
  </si>
  <si>
    <t>SOFIA ISABELLA ZUNIGA RODRIGUEZ</t>
  </si>
  <si>
    <t>ANABELL LOPEZ GUZMAN</t>
  </si>
  <si>
    <t>DANNA CAMILA FLORES CONTRERAS</t>
  </si>
  <si>
    <t>EMMA ALESSANDRA IRAHETA MONTOYA</t>
  </si>
  <si>
    <t>JOSE MATIAS ALONZO MATAMOROS</t>
  </si>
  <si>
    <t>sin libro el principito</t>
  </si>
  <si>
    <t>LUCAS SEBASTIAN CASCO GONZALEZ</t>
  </si>
  <si>
    <t>ROGER YAZIEL MALDONADO ELVIR</t>
  </si>
  <si>
    <t>JEAN PIERRE MEDINA ARRAZOLA</t>
  </si>
  <si>
    <t>ISAAC ALESSANDRO FERRERA RODRIGUEZ</t>
  </si>
  <si>
    <t>JENIFER CAMILA ALVARENGA RODRIGUEZ</t>
  </si>
  <si>
    <t>JOHAN MONSERRAT TORRES ORTIZ</t>
  </si>
  <si>
    <t>LOURDES ALESSANDRA HASBUM SIERRA</t>
  </si>
  <si>
    <t>CAMILA ZOE PASTRANA HERNANDEZ</t>
  </si>
  <si>
    <t>DANNA ISABELLA LAGOS MONTOYA</t>
  </si>
  <si>
    <t>EITAN GEOVANNY RECONCO MEJIA</t>
  </si>
  <si>
    <t>JEREMY GABRIEL VIJIL MARTINEZ</t>
  </si>
  <si>
    <t>KAMILA VANESSA GONZALEZ OSEGUERA</t>
  </si>
  <si>
    <t>MONICA ROCIO RAMIREZ MATAMOROS</t>
  </si>
  <si>
    <t>NEYTHAN SANTIAGO TREJO MALDONADO</t>
  </si>
  <si>
    <t>VALERY ZOE RODRIGUEZ EUCEDA</t>
  </si>
  <si>
    <t>ANDRES DE JESUS ACEITUNO DIAZ</t>
  </si>
  <si>
    <t>ALANY SOFIA VALLADARES LANZA</t>
  </si>
  <si>
    <t>DIEGO ANGELO LOPEZ HERNANDEZ</t>
  </si>
  <si>
    <t>DIEGO LEVI LOPEZ GONZALES</t>
  </si>
  <si>
    <t>JOSE EDUARDO ALVARES CASTILLO</t>
  </si>
  <si>
    <t>ya se entrego paquete</t>
  </si>
  <si>
    <t>JOSEPH SANTIAGO MARTINEZ SANCHEZ</t>
  </si>
  <si>
    <t>VALERY ALESSANDRA FLORES MONCADA</t>
  </si>
  <si>
    <t>AMILCAR BULNES FOX</t>
  </si>
  <si>
    <t>SEVENTH GRADE</t>
  </si>
  <si>
    <t>ANY SOPHIA MEZA FLORES</t>
  </si>
  <si>
    <t>ASHLEY FABIANA RAMIREZ MATAMOROS</t>
  </si>
  <si>
    <t>DAVID GABRIEL FONSECA BARAHONA</t>
  </si>
  <si>
    <t>DIEGO ALESSANDRO LAINEZ FLORES</t>
  </si>
  <si>
    <t>DWIGHT EMILIO LAGOS MONTOYA</t>
  </si>
  <si>
    <t>KEISY FERNANDA MEJIA MOYA</t>
  </si>
  <si>
    <t>CARLOS ISAAC MARTINEZ MENDEZ</t>
  </si>
  <si>
    <t>debe L 2,785.00</t>
  </si>
  <si>
    <t>**tendra fecha de pago cada 15 de mes</t>
  </si>
  <si>
    <t>CESIA MARCELA GONZALEZ BANEGAS</t>
  </si>
  <si>
    <t>EMELY GABRIELA JEREDA RIVERA</t>
  </si>
  <si>
    <t>JOSHUA FABIAN FERRERA RODRIGUEZ</t>
  </si>
  <si>
    <t>EIGTH GRADE</t>
  </si>
  <si>
    <t>GERARDO TORRES ORTIZ</t>
  </si>
  <si>
    <t>JENNIFER DANIELA MATAMOROS UMANZOR</t>
  </si>
  <si>
    <t>KARLA DARIELA MARTINEZ AVILA</t>
  </si>
  <si>
    <t>se le debe 2 camisetas</t>
  </si>
  <si>
    <t>MARIANGEL MICHELL GONZALEZ OSEGUERA</t>
  </si>
  <si>
    <t>MIA ALESSANDRA LOPEZ MATAMOROS</t>
  </si>
  <si>
    <t>ANDREA ABIGAIL FLORES CASCO</t>
  </si>
  <si>
    <t>IVAN EMMANUEL OSEGUERA GARCIA</t>
  </si>
  <si>
    <t>NINETH GRADE</t>
  </si>
  <si>
    <t>EMELY SOFIA FLORES CASCO</t>
  </si>
  <si>
    <t>DEBE L 280.00 DE LIBROS</t>
  </si>
  <si>
    <t xml:space="preserve">MARCELA ABIGAIL BARAHONA FONSECA </t>
  </si>
  <si>
    <t xml:space="preserve">EMILY ELIZABETH BARAHONA MARTINEZ </t>
  </si>
  <si>
    <t>RAFAEL ANTONIO DURAN LOPEZ</t>
  </si>
  <si>
    <t>VALERIA ABIGAIL BARAHONA FONSECA</t>
  </si>
  <si>
    <t>TENTH GRADE</t>
  </si>
  <si>
    <t>ALLISON ESTHER HERRERA RIVERA</t>
  </si>
  <si>
    <t>ANGIE VANESSA LOPEZ SANDOVAL</t>
  </si>
  <si>
    <t>BENJAMIN RUTTY MARTINEZ ARGUIJO</t>
  </si>
  <si>
    <t>CESAR ALEJANDRO SALGADO REYES</t>
  </si>
  <si>
    <t>**SALDO A FAVOR L985.00 ,PARA 2025</t>
  </si>
  <si>
    <t>IRVIN NOE MATAMOROS MERLO</t>
  </si>
  <si>
    <t>KRISTOPHER MANUEL ESCOTO ESPINAL</t>
  </si>
  <si>
    <t>LIZY GABRIELA CORRALES OYUELA</t>
  </si>
  <si>
    <t>VIVIAN VERONICA SOSA DIAZ</t>
  </si>
  <si>
    <t>CHRISTOPHER ALESSANDRO MEDINA ARRAZOLA</t>
  </si>
  <si>
    <t>KARLA ISABELLA ZELAYA IRIAS</t>
  </si>
  <si>
    <t>ELEVENTH GRADE</t>
  </si>
  <si>
    <t>AYELEN ADRIANA OSEGUERA GARCIA</t>
  </si>
  <si>
    <t>CAMILA ZOAD MORENO TORRES</t>
  </si>
  <si>
    <t>Nombre Area 7° ESPAÑOL</t>
  </si>
  <si>
    <t>DANIELA SIGEY CASTILLO SORIANO</t>
  </si>
  <si>
    <t>AUSTIN ARONY ZAMBRANO MALDONADO</t>
  </si>
  <si>
    <t>JEREMIAS UZZIEL CORTES GARCIA</t>
  </si>
  <si>
    <t>MARIA JOSE MONTEZ RODRIGUEZ</t>
  </si>
  <si>
    <t>ZOE ESTHEPHANIA RODRIGUEZ AVILEZ</t>
  </si>
  <si>
    <t>2794 y 2825</t>
  </si>
  <si>
    <t>ASHLEY ARIHANY ZEPEDA AVILEZ</t>
  </si>
  <si>
    <t>OMAR ISAAC AGUILAR CERRATO</t>
  </si>
  <si>
    <t>SARA CAMILA RIVERA</t>
  </si>
  <si>
    <t>Nombre Area 8° ESPAÑOL</t>
  </si>
  <si>
    <t>JUAN MIGUEL CALLEJAS RODRIGUEZ</t>
  </si>
  <si>
    <t>ENOC ISAI VIJIL MARTINEZ</t>
  </si>
  <si>
    <t>Nombre Area 9° grado español</t>
  </si>
  <si>
    <t>MARIO JAVIER ESCOBAR MARTINEZ</t>
  </si>
  <si>
    <t>MAYERLIN SOFIA SIERRA DURON</t>
  </si>
  <si>
    <t>MELANY ALEXANDRA HERRERA NUÑEZ</t>
  </si>
  <si>
    <t>Nombre Area 10° grado español</t>
  </si>
  <si>
    <t>JOSUE ELIAS ALVARES CASTILLO</t>
  </si>
  <si>
    <t>JUAN JOSE CALLEJAS RODRIGUEZ</t>
  </si>
  <si>
    <t>NATALY LOURDES MENDEZ RAMIREZ</t>
  </si>
  <si>
    <t>KENNETH JAFETH ESTRADA RODRIGUEZ</t>
  </si>
  <si>
    <t>Nombre Area 11° grado Español</t>
  </si>
  <si>
    <t>JEREMY ESAU MELENDEZ AGUILUZ</t>
  </si>
  <si>
    <t>RICARDO JOSE MONTOYA CASTRO</t>
  </si>
  <si>
    <t>debe L 55.00</t>
  </si>
  <si>
    <t>DIRECCION DE TRANSP</t>
  </si>
  <si>
    <t>NOV</t>
  </si>
  <si>
    <t>SUMA APORT</t>
  </si>
  <si>
    <t>ALLISON DARIANA VASQUEZ CHAVARRIA</t>
  </si>
  <si>
    <t>ANTHONY SANTIAGO REYES VARELA</t>
  </si>
  <si>
    <t>La Peña por bajo</t>
  </si>
  <si>
    <t>Lomas de toncontin</t>
  </si>
  <si>
    <t>AYLIN DESIREE ESTRADA PAZ</t>
  </si>
  <si>
    <t>San Sebastian</t>
  </si>
  <si>
    <t>COL LA FELICIDAD</t>
  </si>
  <si>
    <t>CINTHIA JACQUELINE ALFARO BUSTILLO</t>
  </si>
  <si>
    <t>ALTOS DE SANTA ROSA</t>
  </si>
  <si>
    <t>CINTHIA PAOLA CALIX QUINTANILLA</t>
  </si>
  <si>
    <t>Hacienda Real</t>
  </si>
  <si>
    <t>DANIEL ARMANDO OLIVERA RAUDALES</t>
  </si>
  <si>
    <t>DEYNER EDUARDO HERNANDEZ CRUZ</t>
  </si>
  <si>
    <t>Villa Foresta</t>
  </si>
  <si>
    <t>DIEGO FRANCISCO MATAMOROS MATAMOROS</t>
  </si>
  <si>
    <t>ALDEA SANTA ROSA</t>
  </si>
  <si>
    <t>FERNANDO JOSE DIAZ OSEGUERA</t>
  </si>
  <si>
    <t>Maria Auxiliadora</t>
  </si>
  <si>
    <t>GENESIS ABIGAIL ALVARADO REYES</t>
  </si>
  <si>
    <t xml:space="preserve">EL MIRADOR </t>
  </si>
  <si>
    <t>GUIDO ESAU OLIVA AVILA**</t>
  </si>
  <si>
    <t>Plaza Loarque</t>
  </si>
  <si>
    <t>JUAN MISAEL ZELAYA PEREZ</t>
  </si>
  <si>
    <t>LAURA ELENA ORDOÑEZ MARTINEZ</t>
  </si>
  <si>
    <t>LEONARDO FRANCISCO AGUERO</t>
  </si>
  <si>
    <t>Hato de en medio</t>
  </si>
  <si>
    <t>LESTER ANDRE GONZALEZ SAUCEDA</t>
  </si>
  <si>
    <t xml:space="preserve">VISTA REAL </t>
  </si>
  <si>
    <t>MARIA JOSE MARTINEZ CORRALES</t>
  </si>
  <si>
    <t>MIA AZUCENA ZELAYA GONZALEZ</t>
  </si>
  <si>
    <t>LAS PALMAS</t>
  </si>
  <si>
    <t>MILTON ANDRES ESTRADA ANGELES</t>
  </si>
  <si>
    <t>Manantial</t>
  </si>
  <si>
    <t>NELLY DANIELA CRUZ CONTRERAS</t>
  </si>
  <si>
    <t>OLGA ALEXANDRA PAVON CASCO</t>
  </si>
  <si>
    <t>OSCAR JAVIER ZELAYA VELASQUEZ</t>
  </si>
  <si>
    <t>PLAZA LOARQUE</t>
  </si>
  <si>
    <t>RICARDO ANTONIO MADRID TORRES</t>
  </si>
  <si>
    <t>XAVIER EMMANUEL ARGUETA MARADIAGA</t>
  </si>
  <si>
    <t>Maria Auxiliadora/PEDREGAL</t>
  </si>
  <si>
    <t>SUB TOTAL</t>
  </si>
  <si>
    <t>ABBY SOFIA ALEMAN GONZALEZ</t>
  </si>
  <si>
    <t>ANA LUCIA CORTES SIU</t>
  </si>
  <si>
    <t>LOS ROBLES</t>
  </si>
  <si>
    <t>ANARELY CHARLIZE CANAHUATI FLORIAN</t>
  </si>
  <si>
    <t>VICTOR ARDON</t>
  </si>
  <si>
    <t>ANARELY CHARLOTTE CANAHUATI FLORIAN</t>
  </si>
  <si>
    <t>ANDRES ARMANDO MOLINA</t>
  </si>
  <si>
    <t>Maria Axiliadora</t>
  </si>
  <si>
    <t>ANGEL GABRIEL CABALLERO ZUNIGA</t>
  </si>
  <si>
    <t>VILLA FORESTA</t>
  </si>
  <si>
    <t>ASHLEY YANIRA OSORTO DURON</t>
  </si>
  <si>
    <t xml:space="preserve">Cruz Roja </t>
  </si>
  <si>
    <t>ASTRID PAMELA CRUZ SIERRA</t>
  </si>
  <si>
    <t>Cruz Roja Col Las Colinas</t>
  </si>
  <si>
    <t>BRITANY ARIADNA VALLADARES MATUS</t>
  </si>
  <si>
    <t>VILLAS LA CONCEPCION</t>
  </si>
  <si>
    <t>CRISTOPHER ALEXANDER GUEVARA GARCIA</t>
  </si>
  <si>
    <t>DERECK JOHAN NUÑEZ BEJARANO</t>
  </si>
  <si>
    <t>EMILY JIREH CACHO RAMIREZ</t>
  </si>
  <si>
    <t>EUNICE MICHELLE CASTEJON PADILLA</t>
  </si>
  <si>
    <t>EVER MIGUEL MUÑOZ SOSA</t>
  </si>
  <si>
    <t>HAROLD DAVID ALEMAN GONZALEZ</t>
  </si>
  <si>
    <t>HILLARY SAMANTHA AMADOR GUZMAN</t>
  </si>
  <si>
    <t>SANTA ANA</t>
  </si>
  <si>
    <t>ALDEA LAS CRUCITAS ZONA SUR</t>
  </si>
  <si>
    <t>JOSETH FABRICIO FLORES AVILA</t>
  </si>
  <si>
    <t>LHIA SYANNE MONDRAGON MARTINEZ</t>
  </si>
  <si>
    <t>HACIENDA REAL</t>
  </si>
  <si>
    <t>MOISES FERNANDO ZELAYA EUCEDA</t>
  </si>
  <si>
    <t>BERNARDO DAZZI/PLAZA LOARQUE</t>
  </si>
  <si>
    <t>NATHALY NICOL ZUNIGA AMADOR</t>
  </si>
  <si>
    <t>LOMAS DEL SUR</t>
  </si>
  <si>
    <t>SADY FRANCISCO MEJIA GONZALEZ</t>
  </si>
  <si>
    <t>VAIOLET NICOLLE GARCIA RODRIGUEZ</t>
  </si>
  <si>
    <t>VALERIA NICOLLE OCHOA SANDOVAL</t>
  </si>
  <si>
    <t>VICTOR LEONEL MEJIA BACA</t>
  </si>
  <si>
    <t>WILLIAM NAHUN MARTINEZ CANALES</t>
  </si>
  <si>
    <t>MARIA AUXILIADORA</t>
  </si>
  <si>
    <t>YOAN ISAU LANZA GODOY</t>
  </si>
  <si>
    <t>TOTAL RECAUDADO</t>
  </si>
  <si>
    <t>GRADE</t>
  </si>
  <si>
    <t>SECCION</t>
  </si>
  <si>
    <t>Identidad</t>
  </si>
  <si>
    <t>Desc</t>
  </si>
  <si>
    <t>Plan de pago</t>
  </si>
  <si>
    <t>DESC EN BUS</t>
  </si>
  <si>
    <t>Coleg 11meses</t>
  </si>
  <si>
    <t>Coleg</t>
  </si>
  <si>
    <t>Mat. Retrasada</t>
  </si>
  <si>
    <t>Total a pagar</t>
  </si>
  <si>
    <t>Valor Matricula</t>
  </si>
  <si>
    <t>Valor Poliza seguro</t>
  </si>
  <si>
    <t>CLASE DE NATACION MES DE MARZO</t>
  </si>
  <si>
    <t>CLASE DE NATACION MES DE ABRIL</t>
  </si>
  <si>
    <t>ENERO</t>
  </si>
  <si>
    <t>FEBRERO</t>
  </si>
  <si>
    <t>DIC</t>
  </si>
  <si>
    <t>desc bus</t>
  </si>
  <si>
    <t>Coleg 10 meses</t>
  </si>
  <si>
    <t>No Recibo Matricula</t>
  </si>
  <si>
    <t>ALEXA BRIGITTE CARBAJAL CRUZ</t>
  </si>
  <si>
    <t>141201912025</t>
  </si>
  <si>
    <t>ANDREW RUBEN VARELA GARCIA</t>
  </si>
  <si>
    <t>0801201914906</t>
  </si>
  <si>
    <t>CADEN JEREMIAH VARELA SIERRA</t>
  </si>
  <si>
    <t>0801201917228</t>
  </si>
  <si>
    <t>2995 Y 3242</t>
  </si>
  <si>
    <t>ELEAZAR ANTONIO LOPEZ RIVERA</t>
  </si>
  <si>
    <t>VILLEDA MORALES</t>
  </si>
  <si>
    <t>0801202006415</t>
  </si>
  <si>
    <t>ELIZABETH NAHOMY VARGAS SUAREZ</t>
  </si>
  <si>
    <t>0801202006627</t>
  </si>
  <si>
    <t>0801201914534</t>
  </si>
  <si>
    <t>2808 Y 3457</t>
  </si>
  <si>
    <t>ISELDA CAMILA LOPEZ ESTRADA</t>
  </si>
  <si>
    <t>RES VILLAS DE CONCEPCION</t>
  </si>
  <si>
    <t>0801201919126</t>
  </si>
  <si>
    <t>KEITAN ANDRE FERRERA</t>
  </si>
  <si>
    <t>0801202005929</t>
  </si>
  <si>
    <t>0801202006692</t>
  </si>
  <si>
    <t>KRISTEL BRIGITTE ORDOÑEZ RIVERA</t>
  </si>
  <si>
    <t>RES HONDURAS</t>
  </si>
  <si>
    <t>0801202008976</t>
  </si>
  <si>
    <t>LUCIA DANIELA ANTUNEZ GOMEZ</t>
  </si>
  <si>
    <t>0801201918101</t>
  </si>
  <si>
    <t>MIA VALENTINA PEREZ AGUILERA</t>
  </si>
  <si>
    <t>0801202011556</t>
  </si>
  <si>
    <t>SARA VALENTINA CASTELLANOS CACERES</t>
  </si>
  <si>
    <t>0801201916504</t>
  </si>
  <si>
    <t>TAMMY AZARETTH LOPEZ CASTELLANOS</t>
  </si>
  <si>
    <t>0822201900129</t>
  </si>
  <si>
    <t>**revisar pago de enero</t>
  </si>
  <si>
    <t>KINDER GRADE B</t>
  </si>
  <si>
    <t>ALEXIA SARAHI LOPEZ LOPEZ</t>
  </si>
  <si>
    <t>0819202000056</t>
  </si>
  <si>
    <t>ANNALIE JOHANY PORTILLO DUARTE</t>
  </si>
  <si>
    <t>LA JOYA</t>
  </si>
  <si>
    <t>0801202013061</t>
  </si>
  <si>
    <t>**debe saldo de marzo</t>
  </si>
  <si>
    <t>0801201917343</t>
  </si>
  <si>
    <t>EMILY NAIARA LOPEZ RIVERA</t>
  </si>
  <si>
    <t>0801202006416</t>
  </si>
  <si>
    <t>EMMA VALENTINA BLANCO BETAONCORTH</t>
  </si>
  <si>
    <t>EMANUEL</t>
  </si>
  <si>
    <t>0801201914388</t>
  </si>
  <si>
    <t>OK LIBROS</t>
  </si>
  <si>
    <t>HALY ALANA ARMAS VALLADARES</t>
  </si>
  <si>
    <t>0801202004120</t>
  </si>
  <si>
    <t>JIMENA RACHEL CASTEJON CASTILLO</t>
  </si>
  <si>
    <t>0801201921568</t>
  </si>
  <si>
    <t>JORGE ALBERTO MEJIA FLORES</t>
  </si>
  <si>
    <t>0801202006164</t>
  </si>
  <si>
    <t>3430 y 3423</t>
  </si>
  <si>
    <t>JULIO ISAAC ZAPATA RIVERA</t>
  </si>
  <si>
    <t>EL PEDREGAL</t>
  </si>
  <si>
    <t>0801202011845</t>
  </si>
  <si>
    <t>NO USARÀ</t>
  </si>
  <si>
    <t>LUCAS ITAI CHAVEZ MERCADO</t>
  </si>
  <si>
    <t>LOARQUE</t>
  </si>
  <si>
    <t>0801201900174</t>
  </si>
  <si>
    <t>3454, 3535</t>
  </si>
  <si>
    <t>0801202007805</t>
  </si>
  <si>
    <t>OSCAR GAEL CERRATO DOMINGUEZ</t>
  </si>
  <si>
    <t>ALDEA LAS CASITAS</t>
  </si>
  <si>
    <t>0801202001148</t>
  </si>
  <si>
    <t>HATO DE EN MEDIO</t>
  </si>
  <si>
    <t>2535, 3022 Y 3050</t>
  </si>
  <si>
    <t>ZOE ELIZABETH NUÑEZ CORRALES</t>
  </si>
  <si>
    <t>0801202002915</t>
  </si>
  <si>
    <t>ZOE MONSERRATH OSORTO DE LA PAZ</t>
  </si>
  <si>
    <t>COL MARIA AUXILIADORA</t>
  </si>
  <si>
    <t>LETRA CONVENIO DE PAGO</t>
  </si>
  <si>
    <t>DANNA ISABELLA MARTINEZ BACA</t>
  </si>
  <si>
    <t>A</t>
  </si>
  <si>
    <t>0801201905866</t>
  </si>
  <si>
    <t>ELIZABETH PAYTON MONDRAGON PAGUAGA</t>
  </si>
  <si>
    <t>IGLESIA CATOLICA</t>
  </si>
  <si>
    <t>0801201902355</t>
  </si>
  <si>
    <t>IKER DANIEL MALDONADO TEJADA</t>
  </si>
  <si>
    <t>0801201816345</t>
  </si>
  <si>
    <t>IKER SEBASTIAN RIVERA MENDOZA</t>
  </si>
  <si>
    <t>0801201901285</t>
  </si>
  <si>
    <t>ISABELLA TOLEDO FIALLOS</t>
  </si>
  <si>
    <t>0801201817941</t>
  </si>
  <si>
    <t>ITZEL ABIGAIL ZAPATA HERNANDEZ</t>
  </si>
  <si>
    <t>COL EMANUEL</t>
  </si>
  <si>
    <t>0801201815701</t>
  </si>
  <si>
    <t>JOSE LUIS JUNIOR VALLADARES MATUS</t>
  </si>
  <si>
    <t>0801201900815</t>
  </si>
  <si>
    <t>JOSUE CALEB ALVAREZ SANTOS</t>
  </si>
  <si>
    <t>0801201811106</t>
  </si>
  <si>
    <t>LIAH SARAI CABALLERO SANTOS</t>
  </si>
  <si>
    <t>0801201900377</t>
  </si>
  <si>
    <t>solo llevo AMCO y phonics</t>
  </si>
  <si>
    <t>MARCO JOSE REYES VARELA</t>
  </si>
  <si>
    <t>LA PEÑA</t>
  </si>
  <si>
    <t>0801201811642</t>
  </si>
  <si>
    <t>debe L 3896</t>
  </si>
  <si>
    <t>MELANIE YESSENIA PAVON DURON</t>
  </si>
  <si>
    <t>0801201907014</t>
  </si>
  <si>
    <t>SANTA CRISTINA</t>
  </si>
  <si>
    <t>0801201022663</t>
  </si>
  <si>
    <t>0801201812871</t>
  </si>
  <si>
    <t>ZUAR SADRAC BETANCO URBINA</t>
  </si>
  <si>
    <t>LAS COLINAS</t>
  </si>
  <si>
    <t>0704201800980</t>
  </si>
  <si>
    <t>Jose Cecilio Del Valle</t>
  </si>
  <si>
    <t>1ST A</t>
  </si>
  <si>
    <t>0801202512345</t>
  </si>
  <si>
    <t>ALEXIS LEONARDO PAGUADA VARGAS</t>
  </si>
  <si>
    <t>B</t>
  </si>
  <si>
    <t>ALTOS DE LOARQUE</t>
  </si>
  <si>
    <t>0801201903870</t>
  </si>
  <si>
    <t>ALLAN DAVID POLANCO ANDINO</t>
  </si>
  <si>
    <t>0801201818339</t>
  </si>
  <si>
    <t>LOMAS DE GERMANIA</t>
  </si>
  <si>
    <t>0801201900867</t>
  </si>
  <si>
    <t>CONFIRMAR EL PAGO DE MARZO TRANSF 25/02/2025</t>
  </si>
  <si>
    <t>BIANCA JAZMIN HENRRIQUEZ GUTIERREZ</t>
  </si>
  <si>
    <t>0801201914693</t>
  </si>
  <si>
    <t>0801201910086</t>
  </si>
  <si>
    <t>DAYRA JHAZLYN UCLES ARGUETA</t>
  </si>
  <si>
    <t>0801201903039</t>
  </si>
  <si>
    <t>EMANUEL ANTONIO GALDAMEZ SANTOS</t>
  </si>
  <si>
    <t>0801201803340</t>
  </si>
  <si>
    <t>0801201821536</t>
  </si>
  <si>
    <t>LIAM GAEL HERNANDEZ LOPEZ</t>
  </si>
  <si>
    <t>0801201820396</t>
  </si>
  <si>
    <t>COL ALTOS DE LOARQUE/CANCHITAS LOARQUE</t>
  </si>
  <si>
    <t>No 8745 6627 Daniela Nuñez</t>
  </si>
  <si>
    <t>0801201819589</t>
  </si>
  <si>
    <t>MARIO ALEJANDRO RODRIGUEZ LOPEZ</t>
  </si>
  <si>
    <t>MANANTIAL</t>
  </si>
  <si>
    <t>0801201905458</t>
  </si>
  <si>
    <t>3473 3548</t>
  </si>
  <si>
    <t>MARY ALANA ARGUETA MARADIAGA</t>
  </si>
  <si>
    <t>0801201902247</t>
  </si>
  <si>
    <t>MATIAS ANDREE ORDOÑEZ AYALA</t>
  </si>
  <si>
    <t>KENNEDY</t>
  </si>
  <si>
    <t>0801201901486</t>
  </si>
  <si>
    <t>SOFIA ALESSANDRA CORRALES OYUELA</t>
  </si>
  <si>
    <t>0801201812375</t>
  </si>
  <si>
    <t>SECOND GRADE A</t>
  </si>
  <si>
    <t>BUS</t>
  </si>
  <si>
    <t>AISHAM ARANTZA MURILLO SOTO</t>
  </si>
  <si>
    <t>0801201720716</t>
  </si>
  <si>
    <t>ANDERSON GAEL VASQUEZ CHAVARRIA</t>
  </si>
  <si>
    <t>0801201720316</t>
  </si>
  <si>
    <t>DEBE L 5,745.00</t>
  </si>
  <si>
    <t>CALEB DUAN CRUZ PINEDA</t>
  </si>
  <si>
    <t>0801201720142</t>
  </si>
  <si>
    <t>DENILSON JAVID AVILA GODOY</t>
  </si>
  <si>
    <t>GERMANIA</t>
  </si>
  <si>
    <t>0801201720758</t>
  </si>
  <si>
    <t>EDWIN MATEO FONSECA COREA</t>
  </si>
  <si>
    <t>0801201622009</t>
  </si>
  <si>
    <t>SIN CONECTA Y LECTURA</t>
  </si>
  <si>
    <t>EMMA GISELLE RAMIREZ CERNA, familia de Xochil</t>
  </si>
  <si>
    <t>0801201810399</t>
  </si>
  <si>
    <t>HANNA VALENTINA PONCE GALO</t>
  </si>
  <si>
    <t>0801201810992</t>
  </si>
  <si>
    <t>JOSE CARLOS AGUILAR RAUDALES</t>
  </si>
  <si>
    <t>0703201801669</t>
  </si>
  <si>
    <t>LIAM OBED PARADA BARAHONA</t>
  </si>
  <si>
    <t>0801201717949</t>
  </si>
  <si>
    <t>LUNA CELESTE VALLEJO ARRIAGA</t>
  </si>
  <si>
    <t>LA FUENTE</t>
  </si>
  <si>
    <t>0801201709851</t>
  </si>
  <si>
    <t>desc AMCO y español</t>
  </si>
  <si>
    <t>0801201811128</t>
  </si>
  <si>
    <t>MATEO ALESSANDRO RUIZ GARCIA</t>
  </si>
  <si>
    <t>DORA DE ASFURA</t>
  </si>
  <si>
    <t>0801201716668</t>
  </si>
  <si>
    <t>SARIA ALEJANDRA CACERES FERNANDEZ</t>
  </si>
  <si>
    <t>0501201711733</t>
  </si>
  <si>
    <t>3421, 3541</t>
  </si>
  <si>
    <t>THIAGO JACOB ZAMBRANO BOTTO</t>
  </si>
  <si>
    <t>0801201714659</t>
  </si>
  <si>
    <t>**del cobro de mas 14438 9 de mayo se agrega a natacion abril</t>
  </si>
  <si>
    <t>WILDER FABRICIO MARTINEZ BACA</t>
  </si>
  <si>
    <t>0801201801938</t>
  </si>
  <si>
    <t>WILLIAM MANUEL MUNGUIA MARTINEZ</t>
  </si>
  <si>
    <t>RES LAS MARGARITAS</t>
  </si>
  <si>
    <t>0801201815951</t>
  </si>
  <si>
    <t>SECOND GRADE B</t>
  </si>
  <si>
    <t xml:space="preserve">ADRIANA CAMILA O´CONNOR BONILLA </t>
  </si>
  <si>
    <t>0801201808312</t>
  </si>
  <si>
    <t>0801201714825</t>
  </si>
  <si>
    <t>CAMILA ELIZABETH MADRID GARCIA</t>
  </si>
  <si>
    <t>DEBE L 6,335.00</t>
  </si>
  <si>
    <t>CAMILA VICTORIA PEREZ ESPINAL</t>
  </si>
  <si>
    <t>0801201806527</t>
  </si>
  <si>
    <t>DANIELLE ASHIRA GUTIERREZ AGUILERA</t>
  </si>
  <si>
    <t>0801201721500</t>
  </si>
  <si>
    <t>LOMAS DE TONCONTIN</t>
  </si>
  <si>
    <t>0801201714577</t>
  </si>
  <si>
    <t>DYLAN SANTIAGO RAMIREZ MELENDEZ</t>
  </si>
  <si>
    <t>0801201721264</t>
  </si>
  <si>
    <t>ETHAN ARIEL VILLANUEVA BARAHONA</t>
  </si>
  <si>
    <t>SANTA CLARA</t>
  </si>
  <si>
    <t>0801201714913</t>
  </si>
  <si>
    <t>3066, 3542</t>
  </si>
  <si>
    <t>KYLIE HANNALY CARRANZA GARCIA</t>
  </si>
  <si>
    <t>0801201806971</t>
  </si>
  <si>
    <t>LYAN GADIEL FLORES VARELA</t>
  </si>
  <si>
    <t>3449, 3540</t>
  </si>
  <si>
    <t>MATIAS CALEB NUÑEZ BUSTILLO</t>
  </si>
  <si>
    <t>COMAYAGUELA</t>
  </si>
  <si>
    <t>0801201807725</t>
  </si>
  <si>
    <t>MELANY ARIANA CASCO LAGOS</t>
  </si>
  <si>
    <t>0801201717371</t>
  </si>
  <si>
    <t>0801201713318</t>
  </si>
  <si>
    <t xml:space="preserve">THIAGO JARED PEREZ AGUILERA </t>
  </si>
  <si>
    <t>0801201805404</t>
  </si>
  <si>
    <t>AINHOA MARCELA MATAMOROS GODOY</t>
  </si>
  <si>
    <t>0801201705044</t>
  </si>
  <si>
    <t>DEBE L 520.00 DE CHUMPA</t>
  </si>
  <si>
    <t xml:space="preserve"> </t>
  </si>
  <si>
    <t>0801201709093</t>
  </si>
  <si>
    <t>ASHLIE ABIGAIL ZAMBRANO BACA</t>
  </si>
  <si>
    <t>Reyniel Funez</t>
  </si>
  <si>
    <t>0801201702489</t>
  </si>
  <si>
    <t>CAMILA ABIGAIL MARTINEZ ROMERO</t>
  </si>
  <si>
    <t>0801201708592</t>
  </si>
  <si>
    <t>2943 y 3186</t>
  </si>
  <si>
    <t>CHRISTOPHER ARIEL AVILA VASQUEZ</t>
  </si>
  <si>
    <t>0822201700113</t>
  </si>
  <si>
    <t>CRISTHOPHER RONALDO AVILA VARELA</t>
  </si>
  <si>
    <t>0801201706264</t>
  </si>
  <si>
    <t>pendiente entrega de polo</t>
  </si>
  <si>
    <t>SAN JOSE DEL PEDREGAL</t>
  </si>
  <si>
    <t>0801201621514</t>
  </si>
  <si>
    <t>DANIEL ANTONIO CARCAMO ZAVALA</t>
  </si>
  <si>
    <t>SAN JOSE DE LOARQUE</t>
  </si>
  <si>
    <t>0801201716416</t>
  </si>
  <si>
    <t>0801201619466</t>
  </si>
  <si>
    <t>saldo L2,435.00</t>
  </si>
  <si>
    <t>0801201616896</t>
  </si>
  <si>
    <t>EDWARD ANDRE HASBUM LANZA</t>
  </si>
  <si>
    <t>0801201708961</t>
  </si>
  <si>
    <t>debo 2 polos talla 12</t>
  </si>
  <si>
    <t>EMERSON ALESSANDRO CRUZ VALLADARES</t>
  </si>
  <si>
    <t>0801201612829</t>
  </si>
  <si>
    <t>GENESIS GABRIELA EVERESTT CORTEZ</t>
  </si>
  <si>
    <t>0801201705723</t>
  </si>
  <si>
    <t>*debee L48.00</t>
  </si>
  <si>
    <t>0317201700050</t>
  </si>
  <si>
    <t>KATHERINE ANDREA DAVILA FLORES</t>
  </si>
  <si>
    <t>EMMANUEL</t>
  </si>
  <si>
    <t>0801201703347</t>
  </si>
  <si>
    <t>ok libros transf</t>
  </si>
  <si>
    <t>MATIAS GABRIEL REYES MONTALVAN</t>
  </si>
  <si>
    <t>0801201712530</t>
  </si>
  <si>
    <t>3001 y 3014</t>
  </si>
  <si>
    <t>MIA FERNANDA MATAMOROS MARTINEZ</t>
  </si>
  <si>
    <t>0801201608691</t>
  </si>
  <si>
    <t xml:space="preserve">RUTH ABIGAIL LOPEZ PAZ </t>
  </si>
  <si>
    <t>0801201703316</t>
  </si>
  <si>
    <t>THIAGO JOSUE TORRES GONZALEZ</t>
  </si>
  <si>
    <t>VEGA/ CALPULES</t>
  </si>
  <si>
    <t>0801201705666</t>
  </si>
  <si>
    <t>VALERIE ALEXANDRA GODOY FLORES</t>
  </si>
  <si>
    <t>0801201702730</t>
  </si>
  <si>
    <t>ZOE MONTSERRAT ZUNIGA VASQUEZ</t>
  </si>
  <si>
    <t>0801201709113</t>
  </si>
  <si>
    <t>0312201700062</t>
  </si>
  <si>
    <t>ANGEL ALBERTO VILLANUEVA GOMEZ</t>
  </si>
  <si>
    <t>0801201702712</t>
  </si>
  <si>
    <t>saldo a pagar L 2,873.00</t>
  </si>
  <si>
    <t>ANTHONY DAVID MENDEZ DURON</t>
  </si>
  <si>
    <t>0801201713721</t>
  </si>
  <si>
    <t>2635 y 2922</t>
  </si>
  <si>
    <t>ASHLEY ANETTE RUIZ MARTINEZ</t>
  </si>
  <si>
    <t>Maria Auxiliadira</t>
  </si>
  <si>
    <t>0801201617504</t>
  </si>
  <si>
    <t>AXEL DANIEL GODOY FONSECA</t>
  </si>
  <si>
    <t>0801201622244</t>
  </si>
  <si>
    <t>CHRISTOPHER JAVIER AGUILAR RAUDALES</t>
  </si>
  <si>
    <t>0703201700809</t>
  </si>
  <si>
    <t>s/recibo 14448 debe L 392.30 del mes de abril</t>
  </si>
  <si>
    <t>DAVID ISAAC HERNANDEZ REYES</t>
  </si>
  <si>
    <t>0801201701140</t>
  </si>
  <si>
    <t>DOMINICK MARTIN AMADOR ZELAYA</t>
  </si>
  <si>
    <t>TIZATILLO</t>
  </si>
  <si>
    <t>0822201700045</t>
  </si>
  <si>
    <t>DYLAN ALESSANDRO VIERA BAQUEDANO</t>
  </si>
  <si>
    <t>0801201613656</t>
  </si>
  <si>
    <t>3072 , 3161 Y 3235</t>
  </si>
  <si>
    <t>FAUSTO ADAIR ACOSTA PINEDA</t>
  </si>
  <si>
    <t>0801201618666</t>
  </si>
  <si>
    <t>3518, 3518, 3545</t>
  </si>
  <si>
    <t>saldo a pagar L 1,990.00</t>
  </si>
  <si>
    <t>GIMENA SUZANNE MORAZAN FUNEZ</t>
  </si>
  <si>
    <t>Altos del trapiche</t>
  </si>
  <si>
    <t>0801201706634</t>
  </si>
  <si>
    <t>ISABELLA CAMIL ARGUETA AGUILAR</t>
  </si>
  <si>
    <t>0801201618392</t>
  </si>
  <si>
    <t>JEHYLIN SOAP BARAHONA CRUZ</t>
  </si>
  <si>
    <t>0801201611236</t>
  </si>
  <si>
    <t>JORGE YASCIEL CARDENAS SIERRA</t>
  </si>
  <si>
    <t>ALDEA LAS POSAS</t>
  </si>
  <si>
    <t>0801201620431</t>
  </si>
  <si>
    <t>Las Palmas</t>
  </si>
  <si>
    <t>0801201620335</t>
  </si>
  <si>
    <t>KRISTELL ARLETH MARTINEZ TURCIOS</t>
  </si>
  <si>
    <t>FLOR DEL CAMPO</t>
  </si>
  <si>
    <t>0801201701942</t>
  </si>
  <si>
    <t>MIA CATTLEYA AMADOR CRUZ</t>
  </si>
  <si>
    <t>0801201711618</t>
  </si>
  <si>
    <t>OMAR SANTIAGO LAGOS CRUZ</t>
  </si>
  <si>
    <t>0822201600243</t>
  </si>
  <si>
    <t>debo camisa polo 12</t>
  </si>
  <si>
    <t>SOAD ISABELLA CERRATO DOMINGUEZ</t>
  </si>
  <si>
    <t>LAS CASITAS</t>
  </si>
  <si>
    <t>0801201701818</t>
  </si>
  <si>
    <t>VICTORIA SOFIA ORDOÑEZ BONILLA</t>
  </si>
  <si>
    <t>0801201618195</t>
  </si>
  <si>
    <t>ZOE VALENTINA GARCIA PEREZ</t>
  </si>
  <si>
    <t>0801201621011</t>
  </si>
  <si>
    <t>FOURTH GRADE A</t>
  </si>
  <si>
    <t>ABDEL SANTIAGO VELASQUEZ CRUZ</t>
  </si>
  <si>
    <t>Posta de Loarque</t>
  </si>
  <si>
    <t>0801201511299</t>
  </si>
  <si>
    <t>0801201521845</t>
  </si>
  <si>
    <t>ANDRES ROBERTO DIAZ ORTEGA</t>
  </si>
  <si>
    <t>0801201609415</t>
  </si>
  <si>
    <t>ARIANNA IXSHEL MERCADO LOPEZ</t>
  </si>
  <si>
    <t>0801201517769</t>
  </si>
  <si>
    <t>ASHLEY CAROLINA GALDAMEZ SANTOS</t>
  </si>
  <si>
    <t>0801201521405</t>
  </si>
  <si>
    <t>CARLOS MIGUEL HERNANDEZ PEREZ</t>
  </si>
  <si>
    <t>0801201522589</t>
  </si>
  <si>
    <t>0801201608355</t>
  </si>
  <si>
    <t>DAREYLI SOFIA CARCAMO HERNANDEZ</t>
  </si>
  <si>
    <t>0101201403762</t>
  </si>
  <si>
    <t>0801201611592</t>
  </si>
  <si>
    <t>FREDDY SAMUEL ARGUETA CASTILLO</t>
  </si>
  <si>
    <t>0801201513798</t>
  </si>
  <si>
    <t>IAN SANTIAGO ANDINO TORRES</t>
  </si>
  <si>
    <t>Pradera/ San Francisco</t>
  </si>
  <si>
    <t>0801201516558</t>
  </si>
  <si>
    <t>3210 Y 3484</t>
  </si>
  <si>
    <t>debe L 2,213.00</t>
  </si>
  <si>
    <t>El Sauce</t>
  </si>
  <si>
    <t>0801201602624</t>
  </si>
  <si>
    <t>0801201615793</t>
  </si>
  <si>
    <t>KRISTEL CASTELLANOS CACERES</t>
  </si>
  <si>
    <t>0801201603891</t>
  </si>
  <si>
    <t xml:space="preserve">  </t>
  </si>
  <si>
    <t>0801201602104</t>
  </si>
  <si>
    <t>MADELYN ALEXIA ESPINAL MARTINEZ</t>
  </si>
  <si>
    <t>0801201613468</t>
  </si>
  <si>
    <t>MATTEO FERNANDO VIERA RODRIGUEZ</t>
  </si>
  <si>
    <t>0801201612058</t>
  </si>
  <si>
    <t>MELYIN ESTHER ROMERO ZELAYA</t>
  </si>
  <si>
    <t>Villa Adela</t>
  </si>
  <si>
    <t>0801201605594</t>
  </si>
  <si>
    <t>ok</t>
  </si>
  <si>
    <t>MOISES ALESSANDRO CORRALES AVILEZ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</si>
  <si>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</si>
  <si>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0801201514617</t>
  </si>
  <si>
    <t>MONICA SOFIA ROSALES MEJIA</t>
  </si>
  <si>
    <t>0822201600022</t>
  </si>
  <si>
    <t>0801201610546</t>
  </si>
  <si>
    <t>SEBASTIAN JADIEL SUAZO GARCIA</t>
  </si>
  <si>
    <t>0801201602268</t>
  </si>
  <si>
    <t>0801201516102</t>
  </si>
  <si>
    <t>FOURTH GRADE B</t>
  </si>
  <si>
    <t>ADRIANA SOPHIA DOMINGUEZ TORRES</t>
  </si>
  <si>
    <t>BARRIO KENNEDY,FRENTE BLV FUERZAS ARMADAS</t>
  </si>
  <si>
    <t>0801201601447</t>
  </si>
  <si>
    <t>ALIZZTH ISABELLA GALINDO VELASQUEZ</t>
  </si>
  <si>
    <t>0801201603016</t>
  </si>
  <si>
    <t>0822201600237</t>
  </si>
  <si>
    <t>2729 , 3211,3525</t>
  </si>
  <si>
    <t>CAMILA ALEJANDRA DOMINGUEZ CABAÑAS</t>
  </si>
  <si>
    <t>JARDINES DE LOARQUE</t>
  </si>
  <si>
    <t>0801201602679</t>
  </si>
  <si>
    <t>CAMILA VALERIA FONSECA AMADOR</t>
  </si>
  <si>
    <t>0801201607050</t>
  </si>
  <si>
    <t>EMILY VALENTINA DIAZ OSEGUERA</t>
  </si>
  <si>
    <t>0801201605905</t>
  </si>
  <si>
    <t>3468, 3544</t>
  </si>
  <si>
    <t>ETHAN GADIEL GUTIERREZ AGUILERA</t>
  </si>
  <si>
    <t>debe L 2,313</t>
  </si>
  <si>
    <t>JHANELLY YELITZA ARZU BENNETT</t>
  </si>
  <si>
    <t>0801201518414</t>
  </si>
  <si>
    <t>DEBE L3,053.00</t>
  </si>
  <si>
    <t>JOSE ROBERTO DIAZ ORTEGA</t>
  </si>
  <si>
    <t>0801201609416</t>
  </si>
  <si>
    <t>JOSHUA NAVID MARTINEZ LAGOS</t>
  </si>
  <si>
    <t>COL AMERICA</t>
  </si>
  <si>
    <t>0801201602731</t>
  </si>
  <si>
    <t>LUCIA CAMILA AMADOR VARELA</t>
  </si>
  <si>
    <t>Santa Cruz</t>
  </si>
  <si>
    <t>0801201520243</t>
  </si>
  <si>
    <t>0822201500139</t>
  </si>
  <si>
    <t>LUIS MANUEL BARRERA REYES</t>
  </si>
  <si>
    <t>0801201410723</t>
  </si>
  <si>
    <t>LUIS MATEO HERNANDEZ RODRIGUEZ</t>
  </si>
  <si>
    <t>Hato de En medio</t>
  </si>
  <si>
    <t>0801201512134</t>
  </si>
  <si>
    <t>debe L 2,713.00</t>
  </si>
  <si>
    <t>Altos de Santa Rosa</t>
  </si>
  <si>
    <t>0801201515641</t>
  </si>
  <si>
    <t>0710201600012</t>
  </si>
  <si>
    <t>NAHOMI VALENTINA MONCADA ROSALES</t>
  </si>
  <si>
    <t>Tizatillo</t>
  </si>
  <si>
    <t>0822201500225</t>
  </si>
  <si>
    <t>PABLO KERIM ELVIR ORDOÑEZ</t>
  </si>
  <si>
    <t>Altos de Loarque/ Mimbres</t>
  </si>
  <si>
    <t>0801201604843</t>
  </si>
  <si>
    <t>debe L 3,683.00</t>
  </si>
  <si>
    <t>0801201521868</t>
  </si>
  <si>
    <t>debe L 1,998.00</t>
  </si>
  <si>
    <t>SANTIAGO DAVID GOMEZ COELLO</t>
  </si>
  <si>
    <t>CALPULES</t>
  </si>
  <si>
    <t>0801201520176</t>
  </si>
  <si>
    <t>VALERIE SOPHIA SANCHEZ SIERRA</t>
  </si>
  <si>
    <t>0801201606279</t>
  </si>
  <si>
    <t>VALERY SOED TORRES HERNANDEZ</t>
  </si>
  <si>
    <t>0801201612417</t>
  </si>
  <si>
    <t>FIFTH GRADE A</t>
  </si>
  <si>
    <t>ANGEL GABRIEL ZELAYA GONZALEZ</t>
  </si>
  <si>
    <t>0801201420895</t>
  </si>
  <si>
    <t>solo pagó AMNCO y español</t>
  </si>
  <si>
    <t>AXEL GABRIEL CASTEJON CASTILLO</t>
  </si>
  <si>
    <t>0801201516007</t>
  </si>
  <si>
    <t>TILOARQUE</t>
  </si>
  <si>
    <t>0801201422516</t>
  </si>
  <si>
    <t>0801201507514</t>
  </si>
  <si>
    <t>0801201312989</t>
  </si>
  <si>
    <t>EMELY PAOLA VELASQUEZ RODRIGUEZ</t>
  </si>
  <si>
    <t>0801201503927</t>
  </si>
  <si>
    <t>ISAAC ALEJANDRO FONSECA MALDONADO</t>
  </si>
  <si>
    <t>Calpules</t>
  </si>
  <si>
    <t>0801201500705</t>
  </si>
  <si>
    <t>0801201509408</t>
  </si>
  <si>
    <t>0801201510338</t>
  </si>
  <si>
    <t>JOHANY ALEJANDRA CERRATO DOMINGUEZ</t>
  </si>
  <si>
    <t>0801201501710</t>
  </si>
  <si>
    <t>JOSE RICARDO SOTO LANZA</t>
  </si>
  <si>
    <t>Aldea Santa Rosa</t>
  </si>
  <si>
    <t>0801201512494</t>
  </si>
  <si>
    <t>0801201418223</t>
  </si>
  <si>
    <t>MARIA FERNANDA ESPINAL PASTRANA</t>
  </si>
  <si>
    <t>Torocagua</t>
  </si>
  <si>
    <t>0801201418116</t>
  </si>
  <si>
    <t>Maria Cristina</t>
  </si>
  <si>
    <t>0801201423641</t>
  </si>
  <si>
    <t>NAHOMY MONTSERRATH MENDOZA ALONZO</t>
  </si>
  <si>
    <t>RES VILLAS LA CONCEPCION</t>
  </si>
  <si>
    <t>0801201501261</t>
  </si>
  <si>
    <t>pagara bus mes a mes</t>
  </si>
  <si>
    <t>0801201421240</t>
  </si>
  <si>
    <t>RONY LIZANDRO BOJORQUE VASQUEZ</t>
  </si>
  <si>
    <t>0801201425394</t>
  </si>
  <si>
    <t xml:space="preserve">RUBI DENISSE EUCEDA BARRIENTOS </t>
  </si>
  <si>
    <t>ALDEA LOS JUTES</t>
  </si>
  <si>
    <t>0801201501260</t>
  </si>
  <si>
    <t>THIAGO SEBASTIAN CRUZ GUTIERREZ</t>
  </si>
  <si>
    <t>Palma Real</t>
  </si>
  <si>
    <t>0801201412064</t>
  </si>
  <si>
    <t>0801201518035</t>
  </si>
  <si>
    <t>VIOLETA SOFIA GUTIERREZ VILLANUEVA</t>
  </si>
  <si>
    <t>0801201416847</t>
  </si>
  <si>
    <t>FIFTH GRADE B</t>
  </si>
  <si>
    <t>ANA SOFIA GONZALES OSEGUERA</t>
  </si>
  <si>
    <t>0801201506603</t>
  </si>
  <si>
    <t>ARIANA SOFIA ARITA FIGUEROA</t>
  </si>
  <si>
    <t>Kennedy</t>
  </si>
  <si>
    <t>0801201512106</t>
  </si>
  <si>
    <t>AUSTIN JOSHUA GONZALEZ SAUCEDA</t>
  </si>
  <si>
    <t>Res Concepcion</t>
  </si>
  <si>
    <t>0801201510511</t>
  </si>
  <si>
    <t>h</t>
  </si>
  <si>
    <t>se le debe 1 polo 12 o 14</t>
  </si>
  <si>
    <t>CARLOS HUMBERTO MARTINEZ MATAMOROS</t>
  </si>
  <si>
    <t>0801201415333</t>
  </si>
  <si>
    <t>3070 Y 3248</t>
  </si>
  <si>
    <t>CHRISTOPHER JAFETH LUNA ESPINAL</t>
  </si>
  <si>
    <t>Dora de Asfura</t>
  </si>
  <si>
    <t>0801201510368</t>
  </si>
  <si>
    <t>DANNA CAMILA FLORES CARRANZA</t>
  </si>
  <si>
    <t>0801201501188</t>
  </si>
  <si>
    <t>DAVID FERNANDO VILLANUEVA RODRIGUEZ</t>
  </si>
  <si>
    <t>0801201504527</t>
  </si>
  <si>
    <t>DIEGO ALBERTO UGARTE VELASQUEZ</t>
  </si>
  <si>
    <t>0801201509800</t>
  </si>
  <si>
    <t>DILAN RICARDO SEVILLA HERNANDEZ</t>
  </si>
  <si>
    <t>0801201416477</t>
  </si>
  <si>
    <t>ERICK ALEJANDRO CASTILLO LOPEZ</t>
  </si>
  <si>
    <t>0801201500843</t>
  </si>
  <si>
    <t>FRANCES VALENTINA ZELAYA VELASQUEZ</t>
  </si>
  <si>
    <t>0801201413218</t>
  </si>
  <si>
    <t>HAROLD JOSHUA AGUILAR TORRES</t>
  </si>
  <si>
    <t>0801201510371</t>
  </si>
  <si>
    <t>0801201520587</t>
  </si>
  <si>
    <t>se le debe 1 polo talla 16</t>
  </si>
  <si>
    <t>0801201416365</t>
  </si>
  <si>
    <t>0801201509604</t>
  </si>
  <si>
    <t>MARIAN ANDREA IZAGUIRRE FLORES</t>
  </si>
  <si>
    <t>0801201421106</t>
  </si>
  <si>
    <t>MEGGAN SOPHIA AGUILAR POSO</t>
  </si>
  <si>
    <t>0801201523281</t>
  </si>
  <si>
    <t>RICARDO EMANUEL MORALES OYUELA</t>
  </si>
  <si>
    <t>FRANCISCO MORAZAN</t>
  </si>
  <si>
    <t>0801201917491</t>
  </si>
  <si>
    <t>debe L 3,213.00</t>
  </si>
  <si>
    <t>**debe el bus</t>
  </si>
  <si>
    <t>SAMANTHA ABIGAIL GARCIA MEDINA</t>
  </si>
  <si>
    <t>0801201505098</t>
  </si>
  <si>
    <t>SOAD ALEXANDRA SUAZO GARCIA</t>
  </si>
  <si>
    <t>0801201418278</t>
  </si>
  <si>
    <t>SOPHIA MONSERRAT AGUILAR MEJIA</t>
  </si>
  <si>
    <t>0801201506810</t>
  </si>
  <si>
    <t>VALERY RUBI ALVARADO MATAMOROS</t>
  </si>
  <si>
    <t>0822201500131</t>
  </si>
  <si>
    <t>ID</t>
  </si>
  <si>
    <t>ADRIANA NICOLLE PEREZ ESPINAL</t>
  </si>
  <si>
    <t>0801201313497</t>
  </si>
  <si>
    <t>debo 2 polos talla 14</t>
  </si>
  <si>
    <t>ALESSANDRO JOAN MENDIETA RODEZNO</t>
  </si>
  <si>
    <t>0801201323782</t>
  </si>
  <si>
    <t>AMY ALEJANDRA ALVAREZ ESTRADA</t>
  </si>
  <si>
    <t>0801201407178</t>
  </si>
  <si>
    <t>0801201317106</t>
  </si>
  <si>
    <t>CAMILA SOFIA BLANCO BETANCOURT</t>
  </si>
  <si>
    <t>Emanuel</t>
  </si>
  <si>
    <t>0801201320984</t>
  </si>
  <si>
    <t>CHRISTOPHER JOEL HERNANDEZ ANDINO</t>
  </si>
  <si>
    <t>0801201405178</t>
  </si>
  <si>
    <t>DELMI EIZA VILLALOBOS VALLADARES</t>
  </si>
  <si>
    <t>C24653786</t>
  </si>
  <si>
    <t>LOARQUE SUR</t>
  </si>
  <si>
    <t>0801201316516</t>
  </si>
  <si>
    <t>ERICK DANIEL ROMERO RODRIGUEZ</t>
  </si>
  <si>
    <t>Villeda Morales</t>
  </si>
  <si>
    <t>0801201315118</t>
  </si>
  <si>
    <t>DEBE L 6,213.00</t>
  </si>
  <si>
    <t>DEBE SALDO AÑO 2024 MAS MATRICULA 2025</t>
  </si>
  <si>
    <t>FARES BENJAMIN VALLEJO OSORIO</t>
  </si>
  <si>
    <t>LA PRIMAVERA</t>
  </si>
  <si>
    <t>0801201323785</t>
  </si>
  <si>
    <t>JAHITZA LISIEN LOBO CASTELLANOS</t>
  </si>
  <si>
    <t>NUEVA VIERA, por Villa Olimpica</t>
  </si>
  <si>
    <t>0801201303117</t>
  </si>
  <si>
    <t>JARED ALEXANDER ROMERO OSORTO</t>
  </si>
  <si>
    <t>Res Maria Mercedes</t>
  </si>
  <si>
    <t>0801201323443</t>
  </si>
  <si>
    <t>JOSE DAVID HERNANDEZ ARGUETA</t>
  </si>
  <si>
    <t>0801201319695</t>
  </si>
  <si>
    <t>KATE ATZHIRY ESPINOZA GOMEZ</t>
  </si>
  <si>
    <t>0801201423335</t>
  </si>
  <si>
    <t>MARIA FERNANDA LOPEZ ESPINOZA</t>
  </si>
  <si>
    <t>0801201411864</t>
  </si>
  <si>
    <t>MARIO ENOC VARELA GARCIA</t>
  </si>
  <si>
    <t>0801201215283</t>
  </si>
  <si>
    <t>DEB SALDO 2024 CON EL HERMANO POR L 21,599.12 ultimo recibo 14410 03 mayo</t>
  </si>
  <si>
    <t>NATALIA SOFIA SIERRA GARCIA</t>
  </si>
  <si>
    <t>Santa Cristina</t>
  </si>
  <si>
    <t>0801201406185</t>
  </si>
  <si>
    <t>SANTIAGO NOE DIAZ FLORES</t>
  </si>
  <si>
    <t>SAN JOSE DE LOS LLANOS</t>
  </si>
  <si>
    <t>0822201300165</t>
  </si>
  <si>
    <t>0803201400097</t>
  </si>
  <si>
    <t>MIA JIREH ZUNIGA GARCIA</t>
  </si>
  <si>
    <t>ADRIAN GERARDO ROSALES MEJIA</t>
  </si>
  <si>
    <t>0822201200175</t>
  </si>
  <si>
    <t>0801201324509</t>
  </si>
  <si>
    <t>ALEJANDRA VALENTINA CARIAS GIRON</t>
  </si>
  <si>
    <t>RES ALESSA,calle los Alcaldes</t>
  </si>
  <si>
    <t>0801201321759</t>
  </si>
  <si>
    <t>0506201400729</t>
  </si>
  <si>
    <t>ANDONIE ISAAC ELVIR MÉNDEZ</t>
  </si>
  <si>
    <t>0801201324553</t>
  </si>
  <si>
    <t>ANDREW MIGUEL HERNANDEZ ALVAREZ</t>
  </si>
  <si>
    <t>0801201224642</t>
  </si>
  <si>
    <t>Altos de Toncontin</t>
  </si>
  <si>
    <t>0822201300139</t>
  </si>
  <si>
    <t>EMILY FERNANDA SANDOVAL RIVERA</t>
  </si>
  <si>
    <t>0801201321795</t>
  </si>
  <si>
    <t>EMILY VALENTINA ORELLANA REYES</t>
  </si>
  <si>
    <t>0801201322340</t>
  </si>
  <si>
    <t>ESAU ANTONIO VARELA GARCIA</t>
  </si>
  <si>
    <t>0801201215282</t>
  </si>
  <si>
    <t>IAN JOSE FIGUEROA FLORES</t>
  </si>
  <si>
    <t>0801201410449</t>
  </si>
  <si>
    <t>JOAN ERNESTO PEREZ AGUILERA</t>
  </si>
  <si>
    <t>MIMBRES</t>
  </si>
  <si>
    <t>0801201306050</t>
  </si>
  <si>
    <t>JOSE ABDIEL ZELAYA PEREZ</t>
  </si>
  <si>
    <t>0801201319933</t>
  </si>
  <si>
    <t>1212201400052</t>
  </si>
  <si>
    <t>JOSE NATANAEL CLAROS FLORIAN</t>
  </si>
  <si>
    <t>0801201314635</t>
  </si>
  <si>
    <t>0801201412261</t>
  </si>
  <si>
    <t>***el papa reporta que no fue ni ira  a natacion</t>
  </si>
  <si>
    <t>ROGER EMANUEL CARCAMO ZAVALA</t>
  </si>
  <si>
    <t>San Jose de Loarque</t>
  </si>
  <si>
    <t>0801201304613</t>
  </si>
  <si>
    <t>SANDRA NOHEMI MARTINEZ VELASQUEZ</t>
  </si>
  <si>
    <t>0801201408814</t>
  </si>
  <si>
    <t>debe libros L6,213.00</t>
  </si>
  <si>
    <t>SANTIAGO DAVID MATAMOROS RODAS</t>
  </si>
  <si>
    <t>0801201316503</t>
  </si>
  <si>
    <t>VALERIE SOFIA AVILES LAINEZ</t>
  </si>
  <si>
    <t>0801201411034</t>
  </si>
  <si>
    <t>debe libros L 3,213.00</t>
  </si>
  <si>
    <t>ZOE VALENTINA RIVERA MENDOZA</t>
  </si>
  <si>
    <t>0801201401692</t>
  </si>
  <si>
    <t>SEVENTH GRADE A</t>
  </si>
  <si>
    <t>ANGIE FABIOLA DIAZ HERNANDEZ</t>
  </si>
  <si>
    <t>13330/13464</t>
  </si>
  <si>
    <t>0801201220775</t>
  </si>
  <si>
    <t>Ya pagó matricula 2025 s/ recibo 13109</t>
  </si>
  <si>
    <t>0801201311180</t>
  </si>
  <si>
    <t>BRADLY LEANDRO ESPINAL MARTINEZ</t>
  </si>
  <si>
    <t>0801201305308</t>
  </si>
  <si>
    <t>3044 y 3209</t>
  </si>
  <si>
    <t>debe L1,498.00</t>
  </si>
  <si>
    <t>BRITTANY ESMERALDA LOPEZ ESTRADA</t>
  </si>
  <si>
    <t>Res Villas La Concepcion</t>
  </si>
  <si>
    <t>0801201221722</t>
  </si>
  <si>
    <t>DAVID ALESSANDRO LANDA MEDINA</t>
  </si>
  <si>
    <t>RES LA CAÑADA</t>
  </si>
  <si>
    <t>0801201300262</t>
  </si>
  <si>
    <t>3010 Y 3460</t>
  </si>
  <si>
    <t>saldo de libros L1,205.00</t>
  </si>
  <si>
    <t>0801201309695</t>
  </si>
  <si>
    <t>DIEGO SEBASTIAN GOMEZ COELLO</t>
  </si>
  <si>
    <t>0801201215002</t>
  </si>
  <si>
    <t>0801201303034</t>
  </si>
  <si>
    <t>ELLIOT ROBERTO MATAMOROS MUÑOZ</t>
  </si>
  <si>
    <t>Reyniel Funez entrada</t>
  </si>
  <si>
    <t>0801201308034</t>
  </si>
  <si>
    <t>EMILY SOFIA ANTUNEZ GOMEZ</t>
  </si>
  <si>
    <t>0801201218927</t>
  </si>
  <si>
    <t>3222 y 3495</t>
  </si>
  <si>
    <t>ISABELLA CAROLINA GALO ORDOÑEZ</t>
  </si>
  <si>
    <t>Tiloarque</t>
  </si>
  <si>
    <t>0801201223519</t>
  </si>
  <si>
    <t>JHAZIEL DAVID UCLES RODRIGUEZ</t>
  </si>
  <si>
    <t>0801201211918</t>
  </si>
  <si>
    <t>0801201304942</t>
  </si>
  <si>
    <t>KEVIN ISAAC VALLE ACEITUNO</t>
  </si>
  <si>
    <t>0801201402253</t>
  </si>
  <si>
    <t>LEONARDO JOSE MORAZAN FUNEZ</t>
  </si>
  <si>
    <t>Altos del Trapiche</t>
  </si>
  <si>
    <t>0801201215241</t>
  </si>
  <si>
    <t>LUCIA VALENTINA CASTELLANOS LAINEZ</t>
  </si>
  <si>
    <t>Loarque</t>
  </si>
  <si>
    <t>0801201220523</t>
  </si>
  <si>
    <t>MARIA ALEJANDRA ORDOÑEZ MARTINEZ</t>
  </si>
  <si>
    <t>0801201314492</t>
  </si>
  <si>
    <t>WILLIAMS ALEXANDER GOMEZ CRUZ</t>
  </si>
  <si>
    <t>LAS BRISAS</t>
  </si>
  <si>
    <t>0801201313528</t>
  </si>
  <si>
    <t>SEVENTH GRADE B</t>
  </si>
  <si>
    <t>ANGELES VALERIA SORIANO SAUCEDA</t>
  </si>
  <si>
    <t>0801201311503</t>
  </si>
  <si>
    <t>TRANSF</t>
  </si>
  <si>
    <t>ANGELICA VICTORIA GONZALES OSEGUERA</t>
  </si>
  <si>
    <t>0801201216207</t>
  </si>
  <si>
    <t>ASTRID ABIGAIL BARRERA ZUNIGA</t>
  </si>
  <si>
    <t>Lomas de Toncontin</t>
  </si>
  <si>
    <t>0801201112558</t>
  </si>
  <si>
    <t>** debe saldo abril</t>
  </si>
  <si>
    <t>CARLOS EDGARDO UGARTE VELASQUEZ</t>
  </si>
  <si>
    <t>0801201303095</t>
  </si>
  <si>
    <t>CRUZ ROJA</t>
  </si>
  <si>
    <t>0801201120906</t>
  </si>
  <si>
    <t>2711 3039</t>
  </si>
  <si>
    <t>0801201309768</t>
  </si>
  <si>
    <t>CLAUDIA DANIELA ZELAYA VELASQUEZ</t>
  </si>
  <si>
    <t>0801201217118</t>
  </si>
  <si>
    <t>DANIELA MARIE AGUILAR VILLANUEVA</t>
  </si>
  <si>
    <t>0801201217418</t>
  </si>
  <si>
    <t>**debe del 2024 L 35,825.34 incluye saldo de hmno Angel</t>
  </si>
  <si>
    <t>DARLENY SOFIA ESCOBAR MELENDEZ</t>
  </si>
  <si>
    <t>0801201310031</t>
  </si>
  <si>
    <t>0801201319651</t>
  </si>
  <si>
    <t>0801201300109</t>
  </si>
  <si>
    <t>ERIKA POLETH POLANCO ANDINO</t>
  </si>
  <si>
    <t>0801201312450</t>
  </si>
  <si>
    <t>Ian Andre Avila Cruz</t>
  </si>
  <si>
    <t>PRADERAS DIGNAS</t>
  </si>
  <si>
    <t>0801201221107</t>
  </si>
  <si>
    <t>JAHIR ALEJANDRO MONTOYA NOLASCO</t>
  </si>
  <si>
    <t>0801201319735</t>
  </si>
  <si>
    <t>JIMMY ISAI CABALLERO SANTOS</t>
  </si>
  <si>
    <t>0801201315006</t>
  </si>
  <si>
    <t>debe L4,025.00</t>
  </si>
  <si>
    <t>0801201225823</t>
  </si>
  <si>
    <t>se le debe 2 polos y 2 camisetas</t>
  </si>
  <si>
    <t>KRISTIAN ISAAC LAINEZ CARRANZA</t>
  </si>
  <si>
    <t>0801201308559</t>
  </si>
  <si>
    <t>PABLO JAVIER CARDENAS ESCAMILLA</t>
  </si>
  <si>
    <t>0801201300275</t>
  </si>
  <si>
    <t>SANTIAGO JOSE CARRANZA TROCHEZ</t>
  </si>
  <si>
    <t>0801201306148</t>
  </si>
  <si>
    <t>SARA VALENTINA MEJIA OCHOA</t>
  </si>
  <si>
    <t>MARIA CRISTINA</t>
  </si>
  <si>
    <t>0801201305296</t>
  </si>
  <si>
    <t>EIGTH GRADE A</t>
  </si>
  <si>
    <t>ANNY SOFIA AMADOR VARELA</t>
  </si>
  <si>
    <t>0801201124020</t>
  </si>
  <si>
    <t>ANTHONY SAID ORTIZ FIGUEROA</t>
  </si>
  <si>
    <t>0801201208055</t>
  </si>
  <si>
    <t>AXEL ALEJANDRO MALDONADO TEJADA</t>
  </si>
  <si>
    <t>0801201117594</t>
  </si>
  <si>
    <t>CARLOS ROBERTO ANDERSON JEFFS</t>
  </si>
  <si>
    <t>0801201113518</t>
  </si>
  <si>
    <t>3228Y 3478</t>
  </si>
  <si>
    <t>CESAR FERNANDO LAGOS MONCADA</t>
  </si>
  <si>
    <t>0801201203544</t>
  </si>
  <si>
    <t>ESTER ALEJANDRA CASCO LAGOS</t>
  </si>
  <si>
    <t>0801201203428</t>
  </si>
  <si>
    <t>0801201202868</t>
  </si>
  <si>
    <t>0801201207566</t>
  </si>
  <si>
    <t>JOSE ALEXANDER PEREZ ESPINAL</t>
  </si>
  <si>
    <t>0801201114142</t>
  </si>
  <si>
    <t>JUAN DIEGO NAVARRO ZEPEDA</t>
  </si>
  <si>
    <t>San Angel</t>
  </si>
  <si>
    <t>0508201100523</t>
  </si>
  <si>
    <t>0801201215656</t>
  </si>
  <si>
    <t>0801201018276</t>
  </si>
  <si>
    <t>0801201200141</t>
  </si>
  <si>
    <t>NATALY SOETH VIERA BAQUEDANO</t>
  </si>
  <si>
    <t>0801201203701</t>
  </si>
  <si>
    <t>SANTIAGO SEBASTIAN MENDOZA ALONZO</t>
  </si>
  <si>
    <t>0801201203704</t>
  </si>
  <si>
    <t>DEBE L 738.00</t>
  </si>
  <si>
    <t>**pagara bus mes  mes</t>
  </si>
  <si>
    <t>SARA ISABELLA PORTILLO GOMEZ</t>
  </si>
  <si>
    <t>El Alamo</t>
  </si>
  <si>
    <t>0801201205269</t>
  </si>
  <si>
    <t>SHENAIKA MARISOL BENNETT JEFFRIES</t>
  </si>
  <si>
    <t>0801201313531</t>
  </si>
  <si>
    <t>DEBE L1,100.00</t>
  </si>
  <si>
    <t>WILLIAM OMAR CASTEJON CASTILLO</t>
  </si>
  <si>
    <t>0801201120025</t>
  </si>
  <si>
    <t>DANIEL IZACK ZUNIGA PINEDA</t>
  </si>
  <si>
    <t>INGRESO DE TRASLADO EL 25/04/2025</t>
  </si>
  <si>
    <t>EIGTH GRADE B</t>
  </si>
  <si>
    <t>ABBY GENNETT MONTOYA FLORES</t>
  </si>
  <si>
    <t>0801201016966</t>
  </si>
  <si>
    <t>ALISSON CHARLIZE IRIAS VALDEZ</t>
  </si>
  <si>
    <t>0801201222300</t>
  </si>
  <si>
    <t>0801201211029</t>
  </si>
  <si>
    <t>ARJEN FERNANDO MATAMOROS RODAS</t>
  </si>
  <si>
    <t>0801201114584</t>
  </si>
  <si>
    <t>BYRON ALEJANDRO ALVAREZ ESTRADA</t>
  </si>
  <si>
    <t>0801201110870</t>
  </si>
  <si>
    <t>DANNA ISABELLA ZELAYA ARIAS</t>
  </si>
  <si>
    <t>0801201111294</t>
  </si>
  <si>
    <t>DENI ALICIA AVILA GODOY</t>
  </si>
  <si>
    <t>Germania Carretera</t>
  </si>
  <si>
    <t>0801201201070</t>
  </si>
  <si>
    <t>DENNIS GABRIEL ACOSTA PINEDA</t>
  </si>
  <si>
    <t>Retra LITERATURE</t>
  </si>
  <si>
    <t>0801201114867</t>
  </si>
  <si>
    <t>3483 y 3518</t>
  </si>
  <si>
    <t>ESTIVEN ANDRE RODRIGUEZ SANCHEZ</t>
  </si>
  <si>
    <t>0801201218705</t>
  </si>
  <si>
    <t>GENESIS MARIANA TALAVERA RAMOS</t>
  </si>
  <si>
    <t>0816201100345</t>
  </si>
  <si>
    <t>HENRY JAFETH REYES HERNANDEZ</t>
  </si>
  <si>
    <t>0801201123170</t>
  </si>
  <si>
    <t>0801201112969</t>
  </si>
  <si>
    <t>JOSUE DAVID ALMENDARES LARDI</t>
  </si>
  <si>
    <t>0801201207730</t>
  </si>
  <si>
    <t>LAURA GABRIELA ORTIZ MATAMOROS</t>
  </si>
  <si>
    <t>0801201116705</t>
  </si>
  <si>
    <t>LAURA JULISSA CABAÑAS GIRON</t>
  </si>
  <si>
    <t>0801201210361</t>
  </si>
  <si>
    <t>MIGUEL ANTONIO ZELAYA RODRIGUEZ</t>
  </si>
  <si>
    <t>0801201204379</t>
  </si>
  <si>
    <t>MONIKA MARIE AVILA FLORES</t>
  </si>
  <si>
    <t>0801201207802</t>
  </si>
  <si>
    <t>OSCAR ERNESTO DOMINGUEZ CABAÑAS</t>
  </si>
  <si>
    <t>0801201125923</t>
  </si>
  <si>
    <t>**debe L 10,890.12 ultimo recibo No 14034 27/02/2025</t>
  </si>
  <si>
    <t>SANDY NOHEMI ZELAYA ARIAS</t>
  </si>
  <si>
    <t>0801201117998</t>
  </si>
  <si>
    <t>SEBASTIAN ELIAS GARCIA VASQUEZ</t>
  </si>
  <si>
    <t>La Primavera</t>
  </si>
  <si>
    <t>0801201213580</t>
  </si>
  <si>
    <t>13592 y 13593</t>
  </si>
  <si>
    <t>AARON JOSUE HENRIQUEZ CONTRERAS</t>
  </si>
  <si>
    <t>0801201021466</t>
  </si>
  <si>
    <t>ALEJANDRA JULIETTE MERCADO LOPEZ</t>
  </si>
  <si>
    <t>Maria auxiliadora</t>
  </si>
  <si>
    <t>Retra SOCIAL STUDIES</t>
  </si>
  <si>
    <t>0801201100635</t>
  </si>
  <si>
    <t>ANA ISABELLA SALINAS CACERES</t>
  </si>
  <si>
    <t>0801200920212</t>
  </si>
  <si>
    <t>no libro lectura</t>
  </si>
  <si>
    <t>ARELY ELIZABETH BOJORQUE VASQUEZ</t>
  </si>
  <si>
    <t>0801201016485</t>
  </si>
  <si>
    <t>AXEL ALEJANDRO ALVAREZ CALIX</t>
  </si>
  <si>
    <t>0801201022689</t>
  </si>
  <si>
    <t>CAMILA ALESSANDRA DIAZ VALLADARES</t>
  </si>
  <si>
    <t>0801201020853</t>
  </si>
  <si>
    <t>CAMILA ELIZABETH ORDOÑEZ BONILLA</t>
  </si>
  <si>
    <t>0801201108336</t>
  </si>
  <si>
    <t>CAMILA SOFIA PEREZ ESPINAL</t>
  </si>
  <si>
    <t>0801201106179</t>
  </si>
  <si>
    <t>CECILIA ELOISA ARGUETA MARADIAGA</t>
  </si>
  <si>
    <t>0801201109019</t>
  </si>
  <si>
    <t>CESAR ALEXANDER HERNANDEZ GUERRA</t>
  </si>
  <si>
    <t>0801200913669</t>
  </si>
  <si>
    <t>debe L 2,812.00</t>
  </si>
  <si>
    <t>CHRISTOPHER ANDREE MARTINEZ TREJO</t>
  </si>
  <si>
    <t>COL CALPULES</t>
  </si>
  <si>
    <t>0801201119540</t>
  </si>
  <si>
    <t>DIEGO EMANUEL CARRANZA TROCHEZ</t>
  </si>
  <si>
    <t>0801201105024</t>
  </si>
  <si>
    <t>0801201015149</t>
  </si>
  <si>
    <t>Flor del Campo</t>
  </si>
  <si>
    <t>0801201105829</t>
  </si>
  <si>
    <t>ERICK ADRIAN CABEZAS MATAMOROS</t>
  </si>
  <si>
    <t>0801201022652</t>
  </si>
  <si>
    <t>EUNICE MONZERRAT RODRIGUEZ ARGUIJO</t>
  </si>
  <si>
    <t>0801201106206</t>
  </si>
  <si>
    <t>GABRIEL ALEXANDER MEJIA ESTRADA</t>
  </si>
  <si>
    <t>Retra ENGLISH</t>
  </si>
  <si>
    <t>0801201021166</t>
  </si>
  <si>
    <t>GIA VALENTINA VASQUEZ FLORES</t>
  </si>
  <si>
    <t>0801201100043</t>
  </si>
  <si>
    <t>JESUS ALBERTO VARELA GARCIA</t>
  </si>
  <si>
    <t>Germania</t>
  </si>
  <si>
    <t>0801201020888</t>
  </si>
  <si>
    <t>JUAN DANIEL HERNANDEZ REYES</t>
  </si>
  <si>
    <t>0801201002730</t>
  </si>
  <si>
    <t>KAMILA RASHELL CORDERO RUIZ</t>
  </si>
  <si>
    <t>Col Calpules</t>
  </si>
  <si>
    <t>0801201113777</t>
  </si>
  <si>
    <t>LAUREN ELIZABETH NAVAS ANDINO</t>
  </si>
  <si>
    <t>Retra ESPAÑOL</t>
  </si>
  <si>
    <t>0801201021323</t>
  </si>
  <si>
    <t>0801201013270</t>
  </si>
  <si>
    <t>Las Hadas</t>
  </si>
  <si>
    <t>0801201101775</t>
  </si>
  <si>
    <t>ROBERTO ENRIQUE NAVAS ANDINO</t>
  </si>
  <si>
    <t>0801201201684</t>
  </si>
  <si>
    <t>SAMUEL EMILIO GARCIA ORTEGA</t>
  </si>
  <si>
    <t>0813200900310</t>
  </si>
  <si>
    <t>SEBASTIAN ANDREE HERNANDEZ ORDONEZ</t>
  </si>
  <si>
    <t>0801201022529</t>
  </si>
  <si>
    <t>SUANY POLETHE ROMERO RODRIGUEZ</t>
  </si>
  <si>
    <t>0801201023038</t>
  </si>
  <si>
    <t>DEBE L 295.00 MAS EL DE 6TH</t>
  </si>
  <si>
    <t>0801201013271</t>
  </si>
  <si>
    <t>CHLOE ATHENA COELLO TOSTA</t>
  </si>
  <si>
    <t>**DEBE DE MATRICULA L 1,662.69</t>
  </si>
  <si>
    <t>Emmanuel</t>
  </si>
  <si>
    <t>0801201011991</t>
  </si>
  <si>
    <t>ANDREA LIZETH REYES HERNANDEZ</t>
  </si>
  <si>
    <t>0801201003776</t>
  </si>
  <si>
    <t>0801201007696</t>
  </si>
  <si>
    <t>0822201100004</t>
  </si>
  <si>
    <t>CARLOS LUIS SARMIENTO RIVERA</t>
  </si>
  <si>
    <t>1501200902067</t>
  </si>
  <si>
    <t>0801201023320</t>
  </si>
  <si>
    <t>0803201000119</t>
  </si>
  <si>
    <t xml:space="preserve">CRISTOPHER DAVID CASTILLO GAMERO </t>
  </si>
  <si>
    <t>0704200800828</t>
  </si>
  <si>
    <t>debe L1,450.00</t>
  </si>
  <si>
    <t>DANIEL ISAAC  ALVARADO REYES</t>
  </si>
  <si>
    <t>EL MIRADOR</t>
  </si>
  <si>
    <t>0801200923030</t>
  </si>
  <si>
    <t>DANNA NICOLE MARTINEZ TREJO</t>
  </si>
  <si>
    <t>COLCALPULES</t>
  </si>
  <si>
    <t>DIEGO RAMSES CRUZ PINEDA</t>
  </si>
  <si>
    <t>0801200800828</t>
  </si>
  <si>
    <t>FRANCO ALESSANDRO VASQUEZ FLORES</t>
  </si>
  <si>
    <t>0801200910886</t>
  </si>
  <si>
    <t>**debe de febrero 779.66</t>
  </si>
  <si>
    <t>GARY DANIEL VALLEJO OSORIO</t>
  </si>
  <si>
    <t>0801200916664</t>
  </si>
  <si>
    <t>GUIDO ISAAC OLIVA AVILA</t>
  </si>
  <si>
    <t>Plaza loarque</t>
  </si>
  <si>
    <t>0816201000135</t>
  </si>
  <si>
    <t>0710201000026</t>
  </si>
  <si>
    <t xml:space="preserve">JARVIN JOAN DIAZ HERNANDEZ </t>
  </si>
  <si>
    <t>0101201002281</t>
  </si>
  <si>
    <t>JUAN JOSUE HERNANDEZ REYES</t>
  </si>
  <si>
    <t>0801201002729</t>
  </si>
  <si>
    <t>0801200922394</t>
  </si>
  <si>
    <t>KAROL YARELI IZAGUIRRE FLORES</t>
  </si>
  <si>
    <t>LA CAÑADA</t>
  </si>
  <si>
    <t>0801201318579</t>
  </si>
  <si>
    <t>KATHERINE YANSELY IZAGUIRRE FLORES</t>
  </si>
  <si>
    <t>0801201318578</t>
  </si>
  <si>
    <t>0801201011762</t>
  </si>
  <si>
    <t>LIZY ARIANA MONTOYA NOLASCO</t>
  </si>
  <si>
    <t>0801201010591</t>
  </si>
  <si>
    <t>0801201901435</t>
  </si>
  <si>
    <t>MICHAEL FARID VALLADARES VASQUEZ</t>
  </si>
  <si>
    <t>0801200911184</t>
  </si>
  <si>
    <t>SAIDY JULIETH AGUILAR TORRES</t>
  </si>
  <si>
    <t>0801201016243</t>
  </si>
  <si>
    <t>VALERIA ISABELLA CELIS FLORES</t>
  </si>
  <si>
    <t>0801201001810</t>
  </si>
  <si>
    <t>sin math y español</t>
  </si>
  <si>
    <t>Jesus Aguilar Paz</t>
  </si>
  <si>
    <t>0801200921777</t>
  </si>
  <si>
    <t>**MANTIENE SALDO DEL AÑO 2024</t>
  </si>
  <si>
    <t>0801200918631</t>
  </si>
  <si>
    <t>ok LIBROS</t>
  </si>
  <si>
    <t>DEBE L 1,230.00</t>
  </si>
  <si>
    <t>1701200900814</t>
  </si>
  <si>
    <t>0801200815975</t>
  </si>
  <si>
    <t>0812200908716</t>
  </si>
  <si>
    <t>0801200903482</t>
  </si>
  <si>
    <t>0801200912676</t>
  </si>
  <si>
    <t>se rechazo el debito automatico</t>
  </si>
  <si>
    <t>0801200902760</t>
  </si>
  <si>
    <t>0604200800042</t>
  </si>
  <si>
    <t>**debe L 971.00 de marzo</t>
  </si>
  <si>
    <t>0801200917094</t>
  </si>
  <si>
    <t>0801200821982</t>
  </si>
  <si>
    <t>0801200823177</t>
  </si>
  <si>
    <t>0801200812879</t>
  </si>
  <si>
    <t>se le debe buzo especial</t>
  </si>
  <si>
    <t>0816200700384</t>
  </si>
  <si>
    <t>0801200813691</t>
  </si>
  <si>
    <t>0801200923852</t>
  </si>
  <si>
    <t>0601200901468</t>
  </si>
  <si>
    <t>**se le debe dev d bus nov L 984.50</t>
  </si>
  <si>
    <t>0801200822801</t>
  </si>
  <si>
    <t>0615200800302</t>
  </si>
  <si>
    <t>0801200818237</t>
  </si>
  <si>
    <t>0801200915520</t>
  </si>
  <si>
    <t>0801200823142</t>
  </si>
  <si>
    <t>0801200817662</t>
  </si>
  <si>
    <t>0801200817730</t>
  </si>
  <si>
    <t>0801200820364</t>
  </si>
  <si>
    <t>0801200915638</t>
  </si>
  <si>
    <t>** el valor por matricula se distribuira en 10 meses</t>
  </si>
  <si>
    <t>ANDRE SANTIAGO AVILES LAINEZ</t>
  </si>
  <si>
    <t>0801201207161</t>
  </si>
  <si>
    <t>LOAMS DE GERMANIA</t>
  </si>
  <si>
    <t>0801201312270</t>
  </si>
  <si>
    <t>0801201304364</t>
  </si>
  <si>
    <t>DANIELA SUGEY CASTILLO SORIANO</t>
  </si>
  <si>
    <t>CIUDAD DEL ANGEL</t>
  </si>
  <si>
    <t>0801201307192</t>
  </si>
  <si>
    <t>ERICK EDUARDO BOCANEGRA PERDOMO</t>
  </si>
  <si>
    <t>0801201303998</t>
  </si>
  <si>
    <t>ESTEBAN ARTURO HERNANDEZ URRUTIA</t>
  </si>
  <si>
    <t>0801201308787</t>
  </si>
  <si>
    <t>IAN GAEL GARCIA RODRIGUEZ</t>
  </si>
  <si>
    <t>0801201301850</t>
  </si>
  <si>
    <t>JACOB ALEXANDER GODOY CARCAMO</t>
  </si>
  <si>
    <t>COL GODOY</t>
  </si>
  <si>
    <t>0801201309589</t>
  </si>
  <si>
    <t>0801201211809</t>
  </si>
  <si>
    <t>JOSE DANIEL ORTEGA MARTINEZ</t>
  </si>
  <si>
    <t>0801201218570</t>
  </si>
  <si>
    <t>0801201304646</t>
  </si>
  <si>
    <t>MARYELI YACQUELINE AGUILAR DURON</t>
  </si>
  <si>
    <t>COL EL PROGRESO</t>
  </si>
  <si>
    <t>0801201304203</t>
  </si>
  <si>
    <t>TRANSP</t>
  </si>
  <si>
    <t>MATEO LORENZO RAMOS REYES</t>
  </si>
  <si>
    <t>0801201311540</t>
  </si>
  <si>
    <t>NATALY VALERIA GARCIA REYES</t>
  </si>
  <si>
    <t>0801201322008</t>
  </si>
  <si>
    <t>debe L65.00</t>
  </si>
  <si>
    <t>0801201301761</t>
  </si>
  <si>
    <t>SARA CAMILA RIVERA BUESO</t>
  </si>
  <si>
    <t>0801201400201</t>
  </si>
  <si>
    <t>TIFFANY JOHANA ALVAREZ LOPEZ</t>
  </si>
  <si>
    <t>0801201216325</t>
  </si>
  <si>
    <t>WESLY JOHAN REYES MELENDEZ</t>
  </si>
  <si>
    <t>0801201219004</t>
  </si>
  <si>
    <t>0801201313078</t>
  </si>
  <si>
    <t>ASHLY NOELIA AGUILAR ACOSTA</t>
  </si>
  <si>
    <t>RIO GRANDE</t>
  </si>
  <si>
    <t>Retra INGLES</t>
  </si>
  <si>
    <t>0801201212735</t>
  </si>
  <si>
    <t>DANIEL ANDRES ALEMAN GONZALEZ</t>
  </si>
  <si>
    <t>DEBO UN BUZO No3483</t>
  </si>
  <si>
    <t>0801201208552</t>
  </si>
  <si>
    <t>GREISY JELENA MARTINEZ LANZA</t>
  </si>
  <si>
    <t>0801201105885</t>
  </si>
  <si>
    <t>debo buzo talla L</t>
  </si>
  <si>
    <t>ISAAC ROLANDO AGUILAR SOTO</t>
  </si>
  <si>
    <t>0703201104647</t>
  </si>
  <si>
    <t>ISABELLA GISSELLE MEMBREÑO RODRIGUEZ</t>
  </si>
  <si>
    <t>SATELITE</t>
  </si>
  <si>
    <t>0801201100947</t>
  </si>
  <si>
    <t>0801201100106</t>
  </si>
  <si>
    <t>MARIA JOSE ROBLETO DERAS</t>
  </si>
  <si>
    <t>**debe L 114.22 de marzo</t>
  </si>
  <si>
    <t>SAYRA ESTHER FLORES RECONCO</t>
  </si>
  <si>
    <t>0801201210988</t>
  </si>
  <si>
    <t>3459 Y 3489</t>
  </si>
  <si>
    <t>***debe de feb L 514.22</t>
  </si>
  <si>
    <t>SOFIA MARGOTH PAZ FUENTES</t>
  </si>
  <si>
    <t>0801201121192</t>
  </si>
  <si>
    <t>WENDY ALESSANDRA MEJIA OSORTO</t>
  </si>
  <si>
    <t>RES SANTA CRUZ</t>
  </si>
  <si>
    <t>0801201021251</t>
  </si>
  <si>
    <t>XOCHIL FERNANDA AMADOR CHAVARRIA</t>
  </si>
  <si>
    <t>0801201114964</t>
  </si>
  <si>
    <t>ANDRE SEBASTIAN CHACON VASQUEZ</t>
  </si>
  <si>
    <t>ANNIE VALERIA ALFARO BUSTILLO</t>
  </si>
  <si>
    <t>0801201109174</t>
  </si>
  <si>
    <t>3156, 3536</t>
  </si>
  <si>
    <t>AVRIL MONTSERRAT MARADIAGA VALLADARES</t>
  </si>
  <si>
    <t>Villas la Concepcion</t>
  </si>
  <si>
    <t>0801201016759</t>
  </si>
  <si>
    <t>debo camisas polo talla 14</t>
  </si>
  <si>
    <t>CARLOS ANTONIO CENTENO PEREZ</t>
  </si>
  <si>
    <t>0801200810512</t>
  </si>
  <si>
    <t>DIEGO DAVID RAMOS REYES</t>
  </si>
  <si>
    <t>0801201100158</t>
  </si>
  <si>
    <t>EMERSON CABALLERO MELARA</t>
  </si>
  <si>
    <t>0801200808074</t>
  </si>
  <si>
    <t>**debe L 2,757.00 de abril</t>
  </si>
  <si>
    <t>EUNICE ISABELLA VALLADARES CHAVARRIA</t>
  </si>
  <si>
    <t>0801201020798</t>
  </si>
  <si>
    <t>JENNIFER MAGALY PAZ MEZA</t>
  </si>
  <si>
    <t>1516201100049</t>
  </si>
  <si>
    <t>KENNETH JOSUE RAMIREZ BONILLA</t>
  </si>
  <si>
    <t>1503201101590</t>
  </si>
  <si>
    <t>no libro Diario Ana Franck</t>
  </si>
  <si>
    <t>0801201103325</t>
  </si>
  <si>
    <t>0801201011763</t>
  </si>
  <si>
    <t>ALTOS  SANTA ROSA</t>
  </si>
  <si>
    <t>0801201002216</t>
  </si>
  <si>
    <t>ROGER EMANUEL VALLADARES OSORTO</t>
  </si>
  <si>
    <t>0801201112174</t>
  </si>
  <si>
    <t>no lectura,info,mat</t>
  </si>
  <si>
    <t>DEBE SALDO L 19,745.81 DEL AÑO 2024 ultimo recibo No 14470 12/05/2025</t>
  </si>
  <si>
    <t>UZIEL ANSELMO FONSECA GOMEZ</t>
  </si>
  <si>
    <t>0822201000063</t>
  </si>
  <si>
    <t>BRISTOL ORISA SUAZO GONZALEZ</t>
  </si>
  <si>
    <t>0801200822773</t>
  </si>
  <si>
    <t>CHRISTIAN GABRIEL LARA ROMERO</t>
  </si>
  <si>
    <t>Res La Arboleda</t>
  </si>
  <si>
    <t>0801201006737</t>
  </si>
  <si>
    <t xml:space="preserve">** debe L 170.00 </t>
  </si>
  <si>
    <t>ESCARLETH YOLIBET RODRIGUEZ OSORTO</t>
  </si>
  <si>
    <t>0801201001008</t>
  </si>
  <si>
    <t>ESTA NULO EL No 3193</t>
  </si>
  <si>
    <t>GUILLERMO ADRIAN PINZON SALGADO</t>
  </si>
  <si>
    <t>0801200919486</t>
  </si>
  <si>
    <t>JOHAN ALEXANDRO BARRIENTOS FLORES</t>
  </si>
  <si>
    <t>0801201008757</t>
  </si>
  <si>
    <t>JOSE JAVIER VIERA RODRIGUEZ</t>
  </si>
  <si>
    <t>0801200914264</t>
  </si>
  <si>
    <t>JOSE LUIS MENDEZ DURON</t>
  </si>
  <si>
    <t>0801201001756</t>
  </si>
  <si>
    <t>1503201001913</t>
  </si>
  <si>
    <t>0810201000014</t>
  </si>
  <si>
    <t>0801201001381</t>
  </si>
  <si>
    <t>debe L 835.00</t>
  </si>
  <si>
    <t>MARIA FERNANDA AMADOR RIVERA</t>
  </si>
  <si>
    <t>0816201000340</t>
  </si>
  <si>
    <t>MARLON GEOVANY SOTO TORREZ</t>
  </si>
  <si>
    <t>0801200921679</t>
  </si>
  <si>
    <t>0810201000044</t>
  </si>
  <si>
    <t>NORYNG EMMANUEL REYES RODRIGUEZ</t>
  </si>
  <si>
    <t>0812200921010</t>
  </si>
  <si>
    <t>0704200700627</t>
  </si>
  <si>
    <t>DEBO L BUZO No 3483</t>
  </si>
  <si>
    <t>0801200913307</t>
  </si>
  <si>
    <t>**falta debita L 420.50 de abril mas clase de natacion</t>
  </si>
  <si>
    <t>0801200822734</t>
  </si>
  <si>
    <t>0801200822735</t>
  </si>
  <si>
    <t>debe L 1,718.00</t>
  </si>
  <si>
    <t>0801200715206</t>
  </si>
  <si>
    <t>transf</t>
  </si>
  <si>
    <t>0801200822341</t>
  </si>
  <si>
    <t>0801200806517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</si>
  <si>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</si>
  <si>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0801200814726</t>
  </si>
  <si>
    <t>0801200909195</t>
  </si>
  <si>
    <t>0801200904637</t>
  </si>
  <si>
    <t>0801200916498</t>
  </si>
  <si>
    <t>0801200817972</t>
  </si>
  <si>
    <t>**debe de feb L 324.97</t>
  </si>
  <si>
    <t>0801200819495</t>
  </si>
  <si>
    <t>0801200801223</t>
  </si>
  <si>
    <t>0704200900230</t>
  </si>
  <si>
    <t>**debe saldo marzo</t>
  </si>
  <si>
    <t>0801200814645</t>
  </si>
  <si>
    <t>0801200817668</t>
  </si>
  <si>
    <t>0818200800074</t>
  </si>
  <si>
    <t>0801200814647</t>
  </si>
  <si>
    <t>0801200806562</t>
  </si>
  <si>
    <t>0801200916147</t>
  </si>
  <si>
    <t>0801200818707</t>
  </si>
  <si>
    <t>1701200600964</t>
  </si>
  <si>
    <t>0801200907972</t>
  </si>
  <si>
    <t>0801200819251</t>
  </si>
  <si>
    <t>0801200822577</t>
  </si>
  <si>
    <t>3232 Y 3448</t>
  </si>
  <si>
    <t>0801200907510</t>
  </si>
  <si>
    <t>0801200824167</t>
  </si>
  <si>
    <t>**</t>
  </si>
  <si>
    <t>total mes de marzo</t>
  </si>
  <si>
    <t>PAGO CLASE DE NATACION</t>
  </si>
  <si>
    <t xml:space="preserve">MES DE MARZO </t>
  </si>
  <si>
    <t>1ª vuelta de abril</t>
  </si>
  <si>
    <t>AMILCAR BULNES</t>
  </si>
  <si>
    <t>Itzel Zapata</t>
  </si>
  <si>
    <t>1 grade</t>
  </si>
  <si>
    <t>mes de enero</t>
  </si>
  <si>
    <t>con rapi bac</t>
  </si>
  <si>
    <t>abono feb</t>
  </si>
  <si>
    <t>Hermanos Torres Ortiz</t>
  </si>
  <si>
    <t>5th y 8th</t>
  </si>
  <si>
    <t>mes d efeb y marzo</t>
  </si>
  <si>
    <t>Heremanas Zepeda Avilez</t>
  </si>
  <si>
    <t>7th grade</t>
  </si>
  <si>
    <t>mes de marzo</t>
  </si>
  <si>
    <t>Matias Ordoñez</t>
  </si>
  <si>
    <t>1B</t>
  </si>
  <si>
    <t>Bus mes de febrero</t>
  </si>
  <si>
    <t>Fredy Argueta</t>
  </si>
  <si>
    <t>4th grade</t>
  </si>
  <si>
    <t>bus mes d efebrero</t>
  </si>
  <si>
    <t>Danna Maylen Duron Sosa</t>
  </si>
  <si>
    <t>2,grade</t>
  </si>
  <si>
    <t>mes de febrero</t>
  </si>
  <si>
    <t>Diego David Ramos Reyes</t>
  </si>
  <si>
    <t>9 grado</t>
  </si>
  <si>
    <t>mes de febrero debe L 209.33</t>
  </si>
  <si>
    <t>Mia Azucene Zelaya</t>
  </si>
  <si>
    <t>11TH</t>
  </si>
  <si>
    <t xml:space="preserve">Pablo Kerim Elvir </t>
  </si>
  <si>
    <t>4th B</t>
  </si>
  <si>
    <t>Milton Estrada</t>
  </si>
  <si>
    <t>11th grade</t>
  </si>
  <si>
    <t>saldo bus nov 2024</t>
  </si>
  <si>
    <t>bus mes de feb 2025</t>
  </si>
  <si>
    <t>Christopher Jafet Luna</t>
  </si>
  <si>
    <t>coleg mes d efebrero</t>
  </si>
  <si>
    <t>clase de natacion</t>
  </si>
  <si>
    <t>Mateo Ruiz</t>
  </si>
  <si>
    <t>2grade</t>
  </si>
  <si>
    <t>mes de febrero mas natacion</t>
  </si>
  <si>
    <t>Lucia Castellanos</t>
  </si>
  <si>
    <t>7th</t>
  </si>
  <si>
    <t>Zoe Osorto</t>
  </si>
  <si>
    <t>Lizy Corrales</t>
  </si>
  <si>
    <t>10th</t>
  </si>
  <si>
    <t>Meggan Aguilar</t>
  </si>
  <si>
    <t>5th B</t>
  </si>
  <si>
    <t>Zuar Sadrac Betanco</t>
  </si>
  <si>
    <t>1, A</t>
  </si>
  <si>
    <t>mes de febrero 2025</t>
  </si>
  <si>
    <t>Kenneth Ramirez</t>
  </si>
  <si>
    <t>Emerson Cruz</t>
  </si>
  <si>
    <t>3th</t>
  </si>
  <si>
    <t>bus febrero</t>
  </si>
  <si>
    <t>clase de natacion marzo</t>
  </si>
  <si>
    <t>Uziel Anselmo Fonseca</t>
  </si>
  <si>
    <t>bus mes de febrero</t>
  </si>
  <si>
    <t>Carlos Anderson Jeffs</t>
  </si>
  <si>
    <t>8th</t>
  </si>
  <si>
    <t>Valeria Ochoa</t>
  </si>
  <si>
    <t>11 grado</t>
  </si>
  <si>
    <t xml:space="preserve">Ruth Guerra </t>
  </si>
  <si>
    <t>2, A</t>
  </si>
  <si>
    <t>Keren Duron</t>
  </si>
  <si>
    <t>mes de febrero se hizo nrecibo No 14178</t>
  </si>
  <si>
    <t>Emily Orellana</t>
  </si>
  <si>
    <t>6th grade</t>
  </si>
  <si>
    <t>Escarleth Rodriguez</t>
  </si>
  <si>
    <t>10 grado</t>
  </si>
  <si>
    <t>Katherine Izaguirre</t>
  </si>
  <si>
    <t>10th grdae</t>
  </si>
  <si>
    <t>Abby Aleman</t>
  </si>
  <si>
    <t>Andra Santiago Aviles Lainez</t>
  </si>
  <si>
    <t>7 español</t>
  </si>
  <si>
    <t>Valerie Sofia Avilez Lainez</t>
  </si>
  <si>
    <t>6th grdae</t>
  </si>
  <si>
    <t>Xochil Amador</t>
  </si>
  <si>
    <t xml:space="preserve">8 grado </t>
  </si>
  <si>
    <t>abono mes febrero falta L 94.00</t>
  </si>
  <si>
    <t>Karol Izaguirre</t>
  </si>
  <si>
    <t>10th grade</t>
  </si>
  <si>
    <t>coleg mes febrero</t>
  </si>
  <si>
    <t>Roger Maldonado</t>
  </si>
  <si>
    <t>mes de feb</t>
  </si>
  <si>
    <t>Cesar Fernando Lagos</t>
  </si>
  <si>
    <t>Mia Alessandra Lopez</t>
  </si>
  <si>
    <t>Pablo Cardenas</t>
  </si>
  <si>
    <t>coleg mes de febrero</t>
  </si>
  <si>
    <t>Tiffany Alvarez</t>
  </si>
  <si>
    <t>7 grado</t>
  </si>
  <si>
    <t>Nahomy Moncada Rosales</t>
  </si>
  <si>
    <t>4th</t>
  </si>
  <si>
    <t>Johan Barrientos</t>
  </si>
  <si>
    <t xml:space="preserve">Aisham Arantza </t>
  </si>
  <si>
    <t>2 grade</t>
  </si>
  <si>
    <t>coleg y bus febrero</t>
  </si>
  <si>
    <t>Erick Eduardo Bocanegra</t>
  </si>
  <si>
    <t>Carlos Isaac Martinez Mendez</t>
  </si>
  <si>
    <t>7th B</t>
  </si>
  <si>
    <t xml:space="preserve">mes de febrero </t>
  </si>
  <si>
    <t>Andonie Isac Elvir</t>
  </si>
  <si>
    <t>6th B</t>
  </si>
  <si>
    <t>mes de febrero mas L 100.00</t>
  </si>
  <si>
    <t>Ethan Villanueva</t>
  </si>
  <si>
    <t>2 B</t>
  </si>
  <si>
    <t>Aisham Arantza</t>
  </si>
  <si>
    <t xml:space="preserve">coleg marzo </t>
  </si>
  <si>
    <t>natacion abril</t>
  </si>
  <si>
    <t>Rafel Duran</t>
  </si>
  <si>
    <t xml:space="preserve">9th </t>
  </si>
  <si>
    <t>9th</t>
  </si>
  <si>
    <t>Rubi Euceda</t>
  </si>
  <si>
    <t>5th</t>
  </si>
  <si>
    <t>mes de febrero, falta L 189.20</t>
  </si>
  <si>
    <t>complemento mes de febrero 2025</t>
  </si>
  <si>
    <t>bus de febrero 2025</t>
  </si>
  <si>
    <t>Amilcar Bulnes Fox</t>
  </si>
  <si>
    <t>Coleg marzo</t>
  </si>
  <si>
    <t>abono a abril</t>
  </si>
  <si>
    <t>Maria Fernanda Espinal Pastrana</t>
  </si>
  <si>
    <t>Mia Cattleya Amador</t>
  </si>
  <si>
    <t>3th B</t>
  </si>
  <si>
    <t>Jahitza Lobo</t>
  </si>
  <si>
    <t>Hermanas Gonzales Oseguera</t>
  </si>
  <si>
    <t>7th y 5th</t>
  </si>
  <si>
    <t>abono bus mes de marzo</t>
  </si>
  <si>
    <t>Anabell Guzman</t>
  </si>
  <si>
    <t>mes de febrero y marzo</t>
  </si>
  <si>
    <t>Katherine Andrea Davila</t>
  </si>
  <si>
    <t>3th A</t>
  </si>
  <si>
    <t>Mes de febrero 2025</t>
  </si>
  <si>
    <t>Nelson David  Matute</t>
  </si>
  <si>
    <t>Mes de abril</t>
  </si>
  <si>
    <t>Hermanos Carcamo Zavala</t>
  </si>
  <si>
    <t>Valerie Sophia Sanchez</t>
  </si>
  <si>
    <t>Alejandra Valentina Carias</t>
  </si>
  <si>
    <t>MES D EFEBRERO</t>
  </si>
  <si>
    <t>Kylie Carranza</t>
  </si>
  <si>
    <t>2,A</t>
  </si>
  <si>
    <t>COLEG MARZO MAS CLASE DE NATACION</t>
  </si>
  <si>
    <t>transporte mes de febrero</t>
  </si>
  <si>
    <t>Claris Natalia</t>
  </si>
  <si>
    <t>bus mes d emarzo</t>
  </si>
  <si>
    <t>Mateo Ramos Reyes</t>
  </si>
  <si>
    <t>2 , A</t>
  </si>
  <si>
    <t>mes de marzo 2025</t>
  </si>
  <si>
    <t>Danielle Ashira Gutierrez</t>
  </si>
  <si>
    <t>2/2 cuota de plan</t>
  </si>
  <si>
    <t>Axel Alvarez</t>
  </si>
  <si>
    <t>9th grade</t>
  </si>
  <si>
    <t>Diego Alberto Montoya</t>
  </si>
  <si>
    <t>Ashley Diaz Hernandez</t>
  </si>
  <si>
    <t xml:space="preserve">7th </t>
  </si>
  <si>
    <t>Jarvin Diaz Hernandez</t>
  </si>
  <si>
    <t>Gimena Morazan</t>
  </si>
  <si>
    <t>3th grade</t>
  </si>
  <si>
    <t>Leonardo Morazan</t>
  </si>
  <si>
    <t>abono abril</t>
  </si>
  <si>
    <t>Fredy Samuel Argueta</t>
  </si>
  <si>
    <t>coleg marzo</t>
  </si>
  <si>
    <t>bus marzo</t>
  </si>
  <si>
    <t>Valery Torres</t>
  </si>
  <si>
    <t>Hermanod Mendoza Rivera</t>
  </si>
  <si>
    <t>Iker - Zoe</t>
  </si>
  <si>
    <t>1 y 6th</t>
  </si>
  <si>
    <t>mas clase natacion 1</t>
  </si>
  <si>
    <t>bus de marzo</t>
  </si>
  <si>
    <t>Saria Caceres</t>
  </si>
  <si>
    <t>Alexia Sarai Lopez</t>
  </si>
  <si>
    <t>kinder B</t>
  </si>
  <si>
    <t>mes de marzo mas clase natacion</t>
  </si>
  <si>
    <t>Luis Manuel Barrera</t>
  </si>
  <si>
    <t>Astrid Barrera</t>
  </si>
  <si>
    <t>Sara Mejia</t>
  </si>
  <si>
    <t>Andres Aceituno</t>
  </si>
  <si>
    <t>6th A</t>
  </si>
  <si>
    <t>MES ABRIL 2025</t>
  </si>
  <si>
    <t>mes de marzo se hizo nrecibo No 14179</t>
  </si>
  <si>
    <t>Kanneth Ramirez</t>
  </si>
  <si>
    <t xml:space="preserve">mes de marzo </t>
  </si>
  <si>
    <t>Emanuel Galdamez</t>
  </si>
  <si>
    <t>Mes de marzo</t>
  </si>
  <si>
    <t>Ashley Galdamez</t>
  </si>
  <si>
    <t>4th A</t>
  </si>
  <si>
    <t>Ian Mondragon</t>
  </si>
  <si>
    <t>1 grado</t>
  </si>
  <si>
    <t>Wesly Johan Reyes</t>
  </si>
  <si>
    <t>7 grado e</t>
  </si>
  <si>
    <t>mes de marzo mas natacion</t>
  </si>
  <si>
    <t>se hizo recibo No 14193</t>
  </si>
  <si>
    <t>Angel Zelaya</t>
  </si>
  <si>
    <t>Mia Azucena Zelaya</t>
  </si>
  <si>
    <t>Christopher Ariel Avila Vasquez</t>
  </si>
  <si>
    <t>3,A</t>
  </si>
  <si>
    <t>MES DE MARZO INCLUYE NATACION</t>
  </si>
  <si>
    <t>Elliot Matamoros</t>
  </si>
  <si>
    <t>Matthew Gerardo Sanchez</t>
  </si>
  <si>
    <t>MES DE MARZO</t>
  </si>
  <si>
    <t>Diego David Ramos</t>
  </si>
  <si>
    <t>abono mes de marzo</t>
  </si>
  <si>
    <t>Matias Andre Ordoñez</t>
  </si>
  <si>
    <t>Xochil Fernanda Amador</t>
  </si>
  <si>
    <t>8 grado</t>
  </si>
  <si>
    <t>Austin Zambrano</t>
  </si>
  <si>
    <t>mes de marzo mas clase de natacion</t>
  </si>
  <si>
    <t>coleg marzo 2025</t>
  </si>
  <si>
    <t>Carlos Isac</t>
  </si>
  <si>
    <t>Elizabeth Payton Mondragon</t>
  </si>
  <si>
    <t>Genesis Everest</t>
  </si>
  <si>
    <t>SALDO FEB</t>
  </si>
  <si>
    <t>ABONO MARZO</t>
  </si>
  <si>
    <t>Clase natacion marzo</t>
  </si>
  <si>
    <t>Katherine Davila</t>
  </si>
  <si>
    <t>3, A</t>
  </si>
  <si>
    <t>11th</t>
  </si>
  <si>
    <t>bus mes de marzo</t>
  </si>
  <si>
    <t>Santiago Noe Diaz</t>
  </si>
  <si>
    <t>Mia Valentina Perez Aguilera</t>
  </si>
  <si>
    <t>mes d efeb mas bus</t>
  </si>
  <si>
    <t>Thiago Perez Aguilera</t>
  </si>
  <si>
    <t>Joan Perez Aguilera</t>
  </si>
  <si>
    <t>mes de feb sin bus</t>
  </si>
  <si>
    <t>Lukas Caleb Valeriano</t>
  </si>
  <si>
    <t>1 grade B</t>
  </si>
  <si>
    <t>Valeri Sofia Aviles Lainez</t>
  </si>
  <si>
    <t>mes de abril</t>
  </si>
  <si>
    <t>Santiago Aviles Lainez</t>
  </si>
  <si>
    <t>Sofia Corrales</t>
  </si>
  <si>
    <t>feb y marzo</t>
  </si>
  <si>
    <t>Christopher Jafeth Luna</t>
  </si>
  <si>
    <t>pago de mas</t>
  </si>
  <si>
    <t>8th grade</t>
  </si>
  <si>
    <t>coleg marzo y natacion abril</t>
  </si>
  <si>
    <t>Bristol Gonzalez</t>
  </si>
  <si>
    <t>Jennifer Magaly Paz</t>
  </si>
  <si>
    <t>Angel Caballero</t>
  </si>
  <si>
    <t>Camila Moreno</t>
  </si>
  <si>
    <t>Santiago Matmoros</t>
  </si>
  <si>
    <t>coleg feb y marzo</t>
  </si>
  <si>
    <t>Arjen Matamoros</t>
  </si>
  <si>
    <t>Santiago y Arjen</t>
  </si>
  <si>
    <t>bus feb y marzo</t>
  </si>
  <si>
    <t>descuento poir matricula 1 ingreso</t>
  </si>
  <si>
    <t>Juan Diego Navarro</t>
  </si>
  <si>
    <t>abono a transp</t>
  </si>
  <si>
    <t>Enoc Vijil</t>
  </si>
  <si>
    <t>Jeremy Vijil</t>
  </si>
  <si>
    <t>5th A</t>
  </si>
  <si>
    <t>Ashley Zepeda</t>
  </si>
  <si>
    <t>Aylin Zepeda</t>
  </si>
  <si>
    <t>**falta L 105.00</t>
  </si>
  <si>
    <t>MES DE MARZO, falta natacion</t>
  </si>
  <si>
    <t>coleg febrero</t>
  </si>
  <si>
    <t>clases de natacion marzo</t>
  </si>
  <si>
    <t>Andonie Isaac Elvir</t>
  </si>
  <si>
    <t>clase de natacion mes de marzo</t>
  </si>
  <si>
    <t>clase de nataciion mes de marzo</t>
  </si>
  <si>
    <t>Daniel Aleman</t>
  </si>
  <si>
    <t>Harold Aleman</t>
  </si>
  <si>
    <t>Rubi Euceda Barrientos</t>
  </si>
  <si>
    <t>Mahtew Sanchez</t>
  </si>
  <si>
    <t>Carlos Humberto Matamoros</t>
  </si>
  <si>
    <t>Diego Matamoros</t>
  </si>
  <si>
    <t xml:space="preserve">11TH </t>
  </si>
  <si>
    <t>Aylin Estrada</t>
  </si>
  <si>
    <t>Andonie Elvir</t>
  </si>
  <si>
    <t>CLASE DE NATACION MARZO</t>
  </si>
  <si>
    <t>Diego Ramos</t>
  </si>
  <si>
    <t>ajuste plan de pago feb-marzo</t>
  </si>
  <si>
    <t>Valery Rubi Alvarado</t>
  </si>
  <si>
    <t>Erick Bocanegra</t>
  </si>
  <si>
    <t>2, B</t>
  </si>
  <si>
    <t>Rony Bojorque</t>
  </si>
  <si>
    <t>Arely Bojorque</t>
  </si>
  <si>
    <t>retrasada marzo</t>
  </si>
  <si>
    <t>abono a coleg marzo, saldo L1,710.25</t>
  </si>
  <si>
    <t>Hermanas Camila y Adriana Perez</t>
  </si>
  <si>
    <t xml:space="preserve">9th y 6th </t>
  </si>
  <si>
    <t xml:space="preserve">Camila Perez </t>
  </si>
  <si>
    <t>Adriana Perez</t>
  </si>
  <si>
    <t>6th</t>
  </si>
  <si>
    <t>Isabella Membreño</t>
  </si>
  <si>
    <t>mes deabril, incluye natacion</t>
  </si>
  <si>
    <t>Mia Cattleya Amador Cruz</t>
  </si>
  <si>
    <t>mes de marzo, incluye natacion</t>
  </si>
  <si>
    <t>COLEG MARZO</t>
  </si>
  <si>
    <t>7TH B</t>
  </si>
  <si>
    <t>clase de natacion abril</t>
  </si>
  <si>
    <t>adicional</t>
  </si>
  <si>
    <t>hermanos Morazan</t>
  </si>
  <si>
    <t>11 grade</t>
  </si>
  <si>
    <t>Diego Angelo Hernandez</t>
  </si>
  <si>
    <t>Jose Roberto y Andres Roberto Diaz</t>
  </si>
  <si>
    <t>4th B Y 4TH A</t>
  </si>
  <si>
    <t>Nahomi Rosales</t>
  </si>
  <si>
    <t>clases de natacion</t>
  </si>
  <si>
    <t>Rafael Duran</t>
  </si>
  <si>
    <t>Nelson David Matute Casco</t>
  </si>
  <si>
    <t>coleg abril</t>
  </si>
  <si>
    <t>Cesar Salgado</t>
  </si>
  <si>
    <t>clase natacion marzo y abril</t>
  </si>
  <si>
    <t>Anabell Lopez Guzman</t>
  </si>
  <si>
    <t>Sady Garcia</t>
  </si>
  <si>
    <t>clase de natacion mes abril</t>
  </si>
  <si>
    <t>William Munguia</t>
  </si>
  <si>
    <t>mes de abril, mas natacion marzo y abril</t>
  </si>
  <si>
    <t xml:space="preserve">Alejandra Valentina Carias </t>
  </si>
  <si>
    <t>Mateo Lorenzo Ramos</t>
  </si>
  <si>
    <t>transp mes de abril</t>
  </si>
  <si>
    <t>Ruth Abigail Lopez Paz</t>
  </si>
  <si>
    <t>COLEG Y NATACION ABRIL</t>
  </si>
  <si>
    <t>Cinthia Castellanos</t>
  </si>
  <si>
    <t>7th A</t>
  </si>
  <si>
    <t>Abono mes de abril</t>
  </si>
  <si>
    <t>abono mes de marzo, se dio recibo No 14348</t>
  </si>
  <si>
    <t>Saria Alejandra Caceres</t>
  </si>
  <si>
    <t>mes de abril, se dio recibo No 14349</t>
  </si>
  <si>
    <t>Mario Alejandra Rodriguez</t>
  </si>
  <si>
    <t>1 B</t>
  </si>
  <si>
    <t>complemento mes de febrero</t>
  </si>
  <si>
    <t>bus mes de abril</t>
  </si>
  <si>
    <t>clases de natacion marzo y abril</t>
  </si>
  <si>
    <t>Alexia Sarahi Lopez Lopez</t>
  </si>
  <si>
    <t>coleg abril mas clase de natacion</t>
  </si>
  <si>
    <t>coleg mes de abril</t>
  </si>
  <si>
    <t>Zoe Elizabetrh Nuñez Corrales</t>
  </si>
  <si>
    <t>abono clase de natacion marzo</t>
  </si>
  <si>
    <t>complemento clase de natacion marzo</t>
  </si>
  <si>
    <t>Coleg abril</t>
  </si>
  <si>
    <t>bus abril</t>
  </si>
  <si>
    <t>Iker Rivera Mendoza</t>
  </si>
  <si>
    <t>Zoe Rivera Mendoza</t>
  </si>
  <si>
    <t>Clase de natacion</t>
  </si>
  <si>
    <t>cuota abril</t>
  </si>
  <si>
    <t>Anthony Santiago</t>
  </si>
  <si>
    <t xml:space="preserve">natacion </t>
  </si>
  <si>
    <t>Ariana Mercado</t>
  </si>
  <si>
    <t>Alejandra Mercado</t>
  </si>
  <si>
    <t>coleg mes de abril, saldo L 599.60</t>
  </si>
  <si>
    <t>Kenneth Josue Ramirez Bonilla</t>
  </si>
  <si>
    <t>coleg, bus y retra mes abril</t>
  </si>
  <si>
    <t>clases de natcion marzo y abril</t>
  </si>
  <si>
    <t>Melany Herrera</t>
  </si>
  <si>
    <t>mes de marzo y abril</t>
  </si>
  <si>
    <t>clase de natacion marzo y abril</t>
  </si>
  <si>
    <t>Mateo Alessandro Ruiz</t>
  </si>
  <si>
    <t>Cristopher Ariel Avila</t>
  </si>
  <si>
    <t xml:space="preserve">clases de natacion y coleg </t>
  </si>
  <si>
    <t>Isaac Fonseca</t>
  </si>
  <si>
    <t>COLEG ABRIL</t>
  </si>
  <si>
    <t xml:space="preserve">mes de abril </t>
  </si>
  <si>
    <t>mes de mayo</t>
  </si>
  <si>
    <t>Cesar Hernandez</t>
  </si>
  <si>
    <t>saldo febrero</t>
  </si>
  <si>
    <t>Valerie Sanchez</t>
  </si>
  <si>
    <t>Xochil Amador Chavarria</t>
  </si>
  <si>
    <t>Nahomy Moncadsa Rosales</t>
  </si>
  <si>
    <t>4B</t>
  </si>
  <si>
    <t>Christopher Luna</t>
  </si>
  <si>
    <t>cuota mes de abril</t>
  </si>
  <si>
    <t>Keisy Fernanda Mejia</t>
  </si>
  <si>
    <t>Clase de natacion abril</t>
  </si>
  <si>
    <t>Isac Fonseca</t>
  </si>
  <si>
    <t>Domick Amador</t>
  </si>
  <si>
    <t>saldo feb</t>
  </si>
  <si>
    <t>abono coleg marzo</t>
  </si>
  <si>
    <t>Emily Sandoval</t>
  </si>
  <si>
    <t>mes de abril mas natacion</t>
  </si>
  <si>
    <t>Austin Zaambrano</t>
  </si>
  <si>
    <t>coleg abril mas natacion</t>
  </si>
  <si>
    <t>Lukas Caleb Valeriano Ordoñez</t>
  </si>
  <si>
    <t>MES DE ABRIL</t>
  </si>
  <si>
    <t>Carlos Martinez</t>
  </si>
  <si>
    <t>7th grade B</t>
  </si>
  <si>
    <t>CUOTA ABRIL</t>
  </si>
  <si>
    <t>Isabela Toledo</t>
  </si>
  <si>
    <t>Zoe Pastrana</t>
  </si>
  <si>
    <t>5TH A</t>
  </si>
  <si>
    <t>CUOTA MAYO</t>
  </si>
  <si>
    <t>3 B</t>
  </si>
  <si>
    <t>CLASE DE NATACION ABRIL</t>
  </si>
  <si>
    <t>Daniel Carcamo Zavala</t>
  </si>
  <si>
    <t>Roger Carcamo Zavala</t>
  </si>
  <si>
    <t>6TH B</t>
  </si>
  <si>
    <t>Bianca Jazmin Henriquez</t>
  </si>
  <si>
    <t>1, B</t>
  </si>
  <si>
    <t>Eleazar y Emily Lopez</t>
  </si>
  <si>
    <t xml:space="preserve">Isac Rolando </t>
  </si>
  <si>
    <t>Mattew Gerardo Sanchez</t>
  </si>
  <si>
    <t>mes de abril incluye natacion</t>
  </si>
  <si>
    <t>COLEG MES DE ABRIL</t>
  </si>
  <si>
    <t>Valerie Sofia Avilez</t>
  </si>
  <si>
    <t>Cuota mes de mayo</t>
  </si>
  <si>
    <t>Andre Santiago Aviles</t>
  </si>
  <si>
    <t>Tiffany Yohana Alvarez</t>
  </si>
  <si>
    <t>Alejandra Valentina Giron</t>
  </si>
  <si>
    <t>recargo mes de marzo</t>
  </si>
  <si>
    <t>Maria Fernanda Espinal</t>
  </si>
  <si>
    <t>8th A</t>
  </si>
  <si>
    <t>saldo mes d emarzo</t>
  </si>
  <si>
    <t>clase de natacion abriul</t>
  </si>
  <si>
    <t>saldo mes de abril</t>
  </si>
  <si>
    <t>mes d eabril, recibo No 14495</t>
  </si>
  <si>
    <t>Pablo Kerim</t>
  </si>
  <si>
    <t>NATACION ABRIL</t>
  </si>
  <si>
    <t>abono a mayo</t>
  </si>
  <si>
    <t>6 B</t>
  </si>
  <si>
    <t>complemneto mayo</t>
  </si>
  <si>
    <t>abono a junio</t>
  </si>
  <si>
    <t>Nelson Matute</t>
  </si>
  <si>
    <t>mes de junio</t>
  </si>
  <si>
    <t>bus mes d eabril</t>
  </si>
  <si>
    <t xml:space="preserve">Diego Angelo </t>
  </si>
  <si>
    <t>Dominick Amador</t>
  </si>
  <si>
    <t>SALDO DE MARZO</t>
  </si>
  <si>
    <t xml:space="preserve">7 grado </t>
  </si>
  <si>
    <t>Diego Lainez</t>
  </si>
  <si>
    <t>5th y 7th</t>
  </si>
  <si>
    <t xml:space="preserve">clase de natacion </t>
  </si>
  <si>
    <t>Hermanas Morazan Funez</t>
  </si>
  <si>
    <t>7th y 2</t>
  </si>
  <si>
    <t>abono mes de abril</t>
  </si>
  <si>
    <t>Luis y Astrid Barrera</t>
  </si>
  <si>
    <t>Matias Gabriel Reyes</t>
  </si>
  <si>
    <t>MES DE ABRIL MAS CLASE NATACION</t>
  </si>
  <si>
    <t>Anthony Santiago Licona</t>
  </si>
  <si>
    <t>Ian Andre Avila</t>
  </si>
  <si>
    <t>abono a marzo</t>
  </si>
  <si>
    <t>Angie Diaz Hernandez</t>
  </si>
  <si>
    <t>Ruth Guerra</t>
  </si>
  <si>
    <t>Sebastian Elias Garcia</t>
  </si>
  <si>
    <t>Christopher Trejo</t>
  </si>
  <si>
    <t>Danna Trejo</t>
  </si>
  <si>
    <t>mes de mayo mas clase de natacion</t>
  </si>
  <si>
    <t>Diego Alberto Montoya Duron</t>
  </si>
  <si>
    <t>Clases de natacion marzo y abril</t>
  </si>
  <si>
    <t>Clase de natacion complemento</t>
  </si>
  <si>
    <t>AUTORIZACION</t>
  </si>
  <si>
    <t>EMMA GISELLE RAMIREZ CERNA</t>
  </si>
  <si>
    <t>**debe L 546.90 de marzo s/14372</t>
  </si>
  <si>
    <t>POLLO</t>
  </si>
  <si>
    <t>PESCADO</t>
  </si>
  <si>
    <t>debe por transf</t>
  </si>
  <si>
    <t>3649, 3662</t>
  </si>
  <si>
    <t>GENESIS</t>
  </si>
  <si>
    <t>MARIO</t>
  </si>
  <si>
    <t>NADYR</t>
  </si>
  <si>
    <t>LOANY</t>
  </si>
  <si>
    <t>RONALD</t>
  </si>
  <si>
    <t>XXX</t>
  </si>
  <si>
    <t>No de recibo</t>
  </si>
  <si>
    <t>VALOR</t>
  </si>
  <si>
    <t>SUMA RECAUDADA</t>
  </si>
  <si>
    <t>No de alumnos</t>
  </si>
  <si>
    <t>VIAJE A LA TIGRA VIERNES 9 DE MAYO 2025</t>
  </si>
  <si>
    <t>Valor del bus</t>
  </si>
  <si>
    <t>Guias</t>
  </si>
  <si>
    <t>Entradas c/u L100</t>
  </si>
  <si>
    <t>maestros entrada</t>
  </si>
  <si>
    <t>VIAJE A PUERTO CORTES</t>
  </si>
  <si>
    <t>valor viaje</t>
  </si>
  <si>
    <t>Victor Mejia</t>
  </si>
  <si>
    <t>Diego Gomez</t>
  </si>
  <si>
    <t>**en bco</t>
  </si>
  <si>
    <t>**deben 392.30</t>
  </si>
  <si>
    <t>SUMA RECIBOS</t>
  </si>
  <si>
    <t xml:space="preserve">TRANSF </t>
  </si>
  <si>
    <t>LOTE 625</t>
  </si>
  <si>
    <t>LOTE 626</t>
  </si>
  <si>
    <t>LOTE 627</t>
  </si>
  <si>
    <t>LOTE 628</t>
  </si>
  <si>
    <t>LOTE 629</t>
  </si>
  <si>
    <t>LOTE 630</t>
  </si>
  <si>
    <t>LOTE 631</t>
  </si>
  <si>
    <t>DEPOSITO JJ</t>
  </si>
  <si>
    <t>FACTS COLEG</t>
  </si>
  <si>
    <t>DEBE CAFETERIA</t>
  </si>
  <si>
    <t>PARA DEPOSITO</t>
  </si>
  <si>
    <t>debe L 5,670.00</t>
  </si>
  <si>
    <t>debe L 3,335.00</t>
  </si>
  <si>
    <t>debe L3,135.00</t>
  </si>
  <si>
    <t>debe L 5620</t>
  </si>
  <si>
    <t>CHRISTOPHER RONALDO AVILA VARELA</t>
  </si>
  <si>
    <t>debe L 4,213.00</t>
  </si>
  <si>
    <t>2729 y 3211</t>
  </si>
  <si>
    <t>debe L 2,000.00</t>
  </si>
  <si>
    <t>debe L 5,183.00</t>
  </si>
  <si>
    <t>**debe el paquete completo confusion al entregar.</t>
  </si>
  <si>
    <t>OK ENTREGA</t>
  </si>
  <si>
    <t>saldo de libros L1,285.00</t>
  </si>
  <si>
    <t>DEBE L 2,412.00</t>
  </si>
  <si>
    <t>debe L 2,585.00</t>
  </si>
  <si>
    <t>debe L 1,085.00</t>
  </si>
  <si>
    <t>debe L1,355.00</t>
  </si>
  <si>
    <t>debe L 1,580.00</t>
  </si>
  <si>
    <t>saldo pendiente L 72.00</t>
  </si>
  <si>
    <t>debe L 1,620.00</t>
  </si>
  <si>
    <t>Emily Elizabeth Barahona</t>
  </si>
  <si>
    <t>abono a feb</t>
  </si>
  <si>
    <t>Kristell Arleth Martinez</t>
  </si>
  <si>
    <t>Mary Alana Argueta Maradiaga</t>
  </si>
  <si>
    <t>Cecilia Eloisa Argueta Maradiaga</t>
  </si>
  <si>
    <t>Xavier Argueta Maradiaga</t>
  </si>
  <si>
    <t>Emily Naiara Lopez</t>
  </si>
  <si>
    <t>Eleazar Lopez</t>
  </si>
  <si>
    <t>Jorge Cardenas</t>
  </si>
  <si>
    <t>abono bus feb</t>
  </si>
  <si>
    <t>Hermanos Daniel, Abby y Harold</t>
  </si>
  <si>
    <t>8, 11 grado</t>
  </si>
  <si>
    <t>abono mes de febrero 2025</t>
  </si>
  <si>
    <t xml:space="preserve">mes de febrero debe L 289.00 </t>
  </si>
  <si>
    <t>Cesar Alejandro Salgado</t>
  </si>
  <si>
    <t>Keysi Mejia Moya</t>
  </si>
  <si>
    <t>coleg mes de marzo</t>
  </si>
  <si>
    <t>ajuste de fe</t>
  </si>
  <si>
    <t>pago de marzo</t>
  </si>
  <si>
    <t>11 th grade</t>
  </si>
  <si>
    <t>Hermanos Argueta Maradiaga</t>
  </si>
  <si>
    <t>Andres Armando Molina</t>
  </si>
  <si>
    <t>mes de febrero , pendiente bus de feb</t>
  </si>
  <si>
    <t>Allison Charlize Irias</t>
  </si>
  <si>
    <t xml:space="preserve">8th </t>
  </si>
  <si>
    <t>Emely Gabriela Jereda</t>
  </si>
  <si>
    <t>Carlos Anderosn Jeffs</t>
  </si>
  <si>
    <t>CUOTA MARZO</t>
  </si>
  <si>
    <t>Camila Diaz Valladares</t>
  </si>
  <si>
    <t>febrero</t>
  </si>
  <si>
    <t>marzo</t>
  </si>
  <si>
    <t>Carlos Anderso  Jeffs</t>
  </si>
  <si>
    <t>Hermanos Argueta Mardiaga</t>
  </si>
  <si>
    <t>kinder, 9 y 11th</t>
  </si>
  <si>
    <t>clase natacion marzo</t>
  </si>
  <si>
    <t>Carlos Centeno</t>
  </si>
  <si>
    <t>Diego Alessandro Landa</t>
  </si>
  <si>
    <t>Keysi Fernanda Moya</t>
  </si>
  <si>
    <t>COLEG MES D EABRIL</t>
  </si>
  <si>
    <t>abono abril, saldo L 2,396.00</t>
  </si>
  <si>
    <t>Freddy Argueta Castillo</t>
  </si>
  <si>
    <t>Freddy Samuel Argueta Castillo</t>
  </si>
  <si>
    <t>Matias Ordoñez, hijo de Alan</t>
  </si>
  <si>
    <t>Allison Charlize Irias Valdez</t>
  </si>
  <si>
    <t>coleg mes d eabril</t>
  </si>
  <si>
    <t>Ethan Villanueva Barahona</t>
  </si>
  <si>
    <t>Sandra Martiunez</t>
  </si>
  <si>
    <t>kinder, 9th y 11th</t>
  </si>
  <si>
    <t>ENERO A 08/01/2025</t>
  </si>
  <si>
    <t>MATRICULA 2025</t>
  </si>
  <si>
    <t>Lucas Sebastian Casco Gonzalez</t>
  </si>
  <si>
    <t xml:space="preserve">4TH </t>
  </si>
  <si>
    <t>4199006024012544</t>
  </si>
  <si>
    <t>10</t>
  </si>
  <si>
    <t>2025</t>
  </si>
  <si>
    <t>gonzalezeliana2000@yahoo.com</t>
  </si>
  <si>
    <t>ENERO B 13/01/2025</t>
  </si>
  <si>
    <t>377741532050154</t>
  </si>
  <si>
    <t>esiu0880@gmail.com</t>
  </si>
  <si>
    <t>MES DE FEBRERO 2025</t>
  </si>
  <si>
    <t>ENERO C 29/01/2025</t>
  </si>
  <si>
    <t>COLEG ENERO 2025</t>
  </si>
  <si>
    <t>Hnna Valentina Ponce Galo</t>
  </si>
  <si>
    <t>4551290700578091</t>
  </si>
  <si>
    <t>abpolo21@mail.com</t>
  </si>
  <si>
    <t>MARZO A ( MES DE FEB) 2025</t>
  </si>
  <si>
    <t>MES DE FEB  2025</t>
  </si>
  <si>
    <t>Josue Caleb Alvarez Santos</t>
  </si>
  <si>
    <t>1 er</t>
  </si>
  <si>
    <t>4551478422278187</t>
  </si>
  <si>
    <t>2027</t>
  </si>
  <si>
    <t>alvarez0486@yahoo.com</t>
  </si>
  <si>
    <t>David Enrique  Lagos</t>
  </si>
  <si>
    <t>1er</t>
  </si>
  <si>
    <t>4565419125194366</t>
  </si>
  <si>
    <t>06</t>
  </si>
  <si>
    <t>2022</t>
  </si>
  <si>
    <t>jrlagos0387@gmail.com</t>
  </si>
  <si>
    <t>Matias Caleb Nuñez Bustillo</t>
  </si>
  <si>
    <t>2 do</t>
  </si>
  <si>
    <t>4565419125343963</t>
  </si>
  <si>
    <t>09</t>
  </si>
  <si>
    <t>2026</t>
  </si>
  <si>
    <t>jonathan.13ne@gmail.com</t>
  </si>
  <si>
    <t>MES DE FEB 2025</t>
  </si>
  <si>
    <t>Lyan Gadiel Flores Varela</t>
  </si>
  <si>
    <t>2do</t>
  </si>
  <si>
    <t>4565418425211458</t>
  </si>
  <si>
    <t>08</t>
  </si>
  <si>
    <t>mainor.flores@hotmail.com</t>
  </si>
  <si>
    <t>Hanna Valentina Ponce Galo</t>
  </si>
  <si>
    <t>11</t>
  </si>
  <si>
    <t>2028</t>
  </si>
  <si>
    <t>abpolo21@gmail.com</t>
  </si>
  <si>
    <t xml:space="preserve">Zoe Monserrath Zuniga </t>
  </si>
  <si>
    <t>3 th</t>
  </si>
  <si>
    <t>5491508412055722</t>
  </si>
  <si>
    <t>alemvm.11@gmail.com</t>
  </si>
  <si>
    <t>Melyin Esther Romero Zelaya</t>
  </si>
  <si>
    <t>4 th</t>
  </si>
  <si>
    <t>377740835679974</t>
  </si>
  <si>
    <t>02</t>
  </si>
  <si>
    <t>desireezelaya_@hotmail.com</t>
  </si>
  <si>
    <t>Emma Iraheta Montoya</t>
  </si>
  <si>
    <t>BUS MES DE FEB 2025</t>
  </si>
  <si>
    <t>Jean Pierre Medina Arrazola</t>
  </si>
  <si>
    <t xml:space="preserve">4 th </t>
  </si>
  <si>
    <t>4222290008800949</t>
  </si>
  <si>
    <t>carrazola1985@gmail.com</t>
  </si>
  <si>
    <t>Danna Isabella Lagos</t>
  </si>
  <si>
    <t>5 th</t>
  </si>
  <si>
    <t>Neythan Trejo Maldonado</t>
  </si>
  <si>
    <t>4199006024008302</t>
  </si>
  <si>
    <t>yamilettmalflo@yahoo.com</t>
  </si>
  <si>
    <t>Alessandro Mendieta</t>
  </si>
  <si>
    <t>6 th</t>
  </si>
  <si>
    <t>4565419125262221</t>
  </si>
  <si>
    <t>01</t>
  </si>
  <si>
    <t>2023</t>
  </si>
  <si>
    <t>wamhn@yahoo.com</t>
  </si>
  <si>
    <t>Daniela Sugey Castillo</t>
  </si>
  <si>
    <t>4565419525656295</t>
  </si>
  <si>
    <t>davidcastillo_17@hotmail.com</t>
  </si>
  <si>
    <t>Darleny Escobar Melendez</t>
  </si>
  <si>
    <t>7 th</t>
  </si>
  <si>
    <t>4210049920112583</t>
  </si>
  <si>
    <t>07</t>
  </si>
  <si>
    <t>darlenymolina@gmaail.com</t>
  </si>
  <si>
    <t>Williams Alexander Gomez</t>
  </si>
  <si>
    <t>5333396915532476</t>
  </si>
  <si>
    <t>marilin.cruz@yahoo.com</t>
  </si>
  <si>
    <t>Dwigth Emilio Lagos</t>
  </si>
  <si>
    <t>Sandy  Zelaya Arias</t>
  </si>
  <si>
    <t>8 th</t>
  </si>
  <si>
    <t>377743665166922</t>
  </si>
  <si>
    <t>jzelaya1978@hotmail.com</t>
  </si>
  <si>
    <t>Sebastian Ordoñez</t>
  </si>
  <si>
    <t>9 th</t>
  </si>
  <si>
    <t>377741562087886</t>
  </si>
  <si>
    <t>hr_hernandez10@hotmail.com</t>
  </si>
  <si>
    <t xml:space="preserve">Ana Isabella Salinas </t>
  </si>
  <si>
    <t>377741512037122</t>
  </si>
  <si>
    <t>sabc3176@gmail.com</t>
  </si>
  <si>
    <t>Annie Valeria Alfaro Bustillo</t>
  </si>
  <si>
    <t>9no</t>
  </si>
  <si>
    <t>4152370001858476</t>
  </si>
  <si>
    <t>04</t>
  </si>
  <si>
    <t>jacquelinebustillomatamoros@gmail.com</t>
  </si>
  <si>
    <t>BUS MES DE FEBRERO 2025</t>
  </si>
  <si>
    <t>Christopher Medina Arrazola</t>
  </si>
  <si>
    <t>10 th</t>
  </si>
  <si>
    <t>Aslhle Abigail Zambrano Baca</t>
  </si>
  <si>
    <t>2do grade</t>
  </si>
  <si>
    <t>5333396900360347</t>
  </si>
  <si>
    <t>ibaca93.ib@gmail.com</t>
  </si>
  <si>
    <t>MES DE SALDO MARZO 2025</t>
  </si>
  <si>
    <t>Lucia Amador Varela</t>
  </si>
  <si>
    <t>3 grado 2024</t>
  </si>
  <si>
    <t>4041554004230859</t>
  </si>
  <si>
    <t>12</t>
  </si>
  <si>
    <t>rony_01@yahoo.es</t>
  </si>
  <si>
    <t>Any Amador Varela</t>
  </si>
  <si>
    <t>7 grado 2024</t>
  </si>
  <si>
    <t>MARZO B 2025</t>
  </si>
  <si>
    <t>Hermanos Alvarado Reyes Daniel y Genesis</t>
  </si>
  <si>
    <t>4392686922215128</t>
  </si>
  <si>
    <t>rosarioreyes2627@yahoo.com</t>
  </si>
  <si>
    <t>MES DE COLEG MARZO 2025</t>
  </si>
  <si>
    <t>Daniel Isaac Alvardo Reyes</t>
  </si>
  <si>
    <t>10 th grade</t>
  </si>
  <si>
    <t>Genesis Abigail Alvarado Reyes</t>
  </si>
  <si>
    <t>Valery Flores Moncada</t>
  </si>
  <si>
    <t>4960780014828898</t>
  </si>
  <si>
    <t>ajosue.matute@yahoo.com</t>
  </si>
  <si>
    <t>MARZO C 2025</t>
  </si>
  <si>
    <t>Cesia Banegas Gonzalez</t>
  </si>
  <si>
    <t>4215430006678678</t>
  </si>
  <si>
    <t>marcebanegas_2806@yahoo.es</t>
  </si>
  <si>
    <t>CLASE NATACION MARZO</t>
  </si>
  <si>
    <t>MARZO D 10/03/2025</t>
  </si>
  <si>
    <t>Thiago Sebastian Cruz</t>
  </si>
  <si>
    <t>4551290700288311</t>
  </si>
  <si>
    <t>daniagutierrezdcruz@yahoo.com</t>
  </si>
  <si>
    <t>Andrea Lizeth Reyes Hernandez</t>
  </si>
  <si>
    <t>4446851029633385</t>
  </si>
  <si>
    <t>marlenlizethhernandez1991@gmail.com</t>
  </si>
  <si>
    <t>Henry Jafeth Reyes Hernandez</t>
  </si>
  <si>
    <t>MARZO E 26/03/2025</t>
  </si>
  <si>
    <t>NATACION MES MARZO</t>
  </si>
  <si>
    <t>MES DE MARZO 2025</t>
  </si>
  <si>
    <t>MES DE COLEG ABRIL 2025</t>
  </si>
  <si>
    <t>BUS MES DE MARZO 2025</t>
  </si>
  <si>
    <t>ABRIL A 01/04/2025</t>
  </si>
  <si>
    <t>Erick Castillo</t>
  </si>
  <si>
    <t>4to</t>
  </si>
  <si>
    <t>4504029000024127</t>
  </si>
  <si>
    <t>icis.ale22@gmail.com</t>
  </si>
  <si>
    <t>MES DE MARZO 2025 y natacion abril</t>
  </si>
  <si>
    <t>Cinthia Alfaro Bustillo</t>
  </si>
  <si>
    <t>MES DE ABRIL 2025</t>
  </si>
  <si>
    <t>**FALTA DEBITAR l 420.50</t>
  </si>
  <si>
    <t>ABRIL B 01/04/2025</t>
  </si>
  <si>
    <t>NATACION MARZO Y ABRIL</t>
  </si>
  <si>
    <t>CLASE NATACION ABRIL</t>
  </si>
  <si>
    <t>ABRIL C 02/04/2025</t>
  </si>
  <si>
    <t xml:space="preserve">Jose Daniel Ortega </t>
  </si>
  <si>
    <t>7 Español</t>
  </si>
  <si>
    <t>377741192248379</t>
  </si>
  <si>
    <t>martinezanna2528@gmail.com</t>
  </si>
  <si>
    <t>Lhia Mondragon Martinez</t>
  </si>
  <si>
    <t>4551301077642277</t>
  </si>
  <si>
    <t>ricarnb@yahoo.com</t>
  </si>
  <si>
    <t>ABRIL D 02/04/2025</t>
  </si>
  <si>
    <t>Amy Estrada</t>
  </si>
  <si>
    <t>4446858000129788</t>
  </si>
  <si>
    <t>institutojosececiliodelvalle@yahoo.com</t>
  </si>
  <si>
    <t>Byron Estrada</t>
  </si>
  <si>
    <t>8TH B</t>
  </si>
  <si>
    <t>ABRIL E 23/04/2025 E</t>
  </si>
  <si>
    <t>ABRIL F 30/04/2025</t>
  </si>
  <si>
    <t>5294780700125835</t>
  </si>
  <si>
    <t>MES DE  ABRIL 2025</t>
  </si>
  <si>
    <t>MES DE  MAYO  2025</t>
  </si>
  <si>
    <t>MAYO A 13/05/ 2025</t>
  </si>
  <si>
    <t>MES DE COLEG MAYO 2025</t>
  </si>
  <si>
    <t>BUS MES DE ABRIL 2025</t>
  </si>
  <si>
    <t>MAYO B 17/05/2025</t>
  </si>
  <si>
    <t>MES DE  JUNIO 2025</t>
  </si>
  <si>
    <t>MAYO C 22/05/2025</t>
  </si>
  <si>
    <t>MES DE MAYO 2025</t>
  </si>
  <si>
    <t>Eunice Monzerrath Rodriguez</t>
  </si>
  <si>
    <t>9TH B</t>
  </si>
  <si>
    <t>4754919106006258</t>
  </si>
  <si>
    <t>ericro82@mail.com</t>
  </si>
  <si>
    <t>MAYO XX</t>
  </si>
  <si>
    <t>Sara Camila Rivera</t>
  </si>
  <si>
    <t>4230871709803975</t>
  </si>
  <si>
    <t>sandrabueso22@hotmail.com</t>
  </si>
  <si>
    <t>MES DE  JULIO 2025</t>
  </si>
  <si>
    <t>VISISTA AL MUSEO DEL BANCO CENTRAL</t>
  </si>
  <si>
    <t>NAOMI ZOE MONTENEGRO RUIZ</t>
  </si>
  <si>
    <t>DIEGO RICARDO MONTOYA CASTRO</t>
  </si>
  <si>
    <t>ESTEBAN AERTURO HERNANDEZ URRUTIA</t>
  </si>
  <si>
    <t>SOBRANTES DE ACTIVIDADES VARIAS A UTILIZAR COMO FONDO INICIAL BANDA 2025</t>
  </si>
  <si>
    <t>entrada a teatro 2022</t>
  </si>
  <si>
    <t>sobrante desfile 2023</t>
  </si>
  <si>
    <t>transp museo telecomunicaciones</t>
  </si>
  <si>
    <t>sobrante viaje</t>
  </si>
  <si>
    <t>viaje a Ojojona 11 grado 2024</t>
  </si>
  <si>
    <t>transp desfile prescolar 2024</t>
  </si>
  <si>
    <t>transp desfile esc Francisco D sales</t>
  </si>
  <si>
    <t>transp dia del niño 3th A 2024</t>
  </si>
  <si>
    <t>sobrante desfile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</si>
</sst>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-&quot;L&quot;* #,##0.00_-;\-&quot;L&quot;* #,##0.00_-;_-&quot;L&quot;* &quot;-&quot;??_-;_-@_-"/>
    <numFmt numFmtId="165" formatCode="_ &quot;L.&quot;\ * #,##0.00_ ;_ &quot;L.&quot;\ * \-#,##0.00_ ;_ &quot;L.&quot;\ * &quot;-&quot;??_ ;_ @_ "/>
    <numFmt numFmtId="166" formatCode="_-[$L-480A]* #,##0.00_-;\-[$L-480A]* #,##0.00_-;_-[$L-480A]* &quot;-&quot;??_-;_-@_-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Times New Roman"/>
      <family val="1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0"/>
      <color rgb="FF000000"/>
      <name val="Calibri"/>
      <family val="2"/>
    </font>
    <font>
      <sz val="11"/>
      <color rgb="FFFF0000"/>
      <name val="Calibri"/>
      <family val="2"/>
    </font>
    <font>
      <sz val="11"/>
      <name val="Calibri"/>
      <family val="2"/>
    </font>
    <font>
      <sz val="10"/>
      <color theme="1"/>
      <name val="Arial"/>
      <family val="2"/>
    </font>
    <font>
      <sz val="11"/>
      <color theme="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4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9" tint="0.79998168889431442"/>
      <name val="Calibri"/>
      <family val="2"/>
      <scheme val="minor"/>
    </font>
    <font>
      <sz val="10"/>
      <name val="Calibri"/>
      <family val="2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rgb="FF000000"/>
      <name val="Calibri"/>
      <family val="2"/>
    </font>
  </fonts>
  <fills count="3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CCC1DA"/>
      </patternFill>
    </fill>
    <fill>
      <patternFill patternType="solid">
        <fgColor rgb="FFFF9966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rgb="FFCCC1DA"/>
      </patternFill>
    </fill>
    <fill>
      <patternFill patternType="solid">
        <fgColor theme="5" tint="0.59999389629810485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6" fillId="0" borderId="0"/>
    <xf numFmtId="0" fontId="23" fillId="0" borderId="0" applyNumberFormat="0" applyFill="0" applyBorder="0" applyAlignment="0" applyProtection="0"/>
  </cellStyleXfs>
  <cellXfs count="664">
    <xf numFmtId="0" fontId="0" fillId="0" borderId="0" xfId="0"/>
    <xf numFmtId="0" fontId="0" fillId="2" borderId="0" xfId="0" applyFill="1"/>
    <xf numFmtId="0" fontId="3" fillId="0" borderId="0" xfId="0" applyFont="1"/>
    <xf numFmtId="0" fontId="0" fillId="3" borderId="0" xfId="0" applyFill="1"/>
    <xf numFmtId="0" fontId="0" fillId="0" borderId="1" xfId="0" applyBorder="1"/>
    <xf numFmtId="0" fontId="0" fillId="0" borderId="1" xfId="0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2" fontId="0" fillId="0" borderId="0" xfId="0" applyNumberFormat="1"/>
    <xf numFmtId="164" fontId="0" fillId="0" borderId="0" xfId="2" applyFont="1"/>
    <xf numFmtId="164" fontId="3" fillId="4" borderId="1" xfId="2" applyFont="1" applyFill="1" applyBorder="1" applyAlignment="1">
      <alignment horizontal="center"/>
    </xf>
    <xf numFmtId="0" fontId="0" fillId="0" borderId="2" xfId="0" applyBorder="1"/>
    <xf numFmtId="164" fontId="0" fillId="0" borderId="0" xfId="2" applyFont="1" applyFill="1"/>
    <xf numFmtId="164" fontId="0" fillId="0" borderId="0" xfId="0" applyNumberFormat="1"/>
    <xf numFmtId="0" fontId="3" fillId="0" borderId="0" xfId="0" applyFont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0" borderId="1" xfId="0" applyBorder="1" applyAlignment="1">
      <alignment wrapText="1"/>
    </xf>
    <xf numFmtId="0" fontId="0" fillId="0" borderId="0" xfId="0" applyAlignment="1">
      <alignment horizontal="right"/>
    </xf>
    <xf numFmtId="164" fontId="0" fillId="0" borderId="0" xfId="2" applyFont="1" applyAlignment="1">
      <alignment horizontal="center"/>
    </xf>
    <xf numFmtId="2" fontId="0" fillId="0" borderId="0" xfId="0" applyNumberFormat="1" applyAlignment="1">
      <alignment horizontal="right"/>
    </xf>
    <xf numFmtId="0" fontId="0" fillId="0" borderId="3" xfId="0" applyBorder="1" applyAlignment="1">
      <alignment horizontal="center"/>
    </xf>
    <xf numFmtId="0" fontId="3" fillId="0" borderId="1" xfId="0" applyFont="1" applyBorder="1" applyAlignment="1">
      <alignment horizontal="center"/>
    </xf>
    <xf numFmtId="164" fontId="0" fillId="5" borderId="0" xfId="0" applyNumberFormat="1" applyFill="1"/>
    <xf numFmtId="0" fontId="0" fillId="0" borderId="1" xfId="0" applyBorder="1" applyAlignment="1">
      <alignment horizontal="center" wrapText="1"/>
    </xf>
    <xf numFmtId="0" fontId="0" fillId="6" borderId="0" xfId="0" applyFill="1"/>
    <xf numFmtId="0" fontId="0" fillId="0" borderId="0" xfId="0" applyAlignment="1">
      <alignment wrapText="1"/>
    </xf>
    <xf numFmtId="0" fontId="0" fillId="2" borderId="1" xfId="0" applyFill="1" applyBorder="1"/>
    <xf numFmtId="14" fontId="0" fillId="0" borderId="0" xfId="0" applyNumberFormat="1"/>
    <xf numFmtId="0" fontId="0" fillId="0" borderId="2" xfId="0" applyBorder="1" applyAlignment="1">
      <alignment horizontal="center"/>
    </xf>
    <xf numFmtId="2" fontId="0" fillId="6" borderId="0" xfId="0" applyNumberFormat="1" applyFill="1"/>
    <xf numFmtId="0" fontId="4" fillId="0" borderId="0" xfId="0" applyFont="1" applyAlignment="1">
      <alignment wrapText="1"/>
    </xf>
    <xf numFmtId="0" fontId="4" fillId="0" borderId="1" xfId="0" applyFont="1" applyBorder="1" applyAlignment="1">
      <alignment wrapText="1"/>
    </xf>
    <xf numFmtId="0" fontId="0" fillId="7" borderId="0" xfId="0" applyFill="1"/>
    <xf numFmtId="0" fontId="0" fillId="7" borderId="0" xfId="0" applyFill="1" applyAlignment="1">
      <alignment horizontal="center"/>
    </xf>
    <xf numFmtId="164" fontId="0" fillId="7" borderId="0" xfId="2" applyFont="1" applyFill="1"/>
    <xf numFmtId="0" fontId="0" fillId="0" borderId="0" xfId="0" applyAlignment="1">
      <alignment horizontal="center" wrapText="1"/>
    </xf>
    <xf numFmtId="0" fontId="0" fillId="0" borderId="4" xfId="0" applyBorder="1"/>
    <xf numFmtId="2" fontId="0" fillId="6" borderId="0" xfId="0" applyNumberFormat="1" applyFill="1" applyAlignment="1">
      <alignment horizontal="right"/>
    </xf>
    <xf numFmtId="164" fontId="0" fillId="0" borderId="0" xfId="2" applyFont="1" applyFill="1" applyAlignment="1">
      <alignment horizontal="center"/>
    </xf>
    <xf numFmtId="0" fontId="4" fillId="0" borderId="0" xfId="0" applyFont="1"/>
    <xf numFmtId="0" fontId="4" fillId="8" borderId="1" xfId="0" applyFont="1" applyFill="1" applyBorder="1"/>
    <xf numFmtId="0" fontId="0" fillId="8" borderId="1" xfId="0" applyFill="1" applyBorder="1"/>
    <xf numFmtId="0" fontId="0" fillId="9" borderId="1" xfId="0" applyFill="1" applyBorder="1"/>
    <xf numFmtId="164" fontId="0" fillId="9" borderId="1" xfId="2" applyFont="1" applyFill="1" applyBorder="1"/>
    <xf numFmtId="0" fontId="0" fillId="7" borderId="1" xfId="0" applyFill="1" applyBorder="1"/>
    <xf numFmtId="164" fontId="0" fillId="7" borderId="1" xfId="2" applyFont="1" applyFill="1" applyBorder="1"/>
    <xf numFmtId="0" fontId="0" fillId="5" borderId="1" xfId="0" applyFill="1" applyBorder="1"/>
    <xf numFmtId="164" fontId="0" fillId="5" borderId="1" xfId="2" applyFont="1" applyFill="1" applyBorder="1"/>
    <xf numFmtId="0" fontId="0" fillId="10" borderId="1" xfId="0" applyFill="1" applyBorder="1"/>
    <xf numFmtId="164" fontId="0" fillId="10" borderId="1" xfId="2" applyFont="1" applyFill="1" applyBorder="1"/>
    <xf numFmtId="0" fontId="0" fillId="11" borderId="1" xfId="0" applyFill="1" applyBorder="1"/>
    <xf numFmtId="164" fontId="0" fillId="11" borderId="1" xfId="2" applyFont="1" applyFill="1" applyBorder="1"/>
    <xf numFmtId="0" fontId="0" fillId="9" borderId="1" xfId="0" applyFill="1" applyBorder="1" applyAlignment="1">
      <alignment wrapText="1"/>
    </xf>
    <xf numFmtId="164" fontId="0" fillId="9" borderId="1" xfId="2" applyFont="1" applyFill="1" applyBorder="1" applyAlignment="1">
      <alignment wrapText="1"/>
    </xf>
    <xf numFmtId="0" fontId="0" fillId="7" borderId="1" xfId="0" applyFill="1" applyBorder="1" applyAlignment="1">
      <alignment wrapText="1"/>
    </xf>
    <xf numFmtId="164" fontId="0" fillId="7" borderId="1" xfId="2" applyFont="1" applyFill="1" applyBorder="1" applyAlignment="1">
      <alignment wrapText="1"/>
    </xf>
    <xf numFmtId="0" fontId="5" fillId="10" borderId="1" xfId="0" applyFont="1" applyFill="1" applyBorder="1" applyAlignment="1">
      <alignment wrapText="1"/>
    </xf>
    <xf numFmtId="164" fontId="5" fillId="10" borderId="1" xfId="2" applyFont="1" applyFill="1" applyBorder="1" applyAlignment="1">
      <alignment wrapText="1"/>
    </xf>
    <xf numFmtId="0" fontId="0" fillId="11" borderId="1" xfId="0" applyFill="1" applyBorder="1" applyAlignment="1">
      <alignment wrapText="1"/>
    </xf>
    <xf numFmtId="0" fontId="0" fillId="12" borderId="7" xfId="0" applyFill="1" applyBorder="1"/>
    <xf numFmtId="0" fontId="0" fillId="12" borderId="10" xfId="0" applyFill="1" applyBorder="1"/>
    <xf numFmtId="0" fontId="0" fillId="6" borderId="10" xfId="0" applyFill="1" applyBorder="1"/>
    <xf numFmtId="164" fontId="0" fillId="6" borderId="10" xfId="2" applyFont="1" applyFill="1" applyBorder="1"/>
    <xf numFmtId="0" fontId="0" fillId="2" borderId="10" xfId="0" applyFill="1" applyBorder="1"/>
    <xf numFmtId="164" fontId="0" fillId="2" borderId="10" xfId="2" applyFont="1" applyFill="1" applyBorder="1"/>
    <xf numFmtId="0" fontId="0" fillId="13" borderId="10" xfId="0" applyFill="1" applyBorder="1"/>
    <xf numFmtId="164" fontId="0" fillId="13" borderId="10" xfId="2" applyFont="1" applyFill="1" applyBorder="1"/>
    <xf numFmtId="0" fontId="0" fillId="14" borderId="10" xfId="0" applyFill="1" applyBorder="1"/>
    <xf numFmtId="164" fontId="0" fillId="14" borderId="10" xfId="2" applyFont="1" applyFill="1" applyBorder="1"/>
    <xf numFmtId="0" fontId="0" fillId="11" borderId="10" xfId="0" applyFill="1" applyBorder="1"/>
    <xf numFmtId="0" fontId="0" fillId="12" borderId="1" xfId="0" applyFill="1" applyBorder="1"/>
    <xf numFmtId="0" fontId="0" fillId="6" borderId="1" xfId="0" applyFill="1" applyBorder="1"/>
    <xf numFmtId="164" fontId="0" fillId="6" borderId="1" xfId="2" applyFont="1" applyFill="1" applyBorder="1"/>
    <xf numFmtId="164" fontId="0" fillId="2" borderId="1" xfId="2" applyFont="1" applyFill="1" applyBorder="1"/>
    <xf numFmtId="0" fontId="0" fillId="13" borderId="1" xfId="0" applyFill="1" applyBorder="1"/>
    <xf numFmtId="164" fontId="0" fillId="13" borderId="1" xfId="2" applyFont="1" applyFill="1" applyBorder="1"/>
    <xf numFmtId="0" fontId="0" fillId="14" borderId="1" xfId="0" applyFill="1" applyBorder="1"/>
    <xf numFmtId="164" fontId="0" fillId="14" borderId="1" xfId="2" applyFont="1" applyFill="1" applyBorder="1"/>
    <xf numFmtId="0" fontId="0" fillId="6" borderId="1" xfId="0" applyFill="1" applyBorder="1" applyAlignment="1">
      <alignment wrapText="1"/>
    </xf>
    <xf numFmtId="0" fontId="5" fillId="14" borderId="1" xfId="0" applyFont="1" applyFill="1" applyBorder="1" applyAlignment="1">
      <alignment wrapText="1"/>
    </xf>
    <xf numFmtId="0" fontId="0" fillId="14" borderId="1" xfId="0" applyFill="1" applyBorder="1" applyAlignment="1">
      <alignment wrapText="1"/>
    </xf>
    <xf numFmtId="164" fontId="0" fillId="14" borderId="1" xfId="2" applyFont="1" applyFill="1" applyBorder="1" applyAlignment="1">
      <alignment wrapText="1"/>
    </xf>
    <xf numFmtId="164" fontId="0" fillId="0" borderId="11" xfId="2" applyFont="1" applyBorder="1"/>
    <xf numFmtId="164" fontId="0" fillId="0" borderId="13" xfId="2" applyFont="1" applyBorder="1"/>
    <xf numFmtId="164" fontId="0" fillId="0" borderId="15" xfId="2" applyFont="1" applyBorder="1"/>
    <xf numFmtId="164" fontId="0" fillId="0" borderId="17" xfId="2" applyFont="1" applyBorder="1"/>
    <xf numFmtId="164" fontId="0" fillId="0" borderId="4" xfId="2" applyFont="1" applyBorder="1"/>
    <xf numFmtId="164" fontId="0" fillId="0" borderId="19" xfId="2" applyFont="1" applyBorder="1"/>
    <xf numFmtId="164" fontId="0" fillId="0" borderId="20" xfId="2" applyFont="1" applyBorder="1"/>
    <xf numFmtId="0" fontId="0" fillId="17" borderId="1" xfId="0" applyFill="1" applyBorder="1"/>
    <xf numFmtId="0" fontId="0" fillId="9" borderId="21" xfId="0" applyFill="1" applyBorder="1"/>
    <xf numFmtId="164" fontId="0" fillId="9" borderId="10" xfId="2" applyFont="1" applyFill="1" applyBorder="1"/>
    <xf numFmtId="0" fontId="0" fillId="4" borderId="10" xfId="0" applyFill="1" applyBorder="1"/>
    <xf numFmtId="164" fontId="0" fillId="4" borderId="10" xfId="2" applyFont="1" applyFill="1" applyBorder="1"/>
    <xf numFmtId="0" fontId="0" fillId="15" borderId="10" xfId="0" applyFill="1" applyBorder="1"/>
    <xf numFmtId="164" fontId="0" fillId="15" borderId="10" xfId="2" applyFont="1" applyFill="1" applyBorder="1"/>
    <xf numFmtId="0" fontId="0" fillId="16" borderId="10" xfId="0" applyFill="1" applyBorder="1"/>
    <xf numFmtId="164" fontId="0" fillId="16" borderId="10" xfId="2" applyFont="1" applyFill="1" applyBorder="1"/>
    <xf numFmtId="0" fontId="0" fillId="9" borderId="6" xfId="0" applyFill="1" applyBorder="1"/>
    <xf numFmtId="0" fontId="0" fillId="4" borderId="1" xfId="0" applyFill="1" applyBorder="1"/>
    <xf numFmtId="164" fontId="0" fillId="4" borderId="1" xfId="2" applyFont="1" applyFill="1" applyBorder="1"/>
    <xf numFmtId="0" fontId="0" fillId="15" borderId="1" xfId="0" applyFill="1" applyBorder="1"/>
    <xf numFmtId="164" fontId="0" fillId="15" borderId="1" xfId="2" applyFont="1" applyFill="1" applyBorder="1"/>
    <xf numFmtId="0" fontId="0" fillId="16" borderId="1" xfId="0" applyFill="1" applyBorder="1"/>
    <xf numFmtId="164" fontId="0" fillId="16" borderId="1" xfId="2" applyFont="1" applyFill="1" applyBorder="1"/>
    <xf numFmtId="0" fontId="0" fillId="9" borderId="6" xfId="0" applyFill="1" applyBorder="1" applyAlignment="1">
      <alignment wrapText="1"/>
    </xf>
    <xf numFmtId="0" fontId="0" fillId="6" borderId="1" xfId="0" applyFill="1" applyBorder="1" applyAlignment="1">
      <alignment vertical="center"/>
    </xf>
    <xf numFmtId="164" fontId="0" fillId="6" borderId="1" xfId="2" applyFont="1" applyFill="1" applyBorder="1" applyAlignment="1">
      <alignment vertical="center"/>
    </xf>
    <xf numFmtId="0" fontId="5" fillId="14" borderId="1" xfId="0" applyFont="1" applyFill="1" applyBorder="1" applyAlignment="1">
      <alignment vertical="center" wrapText="1"/>
    </xf>
    <xf numFmtId="164" fontId="0" fillId="14" borderId="1" xfId="2" applyFont="1" applyFill="1" applyBorder="1" applyAlignment="1">
      <alignment vertical="center"/>
    </xf>
    <xf numFmtId="0" fontId="0" fillId="4" borderId="1" xfId="0" applyFill="1" applyBorder="1" applyAlignment="1">
      <alignment vertical="center"/>
    </xf>
    <xf numFmtId="164" fontId="0" fillId="4" borderId="1" xfId="2" applyFont="1" applyFill="1" applyBorder="1" applyAlignment="1">
      <alignment vertical="center"/>
    </xf>
    <xf numFmtId="0" fontId="0" fillId="15" borderId="1" xfId="0" applyFill="1" applyBorder="1" applyAlignment="1">
      <alignment vertical="center" wrapText="1"/>
    </xf>
    <xf numFmtId="164" fontId="0" fillId="15" borderId="1" xfId="2" applyFont="1" applyFill="1" applyBorder="1" applyAlignment="1">
      <alignment vertical="center"/>
    </xf>
    <xf numFmtId="0" fontId="0" fillId="16" borderId="1" xfId="0" applyFill="1" applyBorder="1" applyAlignment="1">
      <alignment vertical="center" wrapText="1"/>
    </xf>
    <xf numFmtId="0" fontId="4" fillId="9" borderId="6" xfId="0" applyFont="1" applyFill="1" applyBorder="1" applyAlignment="1">
      <alignment wrapText="1"/>
    </xf>
    <xf numFmtId="164" fontId="4" fillId="9" borderId="1" xfId="2" applyFont="1" applyFill="1" applyBorder="1"/>
    <xf numFmtId="0" fontId="3" fillId="9" borderId="6" xfId="0" applyFont="1" applyFill="1" applyBorder="1"/>
    <xf numFmtId="164" fontId="3" fillId="9" borderId="1" xfId="2" applyFont="1" applyFill="1" applyBorder="1"/>
    <xf numFmtId="0" fontId="3" fillId="6" borderId="1" xfId="0" applyFont="1" applyFill="1" applyBorder="1"/>
    <xf numFmtId="164" fontId="3" fillId="6" borderId="1" xfId="0" applyNumberFormat="1" applyFont="1" applyFill="1" applyBorder="1"/>
    <xf numFmtId="0" fontId="3" fillId="14" borderId="1" xfId="0" applyFont="1" applyFill="1" applyBorder="1"/>
    <xf numFmtId="164" fontId="3" fillId="14" borderId="1" xfId="0" applyNumberFormat="1" applyFont="1" applyFill="1" applyBorder="1"/>
    <xf numFmtId="0" fontId="3" fillId="4" borderId="1" xfId="0" applyFont="1" applyFill="1" applyBorder="1"/>
    <xf numFmtId="164" fontId="3" fillId="4" borderId="1" xfId="0" applyNumberFormat="1" applyFont="1" applyFill="1" applyBorder="1"/>
    <xf numFmtId="0" fontId="3" fillId="15" borderId="1" xfId="0" applyFont="1" applyFill="1" applyBorder="1"/>
    <xf numFmtId="164" fontId="3" fillId="15" borderId="1" xfId="0" applyNumberFormat="1" applyFont="1" applyFill="1" applyBorder="1"/>
    <xf numFmtId="0" fontId="3" fillId="16" borderId="1" xfId="0" applyFont="1" applyFill="1" applyBorder="1"/>
    <xf numFmtId="164" fontId="3" fillId="16" borderId="1" xfId="0" applyNumberFormat="1" applyFont="1" applyFill="1" applyBorder="1"/>
    <xf numFmtId="0" fontId="5" fillId="11" borderId="10" xfId="0" applyFont="1" applyFill="1" applyBorder="1" applyAlignment="1">
      <alignment wrapText="1"/>
    </xf>
    <xf numFmtId="164" fontId="0" fillId="11" borderId="10" xfId="2" applyFont="1" applyFill="1" applyBorder="1"/>
    <xf numFmtId="0" fontId="3" fillId="11" borderId="1" xfId="0" applyFont="1" applyFill="1" applyBorder="1"/>
    <xf numFmtId="164" fontId="3" fillId="11" borderId="1" xfId="0" applyNumberFormat="1" applyFont="1" applyFill="1" applyBorder="1"/>
    <xf numFmtId="0" fontId="6" fillId="0" borderId="22" xfId="3" applyBorder="1" applyAlignment="1">
      <alignment horizontal="center"/>
    </xf>
    <xf numFmtId="0" fontId="6" fillId="0" borderId="23" xfId="3" applyBorder="1" applyAlignment="1">
      <alignment horizontal="center"/>
    </xf>
    <xf numFmtId="0" fontId="6" fillId="0" borderId="22" xfId="3" applyBorder="1" applyAlignment="1">
      <alignment horizontal="center" wrapText="1"/>
    </xf>
    <xf numFmtId="49" fontId="6" fillId="0" borderId="22" xfId="3" applyNumberFormat="1" applyBorder="1" applyAlignment="1">
      <alignment horizontal="center" vertical="center"/>
    </xf>
    <xf numFmtId="0" fontId="6" fillId="0" borderId="24" xfId="3" applyBorder="1" applyAlignment="1">
      <alignment wrapText="1"/>
    </xf>
    <xf numFmtId="0" fontId="6" fillId="0" borderId="25" xfId="3" applyBorder="1" applyAlignment="1">
      <alignment wrapText="1"/>
    </xf>
    <xf numFmtId="0" fontId="6" fillId="18" borderId="25" xfId="3" applyFill="1" applyBorder="1" applyAlignment="1">
      <alignment wrapText="1"/>
    </xf>
    <xf numFmtId="0" fontId="6" fillId="19" borderId="26" xfId="3" applyFill="1" applyBorder="1" applyAlignment="1">
      <alignment horizontal="center"/>
    </xf>
    <xf numFmtId="0" fontId="6" fillId="19" borderId="27" xfId="3" applyFill="1" applyBorder="1" applyAlignment="1">
      <alignment horizontal="center"/>
    </xf>
    <xf numFmtId="0" fontId="6" fillId="19" borderId="22" xfId="3" applyFill="1" applyBorder="1" applyAlignment="1">
      <alignment horizontal="center" wrapText="1"/>
    </xf>
    <xf numFmtId="0" fontId="6" fillId="19" borderId="24" xfId="3" applyFill="1" applyBorder="1" applyAlignment="1">
      <alignment horizontal="center" wrapText="1"/>
    </xf>
    <xf numFmtId="0" fontId="7" fillId="20" borderId="0" xfId="3" applyFont="1" applyFill="1" applyAlignment="1">
      <alignment horizontal="center" wrapText="1"/>
    </xf>
    <xf numFmtId="0" fontId="7" fillId="21" borderId="1" xfId="3" applyFont="1" applyFill="1" applyBorder="1" applyAlignment="1">
      <alignment horizontal="center" wrapText="1"/>
    </xf>
    <xf numFmtId="1" fontId="7" fillId="6" borderId="1" xfId="3" applyNumberFormat="1" applyFont="1" applyFill="1" applyBorder="1" applyAlignment="1">
      <alignment horizontal="center" wrapText="1"/>
    </xf>
    <xf numFmtId="0" fontId="7" fillId="6" borderId="1" xfId="3" applyFont="1" applyFill="1" applyBorder="1" applyAlignment="1">
      <alignment horizontal="center" wrapText="1"/>
    </xf>
    <xf numFmtId="0" fontId="7" fillId="4" borderId="1" xfId="3" applyFont="1" applyFill="1" applyBorder="1" applyAlignment="1">
      <alignment horizontal="center" wrapText="1"/>
    </xf>
    <xf numFmtId="164" fontId="6" fillId="18" borderId="1" xfId="2" applyFont="1" applyFill="1" applyBorder="1"/>
    <xf numFmtId="164" fontId="6" fillId="18" borderId="0" xfId="2" applyFont="1" applyFill="1"/>
    <xf numFmtId="0" fontId="6" fillId="0" borderId="0" xfId="3"/>
    <xf numFmtId="0" fontId="6" fillId="0" borderId="26" xfId="3" applyBorder="1" applyAlignment="1">
      <alignment horizontal="center"/>
    </xf>
    <xf numFmtId="0" fontId="6" fillId="0" borderId="27" xfId="3" applyBorder="1" applyAlignment="1">
      <alignment horizontal="center"/>
    </xf>
    <xf numFmtId="0" fontId="6" fillId="0" borderId="24" xfId="3" applyBorder="1" applyAlignment="1">
      <alignment horizontal="center" wrapText="1"/>
    </xf>
    <xf numFmtId="0" fontId="7" fillId="22" borderId="0" xfId="3" applyFont="1" applyFill="1" applyAlignment="1">
      <alignment horizontal="center" wrapText="1"/>
    </xf>
    <xf numFmtId="0" fontId="7" fillId="0" borderId="1" xfId="3" applyFont="1" applyBorder="1" applyAlignment="1">
      <alignment horizontal="center" wrapText="1"/>
    </xf>
    <xf numFmtId="164" fontId="6" fillId="0" borderId="1" xfId="2" applyFont="1" applyFill="1" applyBorder="1"/>
    <xf numFmtId="0" fontId="6" fillId="23" borderId="1" xfId="3" applyFill="1" applyBorder="1" applyAlignment="1">
      <alignment horizontal="left"/>
    </xf>
    <xf numFmtId="0" fontId="6" fillId="0" borderId="24" xfId="3" applyBorder="1" applyAlignment="1">
      <alignment horizontal="center"/>
    </xf>
    <xf numFmtId="0" fontId="6" fillId="0" borderId="1" xfId="3" applyBorder="1" applyAlignment="1">
      <alignment wrapText="1"/>
    </xf>
    <xf numFmtId="164" fontId="6" fillId="0" borderId="1" xfId="2" applyFont="1" applyBorder="1" applyAlignment="1">
      <alignment wrapText="1"/>
    </xf>
    <xf numFmtId="164" fontId="6" fillId="0" borderId="1" xfId="2" applyFont="1" applyBorder="1" applyAlignment="1">
      <alignment horizontal="center"/>
    </xf>
    <xf numFmtId="164" fontId="6" fillId="0" borderId="1" xfId="2" applyFont="1" applyBorder="1" applyAlignment="1">
      <alignment horizontal="center" wrapText="1"/>
    </xf>
    <xf numFmtId="164" fontId="7" fillId="0" borderId="1" xfId="2" applyFont="1" applyBorder="1" applyAlignment="1">
      <alignment horizontal="center" wrapText="1"/>
    </xf>
    <xf numFmtId="1" fontId="7" fillId="6" borderId="1" xfId="2" applyNumberFormat="1" applyFont="1" applyFill="1" applyBorder="1" applyAlignment="1">
      <alignment horizontal="center" wrapText="1"/>
    </xf>
    <xf numFmtId="164" fontId="7" fillId="6" borderId="1" xfId="2" applyFont="1" applyFill="1" applyBorder="1" applyAlignment="1">
      <alignment horizontal="center" wrapText="1"/>
    </xf>
    <xf numFmtId="164" fontId="7" fillId="4" borderId="1" xfId="2" applyFont="1" applyFill="1" applyBorder="1" applyAlignment="1">
      <alignment horizontal="center" wrapText="1"/>
    </xf>
    <xf numFmtId="164" fontId="6" fillId="0" borderId="6" xfId="2" applyFont="1" applyFill="1" applyBorder="1"/>
    <xf numFmtId="0" fontId="6" fillId="0" borderId="1" xfId="3" applyBorder="1" applyAlignment="1">
      <alignment horizontal="left"/>
    </xf>
    <xf numFmtId="0" fontId="7" fillId="20" borderId="0" xfId="3" applyFont="1" applyFill="1" applyAlignment="1">
      <alignment horizontal="center"/>
    </xf>
    <xf numFmtId="164" fontId="7" fillId="0" borderId="1" xfId="2" applyFont="1" applyBorder="1" applyAlignment="1">
      <alignment horizontal="center"/>
    </xf>
    <xf numFmtId="1" fontId="7" fillId="6" borderId="1" xfId="2" applyNumberFormat="1" applyFont="1" applyFill="1" applyBorder="1" applyAlignment="1">
      <alignment horizontal="center"/>
    </xf>
    <xf numFmtId="164" fontId="7" fillId="6" borderId="1" xfId="2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6" fillId="0" borderId="1" xfId="2" applyFont="1" applyBorder="1"/>
    <xf numFmtId="164" fontId="9" fillId="0" borderId="1" xfId="2" applyFont="1" applyBorder="1"/>
    <xf numFmtId="164" fontId="10" fillId="0" borderId="6" xfId="2" applyFont="1" applyFill="1" applyBorder="1"/>
    <xf numFmtId="0" fontId="6" fillId="0" borderId="1" xfId="3" applyBorder="1" applyAlignment="1">
      <alignment horizontal="center"/>
    </xf>
    <xf numFmtId="164" fontId="12" fillId="0" borderId="6" xfId="2" applyFont="1" applyFill="1" applyBorder="1"/>
    <xf numFmtId="164" fontId="13" fillId="0" borderId="1" xfId="2" applyFont="1" applyFill="1" applyBorder="1"/>
    <xf numFmtId="0" fontId="6" fillId="0" borderId="22" xfId="3" applyBorder="1" applyAlignment="1">
      <alignment horizontal="center" vertical="center"/>
    </xf>
    <xf numFmtId="0" fontId="6" fillId="7" borderId="1" xfId="3" applyFill="1" applyBorder="1" applyAlignment="1">
      <alignment horizontal="left"/>
    </xf>
    <xf numFmtId="164" fontId="9" fillId="0" borderId="1" xfId="2" applyFont="1" applyFill="1" applyBorder="1"/>
    <xf numFmtId="164" fontId="9" fillId="0" borderId="6" xfId="2" applyFont="1" applyFill="1" applyBorder="1"/>
    <xf numFmtId="0" fontId="6" fillId="0" borderId="1" xfId="3" applyBorder="1" applyAlignment="1">
      <alignment horizontal="center" wrapText="1"/>
    </xf>
    <xf numFmtId="43" fontId="6" fillId="0" borderId="1" xfId="3" applyNumberFormat="1" applyBorder="1" applyAlignment="1">
      <alignment horizontal="center" wrapText="1"/>
    </xf>
    <xf numFmtId="0" fontId="6" fillId="0" borderId="28" xfId="3" applyBorder="1" applyAlignment="1">
      <alignment horizontal="center"/>
    </xf>
    <xf numFmtId="164" fontId="7" fillId="0" borderId="0" xfId="2" applyFont="1" applyFill="1" applyAlignment="1">
      <alignment horizontal="center" wrapText="1"/>
    </xf>
    <xf numFmtId="1" fontId="7" fillId="6" borderId="0" xfId="2" applyNumberFormat="1" applyFont="1" applyFill="1" applyAlignment="1">
      <alignment horizontal="center" wrapText="1"/>
    </xf>
    <xf numFmtId="164" fontId="7" fillId="6" borderId="0" xfId="2" applyFont="1" applyFill="1" applyAlignment="1">
      <alignment horizontal="center" wrapText="1"/>
    </xf>
    <xf numFmtId="164" fontId="7" fillId="4" borderId="0" xfId="2" applyFont="1" applyFill="1" applyAlignment="1">
      <alignment horizontal="center" wrapText="1"/>
    </xf>
    <xf numFmtId="164" fontId="6" fillId="0" borderId="10" xfId="2" applyFont="1" applyFill="1" applyBorder="1"/>
    <xf numFmtId="0" fontId="6" fillId="0" borderId="29" xfId="3" applyBorder="1" applyAlignment="1">
      <alignment horizontal="center"/>
    </xf>
    <xf numFmtId="165" fontId="6" fillId="0" borderId="27" xfId="3" applyNumberFormat="1" applyBorder="1" applyAlignment="1">
      <alignment horizontal="center"/>
    </xf>
    <xf numFmtId="164" fontId="6" fillId="0" borderId="30" xfId="2" applyFont="1" applyFill="1" applyBorder="1" applyAlignment="1">
      <alignment horizontal="left" wrapText="1"/>
    </xf>
    <xf numFmtId="0" fontId="7" fillId="20" borderId="1" xfId="3" applyFont="1" applyFill="1" applyBorder="1" applyAlignment="1">
      <alignment horizontal="center"/>
    </xf>
    <xf numFmtId="164" fontId="7" fillId="0" borderId="1" xfId="2" applyFont="1" applyFill="1" applyBorder="1" applyAlignment="1">
      <alignment horizontal="center"/>
    </xf>
    <xf numFmtId="164" fontId="12" fillId="0" borderId="1" xfId="2" applyFont="1" applyBorder="1"/>
    <xf numFmtId="0" fontId="6" fillId="0" borderId="22" xfId="3" applyBorder="1" applyAlignment="1">
      <alignment horizontal="left"/>
    </xf>
    <xf numFmtId="164" fontId="6" fillId="0" borderId="27" xfId="2" applyFont="1" applyBorder="1" applyAlignment="1">
      <alignment horizontal="center"/>
    </xf>
    <xf numFmtId="164" fontId="10" fillId="0" borderId="1" xfId="2" applyFont="1" applyBorder="1"/>
    <xf numFmtId="164" fontId="6" fillId="0" borderId="25" xfId="2" applyFont="1" applyBorder="1" applyAlignment="1">
      <alignment horizontal="center" wrapText="1"/>
    </xf>
    <xf numFmtId="164" fontId="12" fillId="0" borderId="1" xfId="2" applyFont="1" applyFill="1" applyBorder="1"/>
    <xf numFmtId="165" fontId="6" fillId="0" borderId="1" xfId="3" applyNumberFormat="1" applyBorder="1" applyAlignment="1">
      <alignment horizontal="center"/>
    </xf>
    <xf numFmtId="0" fontId="6" fillId="23" borderId="1" xfId="3" applyFill="1" applyBorder="1"/>
    <xf numFmtId="0" fontId="6" fillId="0" borderId="22" xfId="3" applyBorder="1"/>
    <xf numFmtId="0" fontId="6" fillId="0" borderId="31" xfId="3" applyBorder="1" applyAlignment="1">
      <alignment horizontal="center"/>
    </xf>
    <xf numFmtId="0" fontId="6" fillId="0" borderId="10" xfId="3" applyBorder="1" applyAlignment="1">
      <alignment wrapText="1"/>
    </xf>
    <xf numFmtId="164" fontId="6" fillId="0" borderId="10" xfId="2" applyFont="1" applyBorder="1" applyAlignment="1">
      <alignment wrapText="1"/>
    </xf>
    <xf numFmtId="164" fontId="6" fillId="0" borderId="22" xfId="2" applyFont="1" applyFill="1" applyBorder="1" applyAlignment="1">
      <alignment horizontal="center" wrapText="1"/>
    </xf>
    <xf numFmtId="49" fontId="6" fillId="0" borderId="24" xfId="3" applyNumberFormat="1" applyBorder="1" applyAlignment="1">
      <alignment horizontal="center" vertical="center"/>
    </xf>
    <xf numFmtId="0" fontId="6" fillId="0" borderId="2" xfId="3" applyBorder="1" applyAlignment="1">
      <alignment wrapText="1"/>
    </xf>
    <xf numFmtId="164" fontId="6" fillId="0" borderId="2" xfId="2" applyFont="1" applyBorder="1" applyAlignment="1">
      <alignment wrapText="1"/>
    </xf>
    <xf numFmtId="164" fontId="6" fillId="0" borderId="2" xfId="2" applyFont="1" applyBorder="1" applyAlignment="1">
      <alignment horizontal="center"/>
    </xf>
    <xf numFmtId="165" fontId="6" fillId="0" borderId="32" xfId="3" applyNumberFormat="1" applyBorder="1" applyAlignment="1">
      <alignment horizontal="center"/>
    </xf>
    <xf numFmtId="164" fontId="13" fillId="0" borderId="1" xfId="2" applyFont="1" applyBorder="1"/>
    <xf numFmtId="0" fontId="7" fillId="20" borderId="6" xfId="3" applyFont="1" applyFill="1" applyBorder="1" applyAlignment="1">
      <alignment horizontal="center"/>
    </xf>
    <xf numFmtId="164" fontId="7" fillId="0" borderId="6" xfId="2" applyFont="1" applyBorder="1" applyAlignment="1">
      <alignment horizontal="center"/>
    </xf>
    <xf numFmtId="1" fontId="7" fillId="6" borderId="6" xfId="2" applyNumberFormat="1" applyFont="1" applyFill="1" applyBorder="1" applyAlignment="1">
      <alignment horizontal="center"/>
    </xf>
    <xf numFmtId="164" fontId="7" fillId="6" borderId="6" xfId="2" applyFont="1" applyFill="1" applyBorder="1" applyAlignment="1">
      <alignment horizontal="center"/>
    </xf>
    <xf numFmtId="164" fontId="7" fillId="4" borderId="6" xfId="2" applyFont="1" applyFill="1" applyBorder="1" applyAlignment="1">
      <alignment horizontal="center"/>
    </xf>
    <xf numFmtId="164" fontId="6" fillId="0" borderId="0" xfId="2" applyFont="1" applyFill="1" applyBorder="1" applyAlignment="1">
      <alignment horizontal="left" wrapText="1"/>
    </xf>
    <xf numFmtId="164" fontId="6" fillId="0" borderId="1" xfId="2" applyFont="1" applyFill="1" applyBorder="1" applyAlignment="1">
      <alignment horizontal="left" wrapText="1"/>
    </xf>
    <xf numFmtId="164" fontId="7" fillId="0" borderId="6" xfId="2" applyFont="1" applyFill="1" applyBorder="1" applyAlignment="1">
      <alignment horizontal="center"/>
    </xf>
    <xf numFmtId="164" fontId="6" fillId="0" borderId="1" xfId="2" applyFont="1" applyFill="1" applyBorder="1" applyAlignment="1">
      <alignment horizontal="center"/>
    </xf>
    <xf numFmtId="164" fontId="6" fillId="0" borderId="1" xfId="2" applyFont="1" applyFill="1" applyBorder="1" applyAlignment="1">
      <alignment horizontal="center" wrapText="1"/>
    </xf>
    <xf numFmtId="0" fontId="7" fillId="22" borderId="6" xfId="3" applyFont="1" applyFill="1" applyBorder="1" applyAlignment="1">
      <alignment horizontal="center"/>
    </xf>
    <xf numFmtId="0" fontId="7" fillId="0" borderId="6" xfId="3" applyFont="1" applyBorder="1" applyAlignment="1">
      <alignment horizontal="center"/>
    </xf>
    <xf numFmtId="1" fontId="7" fillId="6" borderId="6" xfId="3" applyNumberFormat="1" applyFont="1" applyFill="1" applyBorder="1" applyAlignment="1">
      <alignment horizontal="center"/>
    </xf>
    <xf numFmtId="0" fontId="7" fillId="6" borderId="6" xfId="3" applyFont="1" applyFill="1" applyBorder="1" applyAlignment="1">
      <alignment horizontal="center"/>
    </xf>
    <xf numFmtId="0" fontId="7" fillId="4" borderId="6" xfId="3" applyFont="1" applyFill="1" applyBorder="1" applyAlignment="1">
      <alignment horizontal="center"/>
    </xf>
    <xf numFmtId="49" fontId="6" fillId="0" borderId="23" xfId="3" applyNumberFormat="1" applyBorder="1" applyAlignment="1">
      <alignment horizontal="center" vertical="center"/>
    </xf>
    <xf numFmtId="0" fontId="6" fillId="0" borderId="33" xfId="3" applyBorder="1" applyAlignment="1">
      <alignment horizontal="center"/>
    </xf>
    <xf numFmtId="0" fontId="6" fillId="0" borderId="34" xfId="3" applyBorder="1" applyAlignment="1">
      <alignment wrapText="1"/>
    </xf>
    <xf numFmtId="0" fontId="6" fillId="18" borderId="0" xfId="3" applyFill="1" applyAlignment="1">
      <alignment wrapText="1"/>
    </xf>
    <xf numFmtId="0" fontId="6" fillId="19" borderId="35" xfId="3" applyFill="1" applyBorder="1" applyAlignment="1">
      <alignment horizontal="center"/>
    </xf>
    <xf numFmtId="0" fontId="6" fillId="19" borderId="32" xfId="3" applyFill="1" applyBorder="1" applyAlignment="1">
      <alignment horizontal="center"/>
    </xf>
    <xf numFmtId="0" fontId="6" fillId="19" borderId="36" xfId="3" applyFill="1" applyBorder="1" applyAlignment="1">
      <alignment horizontal="center" wrapText="1"/>
    </xf>
    <xf numFmtId="0" fontId="6" fillId="19" borderId="31" xfId="3" applyFill="1" applyBorder="1" applyAlignment="1">
      <alignment horizontal="center" wrapText="1"/>
    </xf>
    <xf numFmtId="1" fontId="7" fillId="6" borderId="0" xfId="3" applyNumberFormat="1" applyFont="1" applyFill="1" applyAlignment="1">
      <alignment horizontal="center" wrapText="1"/>
    </xf>
    <xf numFmtId="0" fontId="7" fillId="6" borderId="0" xfId="3" applyFont="1" applyFill="1" applyAlignment="1">
      <alignment horizontal="center" wrapText="1"/>
    </xf>
    <xf numFmtId="0" fontId="7" fillId="4" borderId="0" xfId="3" applyFont="1" applyFill="1" applyAlignment="1">
      <alignment horizontal="center" wrapText="1"/>
    </xf>
    <xf numFmtId="0" fontId="6" fillId="0" borderId="23" xfId="3" applyBorder="1" applyAlignment="1">
      <alignment horizontal="left"/>
    </xf>
    <xf numFmtId="0" fontId="6" fillId="0" borderId="30" xfId="3" applyBorder="1" applyAlignment="1">
      <alignment horizontal="center"/>
    </xf>
    <xf numFmtId="0" fontId="6" fillId="0" borderId="0" xfId="3" applyAlignment="1">
      <alignment wrapText="1"/>
    </xf>
    <xf numFmtId="164" fontId="6" fillId="0" borderId="29" xfId="2" applyFont="1" applyBorder="1" applyAlignment="1">
      <alignment horizontal="center"/>
    </xf>
    <xf numFmtId="0" fontId="6" fillId="0" borderId="23" xfId="3" applyBorder="1" applyAlignment="1">
      <alignment horizontal="center" wrapText="1"/>
    </xf>
    <xf numFmtId="164" fontId="6" fillId="0" borderId="27" xfId="2" applyFont="1" applyFill="1" applyBorder="1" applyAlignment="1">
      <alignment horizontal="center"/>
    </xf>
    <xf numFmtId="0" fontId="7" fillId="22" borderId="1" xfId="3" applyFont="1" applyFill="1" applyBorder="1" applyAlignment="1">
      <alignment horizontal="center"/>
    </xf>
    <xf numFmtId="164" fontId="14" fillId="0" borderId="1" xfId="2" applyFont="1" applyBorder="1"/>
    <xf numFmtId="164" fontId="6" fillId="0" borderId="1" xfId="2" applyFont="1" applyBorder="1" applyAlignment="1"/>
    <xf numFmtId="164" fontId="6" fillId="0" borderId="24" xfId="2" applyFont="1" applyFill="1" applyBorder="1" applyAlignment="1">
      <alignment horizontal="left" wrapText="1"/>
    </xf>
    <xf numFmtId="0" fontId="6" fillId="0" borderId="30" xfId="3" applyBorder="1"/>
    <xf numFmtId="0" fontId="6" fillId="0" borderId="29" xfId="3" applyBorder="1"/>
    <xf numFmtId="0" fontId="6" fillId="0" borderId="5" xfId="3" applyBorder="1" applyAlignment="1">
      <alignment wrapText="1"/>
    </xf>
    <xf numFmtId="164" fontId="6" fillId="0" borderId="29" xfId="2" applyFont="1" applyFill="1" applyBorder="1" applyAlignment="1">
      <alignment horizontal="center"/>
    </xf>
    <xf numFmtId="164" fontId="6" fillId="0" borderId="23" xfId="2" applyFont="1" applyFill="1" applyBorder="1" applyAlignment="1">
      <alignment horizontal="center" wrapText="1"/>
    </xf>
    <xf numFmtId="0" fontId="7" fillId="0" borderId="1" xfId="3" applyFont="1" applyBorder="1" applyAlignment="1">
      <alignment horizontal="center"/>
    </xf>
    <xf numFmtId="1" fontId="7" fillId="6" borderId="1" xfId="3" applyNumberFormat="1" applyFont="1" applyFill="1" applyBorder="1" applyAlignment="1">
      <alignment horizontal="center"/>
    </xf>
    <xf numFmtId="0" fontId="7" fillId="6" borderId="1" xfId="3" applyFont="1" applyFill="1" applyBorder="1" applyAlignment="1">
      <alignment horizontal="center"/>
    </xf>
    <xf numFmtId="0" fontId="7" fillId="4" borderId="1" xfId="3" applyFont="1" applyFill="1" applyBorder="1" applyAlignment="1">
      <alignment horizontal="center"/>
    </xf>
    <xf numFmtId="0" fontId="6" fillId="0" borderId="37" xfId="3" applyBorder="1"/>
    <xf numFmtId="0" fontId="6" fillId="0" borderId="23" xfId="3" applyBorder="1"/>
    <xf numFmtId="0" fontId="6" fillId="0" borderId="28" xfId="3" applyBorder="1"/>
    <xf numFmtId="164" fontId="6" fillId="23" borderId="30" xfId="2" applyFont="1" applyFill="1" applyBorder="1" applyAlignment="1">
      <alignment horizontal="left" wrapText="1"/>
    </xf>
    <xf numFmtId="0" fontId="7" fillId="23" borderId="1" xfId="3" applyFont="1" applyFill="1" applyBorder="1" applyAlignment="1">
      <alignment horizontal="center"/>
    </xf>
    <xf numFmtId="164" fontId="7" fillId="23" borderId="1" xfId="2" applyFont="1" applyFill="1" applyBorder="1" applyAlignment="1">
      <alignment horizontal="center"/>
    </xf>
    <xf numFmtId="164" fontId="6" fillId="23" borderId="1" xfId="2" applyFont="1" applyFill="1" applyBorder="1"/>
    <xf numFmtId="164" fontId="9" fillId="9" borderId="1" xfId="2" applyFont="1" applyFill="1" applyBorder="1"/>
    <xf numFmtId="0" fontId="6" fillId="0" borderId="33" xfId="3" applyBorder="1" applyAlignment="1">
      <alignment wrapText="1"/>
    </xf>
    <xf numFmtId="0" fontId="6" fillId="0" borderId="38" xfId="3" applyBorder="1" applyAlignment="1">
      <alignment wrapText="1"/>
    </xf>
    <xf numFmtId="164" fontId="6" fillId="0" borderId="0" xfId="2" applyFont="1" applyFill="1"/>
    <xf numFmtId="0" fontId="6" fillId="0" borderId="5" xfId="3" applyBorder="1" applyAlignment="1">
      <alignment horizontal="left"/>
    </xf>
    <xf numFmtId="0" fontId="6" fillId="0" borderId="5" xfId="3" applyBorder="1" applyAlignment="1">
      <alignment horizontal="center"/>
    </xf>
    <xf numFmtId="49" fontId="6" fillId="0" borderId="5" xfId="3" applyNumberFormat="1" applyBorder="1" applyAlignment="1">
      <alignment horizontal="center" vertical="center"/>
    </xf>
    <xf numFmtId="0" fontId="7" fillId="24" borderId="1" xfId="3" applyFont="1" applyFill="1" applyBorder="1" applyAlignment="1">
      <alignment horizontal="center"/>
    </xf>
    <xf numFmtId="49" fontId="6" fillId="0" borderId="1" xfId="3" applyNumberFormat="1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49" fontId="0" fillId="0" borderId="5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2" fontId="6" fillId="0" borderId="1" xfId="3" applyNumberFormat="1" applyBorder="1"/>
    <xf numFmtId="0" fontId="6" fillId="0" borderId="1" xfId="3" applyBorder="1"/>
    <xf numFmtId="0" fontId="0" fillId="0" borderId="5" xfId="0" applyBorder="1" applyAlignment="1">
      <alignment horizontal="left"/>
    </xf>
    <xf numFmtId="164" fontId="15" fillId="0" borderId="1" xfId="2" applyFont="1" applyBorder="1"/>
    <xf numFmtId="0" fontId="6" fillId="0" borderId="10" xfId="3" applyBorder="1" applyAlignment="1">
      <alignment horizontal="center"/>
    </xf>
    <xf numFmtId="0" fontId="0" fillId="0" borderId="1" xfId="0" applyBorder="1" applyAlignment="1">
      <alignment horizontal="center" vertical="center"/>
    </xf>
    <xf numFmtId="2" fontId="6" fillId="0" borderId="10" xfId="3" applyNumberFormat="1" applyBorder="1"/>
    <xf numFmtId="0" fontId="6" fillId="0" borderId="10" xfId="3" applyBorder="1"/>
    <xf numFmtId="164" fontId="16" fillId="0" borderId="1" xfId="2" applyFont="1" applyBorder="1"/>
    <xf numFmtId="164" fontId="2" fillId="0" borderId="1" xfId="2" applyFont="1" applyBorder="1"/>
    <xf numFmtId="164" fontId="0" fillId="0" borderId="1" xfId="2" applyFont="1" applyBorder="1"/>
    <xf numFmtId="164" fontId="14" fillId="0" borderId="1" xfId="2" applyFont="1" applyFill="1" applyBorder="1"/>
    <xf numFmtId="0" fontId="0" fillId="0" borderId="1" xfId="0" applyBorder="1" applyAlignment="1">
      <alignment horizontal="left" vertical="center"/>
    </xf>
    <xf numFmtId="164" fontId="6" fillId="0" borderId="39" xfId="2" applyFont="1" applyBorder="1" applyAlignment="1">
      <alignment horizontal="center"/>
    </xf>
    <xf numFmtId="164" fontId="10" fillId="0" borderId="1" xfId="2" applyFont="1" applyFill="1" applyBorder="1"/>
    <xf numFmtId="0" fontId="6" fillId="0" borderId="0" xfId="3" applyAlignment="1">
      <alignment horizontal="center"/>
    </xf>
    <xf numFmtId="49" fontId="6" fillId="0" borderId="0" xfId="3" applyNumberFormat="1" applyAlignment="1">
      <alignment horizontal="center" vertical="center"/>
    </xf>
    <xf numFmtId="0" fontId="6" fillId="0" borderId="0" xfId="3" applyAlignment="1">
      <alignment horizontal="center" wrapText="1"/>
    </xf>
    <xf numFmtId="0" fontId="6" fillId="0" borderId="30" xfId="3" applyBorder="1" applyAlignment="1">
      <alignment wrapText="1"/>
    </xf>
    <xf numFmtId="0" fontId="6" fillId="0" borderId="37" xfId="3" applyBorder="1" applyAlignment="1">
      <alignment wrapText="1"/>
    </xf>
    <xf numFmtId="2" fontId="6" fillId="0" borderId="23" xfId="3" applyNumberFormat="1" applyBorder="1"/>
    <xf numFmtId="164" fontId="6" fillId="0" borderId="23" xfId="2" applyFont="1" applyBorder="1"/>
    <xf numFmtId="0" fontId="3" fillId="20" borderId="1" xfId="0" applyFont="1" applyFill="1" applyBorder="1" applyAlignment="1">
      <alignment horizontal="center"/>
    </xf>
    <xf numFmtId="164" fontId="3" fillId="0" borderId="1" xfId="2" applyFont="1" applyBorder="1" applyAlignment="1">
      <alignment horizontal="center"/>
    </xf>
    <xf numFmtId="1" fontId="3" fillId="6" borderId="1" xfId="2" applyNumberFormat="1" applyFont="1" applyFill="1" applyBorder="1" applyAlignment="1">
      <alignment horizontal="center"/>
    </xf>
    <xf numFmtId="164" fontId="3" fillId="6" borderId="1" xfId="2" applyFont="1" applyFill="1" applyBorder="1" applyAlignment="1">
      <alignment horizontal="center"/>
    </xf>
    <xf numFmtId="164" fontId="17" fillId="0" borderId="1" xfId="2" applyFont="1" applyBorder="1"/>
    <xf numFmtId="164" fontId="0" fillId="0" borderId="1" xfId="2" applyFont="1" applyFill="1" applyBorder="1"/>
    <xf numFmtId="164" fontId="2" fillId="0" borderId="1" xfId="2" applyFont="1" applyFill="1" applyBorder="1"/>
    <xf numFmtId="164" fontId="6" fillId="0" borderId="23" xfId="2" applyFont="1" applyFill="1" applyBorder="1"/>
    <xf numFmtId="0" fontId="0" fillId="0" borderId="39" xfId="0" applyBorder="1" applyAlignment="1">
      <alignment horizontal="left" vertical="center"/>
    </xf>
    <xf numFmtId="49" fontId="0" fillId="0" borderId="39" xfId="0" applyNumberFormat="1" applyBorder="1" applyAlignment="1">
      <alignment horizontal="center" vertical="center"/>
    </xf>
    <xf numFmtId="2" fontId="6" fillId="0" borderId="22" xfId="3" applyNumberFormat="1" applyBorder="1"/>
    <xf numFmtId="164" fontId="6" fillId="0" borderId="22" xfId="2" applyFont="1" applyBorder="1"/>
    <xf numFmtId="164" fontId="18" fillId="0" borderId="1" xfId="2" applyFont="1" applyBorder="1"/>
    <xf numFmtId="164" fontId="19" fillId="0" borderId="1" xfId="2" applyFont="1" applyBorder="1"/>
    <xf numFmtId="164" fontId="1" fillId="0" borderId="1" xfId="2" applyFont="1" applyBorder="1"/>
    <xf numFmtId="49" fontId="6" fillId="0" borderId="39" xfId="3" applyNumberFormat="1" applyBorder="1" applyAlignment="1">
      <alignment horizontal="center" vertical="center"/>
    </xf>
    <xf numFmtId="2" fontId="6" fillId="0" borderId="39" xfId="3" applyNumberFormat="1" applyBorder="1"/>
    <xf numFmtId="0" fontId="6" fillId="0" borderId="39" xfId="3" applyBorder="1"/>
    <xf numFmtId="164" fontId="6" fillId="0" borderId="39" xfId="2" applyFont="1" applyBorder="1"/>
    <xf numFmtId="164" fontId="2" fillId="4" borderId="1" xfId="2" applyFont="1" applyFill="1" applyBorder="1"/>
    <xf numFmtId="164" fontId="17" fillId="4" borderId="1" xfId="2" applyFont="1" applyFill="1" applyBorder="1"/>
    <xf numFmtId="1" fontId="3" fillId="6" borderId="1" xfId="2" applyNumberFormat="1" applyFont="1" applyFill="1" applyBorder="1" applyAlignment="1">
      <alignment horizontal="left"/>
    </xf>
    <xf numFmtId="164" fontId="2" fillId="0" borderId="0" xfId="2" applyFont="1" applyFill="1" applyBorder="1"/>
    <xf numFmtId="164" fontId="16" fillId="7" borderId="1" xfId="2" applyFont="1" applyFill="1" applyBorder="1"/>
    <xf numFmtId="0" fontId="0" fillId="0" borderId="10" xfId="0" applyBorder="1"/>
    <xf numFmtId="164" fontId="0" fillId="23" borderId="1" xfId="2" applyFont="1" applyFill="1" applyBorder="1"/>
    <xf numFmtId="1" fontId="3" fillId="6" borderId="1" xfId="0" applyNumberFormat="1" applyFont="1" applyFill="1" applyBorder="1" applyAlignment="1">
      <alignment horizontal="center"/>
    </xf>
    <xf numFmtId="0" fontId="3" fillId="6" borderId="1" xfId="0" applyFont="1" applyFill="1" applyBorder="1" applyAlignment="1">
      <alignment horizontal="center"/>
    </xf>
    <xf numFmtId="165" fontId="6" fillId="0" borderId="1" xfId="3" applyNumberFormat="1" applyBorder="1"/>
    <xf numFmtId="0" fontId="6" fillId="0" borderId="40" xfId="3" applyBorder="1" applyAlignment="1">
      <alignment horizontal="center"/>
    </xf>
    <xf numFmtId="0" fontId="6" fillId="0" borderId="32" xfId="3" applyBorder="1" applyAlignment="1">
      <alignment horizontal="center" wrapText="1"/>
    </xf>
    <xf numFmtId="49" fontId="6" fillId="0" borderId="40" xfId="3" applyNumberFormat="1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49" fontId="0" fillId="0" borderId="10" xfId="0" applyNumberFormat="1" applyBorder="1" applyAlignment="1">
      <alignment horizontal="center" vertical="center"/>
    </xf>
    <xf numFmtId="0" fontId="3" fillId="22" borderId="1" xfId="0" applyFont="1" applyFill="1" applyBorder="1" applyAlignment="1">
      <alignment horizontal="center"/>
    </xf>
    <xf numFmtId="164" fontId="3" fillId="0" borderId="1" xfId="2" applyFont="1" applyFill="1" applyBorder="1" applyAlignment="1">
      <alignment horizontal="center"/>
    </xf>
    <xf numFmtId="164" fontId="17" fillId="0" borderId="1" xfId="2" applyFont="1" applyFill="1" applyBorder="1"/>
    <xf numFmtId="49" fontId="6" fillId="0" borderId="10" xfId="3" applyNumberFormat="1" applyBorder="1" applyAlignment="1">
      <alignment horizontal="center" vertical="center"/>
    </xf>
    <xf numFmtId="164" fontId="20" fillId="7" borderId="1" xfId="2" applyFont="1" applyFill="1" applyBorder="1"/>
    <xf numFmtId="164" fontId="6" fillId="0" borderId="10" xfId="2" applyFont="1" applyBorder="1"/>
    <xf numFmtId="164" fontId="3" fillId="6" borderId="6" xfId="2" applyFont="1" applyFill="1" applyBorder="1" applyAlignment="1">
      <alignment horizontal="center"/>
    </xf>
    <xf numFmtId="164" fontId="3" fillId="4" borderId="6" xfId="2" applyFont="1" applyFill="1" applyBorder="1" applyAlignment="1">
      <alignment horizontal="center"/>
    </xf>
    <xf numFmtId="164" fontId="6" fillId="0" borderId="37" xfId="2" applyFont="1" applyFill="1" applyBorder="1" applyAlignment="1">
      <alignment horizontal="left" wrapText="1"/>
    </xf>
    <xf numFmtId="0" fontId="3" fillId="20" borderId="6" xfId="0" applyFont="1" applyFill="1" applyBorder="1" applyAlignment="1">
      <alignment horizontal="center"/>
    </xf>
    <xf numFmtId="164" fontId="3" fillId="0" borderId="6" xfId="2" applyFont="1" applyFill="1" applyBorder="1" applyAlignment="1">
      <alignment horizontal="center"/>
    </xf>
    <xf numFmtId="1" fontId="3" fillId="6" borderId="6" xfId="2" applyNumberFormat="1" applyFont="1" applyFill="1" applyBorder="1" applyAlignment="1">
      <alignment horizontal="center"/>
    </xf>
    <xf numFmtId="164" fontId="10" fillId="0" borderId="23" xfId="2" applyFont="1" applyBorder="1"/>
    <xf numFmtId="49" fontId="0" fillId="0" borderId="23" xfId="0" applyNumberFormat="1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164" fontId="10" fillId="0" borderId="23" xfId="2" applyFont="1" applyFill="1" applyBorder="1"/>
    <xf numFmtId="164" fontId="18" fillId="0" borderId="1" xfId="2" applyFont="1" applyFill="1" applyBorder="1"/>
    <xf numFmtId="164" fontId="2" fillId="9" borderId="1" xfId="2" applyFont="1" applyFill="1" applyBorder="1"/>
    <xf numFmtId="0" fontId="0" fillId="0" borderId="0" xfId="0" applyAlignment="1">
      <alignment horizontal="left" vertical="center"/>
    </xf>
    <xf numFmtId="0" fontId="0" fillId="0" borderId="29" xfId="0" applyBorder="1" applyAlignment="1">
      <alignment horizontal="left" vertical="center"/>
    </xf>
    <xf numFmtId="49" fontId="0" fillId="0" borderId="22" xfId="0" applyNumberFormat="1" applyBorder="1" applyAlignment="1">
      <alignment horizontal="center" vertical="center"/>
    </xf>
    <xf numFmtId="164" fontId="10" fillId="0" borderId="22" xfId="2" applyFont="1" applyBorder="1"/>
    <xf numFmtId="164" fontId="10" fillId="0" borderId="29" xfId="2" applyFont="1" applyBorder="1"/>
    <xf numFmtId="164" fontId="10" fillId="0" borderId="27" xfId="2" applyFont="1" applyBorder="1"/>
    <xf numFmtId="0" fontId="6" fillId="0" borderId="36" xfId="3" applyBorder="1" applyAlignment="1">
      <alignment horizontal="center" wrapText="1"/>
    </xf>
    <xf numFmtId="49" fontId="6" fillId="0" borderId="28" xfId="3" applyNumberFormat="1" applyBorder="1" applyAlignment="1">
      <alignment horizontal="center" vertical="center"/>
    </xf>
    <xf numFmtId="0" fontId="7" fillId="20" borderId="1" xfId="3" applyFont="1" applyFill="1" applyBorder="1" applyAlignment="1">
      <alignment horizontal="center" wrapText="1"/>
    </xf>
    <xf numFmtId="12" fontId="6" fillId="0" borderId="1" xfId="2" applyNumberFormat="1" applyFont="1" applyFill="1" applyBorder="1"/>
    <xf numFmtId="0" fontId="0" fillId="0" borderId="23" xfId="0" applyBorder="1" applyAlignment="1">
      <alignment horizontal="center" vertical="center"/>
    </xf>
    <xf numFmtId="2" fontId="6" fillId="0" borderId="29" xfId="3" applyNumberFormat="1" applyBorder="1"/>
    <xf numFmtId="0" fontId="6" fillId="0" borderId="5" xfId="3" applyBorder="1"/>
    <xf numFmtId="164" fontId="10" fillId="0" borderId="5" xfId="2" applyFont="1" applyBorder="1"/>
    <xf numFmtId="164" fontId="6" fillId="0" borderId="0" xfId="2" applyFont="1"/>
    <xf numFmtId="164" fontId="10" fillId="0" borderId="29" xfId="2" applyFont="1" applyFill="1" applyBorder="1"/>
    <xf numFmtId="164" fontId="10" fillId="0" borderId="5" xfId="2" applyFont="1" applyFill="1" applyBorder="1"/>
    <xf numFmtId="164" fontId="6" fillId="0" borderId="5" xfId="2" applyFont="1" applyBorder="1"/>
    <xf numFmtId="164" fontId="16" fillId="0" borderId="1" xfId="2" applyFont="1" applyFill="1" applyBorder="1"/>
    <xf numFmtId="164" fontId="10" fillId="0" borderId="0" xfId="2" applyFont="1" applyBorder="1"/>
    <xf numFmtId="164" fontId="3" fillId="0" borderId="6" xfId="2" applyFont="1" applyBorder="1" applyAlignment="1">
      <alignment horizontal="center"/>
    </xf>
    <xf numFmtId="0" fontId="6" fillId="0" borderId="24" xfId="3" applyBorder="1"/>
    <xf numFmtId="164" fontId="10" fillId="0" borderId="39" xfId="2" applyFont="1" applyBorder="1"/>
    <xf numFmtId="164" fontId="6" fillId="0" borderId="39" xfId="2" applyFont="1" applyFill="1" applyBorder="1" applyAlignment="1">
      <alignment horizontal="left" wrapText="1"/>
    </xf>
    <xf numFmtId="0" fontId="6" fillId="0" borderId="34" xfId="3" applyBorder="1"/>
    <xf numFmtId="164" fontId="10" fillId="0" borderId="34" xfId="2" applyFont="1" applyBorder="1"/>
    <xf numFmtId="164" fontId="10" fillId="0" borderId="10" xfId="2" applyFont="1" applyBorder="1"/>
    <xf numFmtId="164" fontId="10" fillId="0" borderId="40" xfId="2" applyFont="1" applyBorder="1"/>
    <xf numFmtId="164" fontId="6" fillId="0" borderId="33" xfId="2" applyFont="1" applyFill="1" applyBorder="1" applyAlignment="1">
      <alignment horizontal="left" wrapText="1"/>
    </xf>
    <xf numFmtId="2" fontId="6" fillId="0" borderId="0" xfId="3" applyNumberFormat="1"/>
    <xf numFmtId="0" fontId="0" fillId="4" borderId="0" xfId="0" applyFill="1"/>
    <xf numFmtId="0" fontId="0" fillId="0" borderId="23" xfId="0" applyBorder="1" applyAlignment="1">
      <alignment horizontal="left" vertical="center"/>
    </xf>
    <xf numFmtId="0" fontId="3" fillId="20" borderId="41" xfId="0" applyFont="1" applyFill="1" applyBorder="1" applyAlignment="1">
      <alignment horizontal="center"/>
    </xf>
    <xf numFmtId="164" fontId="3" fillId="0" borderId="41" xfId="2" applyFont="1" applyBorder="1" applyAlignment="1">
      <alignment horizontal="center"/>
    </xf>
    <xf numFmtId="1" fontId="3" fillId="6" borderId="41" xfId="2" applyNumberFormat="1" applyFont="1" applyFill="1" applyBorder="1" applyAlignment="1">
      <alignment horizontal="center"/>
    </xf>
    <xf numFmtId="164" fontId="3" fillId="6" borderId="41" xfId="2" applyFont="1" applyFill="1" applyBorder="1" applyAlignment="1">
      <alignment horizontal="center"/>
    </xf>
    <xf numFmtId="164" fontId="3" fillId="4" borderId="41" xfId="2" applyFont="1" applyFill="1" applyBorder="1" applyAlignment="1">
      <alignment horizontal="center"/>
    </xf>
    <xf numFmtId="164" fontId="0" fillId="0" borderId="39" xfId="2" applyFont="1" applyBorder="1"/>
    <xf numFmtId="0" fontId="6" fillId="0" borderId="33" xfId="3" applyBorder="1"/>
    <xf numFmtId="2" fontId="10" fillId="0" borderId="10" xfId="3" applyNumberFormat="1" applyFont="1" applyBorder="1"/>
    <xf numFmtId="0" fontId="10" fillId="0" borderId="10" xfId="3" applyFont="1" applyBorder="1"/>
    <xf numFmtId="0" fontId="3" fillId="20" borderId="21" xfId="0" applyFont="1" applyFill="1" applyBorder="1" applyAlignment="1">
      <alignment horizontal="center"/>
    </xf>
    <xf numFmtId="164" fontId="3" fillId="0" borderId="21" xfId="2" applyFont="1" applyBorder="1" applyAlignment="1">
      <alignment horizontal="center"/>
    </xf>
    <xf numFmtId="1" fontId="3" fillId="6" borderId="21" xfId="2" applyNumberFormat="1" applyFont="1" applyFill="1" applyBorder="1" applyAlignment="1">
      <alignment horizontal="center"/>
    </xf>
    <xf numFmtId="164" fontId="3" fillId="6" borderId="21" xfId="2" applyFont="1" applyFill="1" applyBorder="1" applyAlignment="1">
      <alignment horizontal="center"/>
    </xf>
    <xf numFmtId="164" fontId="3" fillId="4" borderId="21" xfId="2" applyFont="1" applyFill="1" applyBorder="1" applyAlignment="1">
      <alignment horizontal="center"/>
    </xf>
    <xf numFmtId="164" fontId="0" fillId="0" borderId="10" xfId="2" applyFont="1" applyBorder="1"/>
    <xf numFmtId="164" fontId="16" fillId="0" borderId="10" xfId="2" applyFont="1" applyBorder="1"/>
    <xf numFmtId="164" fontId="2" fillId="0" borderId="10" xfId="2" applyFont="1" applyBorder="1"/>
    <xf numFmtId="164" fontId="9" fillId="0" borderId="10" xfId="2" applyFont="1" applyBorder="1"/>
    <xf numFmtId="2" fontId="10" fillId="0" borderId="1" xfId="3" applyNumberFormat="1" applyFont="1" applyBorder="1"/>
    <xf numFmtId="0" fontId="10" fillId="0" borderId="1" xfId="3" applyFont="1" applyBorder="1"/>
    <xf numFmtId="0" fontId="3" fillId="0" borderId="6" xfId="0" applyFont="1" applyBorder="1" applyAlignment="1">
      <alignment horizontal="center"/>
    </xf>
    <xf numFmtId="1" fontId="3" fillId="6" borderId="6" xfId="0" applyNumberFormat="1" applyFont="1" applyFill="1" applyBorder="1" applyAlignment="1">
      <alignment horizontal="center"/>
    </xf>
    <xf numFmtId="0" fontId="3" fillId="6" borderId="6" xfId="0" applyFont="1" applyFill="1" applyBorder="1" applyAlignment="1">
      <alignment horizontal="center"/>
    </xf>
    <xf numFmtId="0" fontId="3" fillId="4" borderId="6" xfId="0" applyFont="1" applyFill="1" applyBorder="1" applyAlignment="1">
      <alignment horizontal="center"/>
    </xf>
    <xf numFmtId="0" fontId="10" fillId="0" borderId="0" xfId="3" applyFont="1"/>
    <xf numFmtId="164" fontId="6" fillId="0" borderId="0" xfId="2" applyFont="1" applyBorder="1"/>
    <xf numFmtId="0" fontId="6" fillId="0" borderId="32" xfId="3" applyBorder="1" applyAlignment="1">
      <alignment horizontal="center"/>
    </xf>
    <xf numFmtId="165" fontId="6" fillId="0" borderId="1" xfId="3" applyNumberFormat="1" applyBorder="1" applyAlignment="1">
      <alignment horizontal="center" wrapText="1"/>
    </xf>
    <xf numFmtId="164" fontId="6" fillId="7" borderId="1" xfId="2" applyFont="1" applyFill="1" applyBorder="1"/>
    <xf numFmtId="0" fontId="6" fillId="0" borderId="36" xfId="3" applyBorder="1" applyAlignment="1">
      <alignment horizontal="center"/>
    </xf>
    <xf numFmtId="49" fontId="6" fillId="0" borderId="36" xfId="3" applyNumberFormat="1" applyBorder="1" applyAlignment="1">
      <alignment horizontal="center" vertical="center"/>
    </xf>
    <xf numFmtId="0" fontId="6" fillId="0" borderId="31" xfId="3" applyBorder="1" applyAlignment="1">
      <alignment wrapText="1"/>
    </xf>
    <xf numFmtId="164" fontId="6" fillId="0" borderId="5" xfId="2" applyFont="1" applyFill="1" applyBorder="1" applyAlignment="1">
      <alignment horizontal="left" wrapText="1"/>
    </xf>
    <xf numFmtId="0" fontId="6" fillId="0" borderId="6" xfId="3" applyBorder="1"/>
    <xf numFmtId="165" fontId="10" fillId="0" borderId="1" xfId="3" applyNumberFormat="1" applyFont="1" applyBorder="1"/>
    <xf numFmtId="2" fontId="10" fillId="0" borderId="0" xfId="3" applyNumberFormat="1" applyFont="1"/>
    <xf numFmtId="164" fontId="6" fillId="0" borderId="30" xfId="2" applyFont="1" applyBorder="1"/>
    <xf numFmtId="165" fontId="10" fillId="0" borderId="0" xfId="3" applyNumberFormat="1" applyFont="1"/>
    <xf numFmtId="0" fontId="3" fillId="20" borderId="0" xfId="0" applyFont="1" applyFill="1" applyAlignment="1">
      <alignment horizontal="center"/>
    </xf>
    <xf numFmtId="1" fontId="3" fillId="6" borderId="0" xfId="0" applyNumberFormat="1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164" fontId="0" fillId="0" borderId="0" xfId="2" applyFont="1" applyBorder="1"/>
    <xf numFmtId="1" fontId="3" fillId="0" borderId="0" xfId="0" applyNumberFormat="1" applyFont="1" applyAlignment="1">
      <alignment horizontal="center"/>
    </xf>
    <xf numFmtId="0" fontId="7" fillId="0" borderId="0" xfId="3" applyFont="1" applyAlignment="1">
      <alignment horizontal="center"/>
    </xf>
    <xf numFmtId="1" fontId="7" fillId="0" borderId="0" xfId="3" applyNumberFormat="1" applyFont="1" applyAlignment="1">
      <alignment horizontal="center"/>
    </xf>
    <xf numFmtId="0" fontId="7" fillId="4" borderId="0" xfId="3" applyFont="1" applyFill="1" applyAlignment="1">
      <alignment horizontal="center"/>
    </xf>
    <xf numFmtId="164" fontId="7" fillId="0" borderId="0" xfId="3" applyNumberFormat="1" applyFont="1" applyAlignment="1">
      <alignment horizontal="center"/>
    </xf>
    <xf numFmtId="164" fontId="7" fillId="4" borderId="0" xfId="3" applyNumberFormat="1" applyFont="1" applyFill="1" applyAlignment="1">
      <alignment horizontal="center"/>
    </xf>
    <xf numFmtId="164" fontId="0" fillId="0" borderId="0" xfId="2" applyFont="1" applyFill="1" applyBorder="1"/>
    <xf numFmtId="49" fontId="6" fillId="0" borderId="0" xfId="3" applyNumberFormat="1" applyAlignment="1">
      <alignment horizontal="left" vertical="center"/>
    </xf>
    <xf numFmtId="164" fontId="6" fillId="0" borderId="0" xfId="2" applyFont="1" applyFill="1" applyBorder="1"/>
    <xf numFmtId="164" fontId="10" fillId="0" borderId="0" xfId="2" applyFont="1" applyFill="1" applyBorder="1"/>
    <xf numFmtId="164" fontId="2" fillId="0" borderId="0" xfId="2" applyFont="1" applyBorder="1"/>
    <xf numFmtId="0" fontId="6" fillId="0" borderId="0" xfId="3" applyAlignment="1">
      <alignment horizontal="left"/>
    </xf>
    <xf numFmtId="164" fontId="16" fillId="0" borderId="0" xfId="2" applyFont="1" applyBorder="1"/>
    <xf numFmtId="14" fontId="6" fillId="0" borderId="0" xfId="3" applyNumberFormat="1" applyAlignment="1">
      <alignment horizontal="right"/>
    </xf>
    <xf numFmtId="14" fontId="6" fillId="0" borderId="0" xfId="3" applyNumberFormat="1"/>
    <xf numFmtId="0" fontId="0" fillId="0" borderId="0" xfId="0" applyAlignment="1">
      <alignment horizontal="right" vertical="center"/>
    </xf>
    <xf numFmtId="14" fontId="0" fillId="0" borderId="0" xfId="0" applyNumberFormat="1" applyAlignment="1">
      <alignment horizontal="right" vertical="center"/>
    </xf>
    <xf numFmtId="49" fontId="0" fillId="0" borderId="0" xfId="0" applyNumberFormat="1" applyAlignment="1">
      <alignment horizontal="center" vertical="center"/>
    </xf>
    <xf numFmtId="43" fontId="0" fillId="0" borderId="0" xfId="1" applyFont="1" applyFill="1" applyBorder="1"/>
    <xf numFmtId="0" fontId="6" fillId="0" borderId="0" xfId="3" applyAlignment="1">
      <alignment horizontal="right"/>
    </xf>
    <xf numFmtId="164" fontId="0" fillId="0" borderId="0" xfId="2" applyFont="1" applyFill="1" applyBorder="1" applyAlignment="1">
      <alignment horizontal="left" vertical="center"/>
    </xf>
    <xf numFmtId="164" fontId="18" fillId="0" borderId="0" xfId="2" applyFont="1" applyBorder="1"/>
    <xf numFmtId="164" fontId="8" fillId="0" borderId="0" xfId="2" applyFont="1" applyFill="1" applyBorder="1"/>
    <xf numFmtId="0" fontId="8" fillId="0" borderId="0" xfId="3" applyFont="1"/>
    <xf numFmtId="49" fontId="8" fillId="0" borderId="0" xfId="3" applyNumberFormat="1" applyFont="1" applyAlignment="1">
      <alignment horizontal="center" vertical="center"/>
    </xf>
    <xf numFmtId="2" fontId="21" fillId="0" borderId="0" xfId="3" applyNumberFormat="1" applyFont="1"/>
    <xf numFmtId="0" fontId="22" fillId="20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1" fontId="22" fillId="0" borderId="0" xfId="0" applyNumberFormat="1" applyFont="1" applyAlignment="1">
      <alignment horizontal="center"/>
    </xf>
    <xf numFmtId="0" fontId="22" fillId="4" borderId="0" xfId="0" applyFont="1" applyFill="1" applyAlignment="1">
      <alignment horizontal="center"/>
    </xf>
    <xf numFmtId="164" fontId="5" fillId="0" borderId="0" xfId="2" applyFont="1"/>
    <xf numFmtId="0" fontId="5" fillId="0" borderId="0" xfId="0" applyFont="1"/>
    <xf numFmtId="164" fontId="6" fillId="0" borderId="0" xfId="2" applyFont="1" applyBorder="1" applyAlignment="1">
      <alignment horizontal="center"/>
    </xf>
    <xf numFmtId="165" fontId="6" fillId="0" borderId="0" xfId="3" applyNumberFormat="1"/>
    <xf numFmtId="10" fontId="6" fillId="0" borderId="0" xfId="2" applyNumberFormat="1" applyFont="1" applyAlignment="1">
      <alignment horizontal="center"/>
    </xf>
    <xf numFmtId="10" fontId="6" fillId="0" borderId="0" xfId="3" applyNumberFormat="1"/>
    <xf numFmtId="10" fontId="6" fillId="0" borderId="0" xfId="3" applyNumberFormat="1" applyAlignment="1">
      <alignment horizontal="center"/>
    </xf>
    <xf numFmtId="49" fontId="0" fillId="0" borderId="0" xfId="0" applyNumberFormat="1"/>
    <xf numFmtId="49" fontId="0" fillId="0" borderId="0" xfId="0" applyNumberFormat="1" applyAlignment="1">
      <alignment horizontal="left"/>
    </xf>
    <xf numFmtId="17" fontId="0" fillId="0" borderId="0" xfId="0" applyNumberFormat="1"/>
    <xf numFmtId="0" fontId="23" fillId="0" borderId="0" xfId="4"/>
    <xf numFmtId="0" fontId="0" fillId="0" borderId="0" xfId="0" applyAlignment="1">
      <alignment horizontal="left"/>
    </xf>
    <xf numFmtId="49" fontId="0" fillId="0" borderId="0" xfId="0" applyNumberFormat="1" applyAlignment="1">
      <alignment horizontal="center"/>
    </xf>
    <xf numFmtId="0" fontId="23" fillId="0" borderId="0" xfId="4" applyFill="1"/>
    <xf numFmtId="0" fontId="23" fillId="0" borderId="0" xfId="4" applyFill="1" applyBorder="1"/>
    <xf numFmtId="0" fontId="0" fillId="26" borderId="0" xfId="0" applyFill="1"/>
    <xf numFmtId="164" fontId="0" fillId="26" borderId="0" xfId="2" applyFont="1" applyFill="1"/>
    <xf numFmtId="49" fontId="23" fillId="0" borderId="0" xfId="4" applyNumberFormat="1"/>
    <xf numFmtId="18" fontId="0" fillId="0" borderId="0" xfId="0" applyNumberFormat="1" applyAlignment="1">
      <alignment horizontal="center"/>
    </xf>
    <xf numFmtId="1" fontId="0" fillId="0" borderId="0" xfId="0" applyNumberFormat="1"/>
    <xf numFmtId="0" fontId="23" fillId="0" borderId="0" xfId="4" applyFill="1" applyAlignment="1" applyProtection="1"/>
    <xf numFmtId="0" fontId="23" fillId="0" borderId="0" xfId="4" applyAlignment="1" applyProtection="1"/>
    <xf numFmtId="14" fontId="0" fillId="0" borderId="0" xfId="0" applyNumberFormat="1" applyAlignment="1">
      <alignment horizontal="center"/>
    </xf>
    <xf numFmtId="164" fontId="0" fillId="0" borderId="1" xfId="0" applyNumberFormat="1" applyBorder="1"/>
    <xf numFmtId="0" fontId="16" fillId="0" borderId="1" xfId="0" applyFont="1" applyBorder="1" applyAlignment="1">
      <alignment horizontal="left" vertical="center"/>
    </xf>
    <xf numFmtId="0" fontId="7" fillId="6" borderId="5" xfId="3" applyFont="1" applyFill="1" applyBorder="1" applyAlignment="1">
      <alignment horizontal="center" wrapText="1"/>
    </xf>
    <xf numFmtId="14" fontId="6" fillId="0" borderId="1" xfId="3" applyNumberFormat="1" applyBorder="1"/>
    <xf numFmtId="164" fontId="7" fillId="6" borderId="5" xfId="2" applyFont="1" applyFill="1" applyBorder="1" applyAlignment="1">
      <alignment horizontal="center" wrapText="1"/>
    </xf>
    <xf numFmtId="164" fontId="7" fillId="6" borderId="5" xfId="2" applyFont="1" applyFill="1" applyBorder="1" applyAlignment="1">
      <alignment horizontal="center"/>
    </xf>
    <xf numFmtId="164" fontId="7" fillId="6" borderId="16" xfId="2" applyFont="1" applyFill="1" applyBorder="1" applyAlignment="1">
      <alignment horizontal="center"/>
    </xf>
    <xf numFmtId="1" fontId="7" fillId="6" borderId="0" xfId="2" applyNumberFormat="1" applyFont="1" applyFill="1" applyBorder="1" applyAlignment="1">
      <alignment horizontal="center"/>
    </xf>
    <xf numFmtId="164" fontId="7" fillId="6" borderId="0" xfId="2" applyFont="1" applyFill="1" applyBorder="1" applyAlignment="1">
      <alignment horizontal="center"/>
    </xf>
    <xf numFmtId="0" fontId="7" fillId="6" borderId="5" xfId="3" applyFont="1" applyFill="1" applyBorder="1" applyAlignment="1">
      <alignment horizontal="center"/>
    </xf>
    <xf numFmtId="0" fontId="7" fillId="6" borderId="16" xfId="3" applyFont="1" applyFill="1" applyBorder="1" applyAlignment="1">
      <alignment horizontal="center"/>
    </xf>
    <xf numFmtId="164" fontId="3" fillId="6" borderId="5" xfId="2" applyFont="1" applyFill="1" applyBorder="1" applyAlignment="1">
      <alignment horizontal="center"/>
    </xf>
    <xf numFmtId="164" fontId="3" fillId="6" borderId="16" xfId="2" applyFont="1" applyFill="1" applyBorder="1" applyAlignment="1">
      <alignment horizontal="center"/>
    </xf>
    <xf numFmtId="0" fontId="3" fillId="6" borderId="5" xfId="0" applyFont="1" applyFill="1" applyBorder="1" applyAlignment="1">
      <alignment horizontal="center"/>
    </xf>
    <xf numFmtId="164" fontId="3" fillId="6" borderId="12" xfId="2" applyFont="1" applyFill="1" applyBorder="1" applyAlignment="1">
      <alignment horizontal="center"/>
    </xf>
    <xf numFmtId="49" fontId="5" fillId="0" borderId="22" xfId="0" applyNumberFormat="1" applyFont="1" applyBorder="1" applyAlignment="1">
      <alignment wrapText="1"/>
    </xf>
    <xf numFmtId="49" fontId="5" fillId="0" borderId="22" xfId="0" applyNumberFormat="1" applyFont="1" applyBorder="1"/>
    <xf numFmtId="0" fontId="6" fillId="0" borderId="1" xfId="3" applyBorder="1" applyAlignment="1">
      <alignment horizontal="left" wrapText="1"/>
    </xf>
    <xf numFmtId="0" fontId="6" fillId="0" borderId="39" xfId="3" applyBorder="1" applyAlignment="1">
      <alignment horizontal="center" wrapText="1"/>
    </xf>
    <xf numFmtId="49" fontId="0" fillId="25" borderId="10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6" fillId="0" borderId="10" xfId="2" applyFont="1" applyBorder="1" applyAlignment="1">
      <alignment horizontal="center"/>
    </xf>
    <xf numFmtId="0" fontId="6" fillId="0" borderId="29" xfId="3" applyBorder="1" applyAlignment="1">
      <alignment horizontal="left"/>
    </xf>
    <xf numFmtId="0" fontId="0" fillId="0" borderId="1" xfId="0" applyBorder="1" applyAlignment="1">
      <alignment horizontal="left"/>
    </xf>
    <xf numFmtId="0" fontId="3" fillId="24" borderId="6" xfId="0" applyFont="1" applyFill="1" applyBorder="1" applyAlignment="1">
      <alignment horizontal="center"/>
    </xf>
    <xf numFmtId="0" fontId="0" fillId="0" borderId="27" xfId="0" applyBorder="1" applyAlignment="1">
      <alignment horizontal="left" vertical="center"/>
    </xf>
    <xf numFmtId="164" fontId="6" fillId="0" borderId="22" xfId="2" applyFont="1" applyFill="1" applyBorder="1"/>
    <xf numFmtId="164" fontId="6" fillId="0" borderId="29" xfId="2" applyFont="1" applyBorder="1"/>
    <xf numFmtId="0" fontId="0" fillId="0" borderId="28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49" fontId="0" fillId="0" borderId="28" xfId="0" applyNumberFormat="1" applyBorder="1" applyAlignment="1">
      <alignment horizontal="center" vertical="center"/>
    </xf>
    <xf numFmtId="164" fontId="18" fillId="0" borderId="10" xfId="2" applyFont="1" applyBorder="1"/>
    <xf numFmtId="164" fontId="17" fillId="0" borderId="10" xfId="2" applyFont="1" applyBorder="1"/>
    <xf numFmtId="0" fontId="6" fillId="0" borderId="30" xfId="3" applyBorder="1" applyAlignment="1">
      <alignment horizontal="left"/>
    </xf>
    <xf numFmtId="0" fontId="6" fillId="0" borderId="5" xfId="3" applyBorder="1" applyAlignment="1">
      <alignment horizontal="left" vertical="center" wrapText="1"/>
    </xf>
    <xf numFmtId="0" fontId="6" fillId="0" borderId="1" xfId="3" applyBorder="1" applyAlignment="1">
      <alignment vertical="center" wrapText="1"/>
    </xf>
    <xf numFmtId="164" fontId="3" fillId="4" borderId="1" xfId="2" applyFont="1" applyFill="1" applyBorder="1" applyAlignment="1">
      <alignment horizontal="left"/>
    </xf>
    <xf numFmtId="164" fontId="6" fillId="0" borderId="1" xfId="2" applyFont="1" applyFill="1" applyBorder="1" applyAlignment="1"/>
    <xf numFmtId="164" fontId="6" fillId="0" borderId="6" xfId="2" applyFont="1" applyFill="1" applyBorder="1" applyAlignment="1"/>
    <xf numFmtId="49" fontId="8" fillId="0" borderId="24" xfId="3" applyNumberFormat="1" applyFont="1" applyBorder="1" applyAlignment="1">
      <alignment horizontal="center" vertical="center"/>
    </xf>
    <xf numFmtId="49" fontId="11" fillId="0" borderId="24" xfId="0" applyNumberFormat="1" applyFont="1" applyBorder="1" applyAlignment="1">
      <alignment vertical="center"/>
    </xf>
    <xf numFmtId="49" fontId="5" fillId="0" borderId="24" xfId="0" applyNumberFormat="1" applyFont="1" applyBorder="1"/>
    <xf numFmtId="0" fontId="6" fillId="0" borderId="10" xfId="3" applyBorder="1" applyAlignment="1">
      <alignment horizontal="center" wrapText="1"/>
    </xf>
    <xf numFmtId="164" fontId="6" fillId="0" borderId="10" xfId="2" applyFont="1" applyBorder="1" applyAlignment="1">
      <alignment horizontal="center" wrapText="1"/>
    </xf>
    <xf numFmtId="0" fontId="7" fillId="22" borderId="1" xfId="3" applyFont="1" applyFill="1" applyBorder="1" applyAlignment="1">
      <alignment horizontal="center" wrapText="1"/>
    </xf>
    <xf numFmtId="0" fontId="6" fillId="11" borderId="1" xfId="3" applyFill="1" applyBorder="1" applyAlignment="1">
      <alignment horizontal="left"/>
    </xf>
    <xf numFmtId="0" fontId="6" fillId="11" borderId="1" xfId="3" applyFill="1" applyBorder="1"/>
    <xf numFmtId="0" fontId="6" fillId="11" borderId="22" xfId="3" applyFill="1" applyBorder="1" applyAlignment="1">
      <alignment horizontal="left"/>
    </xf>
    <xf numFmtId="0" fontId="6" fillId="11" borderId="30" xfId="3" applyFill="1" applyBorder="1" applyAlignment="1">
      <alignment horizontal="left"/>
    </xf>
    <xf numFmtId="0" fontId="6" fillId="11" borderId="23" xfId="3" applyFill="1" applyBorder="1" applyAlignment="1">
      <alignment horizontal="left"/>
    </xf>
    <xf numFmtId="0" fontId="6" fillId="3" borderId="29" xfId="3" applyFill="1" applyBorder="1"/>
    <xf numFmtId="0" fontId="6" fillId="3" borderId="37" xfId="3" applyFill="1" applyBorder="1"/>
    <xf numFmtId="0" fontId="6" fillId="3" borderId="23" xfId="3" applyFill="1" applyBorder="1"/>
    <xf numFmtId="0" fontId="6" fillId="11" borderId="29" xfId="3" applyFill="1" applyBorder="1"/>
    <xf numFmtId="0" fontId="6" fillId="11" borderId="23" xfId="3" applyFill="1" applyBorder="1"/>
    <xf numFmtId="0" fontId="6" fillId="11" borderId="30" xfId="3" applyFill="1" applyBorder="1"/>
    <xf numFmtId="0" fontId="6" fillId="3" borderId="5" xfId="3" applyFill="1" applyBorder="1" applyAlignment="1">
      <alignment horizontal="left"/>
    </xf>
    <xf numFmtId="0" fontId="0" fillId="3" borderId="5" xfId="0" applyFill="1" applyBorder="1" applyAlignment="1">
      <alignment horizontal="left" vertical="center"/>
    </xf>
    <xf numFmtId="0" fontId="0" fillId="3" borderId="5" xfId="0" applyFill="1" applyBorder="1" applyAlignment="1">
      <alignment horizontal="left"/>
    </xf>
    <xf numFmtId="0" fontId="6" fillId="3" borderId="5" xfId="3" applyFill="1" applyBorder="1" applyAlignment="1">
      <alignment horizontal="left" vertical="center" wrapText="1"/>
    </xf>
    <xf numFmtId="0" fontId="6" fillId="3" borderId="0" xfId="3" applyFill="1" applyAlignment="1">
      <alignment horizontal="left"/>
    </xf>
    <xf numFmtId="0" fontId="0" fillId="11" borderId="1" xfId="0" applyFill="1" applyBorder="1" applyAlignment="1">
      <alignment horizontal="left" vertical="center"/>
    </xf>
    <xf numFmtId="0" fontId="0" fillId="11" borderId="10" xfId="0" applyFill="1" applyBorder="1" applyAlignment="1">
      <alignment horizontal="left" vertical="center"/>
    </xf>
    <xf numFmtId="0" fontId="6" fillId="11" borderId="6" xfId="3" applyFill="1" applyBorder="1"/>
    <xf numFmtId="0" fontId="0" fillId="11" borderId="29" xfId="0" applyFill="1" applyBorder="1" applyAlignment="1">
      <alignment horizontal="left" vertical="center"/>
    </xf>
    <xf numFmtId="0" fontId="0" fillId="11" borderId="6" xfId="0" applyFill="1" applyBorder="1" applyAlignment="1">
      <alignment horizontal="left" vertical="center"/>
    </xf>
    <xf numFmtId="0" fontId="0" fillId="7" borderId="1" xfId="0" applyFill="1" applyBorder="1" applyAlignment="1">
      <alignment horizontal="left" vertical="center"/>
    </xf>
    <xf numFmtId="0" fontId="0" fillId="11" borderId="39" xfId="0" applyFill="1" applyBorder="1" applyAlignment="1">
      <alignment horizontal="left" vertical="center"/>
    </xf>
    <xf numFmtId="0" fontId="0" fillId="7" borderId="10" xfId="0" applyFill="1" applyBorder="1"/>
    <xf numFmtId="0" fontId="0" fillId="11" borderId="23" xfId="0" applyFill="1" applyBorder="1" applyAlignment="1">
      <alignment horizontal="left" vertical="center"/>
    </xf>
    <xf numFmtId="0" fontId="6" fillId="11" borderId="1" xfId="3" applyFill="1" applyBorder="1" applyAlignment="1">
      <alignment vertical="center" wrapText="1"/>
    </xf>
    <xf numFmtId="0" fontId="6" fillId="27" borderId="1" xfId="3" applyFill="1" applyBorder="1" applyAlignment="1">
      <alignment horizontal="left"/>
    </xf>
    <xf numFmtId="0" fontId="6" fillId="23" borderId="22" xfId="3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3" fillId="7" borderId="1" xfId="0" applyFont="1" applyFill="1" applyBorder="1" applyAlignment="1">
      <alignment horizontal="center"/>
    </xf>
    <xf numFmtId="164" fontId="3" fillId="0" borderId="0" xfId="2" applyFont="1"/>
    <xf numFmtId="164" fontId="3" fillId="4" borderId="1" xfId="0" applyNumberFormat="1" applyFont="1" applyFill="1" applyBorder="1" applyAlignment="1">
      <alignment horizontal="center"/>
    </xf>
    <xf numFmtId="164" fontId="24" fillId="0" borderId="1" xfId="2" applyFont="1" applyBorder="1"/>
    <xf numFmtId="164" fontId="25" fillId="0" borderId="6" xfId="2" applyFont="1" applyFill="1" applyBorder="1"/>
    <xf numFmtId="164" fontId="25" fillId="0" borderId="1" xfId="2" applyFont="1" applyBorder="1"/>
    <xf numFmtId="164" fontId="25" fillId="0" borderId="1" xfId="2" applyFont="1" applyFill="1" applyBorder="1"/>
    <xf numFmtId="164" fontId="6" fillId="11" borderId="1" xfId="2" applyFont="1" applyFill="1" applyBorder="1"/>
    <xf numFmtId="164" fontId="0" fillId="11" borderId="1" xfId="2" applyFont="1" applyFill="1" applyBorder="1" applyAlignment="1">
      <alignment horizontal="left" vertical="center"/>
    </xf>
    <xf numFmtId="164" fontId="0" fillId="0" borderId="1" xfId="2" applyFont="1" applyBorder="1" applyAlignment="1">
      <alignment horizontal="left" vertical="center"/>
    </xf>
    <xf numFmtId="164" fontId="6" fillId="11" borderId="1" xfId="2" applyFont="1" applyFill="1" applyBorder="1" applyAlignment="1">
      <alignment vertical="center" wrapText="1"/>
    </xf>
    <xf numFmtId="0" fontId="3" fillId="4" borderId="1" xfId="2" applyNumberFormat="1" applyFont="1" applyFill="1" applyBorder="1" applyAlignment="1">
      <alignment horizontal="center"/>
    </xf>
    <xf numFmtId="0" fontId="3" fillId="11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164" fontId="10" fillId="7" borderId="23" xfId="2" applyFont="1" applyFill="1" applyBorder="1"/>
    <xf numFmtId="165" fontId="6" fillId="7" borderId="1" xfId="3" applyNumberFormat="1" applyFill="1" applyBorder="1" applyAlignment="1">
      <alignment horizontal="center"/>
    </xf>
    <xf numFmtId="0" fontId="0" fillId="4" borderId="0" xfId="0" applyFill="1" applyAlignment="1">
      <alignment horizontal="center"/>
    </xf>
    <xf numFmtId="2" fontId="0" fillId="4" borderId="0" xfId="0" applyNumberFormat="1" applyFill="1"/>
    <xf numFmtId="164" fontId="0" fillId="4" borderId="0" xfId="2" applyFont="1" applyFill="1"/>
    <xf numFmtId="166" fontId="3" fillId="4" borderId="1" xfId="0" applyNumberFormat="1" applyFont="1" applyFill="1" applyBorder="1" applyAlignment="1">
      <alignment horizontal="center"/>
    </xf>
    <xf numFmtId="166" fontId="3" fillId="0" borderId="1" xfId="2" applyNumberFormat="1" applyFont="1" applyFill="1" applyBorder="1" applyAlignment="1">
      <alignment horizontal="center"/>
    </xf>
    <xf numFmtId="166" fontId="6" fillId="0" borderId="1" xfId="3" applyNumberFormat="1" applyBorder="1" applyAlignment="1">
      <alignment horizontal="left"/>
    </xf>
    <xf numFmtId="166" fontId="3" fillId="6" borderId="1" xfId="0" applyNumberFormat="1" applyFont="1" applyFill="1" applyBorder="1" applyAlignment="1">
      <alignment horizontal="center"/>
    </xf>
    <xf numFmtId="166" fontId="7" fillId="4" borderId="1" xfId="2" applyNumberFormat="1" applyFont="1" applyFill="1" applyBorder="1" applyAlignment="1">
      <alignment horizontal="center"/>
    </xf>
    <xf numFmtId="166" fontId="7" fillId="4" borderId="1" xfId="3" applyNumberFormat="1" applyFont="1" applyFill="1" applyBorder="1" applyAlignment="1">
      <alignment horizontal="center"/>
    </xf>
    <xf numFmtId="164" fontId="7" fillId="23" borderId="1" xfId="2" applyFont="1" applyFill="1" applyBorder="1" applyAlignment="1">
      <alignment horizontal="center" wrapText="1"/>
    </xf>
    <xf numFmtId="164" fontId="7" fillId="23" borderId="6" xfId="2" applyFont="1" applyFill="1" applyBorder="1" applyAlignment="1">
      <alignment horizontal="center"/>
    </xf>
    <xf numFmtId="164" fontId="3" fillId="23" borderId="1" xfId="2" applyFont="1" applyFill="1" applyBorder="1" applyAlignment="1">
      <alignment horizontal="center"/>
    </xf>
    <xf numFmtId="164" fontId="3" fillId="23" borderId="6" xfId="2" applyFont="1" applyFill="1" applyBorder="1" applyAlignment="1">
      <alignment horizontal="center"/>
    </xf>
    <xf numFmtId="166" fontId="7" fillId="23" borderId="1" xfId="3" applyNumberFormat="1" applyFont="1" applyFill="1" applyBorder="1" applyAlignment="1">
      <alignment horizontal="center" wrapText="1"/>
    </xf>
    <xf numFmtId="0" fontId="6" fillId="28" borderId="24" xfId="3" applyFill="1" applyBorder="1" applyAlignment="1">
      <alignment horizontal="center" wrapText="1"/>
    </xf>
    <xf numFmtId="166" fontId="0" fillId="0" borderId="0" xfId="0" applyNumberFormat="1"/>
    <xf numFmtId="0" fontId="5" fillId="0" borderId="0" xfId="0" applyFont="1" applyAlignment="1">
      <alignment horizontal="center" wrapText="1"/>
    </xf>
    <xf numFmtId="164" fontId="3" fillId="29" borderId="1" xfId="2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5" fillId="0" borderId="0" xfId="0" applyFont="1" applyAlignment="1">
      <alignment wrapText="1"/>
    </xf>
    <xf numFmtId="164" fontId="5" fillId="0" borderId="0" xfId="2" applyFont="1" applyFill="1" applyBorder="1" applyAlignment="1">
      <alignment wrapText="1"/>
    </xf>
    <xf numFmtId="164" fontId="12" fillId="0" borderId="1" xfId="2" applyFont="1" applyFill="1" applyBorder="1" applyAlignment="1"/>
    <xf numFmtId="18" fontId="0" fillId="0" borderId="0" xfId="0" applyNumberFormat="1"/>
    <xf numFmtId="0" fontId="27" fillId="0" borderId="0" xfId="0" applyFont="1" applyAlignment="1">
      <alignment horizontal="center"/>
    </xf>
    <xf numFmtId="164" fontId="0" fillId="29" borderId="0" xfId="2" applyFont="1" applyFill="1"/>
    <xf numFmtId="14" fontId="0" fillId="9" borderId="0" xfId="0" applyNumberFormat="1" applyFill="1"/>
    <xf numFmtId="0" fontId="0" fillId="9" borderId="0" xfId="0" applyFill="1"/>
    <xf numFmtId="164" fontId="0" fillId="9" borderId="0" xfId="2" applyFont="1" applyFill="1"/>
    <xf numFmtId="0" fontId="6" fillId="24" borderId="1" xfId="3" applyFill="1" applyBorder="1"/>
    <xf numFmtId="0" fontId="27" fillId="0" borderId="1" xfId="0" applyFont="1" applyBorder="1" applyAlignment="1">
      <alignment horizontal="center"/>
    </xf>
    <xf numFmtId="0" fontId="27" fillId="24" borderId="1" xfId="0" applyFont="1" applyFill="1" applyBorder="1" applyAlignment="1">
      <alignment horizontal="center"/>
    </xf>
    <xf numFmtId="164" fontId="0" fillId="24" borderId="1" xfId="2" applyFont="1" applyFill="1" applyBorder="1"/>
    <xf numFmtId="0" fontId="0" fillId="24" borderId="1" xfId="0" applyFill="1" applyBorder="1"/>
    <xf numFmtId="0" fontId="0" fillId="24" borderId="1" xfId="0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164" fontId="3" fillId="0" borderId="0" xfId="2" applyFont="1" applyAlignment="1">
      <alignment horizontal="center"/>
    </xf>
    <xf numFmtId="164" fontId="7" fillId="0" borderId="0" xfId="2" applyFont="1" applyAlignment="1">
      <alignment horizontal="center"/>
    </xf>
    <xf numFmtId="0" fontId="0" fillId="0" borderId="1" xfId="0" applyFill="1" applyBorder="1" applyAlignment="1">
      <alignment horizontal="center"/>
    </xf>
    <xf numFmtId="49" fontId="28" fillId="0" borderId="24" xfId="3" applyNumberFormat="1" applyFont="1" applyBorder="1" applyAlignment="1">
      <alignment horizontal="center" vertical="center"/>
    </xf>
    <xf numFmtId="164" fontId="28" fillId="0" borderId="1" xfId="2" applyFont="1" applyBorder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16" borderId="8" xfId="0" applyFill="1" applyBorder="1" applyAlignment="1">
      <alignment horizontal="center"/>
    </xf>
    <xf numFmtId="0" fontId="0" fillId="16" borderId="9" xfId="0" applyFill="1" applyBorder="1" applyAlignment="1">
      <alignment horizontal="center"/>
    </xf>
    <xf numFmtId="0" fontId="0" fillId="11" borderId="8" xfId="0" applyFill="1" applyBorder="1" applyAlignment="1">
      <alignment horizontal="center"/>
    </xf>
    <xf numFmtId="0" fontId="0" fillId="11" borderId="9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0" fontId="0" fillId="6" borderId="8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14" borderId="8" xfId="0" applyFill="1" applyBorder="1" applyAlignment="1">
      <alignment horizontal="center"/>
    </xf>
    <xf numFmtId="0" fontId="0" fillId="14" borderId="9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15" borderId="8" xfId="0" applyFill="1" applyBorder="1" applyAlignment="1">
      <alignment horizontal="center"/>
    </xf>
    <xf numFmtId="0" fontId="0" fillId="15" borderId="9" xfId="0" applyFill="1" applyBorder="1" applyAlignment="1">
      <alignment horizontal="center"/>
    </xf>
    <xf numFmtId="0" fontId="0" fillId="14" borderId="7" xfId="0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0" fontId="0" fillId="11" borderId="7" xfId="0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5" borderId="18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7" borderId="16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13" borderId="7" xfId="0" applyFill="1" applyBorder="1" applyAlignment="1">
      <alignment horizontal="center"/>
    </xf>
    <xf numFmtId="0" fontId="0" fillId="5" borderId="16" xfId="0" applyFill="1" applyBorder="1" applyAlignment="1">
      <alignment horizontal="center"/>
    </xf>
    <xf numFmtId="0" fontId="0" fillId="14" borderId="18" xfId="0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9" borderId="12" xfId="0" applyFill="1" applyBorder="1" applyAlignment="1">
      <alignment horizontal="center"/>
    </xf>
    <xf numFmtId="0" fontId="0" fillId="9" borderId="16" xfId="0" applyFill="1" applyBorder="1" applyAlignment="1">
      <alignment horizontal="center"/>
    </xf>
    <xf numFmtId="0" fontId="0" fillId="9" borderId="14" xfId="0" applyFill="1" applyBorder="1" applyAlignment="1">
      <alignment horizontal="center"/>
    </xf>
    <xf numFmtId="0" fontId="0" fillId="9" borderId="5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0" fillId="7" borderId="6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5" borderId="6" xfId="0" applyFill="1" applyBorder="1" applyAlignment="1">
      <alignment horizontal="center"/>
    </xf>
    <xf numFmtId="0" fontId="0" fillId="10" borderId="5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1" borderId="5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13" borderId="8" xfId="0" applyFill="1" applyBorder="1" applyAlignment="1">
      <alignment horizontal="center"/>
    </xf>
    <xf numFmtId="0" fontId="0" fillId="13" borderId="9" xfId="0" applyFill="1" applyBorder="1" applyAlignment="1">
      <alignment horizontal="center"/>
    </xf>
    <xf numFmtId="0" fontId="6" fillId="9" borderId="0" xfId="3" applyFill="1" applyAlignment="1">
      <alignment horizontal="center" vertical="center"/>
    </xf>
  </cellXfs>
  <cellStyles count="5">
    <cellStyle name="Excel Built-in Normal" xfId="3" xr:uid="{43786A31-2FEE-4C36-AE1F-130511E6510B}"/>
    <cellStyle name="Hipervínculo" xfId="4" builtinId="8"/>
    <cellStyle name="Millares" xfId="1" builtinId="3"/>
    <cellStyle name="Moneda" xfId="2" builtinId="4"/>
    <cellStyle name="Normal" xfId="0" builtinId="0"/>
  </cellStyles>
  <dxfs count="21">
    <dxf>
      <font>
        <b/>
        <i val="0"/>
        <condense val="0"/>
        <extend val="0"/>
      </font>
      <border>
        <left style="thin">
          <color indexed="48"/>
        </left>
        <right style="thin">
          <color indexed="48"/>
        </right>
        <top style="thin">
          <color indexed="48"/>
        </top>
        <bottom style="thin">
          <color indexed="48"/>
        </bottom>
      </border>
    </dxf>
    <dxf>
      <font>
        <b/>
        <i val="0"/>
        <condense val="0"/>
        <extend val="0"/>
      </font>
      <border>
        <left style="thin">
          <color indexed="48"/>
        </left>
        <right style="thin">
          <color indexed="48"/>
        </right>
        <top style="thin">
          <color indexed="48"/>
        </top>
        <bottom style="thin">
          <color indexed="48"/>
        </bottom>
      </border>
    </dxf>
    <dxf>
      <font>
        <b/>
        <i val="0"/>
        <condense val="0"/>
        <extend val="0"/>
      </font>
      <border>
        <left style="thin">
          <color indexed="48"/>
        </left>
        <right style="thin">
          <color indexed="48"/>
        </right>
        <top style="thin">
          <color indexed="48"/>
        </top>
        <bottom style="thin">
          <color indexed="48"/>
        </bottom>
      </border>
    </dxf>
    <dxf>
      <font>
        <b/>
        <i val="0"/>
        <condense val="0"/>
        <extend val="0"/>
      </font>
      <border>
        <left style="thin">
          <color indexed="48"/>
        </left>
        <right style="thin">
          <color indexed="48"/>
        </right>
        <top style="thin">
          <color indexed="48"/>
        </top>
        <bottom style="thin">
          <color indexed="48"/>
        </bottom>
      </border>
    </dxf>
    <dxf>
      <font>
        <b/>
        <i val="0"/>
        <condense val="0"/>
        <extend val="0"/>
      </font>
      <border>
        <left style="thin">
          <color indexed="48"/>
        </left>
        <right style="thin">
          <color indexed="48"/>
        </right>
        <top style="thin">
          <color indexed="48"/>
        </top>
        <bottom style="thin">
          <color indexed="48"/>
        </bottom>
      </border>
    </dxf>
    <dxf>
      <font>
        <b/>
        <i val="0"/>
        <condense val="0"/>
        <extend val="0"/>
      </font>
      <border>
        <left style="thin">
          <color indexed="48"/>
        </left>
        <right style="thin">
          <color indexed="48"/>
        </right>
        <top style="thin">
          <color indexed="48"/>
        </top>
        <bottom style="thin">
          <color indexed="48"/>
        </bottom>
      </border>
    </dxf>
    <dxf>
      <font>
        <b/>
        <i val="0"/>
        <condense val="0"/>
        <extend val="0"/>
      </font>
      <border>
        <left style="thin">
          <color indexed="48"/>
        </left>
        <right style="thin">
          <color indexed="48"/>
        </right>
        <top style="thin">
          <color indexed="48"/>
        </top>
        <bottom style="thin">
          <color indexed="48"/>
        </bottom>
      </border>
    </dxf>
    <dxf>
      <font>
        <b/>
        <i val="0"/>
        <condense val="0"/>
        <extend val="0"/>
      </font>
      <border>
        <left style="thin">
          <color indexed="48"/>
        </left>
        <right style="thin">
          <color indexed="48"/>
        </right>
        <top style="thin">
          <color indexed="48"/>
        </top>
        <bottom style="thin">
          <color indexed="48"/>
        </bottom>
      </border>
    </dxf>
    <dxf>
      <font>
        <b/>
        <i val="0"/>
        <condense val="0"/>
        <extend val="0"/>
      </font>
      <border>
        <left style="thin">
          <color indexed="48"/>
        </left>
        <right style="thin">
          <color indexed="48"/>
        </right>
        <top style="thin">
          <color indexed="48"/>
        </top>
        <bottom style="thin">
          <color indexed="48"/>
        </bottom>
      </border>
    </dxf>
    <dxf>
      <font>
        <b/>
        <i val="0"/>
        <condense val="0"/>
        <extend val="0"/>
      </font>
      <border>
        <left style="thin">
          <color indexed="48"/>
        </left>
        <right style="thin">
          <color indexed="48"/>
        </right>
        <top style="thin">
          <color indexed="48"/>
        </top>
        <bottom style="thin">
          <color indexed="48"/>
        </bottom>
      </border>
    </dxf>
    <dxf>
      <font>
        <b/>
        <i val="0"/>
        <condense val="0"/>
        <extend val="0"/>
      </font>
      <border>
        <left style="thin">
          <color indexed="48"/>
        </left>
        <right style="thin">
          <color indexed="48"/>
        </right>
        <top style="thin">
          <color indexed="48"/>
        </top>
        <bottom style="thin">
          <color indexed="48"/>
        </bottom>
      </border>
    </dxf>
    <dxf>
      <font>
        <b/>
        <i val="0"/>
        <condense val="0"/>
        <extend val="0"/>
      </font>
      <border>
        <left style="thin">
          <color indexed="48"/>
        </left>
        <right style="thin">
          <color indexed="48"/>
        </right>
        <top style="thin">
          <color indexed="48"/>
        </top>
        <bottom style="thin">
          <color indexed="48"/>
        </bottom>
      </border>
    </dxf>
    <dxf>
      <font>
        <b/>
        <i val="0"/>
        <condense val="0"/>
        <extend val="0"/>
      </font>
      <border>
        <left style="thin">
          <color indexed="48"/>
        </left>
        <right style="thin">
          <color indexed="48"/>
        </right>
        <top style="thin">
          <color indexed="48"/>
        </top>
        <bottom style="thin">
          <color indexed="48"/>
        </bottom>
      </border>
    </dxf>
    <dxf>
      <font>
        <b/>
        <i val="0"/>
        <condense val="0"/>
        <extend val="0"/>
      </font>
      <border>
        <left style="thin">
          <color indexed="48"/>
        </left>
        <right style="thin">
          <color indexed="48"/>
        </right>
        <top style="thin">
          <color indexed="48"/>
        </top>
        <bottom style="thin">
          <color indexed="48"/>
        </bottom>
      </border>
    </dxf>
    <dxf>
      <font>
        <b/>
        <i val="0"/>
        <condense val="0"/>
        <extend val="0"/>
      </font>
      <border>
        <left style="thin">
          <color indexed="48"/>
        </left>
        <right style="thin">
          <color indexed="48"/>
        </right>
        <top style="thin">
          <color indexed="48"/>
        </top>
        <bottom style="thin">
          <color indexed="48"/>
        </bottom>
      </border>
    </dxf>
    <dxf>
      <font>
        <b/>
        <i val="0"/>
        <condense val="0"/>
        <extend val="0"/>
      </font>
      <border>
        <left style="thin">
          <color indexed="48"/>
        </left>
        <right style="thin">
          <color indexed="48"/>
        </right>
        <top style="thin">
          <color indexed="48"/>
        </top>
        <bottom style="thin">
          <color indexed="48"/>
        </bottom>
      </border>
    </dxf>
    <dxf>
      <font>
        <b/>
        <i val="0"/>
        <condense val="0"/>
        <extend val="0"/>
      </font>
      <border>
        <left style="thin">
          <color indexed="48"/>
        </left>
        <right style="thin">
          <color indexed="48"/>
        </right>
        <top style="thin">
          <color indexed="48"/>
        </top>
        <bottom style="thin">
          <color indexed="48"/>
        </bottom>
      </border>
    </dxf>
    <dxf>
      <font>
        <b/>
        <i val="0"/>
        <condense val="0"/>
        <extend val="0"/>
      </font>
      <border>
        <left style="thin">
          <color indexed="48"/>
        </left>
        <right style="thin">
          <color indexed="48"/>
        </right>
        <top style="thin">
          <color indexed="48"/>
        </top>
        <bottom style="thin">
          <color indexed="48"/>
        </bottom>
      </border>
    </dxf>
    <dxf>
      <font>
        <b/>
        <i val="0"/>
        <condense val="0"/>
        <extend val="0"/>
      </font>
      <border>
        <left style="thin">
          <color indexed="48"/>
        </left>
        <right style="thin">
          <color indexed="48"/>
        </right>
        <top style="thin">
          <color indexed="48"/>
        </top>
        <bottom style="thin">
          <color indexed="48"/>
        </bottom>
      </border>
    </dxf>
    <dxf>
      <font>
        <b/>
        <i val="0"/>
        <condense val="0"/>
        <extend val="0"/>
      </font>
      <border>
        <left style="thin">
          <color indexed="48"/>
        </left>
        <right style="thin">
          <color indexed="48"/>
        </right>
        <top style="thin">
          <color indexed="48"/>
        </top>
        <bottom style="thin">
          <color indexed="48"/>
        </bottom>
      </border>
    </dxf>
    <dxf>
      <font>
        <b/>
        <i val="0"/>
        <condense val="0"/>
        <extend val="0"/>
      </font>
      <border>
        <left style="thin">
          <color indexed="48"/>
        </left>
        <right style="thin">
          <color indexed="48"/>
        </right>
        <top style="thin">
          <color indexed="48"/>
        </top>
        <bottom style="thin">
          <color indexed="48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mailto:marilin.cruz@yahoo.com" TargetMode="External"/><Relationship Id="rId21" Type="http://schemas.openxmlformats.org/officeDocument/2006/relationships/hyperlink" Target="mailto:mainor.flores@hotmail.com" TargetMode="External"/><Relationship Id="rId42" Type="http://schemas.openxmlformats.org/officeDocument/2006/relationships/hyperlink" Target="mailto:esiu0880@gmail.com" TargetMode="External"/><Relationship Id="rId63" Type="http://schemas.openxmlformats.org/officeDocument/2006/relationships/hyperlink" Target="mailto:mainor.flores@hotmail.com" TargetMode="External"/><Relationship Id="rId84" Type="http://schemas.openxmlformats.org/officeDocument/2006/relationships/hyperlink" Target="mailto:alemvm.11@gmail.com" TargetMode="External"/><Relationship Id="rId138" Type="http://schemas.openxmlformats.org/officeDocument/2006/relationships/hyperlink" Target="mailto:esiu0880@gmail.com" TargetMode="External"/><Relationship Id="rId107" Type="http://schemas.openxmlformats.org/officeDocument/2006/relationships/hyperlink" Target="mailto:marcebanegas_2806@yahoo.es" TargetMode="External"/><Relationship Id="rId11" Type="http://schemas.openxmlformats.org/officeDocument/2006/relationships/hyperlink" Target="mailto:jonathan.13ne@gmail.com" TargetMode="External"/><Relationship Id="rId32" Type="http://schemas.openxmlformats.org/officeDocument/2006/relationships/hyperlink" Target="mailto:rony_01@yahoo.es" TargetMode="External"/><Relationship Id="rId37" Type="http://schemas.openxmlformats.org/officeDocument/2006/relationships/hyperlink" Target="mailto:ajosue.matute@yahoo.com" TargetMode="External"/><Relationship Id="rId53" Type="http://schemas.openxmlformats.org/officeDocument/2006/relationships/hyperlink" Target="mailto:jrlagos0387@gmail.com" TargetMode="External"/><Relationship Id="rId58" Type="http://schemas.openxmlformats.org/officeDocument/2006/relationships/hyperlink" Target="mailto:jonathan.13ne@gmail.com" TargetMode="External"/><Relationship Id="rId74" Type="http://schemas.openxmlformats.org/officeDocument/2006/relationships/hyperlink" Target="mailto:marcebanegas_2806@yahoo.es" TargetMode="External"/><Relationship Id="rId79" Type="http://schemas.openxmlformats.org/officeDocument/2006/relationships/hyperlink" Target="mailto:gonzalezeliana2000@yahoo.com" TargetMode="External"/><Relationship Id="rId102" Type="http://schemas.openxmlformats.org/officeDocument/2006/relationships/hyperlink" Target="mailto:davidcastillo_17@hotmail.com" TargetMode="External"/><Relationship Id="rId123" Type="http://schemas.openxmlformats.org/officeDocument/2006/relationships/hyperlink" Target="mailto:sabc3176@gmail.com" TargetMode="External"/><Relationship Id="rId128" Type="http://schemas.openxmlformats.org/officeDocument/2006/relationships/hyperlink" Target="mailto:darlenymolina@gmaail.com" TargetMode="External"/><Relationship Id="rId5" Type="http://schemas.openxmlformats.org/officeDocument/2006/relationships/hyperlink" Target="mailto:jrlagos0387@gmail.com" TargetMode="External"/><Relationship Id="rId90" Type="http://schemas.openxmlformats.org/officeDocument/2006/relationships/hyperlink" Target="mailto:jrlagos0387@gmail.com" TargetMode="External"/><Relationship Id="rId95" Type="http://schemas.openxmlformats.org/officeDocument/2006/relationships/hyperlink" Target="mailto:yamilettmalflo@yahoo.com" TargetMode="External"/><Relationship Id="rId22" Type="http://schemas.openxmlformats.org/officeDocument/2006/relationships/hyperlink" Target="mailto:jacquelinebustillomatamoros@gmail.com" TargetMode="External"/><Relationship Id="rId27" Type="http://schemas.openxmlformats.org/officeDocument/2006/relationships/hyperlink" Target="mailto:ibaca93.ib@gmail.com" TargetMode="External"/><Relationship Id="rId43" Type="http://schemas.openxmlformats.org/officeDocument/2006/relationships/hyperlink" Target="mailto:rony_01@yahoo.es" TargetMode="External"/><Relationship Id="rId48" Type="http://schemas.openxmlformats.org/officeDocument/2006/relationships/hyperlink" Target="mailto:alemvm.11@gmail.com" TargetMode="External"/><Relationship Id="rId64" Type="http://schemas.openxmlformats.org/officeDocument/2006/relationships/hyperlink" Target="mailto:jacquelinebustillomatamoros@gmail.com" TargetMode="External"/><Relationship Id="rId69" Type="http://schemas.openxmlformats.org/officeDocument/2006/relationships/hyperlink" Target="mailto:abpolo21@gmail.com" TargetMode="External"/><Relationship Id="rId113" Type="http://schemas.openxmlformats.org/officeDocument/2006/relationships/hyperlink" Target="mailto:ricarnb@yahoo.com" TargetMode="External"/><Relationship Id="rId118" Type="http://schemas.openxmlformats.org/officeDocument/2006/relationships/hyperlink" Target="mailto:wamhn@yahoo.com" TargetMode="External"/><Relationship Id="rId134" Type="http://schemas.openxmlformats.org/officeDocument/2006/relationships/hyperlink" Target="mailto:gonzalezeliana2000@yahoo.com" TargetMode="External"/><Relationship Id="rId139" Type="http://schemas.openxmlformats.org/officeDocument/2006/relationships/hyperlink" Target="mailto:rony_01@yahoo.es" TargetMode="External"/><Relationship Id="rId80" Type="http://schemas.openxmlformats.org/officeDocument/2006/relationships/hyperlink" Target="mailto:rony_01@yahoo.es" TargetMode="External"/><Relationship Id="rId85" Type="http://schemas.openxmlformats.org/officeDocument/2006/relationships/hyperlink" Target="mailto:alvarez0486@yahoo.com" TargetMode="External"/><Relationship Id="rId12" Type="http://schemas.openxmlformats.org/officeDocument/2006/relationships/hyperlink" Target="mailto:yamilettmalflo@yahoo.com" TargetMode="External"/><Relationship Id="rId17" Type="http://schemas.openxmlformats.org/officeDocument/2006/relationships/hyperlink" Target="mailto:gonzalezeliana2000@yahoo.com" TargetMode="External"/><Relationship Id="rId33" Type="http://schemas.openxmlformats.org/officeDocument/2006/relationships/hyperlink" Target="mailto:rony_01@yahoo.es" TargetMode="External"/><Relationship Id="rId38" Type="http://schemas.openxmlformats.org/officeDocument/2006/relationships/hyperlink" Target="mailto:marcebanegas_2806@yahoo.es" TargetMode="External"/><Relationship Id="rId59" Type="http://schemas.openxmlformats.org/officeDocument/2006/relationships/hyperlink" Target="mailto:yamilettmalflo@yahoo.com" TargetMode="External"/><Relationship Id="rId103" Type="http://schemas.openxmlformats.org/officeDocument/2006/relationships/hyperlink" Target="mailto:ibaca93.ib@gmail.com" TargetMode="External"/><Relationship Id="rId108" Type="http://schemas.openxmlformats.org/officeDocument/2006/relationships/hyperlink" Target="mailto:daniagutierrezdcruz@yahoo.com" TargetMode="External"/><Relationship Id="rId124" Type="http://schemas.openxmlformats.org/officeDocument/2006/relationships/hyperlink" Target="mailto:jzelaya1978@hotmail.com" TargetMode="External"/><Relationship Id="rId129" Type="http://schemas.openxmlformats.org/officeDocument/2006/relationships/hyperlink" Target="mailto:mainor.flores@hotmail.com" TargetMode="External"/><Relationship Id="rId54" Type="http://schemas.openxmlformats.org/officeDocument/2006/relationships/hyperlink" Target="mailto:jrlagos0387@gmail.com" TargetMode="External"/><Relationship Id="rId70" Type="http://schemas.openxmlformats.org/officeDocument/2006/relationships/hyperlink" Target="mailto:gonzalezeliana2000@yahoo.com" TargetMode="External"/><Relationship Id="rId75" Type="http://schemas.openxmlformats.org/officeDocument/2006/relationships/hyperlink" Target="mailto:martinezanna2528@gmail.com" TargetMode="External"/><Relationship Id="rId91" Type="http://schemas.openxmlformats.org/officeDocument/2006/relationships/hyperlink" Target="mailto:hr_hernandez10@hotmail.com" TargetMode="External"/><Relationship Id="rId96" Type="http://schemas.openxmlformats.org/officeDocument/2006/relationships/hyperlink" Target="mailto:desireezelaya_@hotmail.com" TargetMode="External"/><Relationship Id="rId140" Type="http://schemas.openxmlformats.org/officeDocument/2006/relationships/hyperlink" Target="mailto:rony_01@yahoo.es" TargetMode="External"/><Relationship Id="rId1" Type="http://schemas.openxmlformats.org/officeDocument/2006/relationships/hyperlink" Target="mailto:alemvm.11@gmail.com" TargetMode="External"/><Relationship Id="rId6" Type="http://schemas.openxmlformats.org/officeDocument/2006/relationships/hyperlink" Target="mailto:jrlagos0387@gmail.com" TargetMode="External"/><Relationship Id="rId23" Type="http://schemas.openxmlformats.org/officeDocument/2006/relationships/hyperlink" Target="mailto:jacquelinebustillomatamoros@gmail.com" TargetMode="External"/><Relationship Id="rId28" Type="http://schemas.openxmlformats.org/officeDocument/2006/relationships/hyperlink" Target="mailto:icis.ale22@gmail.com" TargetMode="External"/><Relationship Id="rId49" Type="http://schemas.openxmlformats.org/officeDocument/2006/relationships/hyperlink" Target="mailto:alvarez0486@yahoo.com" TargetMode="External"/><Relationship Id="rId114" Type="http://schemas.openxmlformats.org/officeDocument/2006/relationships/hyperlink" Target="mailto:icis.ale22@gmail.com" TargetMode="External"/><Relationship Id="rId119" Type="http://schemas.openxmlformats.org/officeDocument/2006/relationships/hyperlink" Target="mailto:jrlagos0387@gmail.com" TargetMode="External"/><Relationship Id="rId44" Type="http://schemas.openxmlformats.org/officeDocument/2006/relationships/hyperlink" Target="mailto:rony_01@yahoo.es" TargetMode="External"/><Relationship Id="rId60" Type="http://schemas.openxmlformats.org/officeDocument/2006/relationships/hyperlink" Target="mailto:desireezelaya_@hotmail.com" TargetMode="External"/><Relationship Id="rId65" Type="http://schemas.openxmlformats.org/officeDocument/2006/relationships/hyperlink" Target="mailto:jacquelinebustillomatamoros@gmail.com" TargetMode="External"/><Relationship Id="rId81" Type="http://schemas.openxmlformats.org/officeDocument/2006/relationships/hyperlink" Target="mailto:rony_01@yahoo.es" TargetMode="External"/><Relationship Id="rId86" Type="http://schemas.openxmlformats.org/officeDocument/2006/relationships/hyperlink" Target="mailto:marilin.cruz@yahoo.com" TargetMode="External"/><Relationship Id="rId130" Type="http://schemas.openxmlformats.org/officeDocument/2006/relationships/hyperlink" Target="mailto:davidcastillo_17@hotmail.com" TargetMode="External"/><Relationship Id="rId135" Type="http://schemas.openxmlformats.org/officeDocument/2006/relationships/hyperlink" Target="mailto:marcebanegas_2806@yahoo.es" TargetMode="External"/><Relationship Id="rId13" Type="http://schemas.openxmlformats.org/officeDocument/2006/relationships/hyperlink" Target="mailto:desireezelaya_@hotmail.com" TargetMode="External"/><Relationship Id="rId18" Type="http://schemas.openxmlformats.org/officeDocument/2006/relationships/hyperlink" Target="mailto:esiu0880@gmail.com" TargetMode="External"/><Relationship Id="rId39" Type="http://schemas.openxmlformats.org/officeDocument/2006/relationships/hyperlink" Target="mailto:marcebanegas_2806@yahoo.es" TargetMode="External"/><Relationship Id="rId109" Type="http://schemas.openxmlformats.org/officeDocument/2006/relationships/hyperlink" Target="mailto:rosarioreyes2627@yahoo.com" TargetMode="External"/><Relationship Id="rId34" Type="http://schemas.openxmlformats.org/officeDocument/2006/relationships/hyperlink" Target="mailto:rosarioreyes2627@yahoo.com" TargetMode="External"/><Relationship Id="rId50" Type="http://schemas.openxmlformats.org/officeDocument/2006/relationships/hyperlink" Target="mailto:marilin.cruz@yahoo.com" TargetMode="External"/><Relationship Id="rId55" Type="http://schemas.openxmlformats.org/officeDocument/2006/relationships/hyperlink" Target="mailto:hr_hernandez10@hotmail.com" TargetMode="External"/><Relationship Id="rId76" Type="http://schemas.openxmlformats.org/officeDocument/2006/relationships/hyperlink" Target="mailto:ricarnb@yahoo.com" TargetMode="External"/><Relationship Id="rId97" Type="http://schemas.openxmlformats.org/officeDocument/2006/relationships/hyperlink" Target="mailto:jrlagos0387@gmail.com" TargetMode="External"/><Relationship Id="rId104" Type="http://schemas.openxmlformats.org/officeDocument/2006/relationships/hyperlink" Target="mailto:esiu0880@gmail.com" TargetMode="External"/><Relationship Id="rId120" Type="http://schemas.openxmlformats.org/officeDocument/2006/relationships/hyperlink" Target="mailto:jrlagos0387@gmail.com" TargetMode="External"/><Relationship Id="rId125" Type="http://schemas.openxmlformats.org/officeDocument/2006/relationships/hyperlink" Target="mailto:yamilettmalflo@yahoo.com" TargetMode="External"/><Relationship Id="rId141" Type="http://schemas.openxmlformats.org/officeDocument/2006/relationships/hyperlink" Target="mailto:ericro82@mail.com" TargetMode="External"/><Relationship Id="rId7" Type="http://schemas.openxmlformats.org/officeDocument/2006/relationships/hyperlink" Target="mailto:jrlagos0387@gmail.com" TargetMode="External"/><Relationship Id="rId71" Type="http://schemas.openxmlformats.org/officeDocument/2006/relationships/hyperlink" Target="mailto:ajosue.matute@yahoo.com" TargetMode="External"/><Relationship Id="rId92" Type="http://schemas.openxmlformats.org/officeDocument/2006/relationships/hyperlink" Target="mailto:sabc3176@gmail.com" TargetMode="External"/><Relationship Id="rId2" Type="http://schemas.openxmlformats.org/officeDocument/2006/relationships/hyperlink" Target="mailto:alvarez0486@yahoo.com" TargetMode="External"/><Relationship Id="rId29" Type="http://schemas.openxmlformats.org/officeDocument/2006/relationships/hyperlink" Target="mailto:esiu0880@gmail.com" TargetMode="External"/><Relationship Id="rId24" Type="http://schemas.openxmlformats.org/officeDocument/2006/relationships/hyperlink" Target="mailto:davidcastillo_17@hotmail.com" TargetMode="External"/><Relationship Id="rId40" Type="http://schemas.openxmlformats.org/officeDocument/2006/relationships/hyperlink" Target="mailto:marlenlizethhernandez1991@gmail.com" TargetMode="External"/><Relationship Id="rId45" Type="http://schemas.openxmlformats.org/officeDocument/2006/relationships/hyperlink" Target="mailto:rosarioreyes2627@yahoo.com" TargetMode="External"/><Relationship Id="rId66" Type="http://schemas.openxmlformats.org/officeDocument/2006/relationships/hyperlink" Target="mailto:davidcastillo_17@hotmail.com" TargetMode="External"/><Relationship Id="rId87" Type="http://schemas.openxmlformats.org/officeDocument/2006/relationships/hyperlink" Target="mailto:wamhn@yahoo.com" TargetMode="External"/><Relationship Id="rId110" Type="http://schemas.openxmlformats.org/officeDocument/2006/relationships/hyperlink" Target="mailto:rosarioreyes2627@yahoo.com" TargetMode="External"/><Relationship Id="rId115" Type="http://schemas.openxmlformats.org/officeDocument/2006/relationships/hyperlink" Target="mailto:alemvm.11@gmail.com" TargetMode="External"/><Relationship Id="rId131" Type="http://schemas.openxmlformats.org/officeDocument/2006/relationships/hyperlink" Target="mailto:ibaca93.ib@gmail.com" TargetMode="External"/><Relationship Id="rId136" Type="http://schemas.openxmlformats.org/officeDocument/2006/relationships/hyperlink" Target="mailto:sandrabueso22@hotmail.com" TargetMode="External"/><Relationship Id="rId61" Type="http://schemas.openxmlformats.org/officeDocument/2006/relationships/hyperlink" Target="mailto:jrlagos0387@gmail.com" TargetMode="External"/><Relationship Id="rId82" Type="http://schemas.openxmlformats.org/officeDocument/2006/relationships/hyperlink" Target="mailto:daniagutierrezdcruz@yahoo.com" TargetMode="External"/><Relationship Id="rId19" Type="http://schemas.openxmlformats.org/officeDocument/2006/relationships/hyperlink" Target="mailto:esiu0880@gmail.com" TargetMode="External"/><Relationship Id="rId14" Type="http://schemas.openxmlformats.org/officeDocument/2006/relationships/hyperlink" Target="mailto:jrlagos0387@gmail.com" TargetMode="External"/><Relationship Id="rId30" Type="http://schemas.openxmlformats.org/officeDocument/2006/relationships/hyperlink" Target="mailto:abpolo21@gmail.com" TargetMode="External"/><Relationship Id="rId35" Type="http://schemas.openxmlformats.org/officeDocument/2006/relationships/hyperlink" Target="mailto:rosarioreyes2627@yahoo.com" TargetMode="External"/><Relationship Id="rId56" Type="http://schemas.openxmlformats.org/officeDocument/2006/relationships/hyperlink" Target="mailto:sabc3176@gmail.com" TargetMode="External"/><Relationship Id="rId77" Type="http://schemas.openxmlformats.org/officeDocument/2006/relationships/hyperlink" Target="mailto:institutojosececiliodelvalle@yahoo.com" TargetMode="External"/><Relationship Id="rId100" Type="http://schemas.openxmlformats.org/officeDocument/2006/relationships/hyperlink" Target="mailto:jacquelinebustillomatamoros@gmail.com" TargetMode="External"/><Relationship Id="rId105" Type="http://schemas.openxmlformats.org/officeDocument/2006/relationships/hyperlink" Target="mailto:abpolo21@gmail.com" TargetMode="External"/><Relationship Id="rId126" Type="http://schemas.openxmlformats.org/officeDocument/2006/relationships/hyperlink" Target="mailto:desireezelaya_@hotmail.com" TargetMode="External"/><Relationship Id="rId8" Type="http://schemas.openxmlformats.org/officeDocument/2006/relationships/hyperlink" Target="mailto:hr_hernandez10@hotmail.com" TargetMode="External"/><Relationship Id="rId51" Type="http://schemas.openxmlformats.org/officeDocument/2006/relationships/hyperlink" Target="mailto:wamhn@yahoo.com" TargetMode="External"/><Relationship Id="rId72" Type="http://schemas.openxmlformats.org/officeDocument/2006/relationships/hyperlink" Target="mailto:rosarioreyes2627@yahoo.com" TargetMode="External"/><Relationship Id="rId93" Type="http://schemas.openxmlformats.org/officeDocument/2006/relationships/hyperlink" Target="mailto:jzelaya1978@hotmail.com" TargetMode="External"/><Relationship Id="rId98" Type="http://schemas.openxmlformats.org/officeDocument/2006/relationships/hyperlink" Target="mailto:darlenymolina@gmaail.com" TargetMode="External"/><Relationship Id="rId121" Type="http://schemas.openxmlformats.org/officeDocument/2006/relationships/hyperlink" Target="mailto:jrlagos0387@gmail.com" TargetMode="External"/><Relationship Id="rId142" Type="http://schemas.openxmlformats.org/officeDocument/2006/relationships/hyperlink" Target="mailto:ericro82@mail.com" TargetMode="External"/><Relationship Id="rId3" Type="http://schemas.openxmlformats.org/officeDocument/2006/relationships/hyperlink" Target="mailto:marilin.cruz@yahoo.com" TargetMode="External"/><Relationship Id="rId25" Type="http://schemas.openxmlformats.org/officeDocument/2006/relationships/hyperlink" Target="mailto:carrazola1985@gmail.com" TargetMode="External"/><Relationship Id="rId46" Type="http://schemas.openxmlformats.org/officeDocument/2006/relationships/hyperlink" Target="mailto:rosarioreyes2627@yahoo.com" TargetMode="External"/><Relationship Id="rId67" Type="http://schemas.openxmlformats.org/officeDocument/2006/relationships/hyperlink" Target="mailto:ibaca93.ib@gmail.com" TargetMode="External"/><Relationship Id="rId116" Type="http://schemas.openxmlformats.org/officeDocument/2006/relationships/hyperlink" Target="mailto:alvarez0486@yahoo.com" TargetMode="External"/><Relationship Id="rId137" Type="http://schemas.openxmlformats.org/officeDocument/2006/relationships/hyperlink" Target="mailto:esiu0880@gmail.com" TargetMode="External"/><Relationship Id="rId20" Type="http://schemas.openxmlformats.org/officeDocument/2006/relationships/hyperlink" Target="mailto:abpolo21@mail.com" TargetMode="External"/><Relationship Id="rId41" Type="http://schemas.openxmlformats.org/officeDocument/2006/relationships/hyperlink" Target="mailto:marlenlizethhernandez1991@gmail.com" TargetMode="External"/><Relationship Id="rId62" Type="http://schemas.openxmlformats.org/officeDocument/2006/relationships/hyperlink" Target="mailto:darlenymolina@gmaail.com" TargetMode="External"/><Relationship Id="rId83" Type="http://schemas.openxmlformats.org/officeDocument/2006/relationships/hyperlink" Target="mailto:icis.ale22@gmail.com" TargetMode="External"/><Relationship Id="rId88" Type="http://schemas.openxmlformats.org/officeDocument/2006/relationships/hyperlink" Target="mailto:jrlagos0387@gmail.com" TargetMode="External"/><Relationship Id="rId111" Type="http://schemas.openxmlformats.org/officeDocument/2006/relationships/hyperlink" Target="mailto:rosarioreyes2627@yahoo.com" TargetMode="External"/><Relationship Id="rId132" Type="http://schemas.openxmlformats.org/officeDocument/2006/relationships/hyperlink" Target="mailto:esiu0880@gmail.com" TargetMode="External"/><Relationship Id="rId15" Type="http://schemas.openxmlformats.org/officeDocument/2006/relationships/hyperlink" Target="mailto:darlenymolina@gmaail.com" TargetMode="External"/><Relationship Id="rId36" Type="http://schemas.openxmlformats.org/officeDocument/2006/relationships/hyperlink" Target="mailto:rosarioreyes2627@yahoo.com" TargetMode="External"/><Relationship Id="rId57" Type="http://schemas.openxmlformats.org/officeDocument/2006/relationships/hyperlink" Target="mailto:jzelaya1978@hotmail.com" TargetMode="External"/><Relationship Id="rId106" Type="http://schemas.openxmlformats.org/officeDocument/2006/relationships/hyperlink" Target="mailto:gonzalezeliana2000@yahoo.com" TargetMode="External"/><Relationship Id="rId127" Type="http://schemas.openxmlformats.org/officeDocument/2006/relationships/hyperlink" Target="mailto:jrlagos0387@gmail.com" TargetMode="External"/><Relationship Id="rId10" Type="http://schemas.openxmlformats.org/officeDocument/2006/relationships/hyperlink" Target="mailto:jzelaya1978@hotmail.com" TargetMode="External"/><Relationship Id="rId31" Type="http://schemas.openxmlformats.org/officeDocument/2006/relationships/hyperlink" Target="mailto:gonzalezeliana2000@yahoo.com" TargetMode="External"/><Relationship Id="rId52" Type="http://schemas.openxmlformats.org/officeDocument/2006/relationships/hyperlink" Target="mailto:jrlagos0387@gmail.com" TargetMode="External"/><Relationship Id="rId73" Type="http://schemas.openxmlformats.org/officeDocument/2006/relationships/hyperlink" Target="mailto:marcebanegas_2806@yahoo.es" TargetMode="External"/><Relationship Id="rId78" Type="http://schemas.openxmlformats.org/officeDocument/2006/relationships/hyperlink" Target="mailto:institutojosececiliodelvalle@yahoo.com" TargetMode="External"/><Relationship Id="rId94" Type="http://schemas.openxmlformats.org/officeDocument/2006/relationships/hyperlink" Target="mailto:jonathan.13ne@gmail.com" TargetMode="External"/><Relationship Id="rId99" Type="http://schemas.openxmlformats.org/officeDocument/2006/relationships/hyperlink" Target="mailto:mainor.flores@hotmail.com" TargetMode="External"/><Relationship Id="rId101" Type="http://schemas.openxmlformats.org/officeDocument/2006/relationships/hyperlink" Target="mailto:jacquelinebustillomatamoros@gmail.com" TargetMode="External"/><Relationship Id="rId122" Type="http://schemas.openxmlformats.org/officeDocument/2006/relationships/hyperlink" Target="mailto:hr_hernandez10@hotmail.com" TargetMode="External"/><Relationship Id="rId143" Type="http://schemas.openxmlformats.org/officeDocument/2006/relationships/printerSettings" Target="../printerSettings/printerSettings5.bin"/><Relationship Id="rId4" Type="http://schemas.openxmlformats.org/officeDocument/2006/relationships/hyperlink" Target="mailto:wamhn@yahoo.com" TargetMode="External"/><Relationship Id="rId9" Type="http://schemas.openxmlformats.org/officeDocument/2006/relationships/hyperlink" Target="mailto:sabc3176@gmail.com" TargetMode="External"/><Relationship Id="rId26" Type="http://schemas.openxmlformats.org/officeDocument/2006/relationships/hyperlink" Target="mailto:carrazola1985@gmail.com" TargetMode="External"/><Relationship Id="rId47" Type="http://schemas.openxmlformats.org/officeDocument/2006/relationships/hyperlink" Target="mailto:rosarioreyes2627@yahoo.com" TargetMode="External"/><Relationship Id="rId68" Type="http://schemas.openxmlformats.org/officeDocument/2006/relationships/hyperlink" Target="mailto:esiu0880@gmail.com" TargetMode="External"/><Relationship Id="rId89" Type="http://schemas.openxmlformats.org/officeDocument/2006/relationships/hyperlink" Target="mailto:jrlagos0387@gmail.com" TargetMode="External"/><Relationship Id="rId112" Type="http://schemas.openxmlformats.org/officeDocument/2006/relationships/hyperlink" Target="mailto:martinezanna2528@gmail.com" TargetMode="External"/><Relationship Id="rId133" Type="http://schemas.openxmlformats.org/officeDocument/2006/relationships/hyperlink" Target="mailto:abpolo21@gmail.com" TargetMode="External"/><Relationship Id="rId16" Type="http://schemas.openxmlformats.org/officeDocument/2006/relationships/hyperlink" Target="mailto:daniagutierrezdcruz@yahoo.com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050DB-F3CA-4C08-8E4D-9C49EB10A66C}">
  <dimension ref="A5:G73"/>
  <sheetViews>
    <sheetView topLeftCell="A49" workbookViewId="0">
      <selection activeCell="C76" sqref="C76"/>
    </sheetView>
  </sheetViews>
  <sheetFormatPr defaultColWidth="11.42578125" defaultRowHeight="15"/>
  <sheetData>
    <row r="5" spans="1:7">
      <c r="B5" t="s">
        <v>0</v>
      </c>
      <c r="E5" t="s">
        <v>1</v>
      </c>
    </row>
    <row r="6" spans="1:7">
      <c r="A6" t="s">
        <v>2</v>
      </c>
      <c r="B6">
        <v>1</v>
      </c>
      <c r="C6" t="s">
        <v>3</v>
      </c>
    </row>
    <row r="7" spans="1:7">
      <c r="A7">
        <v>5</v>
      </c>
      <c r="B7">
        <v>8</v>
      </c>
    </row>
    <row r="8" spans="1:7">
      <c r="B8">
        <v>15</v>
      </c>
    </row>
    <row r="9" spans="1:7">
      <c r="B9">
        <v>22</v>
      </c>
    </row>
    <row r="10" spans="1:7">
      <c r="B10">
        <v>29</v>
      </c>
    </row>
    <row r="11" spans="1:7">
      <c r="A11" s="386"/>
      <c r="B11" s="386"/>
      <c r="C11" s="386"/>
      <c r="D11" s="386"/>
      <c r="E11" s="386"/>
      <c r="F11" s="386"/>
      <c r="G11" s="386"/>
    </row>
    <row r="12" spans="1:7">
      <c r="A12" t="s">
        <v>4</v>
      </c>
      <c r="B12">
        <v>5</v>
      </c>
    </row>
    <row r="13" spans="1:7">
      <c r="A13">
        <v>4</v>
      </c>
      <c r="B13">
        <v>12</v>
      </c>
      <c r="C13" t="s">
        <v>3</v>
      </c>
    </row>
    <row r="14" spans="1:7">
      <c r="B14">
        <v>19</v>
      </c>
      <c r="C14" t="s">
        <v>3</v>
      </c>
    </row>
    <row r="15" spans="1:7">
      <c r="B15">
        <v>26</v>
      </c>
    </row>
    <row r="16" spans="1:7">
      <c r="A16" s="386"/>
      <c r="B16" s="386"/>
      <c r="C16" s="386"/>
      <c r="D16" s="386"/>
      <c r="E16" s="386"/>
      <c r="F16" s="386"/>
      <c r="G16" s="386"/>
    </row>
    <row r="17" spans="1:7">
      <c r="A17" t="s">
        <v>5</v>
      </c>
      <c r="B17">
        <v>3</v>
      </c>
    </row>
    <row r="18" spans="1:7">
      <c r="A18">
        <v>5</v>
      </c>
      <c r="B18">
        <v>10</v>
      </c>
      <c r="C18" t="s">
        <v>3</v>
      </c>
    </row>
    <row r="19" spans="1:7">
      <c r="B19">
        <v>17</v>
      </c>
    </row>
    <row r="20" spans="1:7">
      <c r="B20">
        <v>24</v>
      </c>
    </row>
    <row r="21" spans="1:7">
      <c r="B21">
        <v>31</v>
      </c>
    </row>
    <row r="22" spans="1:7">
      <c r="A22" s="386"/>
      <c r="B22" s="386"/>
      <c r="C22" s="386"/>
      <c r="D22" s="386"/>
      <c r="E22" s="386"/>
      <c r="F22" s="386">
        <v>4</v>
      </c>
      <c r="G22" s="386"/>
    </row>
    <row r="23" spans="1:7">
      <c r="A23" t="s">
        <v>6</v>
      </c>
      <c r="B23">
        <v>7</v>
      </c>
    </row>
    <row r="24" spans="1:7">
      <c r="A24">
        <v>4</v>
      </c>
      <c r="B24">
        <v>14</v>
      </c>
      <c r="E24">
        <v>8</v>
      </c>
    </row>
    <row r="25" spans="1:7">
      <c r="B25">
        <v>21</v>
      </c>
      <c r="E25">
        <v>15</v>
      </c>
    </row>
    <row r="26" spans="1:7">
      <c r="B26">
        <v>28</v>
      </c>
      <c r="C26" t="s">
        <v>3</v>
      </c>
      <c r="E26">
        <v>22</v>
      </c>
    </row>
    <row r="27" spans="1:7">
      <c r="E27">
        <v>29</v>
      </c>
    </row>
    <row r="28" spans="1:7">
      <c r="A28" s="386"/>
      <c r="B28" s="386"/>
      <c r="C28" s="386"/>
      <c r="D28" s="386"/>
      <c r="E28" s="386"/>
      <c r="F28" s="386">
        <v>4</v>
      </c>
      <c r="G28" s="386"/>
    </row>
    <row r="30" spans="1:7">
      <c r="A30" t="s">
        <v>7</v>
      </c>
      <c r="B30">
        <v>5</v>
      </c>
      <c r="E30">
        <v>6</v>
      </c>
    </row>
    <row r="31" spans="1:7">
      <c r="A31">
        <v>4</v>
      </c>
      <c r="B31">
        <v>12</v>
      </c>
      <c r="E31">
        <v>13</v>
      </c>
    </row>
    <row r="32" spans="1:7">
      <c r="B32">
        <v>19</v>
      </c>
      <c r="E32">
        <v>20</v>
      </c>
    </row>
    <row r="33" spans="1:7">
      <c r="B33">
        <v>26</v>
      </c>
      <c r="E33">
        <v>27</v>
      </c>
    </row>
    <row r="35" spans="1:7">
      <c r="A35" s="386"/>
      <c r="B35" s="386"/>
      <c r="C35" s="386"/>
      <c r="D35" s="386"/>
      <c r="E35" s="386"/>
      <c r="F35" s="386">
        <v>5</v>
      </c>
      <c r="G35" s="386"/>
    </row>
    <row r="37" spans="1:7">
      <c r="A37" t="s">
        <v>8</v>
      </c>
      <c r="B37">
        <v>2</v>
      </c>
      <c r="E37">
        <v>3</v>
      </c>
    </row>
    <row r="38" spans="1:7">
      <c r="A38">
        <v>5</v>
      </c>
      <c r="B38">
        <v>9</v>
      </c>
      <c r="E38">
        <v>10</v>
      </c>
    </row>
    <row r="39" spans="1:7">
      <c r="B39">
        <v>16</v>
      </c>
      <c r="C39" t="s">
        <v>3</v>
      </c>
      <c r="E39">
        <v>17</v>
      </c>
    </row>
    <row r="40" spans="1:7">
      <c r="B40">
        <v>23</v>
      </c>
      <c r="E40">
        <v>24</v>
      </c>
    </row>
    <row r="41" spans="1:7">
      <c r="B41">
        <v>30</v>
      </c>
      <c r="E41">
        <v>31</v>
      </c>
    </row>
    <row r="43" spans="1:7">
      <c r="A43" s="386"/>
      <c r="B43" s="386"/>
      <c r="C43" s="386"/>
      <c r="D43" s="386"/>
      <c r="E43" s="386"/>
      <c r="F43" s="386">
        <v>4</v>
      </c>
      <c r="G43" s="386"/>
    </row>
    <row r="44" spans="1:7">
      <c r="A44" t="s">
        <v>9</v>
      </c>
      <c r="B44">
        <v>6</v>
      </c>
      <c r="E44" s="1">
        <v>7</v>
      </c>
    </row>
    <row r="45" spans="1:7">
      <c r="A45">
        <v>4</v>
      </c>
      <c r="B45">
        <v>13</v>
      </c>
      <c r="E45" s="1">
        <v>14</v>
      </c>
    </row>
    <row r="46" spans="1:7">
      <c r="B46">
        <v>20</v>
      </c>
      <c r="E46">
        <v>21</v>
      </c>
    </row>
    <row r="47" spans="1:7">
      <c r="B47">
        <v>27</v>
      </c>
      <c r="E47">
        <v>28</v>
      </c>
    </row>
    <row r="49" spans="1:7">
      <c r="A49" s="386"/>
      <c r="B49" s="386"/>
      <c r="C49" s="386"/>
      <c r="D49" s="386"/>
      <c r="E49" s="386"/>
      <c r="F49" s="386">
        <v>4</v>
      </c>
      <c r="G49" s="386"/>
    </row>
    <row r="50" spans="1:7">
      <c r="A50" t="s">
        <v>10</v>
      </c>
      <c r="B50">
        <v>4</v>
      </c>
      <c r="C50" t="s">
        <v>3</v>
      </c>
      <c r="E50">
        <v>5</v>
      </c>
    </row>
    <row r="51" spans="1:7">
      <c r="A51">
        <v>4</v>
      </c>
      <c r="B51">
        <v>11</v>
      </c>
      <c r="E51">
        <v>12</v>
      </c>
    </row>
    <row r="52" spans="1:7">
      <c r="B52">
        <v>18</v>
      </c>
      <c r="E52">
        <v>19</v>
      </c>
    </row>
    <row r="53" spans="1:7">
      <c r="B53">
        <v>25</v>
      </c>
      <c r="E53">
        <v>26</v>
      </c>
    </row>
    <row r="54" spans="1:7">
      <c r="A54" s="386"/>
      <c r="B54" s="386"/>
      <c r="C54" s="386"/>
      <c r="D54" s="386"/>
      <c r="E54" s="386"/>
      <c r="F54" s="386"/>
      <c r="G54" s="386"/>
    </row>
    <row r="57" spans="1:7">
      <c r="A57" t="s">
        <v>11</v>
      </c>
      <c r="B57">
        <f>35-7</f>
        <v>28</v>
      </c>
      <c r="E57">
        <f>+F22+F28+F35+F43+F49</f>
        <v>21</v>
      </c>
    </row>
    <row r="59" spans="1:7">
      <c r="B59" s="589">
        <v>20000</v>
      </c>
      <c r="E59">
        <f>22*450</f>
        <v>9900</v>
      </c>
    </row>
    <row r="61" spans="1:7">
      <c r="A61" t="s">
        <v>12</v>
      </c>
    </row>
    <row r="62" spans="1:7">
      <c r="A62" t="s">
        <v>13</v>
      </c>
    </row>
    <row r="63" spans="1:7">
      <c r="A63" t="s">
        <v>14</v>
      </c>
    </row>
    <row r="64" spans="1:7">
      <c r="A64" t="s">
        <v>15</v>
      </c>
    </row>
    <row r="65" spans="1:3">
      <c r="A65" t="s">
        <v>16</v>
      </c>
    </row>
    <row r="66" spans="1:3">
      <c r="A66" t="s">
        <v>17</v>
      </c>
    </row>
    <row r="67" spans="1:3">
      <c r="A67" t="s">
        <v>18</v>
      </c>
    </row>
    <row r="68" spans="1:3">
      <c r="A68" t="s">
        <v>19</v>
      </c>
    </row>
    <row r="69" spans="1:3">
      <c r="A69" t="s">
        <v>20</v>
      </c>
    </row>
    <row r="70" spans="1:3">
      <c r="A70" t="s">
        <v>21</v>
      </c>
    </row>
    <row r="72" spans="1:3">
      <c r="A72" t="s">
        <v>22</v>
      </c>
    </row>
    <row r="73" spans="1:3">
      <c r="A73" s="27">
        <v>45773</v>
      </c>
      <c r="B73" s="8">
        <v>7500</v>
      </c>
      <c r="C73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EE02B-FE21-45E2-99AA-C7846A515F64}">
  <dimension ref="A3:T196"/>
  <sheetViews>
    <sheetView topLeftCell="A175" workbookViewId="0">
      <selection activeCell="B77" sqref="B77"/>
    </sheetView>
  </sheetViews>
  <sheetFormatPr defaultColWidth="11.42578125" defaultRowHeight="15"/>
  <cols>
    <col min="2" max="2" width="39.140625" customWidth="1"/>
    <col min="5" max="5" width="12.28515625" customWidth="1"/>
    <col min="9" max="9" width="13.42578125" customWidth="1"/>
    <col min="10" max="10" width="13" customWidth="1"/>
    <col min="11" max="11" width="15.42578125" customWidth="1"/>
    <col min="12" max="12" width="13.85546875" customWidth="1"/>
    <col min="13" max="13" width="12.42578125" bestFit="1" customWidth="1"/>
    <col min="16" max="16" width="14.28515625" customWidth="1"/>
  </cols>
  <sheetData>
    <row r="3" spans="1:18">
      <c r="B3" t="s">
        <v>24</v>
      </c>
    </row>
    <row r="5" spans="1:18">
      <c r="B5" s="1" t="s">
        <v>25</v>
      </c>
    </row>
    <row r="6" spans="1:18">
      <c r="D6" s="614"/>
      <c r="E6" s="614" t="s">
        <v>26</v>
      </c>
      <c r="F6" t="s">
        <v>27</v>
      </c>
      <c r="G6" s="614" t="s">
        <v>28</v>
      </c>
      <c r="H6" s="614" t="s">
        <v>29</v>
      </c>
      <c r="I6" s="614" t="s">
        <v>30</v>
      </c>
      <c r="J6" s="614" t="s">
        <v>31</v>
      </c>
      <c r="Q6" s="614"/>
      <c r="R6" s="2"/>
    </row>
    <row r="7" spans="1:18">
      <c r="A7" s="3"/>
      <c r="B7" s="4"/>
      <c r="C7" s="5"/>
      <c r="D7" s="6"/>
      <c r="G7" s="7"/>
      <c r="H7" s="7"/>
      <c r="I7" s="7"/>
      <c r="J7" s="8"/>
      <c r="L7" s="614"/>
      <c r="M7" s="614"/>
      <c r="Q7" s="614"/>
      <c r="R7" s="2"/>
    </row>
    <row r="8" spans="1:18">
      <c r="B8" s="4" t="s">
        <v>32</v>
      </c>
      <c r="C8" s="5" t="s">
        <v>33</v>
      </c>
      <c r="D8" s="569">
        <v>35</v>
      </c>
      <c r="E8" s="614">
        <f>6+2</f>
        <v>8</v>
      </c>
      <c r="F8" s="614">
        <f>+D8-E8</f>
        <v>27</v>
      </c>
      <c r="G8" s="7">
        <v>826</v>
      </c>
      <c r="H8" s="7">
        <f>+G8*20%</f>
        <v>165.20000000000002</v>
      </c>
      <c r="I8" s="7">
        <f>+G8+H8</f>
        <v>991.2</v>
      </c>
      <c r="J8" s="8">
        <f>+F8*G8</f>
        <v>22302</v>
      </c>
      <c r="L8" s="614"/>
      <c r="M8" s="614"/>
      <c r="Q8" s="614"/>
      <c r="R8" s="2"/>
    </row>
    <row r="9" spans="1:18">
      <c r="B9" s="4" t="s">
        <v>32</v>
      </c>
      <c r="C9" s="5" t="s">
        <v>34</v>
      </c>
      <c r="D9" s="569">
        <v>36</v>
      </c>
      <c r="E9" s="614">
        <v>0</v>
      </c>
      <c r="F9" s="614">
        <f t="shared" ref="F9:F24" si="0">+D9-E9</f>
        <v>36</v>
      </c>
      <c r="G9" s="7">
        <v>826</v>
      </c>
      <c r="H9" s="7">
        <f t="shared" ref="H9:H24" si="1">+G9*20%</f>
        <v>165.20000000000002</v>
      </c>
      <c r="I9" s="7">
        <f t="shared" ref="I9:I24" si="2">+G9+H9</f>
        <v>991.2</v>
      </c>
      <c r="J9" s="8">
        <f t="shared" ref="J9:J24" si="3">+F9*G9</f>
        <v>29736</v>
      </c>
      <c r="L9" s="614"/>
      <c r="M9" s="614"/>
      <c r="Q9" s="614"/>
      <c r="R9" s="2"/>
    </row>
    <row r="10" spans="1:18">
      <c r="B10" s="4" t="s">
        <v>32</v>
      </c>
      <c r="C10" s="5" t="s">
        <v>35</v>
      </c>
      <c r="D10" s="569">
        <v>45</v>
      </c>
      <c r="E10" s="614">
        <v>3</v>
      </c>
      <c r="F10" s="614">
        <f t="shared" si="0"/>
        <v>42</v>
      </c>
      <c r="G10" s="7">
        <v>826</v>
      </c>
      <c r="H10" s="7">
        <f t="shared" si="1"/>
        <v>165.20000000000002</v>
      </c>
      <c r="I10" s="7">
        <f t="shared" si="2"/>
        <v>991.2</v>
      </c>
      <c r="J10" s="8">
        <f t="shared" si="3"/>
        <v>34692</v>
      </c>
      <c r="L10" s="614"/>
      <c r="M10" s="614"/>
      <c r="Q10" s="614"/>
      <c r="R10" s="2"/>
    </row>
    <row r="11" spans="1:18">
      <c r="B11" s="4" t="s">
        <v>32</v>
      </c>
      <c r="C11" s="5" t="s">
        <v>36</v>
      </c>
      <c r="D11" s="569">
        <v>45</v>
      </c>
      <c r="E11" s="614">
        <v>2</v>
      </c>
      <c r="F11" s="614">
        <f t="shared" si="0"/>
        <v>43</v>
      </c>
      <c r="G11" s="7">
        <v>826</v>
      </c>
      <c r="H11" s="7">
        <f t="shared" si="1"/>
        <v>165.20000000000002</v>
      </c>
      <c r="I11" s="7">
        <f t="shared" si="2"/>
        <v>991.2</v>
      </c>
      <c r="J11" s="8">
        <f t="shared" si="3"/>
        <v>35518</v>
      </c>
      <c r="L11" s="614"/>
      <c r="M11" s="614"/>
      <c r="Q11" s="614"/>
      <c r="R11" s="2"/>
    </row>
    <row r="12" spans="1:18">
      <c r="B12" s="4" t="s">
        <v>32</v>
      </c>
      <c r="C12" s="5" t="s">
        <v>37</v>
      </c>
      <c r="D12" s="569">
        <v>55</v>
      </c>
      <c r="E12" s="614">
        <v>12</v>
      </c>
      <c r="F12" s="614">
        <f t="shared" si="0"/>
        <v>43</v>
      </c>
      <c r="G12" s="7">
        <v>826</v>
      </c>
      <c r="H12" s="7">
        <f t="shared" si="1"/>
        <v>165.20000000000002</v>
      </c>
      <c r="I12" s="7">
        <f t="shared" si="2"/>
        <v>991.2</v>
      </c>
      <c r="J12" s="8">
        <f t="shared" si="3"/>
        <v>35518</v>
      </c>
      <c r="L12" s="614"/>
      <c r="M12" s="614"/>
      <c r="Q12" s="614"/>
      <c r="R12" s="2"/>
    </row>
    <row r="13" spans="1:18">
      <c r="B13" s="4" t="s">
        <v>32</v>
      </c>
      <c r="C13" s="5" t="s">
        <v>38</v>
      </c>
      <c r="D13" s="569">
        <v>41</v>
      </c>
      <c r="E13" s="614">
        <v>0</v>
      </c>
      <c r="F13" s="614">
        <f t="shared" si="0"/>
        <v>41</v>
      </c>
      <c r="G13" s="7">
        <v>826</v>
      </c>
      <c r="H13" s="7">
        <f t="shared" si="1"/>
        <v>165.20000000000002</v>
      </c>
      <c r="I13" s="7">
        <f t="shared" si="2"/>
        <v>991.2</v>
      </c>
      <c r="J13" s="8">
        <f t="shared" si="3"/>
        <v>33866</v>
      </c>
      <c r="L13" s="614"/>
      <c r="M13" s="614"/>
      <c r="Q13" s="614"/>
      <c r="R13" s="2"/>
    </row>
    <row r="14" spans="1:18">
      <c r="B14" s="4" t="s">
        <v>39</v>
      </c>
      <c r="C14" s="5" t="s">
        <v>40</v>
      </c>
      <c r="D14" s="569">
        <v>19</v>
      </c>
      <c r="E14" s="614">
        <v>0</v>
      </c>
      <c r="F14" s="614">
        <f t="shared" si="0"/>
        <v>19</v>
      </c>
      <c r="G14" s="7">
        <v>343</v>
      </c>
      <c r="H14" s="7">
        <f t="shared" si="1"/>
        <v>68.600000000000009</v>
      </c>
      <c r="I14" s="7">
        <f t="shared" si="2"/>
        <v>411.6</v>
      </c>
      <c r="J14" s="8">
        <f t="shared" si="3"/>
        <v>6517</v>
      </c>
      <c r="L14" s="614"/>
      <c r="M14" s="614"/>
      <c r="Q14" s="614"/>
      <c r="R14" s="2"/>
    </row>
    <row r="15" spans="1:18">
      <c r="B15" s="4" t="s">
        <v>39</v>
      </c>
      <c r="C15" s="5" t="s">
        <v>41</v>
      </c>
      <c r="D15" s="569">
        <v>15</v>
      </c>
      <c r="E15" s="614">
        <v>3</v>
      </c>
      <c r="F15" s="614">
        <f t="shared" si="0"/>
        <v>12</v>
      </c>
      <c r="G15" s="7">
        <v>343</v>
      </c>
      <c r="H15" s="7">
        <f t="shared" si="1"/>
        <v>68.600000000000009</v>
      </c>
      <c r="I15" s="7">
        <f t="shared" si="2"/>
        <v>411.6</v>
      </c>
      <c r="J15" s="8">
        <f t="shared" si="3"/>
        <v>4116</v>
      </c>
      <c r="L15" s="614"/>
      <c r="M15" s="614"/>
      <c r="Q15" s="614"/>
      <c r="R15" s="2"/>
    </row>
    <row r="16" spans="1:18">
      <c r="B16" s="4" t="s">
        <v>39</v>
      </c>
      <c r="C16" s="5" t="s">
        <v>42</v>
      </c>
      <c r="D16" s="569">
        <v>15</v>
      </c>
      <c r="E16" s="614">
        <v>1</v>
      </c>
      <c r="F16" s="614">
        <f t="shared" si="0"/>
        <v>14</v>
      </c>
      <c r="G16" s="7">
        <v>343</v>
      </c>
      <c r="H16" s="7">
        <f t="shared" si="1"/>
        <v>68.600000000000009</v>
      </c>
      <c r="I16" s="7">
        <f t="shared" si="2"/>
        <v>411.6</v>
      </c>
      <c r="J16" s="8">
        <f t="shared" si="3"/>
        <v>4802</v>
      </c>
      <c r="L16" s="614"/>
      <c r="M16" s="614"/>
      <c r="Q16" s="614"/>
      <c r="R16" s="2"/>
    </row>
    <row r="17" spans="2:20">
      <c r="B17" s="4" t="s">
        <v>39</v>
      </c>
      <c r="C17" s="5" t="s">
        <v>43</v>
      </c>
      <c r="D17" s="569">
        <v>15</v>
      </c>
      <c r="E17" s="614">
        <v>2</v>
      </c>
      <c r="F17" s="614">
        <f t="shared" si="0"/>
        <v>13</v>
      </c>
      <c r="G17" s="7">
        <v>343</v>
      </c>
      <c r="H17" s="7">
        <f t="shared" si="1"/>
        <v>68.600000000000009</v>
      </c>
      <c r="I17" s="7">
        <f t="shared" si="2"/>
        <v>411.6</v>
      </c>
      <c r="J17" s="8">
        <f t="shared" si="3"/>
        <v>4459</v>
      </c>
      <c r="L17" s="614"/>
      <c r="M17" s="614"/>
    </row>
    <row r="18" spans="2:20">
      <c r="B18" s="10" t="s">
        <v>44</v>
      </c>
      <c r="C18" s="5" t="s">
        <v>33</v>
      </c>
      <c r="D18" s="569">
        <v>35</v>
      </c>
      <c r="E18" s="614">
        <v>5</v>
      </c>
      <c r="F18" s="614">
        <f t="shared" si="0"/>
        <v>30</v>
      </c>
      <c r="G18" s="7">
        <v>427</v>
      </c>
      <c r="H18" s="7">
        <f t="shared" si="1"/>
        <v>85.4</v>
      </c>
      <c r="I18" s="7">
        <f t="shared" si="2"/>
        <v>512.4</v>
      </c>
      <c r="J18" s="8">
        <f t="shared" si="3"/>
        <v>12810</v>
      </c>
      <c r="L18" s="614"/>
      <c r="M18" s="614"/>
    </row>
    <row r="19" spans="2:20">
      <c r="B19" s="10" t="s">
        <v>44</v>
      </c>
      <c r="C19" s="5" t="s">
        <v>34</v>
      </c>
      <c r="D19" s="569">
        <f>35+1</f>
        <v>36</v>
      </c>
      <c r="E19" s="614">
        <v>0</v>
      </c>
      <c r="F19" s="614">
        <f t="shared" si="0"/>
        <v>36</v>
      </c>
      <c r="G19" s="7">
        <v>427</v>
      </c>
      <c r="H19" s="7">
        <f t="shared" si="1"/>
        <v>85.4</v>
      </c>
      <c r="I19" s="7">
        <f t="shared" si="2"/>
        <v>512.4</v>
      </c>
      <c r="J19" s="8">
        <f t="shared" si="3"/>
        <v>15372</v>
      </c>
      <c r="L19" s="614"/>
      <c r="M19" s="614"/>
    </row>
    <row r="20" spans="2:20">
      <c r="B20" s="10" t="s">
        <v>44</v>
      </c>
      <c r="C20" s="5" t="s">
        <v>35</v>
      </c>
      <c r="D20" s="569">
        <v>45</v>
      </c>
      <c r="E20" s="614">
        <v>1</v>
      </c>
      <c r="F20" s="614">
        <f t="shared" si="0"/>
        <v>44</v>
      </c>
      <c r="G20" s="7">
        <v>427</v>
      </c>
      <c r="H20" s="7">
        <f t="shared" si="1"/>
        <v>85.4</v>
      </c>
      <c r="I20" s="7">
        <f t="shared" si="2"/>
        <v>512.4</v>
      </c>
      <c r="J20" s="8">
        <f t="shared" si="3"/>
        <v>18788</v>
      </c>
      <c r="L20" s="614"/>
      <c r="M20" s="614"/>
    </row>
    <row r="21" spans="2:20">
      <c r="B21" s="10" t="s">
        <v>44</v>
      </c>
      <c r="C21" s="5" t="s">
        <v>36</v>
      </c>
      <c r="D21" s="569">
        <v>45</v>
      </c>
      <c r="E21" s="614">
        <v>0</v>
      </c>
      <c r="F21" s="614">
        <f t="shared" si="0"/>
        <v>45</v>
      </c>
      <c r="G21" s="7">
        <v>498</v>
      </c>
      <c r="H21" s="7">
        <f t="shared" si="1"/>
        <v>99.600000000000009</v>
      </c>
      <c r="I21" s="7">
        <f t="shared" si="2"/>
        <v>597.6</v>
      </c>
      <c r="J21" s="8">
        <f t="shared" si="3"/>
        <v>22410</v>
      </c>
      <c r="L21" s="614"/>
      <c r="M21" s="614"/>
    </row>
    <row r="22" spans="2:20">
      <c r="B22" s="10" t="s">
        <v>44</v>
      </c>
      <c r="C22" s="5" t="s">
        <v>37</v>
      </c>
      <c r="D22" s="569">
        <v>55</v>
      </c>
      <c r="E22" s="614">
        <v>12</v>
      </c>
      <c r="F22" s="614">
        <f t="shared" si="0"/>
        <v>43</v>
      </c>
      <c r="G22" s="7">
        <v>498</v>
      </c>
      <c r="H22" s="7">
        <f t="shared" si="1"/>
        <v>99.600000000000009</v>
      </c>
      <c r="I22" s="7">
        <f t="shared" si="2"/>
        <v>597.6</v>
      </c>
      <c r="J22" s="8">
        <f t="shared" si="3"/>
        <v>21414</v>
      </c>
      <c r="L22" s="614"/>
      <c r="M22" s="614"/>
    </row>
    <row r="23" spans="2:20">
      <c r="B23" s="10" t="s">
        <v>44</v>
      </c>
      <c r="C23" s="5" t="s">
        <v>38</v>
      </c>
      <c r="D23" s="569">
        <v>41</v>
      </c>
      <c r="E23" s="614">
        <v>0</v>
      </c>
      <c r="F23" s="614">
        <f t="shared" si="0"/>
        <v>41</v>
      </c>
      <c r="G23" s="7">
        <v>498</v>
      </c>
      <c r="H23" s="7">
        <f t="shared" si="1"/>
        <v>99.600000000000009</v>
      </c>
      <c r="I23" s="7">
        <f t="shared" si="2"/>
        <v>597.6</v>
      </c>
      <c r="J23" s="8">
        <f t="shared" si="3"/>
        <v>20418</v>
      </c>
      <c r="L23" s="614"/>
      <c r="M23" s="614"/>
    </row>
    <row r="24" spans="2:20">
      <c r="B24" s="10" t="s">
        <v>45</v>
      </c>
      <c r="C24" s="614" t="s">
        <v>46</v>
      </c>
      <c r="D24" s="13">
        <f>25+4</f>
        <v>29</v>
      </c>
      <c r="E24" s="614">
        <v>1</v>
      </c>
      <c r="F24" s="614">
        <f t="shared" si="0"/>
        <v>28</v>
      </c>
      <c r="G24" s="7">
        <v>567</v>
      </c>
      <c r="H24" s="7">
        <f t="shared" si="1"/>
        <v>113.4</v>
      </c>
      <c r="I24" s="7">
        <f t="shared" si="2"/>
        <v>680.4</v>
      </c>
      <c r="J24" s="8">
        <f t="shared" si="3"/>
        <v>15876</v>
      </c>
      <c r="L24" s="614"/>
      <c r="M24" s="614"/>
    </row>
    <row r="25" spans="2:20">
      <c r="C25" s="614"/>
      <c r="D25" s="13">
        <f>SUM(D8:D24)</f>
        <v>607</v>
      </c>
      <c r="E25" s="614">
        <f>SUM(E8:E24)</f>
        <v>50</v>
      </c>
      <c r="F25" s="7"/>
      <c r="G25" s="7"/>
      <c r="H25" s="7"/>
      <c r="J25" s="12">
        <f>SUM(J8:J24)</f>
        <v>338614</v>
      </c>
      <c r="K25" t="s">
        <v>47</v>
      </c>
      <c r="L25" s="614"/>
      <c r="M25" s="614"/>
    </row>
    <row r="26" spans="2:20">
      <c r="C26" s="614"/>
      <c r="D26" s="13"/>
      <c r="F26" s="7"/>
      <c r="G26" s="7"/>
      <c r="H26" s="7"/>
      <c r="L26" s="614"/>
      <c r="M26" s="614"/>
    </row>
    <row r="27" spans="2:20">
      <c r="C27" s="614"/>
      <c r="D27" s="13"/>
      <c r="F27" s="7"/>
      <c r="G27" s="7"/>
      <c r="H27" s="7"/>
      <c r="L27" s="614"/>
      <c r="M27" s="614"/>
    </row>
    <row r="28" spans="2:20">
      <c r="C28" s="614"/>
      <c r="D28" s="13"/>
      <c r="F28" s="7"/>
      <c r="G28" s="7"/>
      <c r="H28" s="7"/>
      <c r="L28" s="614"/>
      <c r="M28" s="614"/>
    </row>
    <row r="29" spans="2:20">
      <c r="C29" s="614"/>
      <c r="D29" s="13"/>
      <c r="F29" s="7"/>
      <c r="G29" s="7"/>
      <c r="H29" s="7"/>
      <c r="L29" s="614"/>
      <c r="M29" s="614"/>
    </row>
    <row r="30" spans="2:20">
      <c r="B30" s="14"/>
      <c r="C30" s="15"/>
      <c r="D30" s="14"/>
      <c r="E30" s="14"/>
      <c r="F30" s="14"/>
      <c r="G30" s="14"/>
      <c r="H30" s="14"/>
      <c r="I30" s="14"/>
      <c r="J30" s="14"/>
      <c r="K30" s="14"/>
      <c r="Q30" s="614"/>
    </row>
    <row r="31" spans="2:20">
      <c r="B31" s="1" t="s">
        <v>48</v>
      </c>
      <c r="C31" s="614"/>
      <c r="Q31" s="614"/>
    </row>
    <row r="32" spans="2:20" ht="30">
      <c r="B32" s="4" t="s">
        <v>49</v>
      </c>
      <c r="C32" s="5" t="s">
        <v>50</v>
      </c>
      <c r="D32" s="4" t="s">
        <v>51</v>
      </c>
      <c r="E32" s="4" t="s">
        <v>52</v>
      </c>
      <c r="F32" s="16" t="s">
        <v>53</v>
      </c>
      <c r="G32" s="10" t="s">
        <v>26</v>
      </c>
      <c r="H32" s="10" t="s">
        <v>27</v>
      </c>
      <c r="I32" s="614" t="s">
        <v>28</v>
      </c>
      <c r="J32" s="614" t="s">
        <v>29</v>
      </c>
      <c r="K32" s="614" t="s">
        <v>30</v>
      </c>
      <c r="L32" s="614" t="s">
        <v>31</v>
      </c>
      <c r="N32" s="590" t="s">
        <v>54</v>
      </c>
      <c r="Q32" s="614"/>
      <c r="R32" s="614"/>
      <c r="S32" s="614"/>
      <c r="T32" s="13"/>
    </row>
    <row r="33" spans="2:20">
      <c r="B33" s="4"/>
      <c r="C33" s="5"/>
      <c r="D33" s="4"/>
      <c r="E33" s="4"/>
      <c r="F33" s="5"/>
      <c r="G33" s="614"/>
      <c r="I33" s="17"/>
      <c r="J33" s="614"/>
      <c r="K33" s="614"/>
      <c r="L33" s="18"/>
      <c r="Q33" s="614"/>
      <c r="R33" s="614"/>
      <c r="S33" s="614"/>
      <c r="T33" s="13"/>
    </row>
    <row r="34" spans="2:20">
      <c r="B34" s="4" t="s">
        <v>55</v>
      </c>
      <c r="C34" s="5" t="s">
        <v>56</v>
      </c>
      <c r="D34" s="5">
        <v>30</v>
      </c>
      <c r="E34" s="4"/>
      <c r="F34" s="5">
        <f t="shared" ref="F34:F50" si="4">+D34+E34</f>
        <v>30</v>
      </c>
      <c r="G34" s="614">
        <v>2</v>
      </c>
      <c r="H34" s="614">
        <f>+F34-G34</f>
        <v>28</v>
      </c>
      <c r="I34" s="17">
        <v>1719</v>
      </c>
      <c r="J34" s="614">
        <f>+I34*20%</f>
        <v>343.8</v>
      </c>
      <c r="K34" s="614">
        <f>+I34+J34</f>
        <v>2062.8000000000002</v>
      </c>
      <c r="L34" s="18">
        <f>+H34*I34</f>
        <v>48132</v>
      </c>
      <c r="N34" s="589">
        <f>+G34*I34</f>
        <v>3438</v>
      </c>
      <c r="Q34" s="614"/>
      <c r="R34" s="614"/>
      <c r="S34" s="614"/>
      <c r="T34" s="13"/>
    </row>
    <row r="35" spans="2:20">
      <c r="B35" s="4" t="s">
        <v>57</v>
      </c>
      <c r="C35" s="5"/>
      <c r="D35" s="5"/>
      <c r="E35" s="4"/>
      <c r="F35" s="5"/>
      <c r="G35" s="614"/>
      <c r="H35" s="614">
        <f t="shared" ref="H35:H57" si="5">+F35-G35</f>
        <v>0</v>
      </c>
      <c r="I35" s="17"/>
      <c r="J35" s="614"/>
      <c r="K35" s="614"/>
      <c r="L35" s="18">
        <f t="shared" ref="L35:L56" si="6">+H35*I35</f>
        <v>0</v>
      </c>
      <c r="N35" s="589">
        <f t="shared" ref="N35:N56" si="7">+G35*I35</f>
        <v>0</v>
      </c>
      <c r="Q35" s="614"/>
      <c r="R35" s="614"/>
      <c r="S35" s="614"/>
      <c r="T35" s="13"/>
    </row>
    <row r="36" spans="2:20">
      <c r="B36" s="4"/>
      <c r="C36" s="5"/>
      <c r="D36" s="5"/>
      <c r="E36" s="4"/>
      <c r="F36" s="5"/>
      <c r="G36" s="614"/>
      <c r="H36" s="614">
        <f t="shared" si="5"/>
        <v>0</v>
      </c>
      <c r="I36" s="17"/>
      <c r="J36" s="614"/>
      <c r="K36" s="614"/>
      <c r="L36" s="18">
        <f t="shared" si="6"/>
        <v>0</v>
      </c>
      <c r="N36" s="589">
        <f t="shared" si="7"/>
        <v>0</v>
      </c>
      <c r="Q36" s="614"/>
      <c r="R36" s="614"/>
      <c r="S36" s="614"/>
      <c r="T36" s="13"/>
    </row>
    <row r="37" spans="2:20">
      <c r="B37" s="4"/>
      <c r="C37" s="5"/>
      <c r="D37" s="4"/>
      <c r="E37" s="4"/>
      <c r="F37" s="5"/>
      <c r="G37" s="614"/>
      <c r="H37" s="614">
        <f t="shared" si="5"/>
        <v>0</v>
      </c>
      <c r="I37" s="17"/>
      <c r="J37" s="614"/>
      <c r="K37" s="614"/>
      <c r="L37" s="18">
        <f t="shared" si="6"/>
        <v>0</v>
      </c>
      <c r="N37" s="589">
        <f t="shared" si="7"/>
        <v>0</v>
      </c>
      <c r="Q37" s="614"/>
      <c r="R37" s="614"/>
      <c r="S37" s="614"/>
      <c r="T37" s="13"/>
    </row>
    <row r="38" spans="2:20">
      <c r="B38" s="4" t="s">
        <v>58</v>
      </c>
      <c r="C38" s="5" t="s">
        <v>33</v>
      </c>
      <c r="D38" s="5">
        <v>40</v>
      </c>
      <c r="E38" s="5"/>
      <c r="F38" s="5">
        <f t="shared" si="4"/>
        <v>40</v>
      </c>
      <c r="G38" s="614">
        <v>13</v>
      </c>
      <c r="H38" s="614">
        <f t="shared" si="5"/>
        <v>27</v>
      </c>
      <c r="I38" s="19">
        <v>567</v>
      </c>
      <c r="J38" s="19">
        <f>+I38*20%</f>
        <v>113.4</v>
      </c>
      <c r="K38" s="19">
        <f>+I38+J38</f>
        <v>680.4</v>
      </c>
      <c r="L38" s="18">
        <f t="shared" si="6"/>
        <v>15309</v>
      </c>
      <c r="N38" s="589">
        <f t="shared" si="7"/>
        <v>7371</v>
      </c>
      <c r="Q38" s="614"/>
      <c r="R38" s="614"/>
      <c r="S38" s="614"/>
      <c r="T38" s="13"/>
    </row>
    <row r="39" spans="2:20">
      <c r="B39" s="4" t="s">
        <v>59</v>
      </c>
      <c r="C39" s="5" t="s">
        <v>33</v>
      </c>
      <c r="D39" s="5">
        <v>40</v>
      </c>
      <c r="E39" s="5"/>
      <c r="F39" s="5">
        <f t="shared" si="4"/>
        <v>40</v>
      </c>
      <c r="G39" s="614">
        <v>13</v>
      </c>
      <c r="H39" s="614">
        <f t="shared" si="5"/>
        <v>27</v>
      </c>
      <c r="I39" s="19">
        <v>171</v>
      </c>
      <c r="J39" s="19">
        <f t="shared" ref="J39:J56" si="8">+I39*20%</f>
        <v>34.200000000000003</v>
      </c>
      <c r="K39" s="19">
        <f t="shared" ref="K39:K56" si="9">+I39+J39</f>
        <v>205.2</v>
      </c>
      <c r="L39" s="18">
        <f t="shared" si="6"/>
        <v>4617</v>
      </c>
      <c r="N39" s="589">
        <f t="shared" si="7"/>
        <v>2223</v>
      </c>
      <c r="Q39" s="614"/>
      <c r="R39" s="614"/>
      <c r="S39" s="614"/>
      <c r="T39" s="13"/>
    </row>
    <row r="40" spans="2:20">
      <c r="B40" s="4" t="s">
        <v>60</v>
      </c>
      <c r="C40" s="5" t="s">
        <v>34</v>
      </c>
      <c r="D40" s="5">
        <v>40</v>
      </c>
      <c r="E40" s="5"/>
      <c r="F40" s="5">
        <f t="shared" si="4"/>
        <v>40</v>
      </c>
      <c r="G40" s="614">
        <v>7</v>
      </c>
      <c r="H40" s="614">
        <f t="shared" si="5"/>
        <v>33</v>
      </c>
      <c r="I40" s="19">
        <v>440.1</v>
      </c>
      <c r="J40" s="19">
        <f t="shared" si="8"/>
        <v>88.02000000000001</v>
      </c>
      <c r="K40" s="19">
        <f t="shared" si="9"/>
        <v>528.12</v>
      </c>
      <c r="L40" s="18">
        <f t="shared" si="6"/>
        <v>14523.300000000001</v>
      </c>
      <c r="N40" s="589">
        <f t="shared" si="7"/>
        <v>3080.7000000000003</v>
      </c>
      <c r="Q40" s="614"/>
      <c r="R40" s="614"/>
      <c r="S40" s="614"/>
      <c r="T40" s="13"/>
    </row>
    <row r="41" spans="2:20">
      <c r="B41" s="4" t="s">
        <v>60</v>
      </c>
      <c r="C41" s="5" t="s">
        <v>35</v>
      </c>
      <c r="D41" s="5">
        <v>50</v>
      </c>
      <c r="E41" s="5"/>
      <c r="F41" s="5">
        <v>35</v>
      </c>
      <c r="G41" s="614">
        <v>4</v>
      </c>
      <c r="H41" s="614">
        <f t="shared" si="5"/>
        <v>31</v>
      </c>
      <c r="I41" s="19">
        <v>440.1</v>
      </c>
      <c r="J41" s="19">
        <f t="shared" si="8"/>
        <v>88.02000000000001</v>
      </c>
      <c r="K41" s="19">
        <f t="shared" si="9"/>
        <v>528.12</v>
      </c>
      <c r="L41" s="18">
        <f t="shared" si="6"/>
        <v>13643.1</v>
      </c>
      <c r="N41" s="589">
        <f t="shared" si="7"/>
        <v>1760.4</v>
      </c>
      <c r="Q41" s="614"/>
      <c r="R41" s="614"/>
      <c r="S41" s="614"/>
      <c r="T41" s="13"/>
    </row>
    <row r="42" spans="2:20">
      <c r="B42" s="4"/>
      <c r="C42" s="5"/>
      <c r="D42" s="5"/>
      <c r="E42" s="5"/>
      <c r="F42" s="5"/>
      <c r="G42" s="614"/>
      <c r="H42" s="614">
        <f t="shared" si="5"/>
        <v>0</v>
      </c>
      <c r="I42" s="19"/>
      <c r="J42" s="19"/>
      <c r="K42" s="19"/>
      <c r="L42" s="18">
        <f t="shared" si="6"/>
        <v>0</v>
      </c>
      <c r="N42" s="589">
        <f t="shared" si="7"/>
        <v>0</v>
      </c>
      <c r="Q42" s="614"/>
      <c r="R42" s="614"/>
      <c r="S42" s="614"/>
      <c r="T42" s="13"/>
    </row>
    <row r="43" spans="2:20">
      <c r="B43" s="4" t="s">
        <v>61</v>
      </c>
      <c r="C43" s="5" t="s">
        <v>40</v>
      </c>
      <c r="D43" s="5">
        <v>40</v>
      </c>
      <c r="E43" s="5">
        <v>15</v>
      </c>
      <c r="F43" s="5">
        <v>56</v>
      </c>
      <c r="G43" s="20">
        <v>0</v>
      </c>
      <c r="H43" s="614">
        <f t="shared" si="5"/>
        <v>56</v>
      </c>
      <c r="I43" s="19">
        <v>459</v>
      </c>
      <c r="J43" s="19">
        <f t="shared" si="8"/>
        <v>91.800000000000011</v>
      </c>
      <c r="K43" s="19">
        <f t="shared" si="9"/>
        <v>550.79999999999995</v>
      </c>
      <c r="L43" s="18">
        <f t="shared" si="6"/>
        <v>25704</v>
      </c>
      <c r="N43" s="589">
        <f t="shared" si="7"/>
        <v>0</v>
      </c>
      <c r="Q43" s="614"/>
      <c r="R43" s="614"/>
      <c r="S43" s="614"/>
      <c r="T43" s="13"/>
    </row>
    <row r="44" spans="2:20">
      <c r="B44" s="4" t="s">
        <v>61</v>
      </c>
      <c r="C44" s="5" t="s">
        <v>41</v>
      </c>
      <c r="D44" s="5">
        <v>40</v>
      </c>
      <c r="E44" s="5">
        <v>15</v>
      </c>
      <c r="F44" s="5">
        <v>55</v>
      </c>
      <c r="G44" s="20">
        <v>6</v>
      </c>
      <c r="H44" s="614">
        <f t="shared" si="5"/>
        <v>49</v>
      </c>
      <c r="I44" s="19">
        <v>459</v>
      </c>
      <c r="J44" s="19">
        <f t="shared" si="8"/>
        <v>91.800000000000011</v>
      </c>
      <c r="K44" s="19">
        <f t="shared" si="9"/>
        <v>550.79999999999995</v>
      </c>
      <c r="L44" s="18">
        <f t="shared" si="6"/>
        <v>22491</v>
      </c>
      <c r="N44" s="589">
        <f t="shared" si="7"/>
        <v>2754</v>
      </c>
      <c r="Q44" s="614"/>
      <c r="R44" s="614"/>
      <c r="S44" s="614"/>
      <c r="T44" s="13"/>
    </row>
    <row r="45" spans="2:20">
      <c r="B45" s="4" t="s">
        <v>61</v>
      </c>
      <c r="C45" s="5" t="s">
        <v>42</v>
      </c>
      <c r="D45" s="5">
        <v>35</v>
      </c>
      <c r="E45" s="5">
        <v>15</v>
      </c>
      <c r="F45" s="5">
        <v>50</v>
      </c>
      <c r="G45" s="614">
        <v>5</v>
      </c>
      <c r="H45" s="614">
        <f t="shared" si="5"/>
        <v>45</v>
      </c>
      <c r="I45" s="19">
        <v>459</v>
      </c>
      <c r="J45" s="19">
        <f t="shared" si="8"/>
        <v>91.800000000000011</v>
      </c>
      <c r="K45" s="19">
        <f t="shared" si="9"/>
        <v>550.79999999999995</v>
      </c>
      <c r="L45" s="18">
        <f t="shared" si="6"/>
        <v>20655</v>
      </c>
      <c r="N45" s="589">
        <f t="shared" si="7"/>
        <v>2295</v>
      </c>
      <c r="Q45" s="614"/>
      <c r="R45" s="614"/>
      <c r="S45" s="614"/>
      <c r="T45" s="13"/>
    </row>
    <row r="46" spans="2:20">
      <c r="B46" s="4"/>
      <c r="C46" s="5"/>
      <c r="D46" s="5"/>
      <c r="E46" s="5"/>
      <c r="F46" s="5"/>
      <c r="G46" s="614"/>
      <c r="H46" s="614">
        <f t="shared" si="5"/>
        <v>0</v>
      </c>
      <c r="I46" s="19"/>
      <c r="J46" s="19"/>
      <c r="K46" s="19"/>
      <c r="L46" s="18">
        <f t="shared" si="6"/>
        <v>0</v>
      </c>
      <c r="N46" s="589">
        <f t="shared" si="7"/>
        <v>0</v>
      </c>
      <c r="Q46" s="614"/>
      <c r="R46" s="614"/>
      <c r="S46" s="614"/>
      <c r="T46" s="13"/>
    </row>
    <row r="47" spans="2:20">
      <c r="B47" s="4" t="s">
        <v>62</v>
      </c>
      <c r="C47" s="5" t="s">
        <v>40</v>
      </c>
      <c r="D47" s="5">
        <v>45</v>
      </c>
      <c r="E47" s="5"/>
      <c r="F47" s="5">
        <f t="shared" si="4"/>
        <v>45</v>
      </c>
      <c r="G47" s="614">
        <v>7</v>
      </c>
      <c r="H47" s="614">
        <f t="shared" si="5"/>
        <v>38</v>
      </c>
      <c r="I47" s="19">
        <v>1440</v>
      </c>
      <c r="J47" s="19">
        <f t="shared" si="8"/>
        <v>288</v>
      </c>
      <c r="K47" s="19">
        <f t="shared" si="9"/>
        <v>1728</v>
      </c>
      <c r="L47" s="18">
        <f t="shared" si="6"/>
        <v>54720</v>
      </c>
      <c r="N47" s="589">
        <f t="shared" si="7"/>
        <v>10080</v>
      </c>
      <c r="Q47" s="614"/>
      <c r="R47" s="614"/>
      <c r="S47" s="614"/>
      <c r="T47" s="13"/>
    </row>
    <row r="48" spans="2:20">
      <c r="B48" s="4" t="s">
        <v>63</v>
      </c>
      <c r="C48" s="5" t="s">
        <v>41</v>
      </c>
      <c r="D48" s="5">
        <v>45</v>
      </c>
      <c r="E48" s="5"/>
      <c r="F48" s="5">
        <f t="shared" si="4"/>
        <v>45</v>
      </c>
      <c r="G48" s="614">
        <v>8</v>
      </c>
      <c r="H48" s="614">
        <f t="shared" si="5"/>
        <v>37</v>
      </c>
      <c r="I48" s="19">
        <v>1440</v>
      </c>
      <c r="J48" s="19">
        <f t="shared" si="8"/>
        <v>288</v>
      </c>
      <c r="K48" s="19">
        <f t="shared" si="9"/>
        <v>1728</v>
      </c>
      <c r="L48" s="18">
        <f t="shared" si="6"/>
        <v>53280</v>
      </c>
      <c r="N48" s="589">
        <f t="shared" si="7"/>
        <v>11520</v>
      </c>
      <c r="Q48" s="614"/>
      <c r="R48" s="614"/>
      <c r="S48" s="614"/>
      <c r="T48" s="13"/>
    </row>
    <row r="49" spans="2:20">
      <c r="B49" s="4" t="s">
        <v>64</v>
      </c>
      <c r="C49" s="5" t="s">
        <v>42</v>
      </c>
      <c r="D49" s="5">
        <v>40</v>
      </c>
      <c r="E49" s="5"/>
      <c r="F49" s="5">
        <f t="shared" si="4"/>
        <v>40</v>
      </c>
      <c r="G49" s="614">
        <v>10</v>
      </c>
      <c r="H49" s="614">
        <f t="shared" si="5"/>
        <v>30</v>
      </c>
      <c r="I49" s="19">
        <v>1440</v>
      </c>
      <c r="J49" s="19">
        <f t="shared" si="8"/>
        <v>288</v>
      </c>
      <c r="K49" s="19">
        <f t="shared" si="9"/>
        <v>1728</v>
      </c>
      <c r="L49" s="18">
        <f t="shared" si="6"/>
        <v>43200</v>
      </c>
      <c r="N49" s="589">
        <f t="shared" si="7"/>
        <v>14400</v>
      </c>
      <c r="Q49" s="614"/>
      <c r="R49" s="614"/>
      <c r="S49" s="614"/>
      <c r="T49" s="13"/>
    </row>
    <row r="50" spans="2:20">
      <c r="B50" s="4" t="s">
        <v>65</v>
      </c>
      <c r="C50" s="5" t="s">
        <v>66</v>
      </c>
      <c r="D50" s="5">
        <v>30</v>
      </c>
      <c r="E50" s="5"/>
      <c r="F50" s="5">
        <f t="shared" si="4"/>
        <v>30</v>
      </c>
      <c r="G50" s="614">
        <v>4</v>
      </c>
      <c r="H50" s="614">
        <f t="shared" si="5"/>
        <v>26</v>
      </c>
      <c r="I50" s="19">
        <v>967.5</v>
      </c>
      <c r="J50" s="19">
        <f t="shared" si="8"/>
        <v>193.5</v>
      </c>
      <c r="K50" s="19">
        <f t="shared" si="9"/>
        <v>1161</v>
      </c>
      <c r="L50" s="18">
        <f t="shared" si="6"/>
        <v>25155</v>
      </c>
      <c r="N50" s="589">
        <f t="shared" si="7"/>
        <v>3870</v>
      </c>
      <c r="Q50" s="614"/>
      <c r="R50" s="614"/>
      <c r="S50" s="614"/>
      <c r="T50" s="13"/>
    </row>
    <row r="51" spans="2:20">
      <c r="B51" s="4"/>
      <c r="C51" s="5"/>
      <c r="D51" s="5"/>
      <c r="E51" s="5"/>
      <c r="F51" s="5"/>
      <c r="G51" s="20"/>
      <c r="H51" s="614">
        <f t="shared" si="5"/>
        <v>0</v>
      </c>
      <c r="I51" s="19"/>
      <c r="J51" s="19"/>
      <c r="K51" s="19"/>
      <c r="L51" s="18">
        <f t="shared" si="6"/>
        <v>0</v>
      </c>
      <c r="N51" s="589">
        <f t="shared" si="7"/>
        <v>0</v>
      </c>
      <c r="Q51" s="614"/>
      <c r="R51" s="614"/>
      <c r="S51" s="614"/>
      <c r="T51" s="13"/>
    </row>
    <row r="52" spans="2:20">
      <c r="B52" s="4" t="s">
        <v>67</v>
      </c>
      <c r="C52" s="5" t="s">
        <v>40</v>
      </c>
      <c r="D52" s="5">
        <v>41</v>
      </c>
      <c r="E52" s="5">
        <v>15</v>
      </c>
      <c r="F52" s="5">
        <v>56</v>
      </c>
      <c r="G52" s="20">
        <v>0</v>
      </c>
      <c r="H52" s="614">
        <f t="shared" si="5"/>
        <v>56</v>
      </c>
      <c r="I52" s="19">
        <v>297</v>
      </c>
      <c r="J52" s="19">
        <f t="shared" si="8"/>
        <v>59.400000000000006</v>
      </c>
      <c r="K52" s="19">
        <f t="shared" si="9"/>
        <v>356.4</v>
      </c>
      <c r="L52" s="18">
        <f t="shared" si="6"/>
        <v>16632</v>
      </c>
      <c r="N52" s="589">
        <f t="shared" si="7"/>
        <v>0</v>
      </c>
      <c r="Q52" s="614"/>
      <c r="R52" s="614"/>
      <c r="S52" s="614"/>
      <c r="T52" s="13"/>
    </row>
    <row r="53" spans="2:20">
      <c r="B53" s="4" t="s">
        <v>67</v>
      </c>
      <c r="C53" s="5" t="s">
        <v>41</v>
      </c>
      <c r="D53" s="5">
        <v>35</v>
      </c>
      <c r="E53" s="5">
        <v>15</v>
      </c>
      <c r="F53" s="5">
        <v>55</v>
      </c>
      <c r="G53" s="20">
        <v>5</v>
      </c>
      <c r="H53" s="614">
        <f t="shared" si="5"/>
        <v>50</v>
      </c>
      <c r="I53" s="19">
        <v>297</v>
      </c>
      <c r="J53" s="19">
        <f t="shared" si="8"/>
        <v>59.400000000000006</v>
      </c>
      <c r="K53" s="19">
        <f t="shared" si="9"/>
        <v>356.4</v>
      </c>
      <c r="L53" s="18">
        <f t="shared" si="6"/>
        <v>14850</v>
      </c>
      <c r="N53" s="589">
        <f t="shared" si="7"/>
        <v>1485</v>
      </c>
      <c r="Q53" s="614"/>
      <c r="R53" s="614"/>
      <c r="S53" s="614"/>
      <c r="T53" s="13"/>
    </row>
    <row r="54" spans="2:20">
      <c r="B54" s="4" t="s">
        <v>67</v>
      </c>
      <c r="C54" s="5" t="s">
        <v>42</v>
      </c>
      <c r="D54" s="5">
        <v>35</v>
      </c>
      <c r="E54" s="5">
        <v>15</v>
      </c>
      <c r="F54" s="5">
        <v>50</v>
      </c>
      <c r="G54" s="614">
        <v>7</v>
      </c>
      <c r="H54" s="614">
        <f t="shared" si="5"/>
        <v>43</v>
      </c>
      <c r="I54" s="19">
        <v>297</v>
      </c>
      <c r="J54" s="19">
        <f t="shared" si="8"/>
        <v>59.400000000000006</v>
      </c>
      <c r="K54" s="19">
        <f t="shared" si="9"/>
        <v>356.4</v>
      </c>
      <c r="L54" s="18">
        <f t="shared" si="6"/>
        <v>12771</v>
      </c>
      <c r="N54" s="589">
        <f t="shared" si="7"/>
        <v>2079</v>
      </c>
      <c r="Q54" s="614"/>
      <c r="R54" s="614"/>
      <c r="S54" s="614"/>
      <c r="T54" s="13"/>
    </row>
    <row r="55" spans="2:20">
      <c r="B55" s="4" t="s">
        <v>68</v>
      </c>
      <c r="C55" s="5" t="s">
        <v>66</v>
      </c>
      <c r="D55" s="5">
        <v>30</v>
      </c>
      <c r="E55" s="5">
        <v>15</v>
      </c>
      <c r="F55" s="5">
        <f>30+15</f>
        <v>45</v>
      </c>
      <c r="G55" s="20">
        <v>9</v>
      </c>
      <c r="H55" s="614">
        <f t="shared" si="5"/>
        <v>36</v>
      </c>
      <c r="I55" s="19">
        <v>504</v>
      </c>
      <c r="J55" s="19">
        <f t="shared" si="8"/>
        <v>100.80000000000001</v>
      </c>
      <c r="K55" s="19">
        <f t="shared" si="9"/>
        <v>604.79999999999995</v>
      </c>
      <c r="L55" s="18">
        <f t="shared" si="6"/>
        <v>18144</v>
      </c>
      <c r="N55" s="589">
        <f t="shared" si="7"/>
        <v>4536</v>
      </c>
      <c r="Q55" s="614"/>
      <c r="R55" s="614"/>
      <c r="S55" s="614"/>
      <c r="T55" s="13"/>
    </row>
    <row r="56" spans="2:20">
      <c r="B56" s="4" t="s">
        <v>69</v>
      </c>
      <c r="C56" s="5" t="s">
        <v>70</v>
      </c>
      <c r="D56" s="5">
        <v>35</v>
      </c>
      <c r="E56" s="5">
        <v>15</v>
      </c>
      <c r="F56" s="5">
        <f>25+25</f>
        <v>50</v>
      </c>
      <c r="G56" s="614">
        <v>4</v>
      </c>
      <c r="H56" s="614">
        <f t="shared" si="5"/>
        <v>46</v>
      </c>
      <c r="I56" s="19">
        <v>504</v>
      </c>
      <c r="J56" s="19">
        <f t="shared" si="8"/>
        <v>100.80000000000001</v>
      </c>
      <c r="K56" s="19">
        <f t="shared" si="9"/>
        <v>604.79999999999995</v>
      </c>
      <c r="L56" s="18">
        <f t="shared" si="6"/>
        <v>23184</v>
      </c>
      <c r="N56" s="589">
        <f t="shared" si="7"/>
        <v>2016</v>
      </c>
      <c r="Q56" s="614"/>
    </row>
    <row r="57" spans="2:20">
      <c r="B57" s="4"/>
      <c r="C57" s="5"/>
      <c r="D57" s="5"/>
      <c r="E57" s="5"/>
      <c r="F57" s="21"/>
      <c r="H57" s="614">
        <f t="shared" si="5"/>
        <v>0</v>
      </c>
      <c r="I57" s="19"/>
      <c r="J57" s="19"/>
      <c r="K57" s="19"/>
      <c r="L57" s="18">
        <f t="shared" ref="L57" si="10">+H57*I57</f>
        <v>0</v>
      </c>
      <c r="N57" s="589">
        <f>SUM(N34:N56)</f>
        <v>72908.100000000006</v>
      </c>
      <c r="Q57" s="614"/>
    </row>
    <row r="58" spans="2:20">
      <c r="B58" s="4" t="s">
        <v>71</v>
      </c>
      <c r="C58" s="5"/>
      <c r="D58" s="5"/>
      <c r="E58" s="5"/>
      <c r="F58" s="21">
        <f>SUM(F34:F57)</f>
        <v>762</v>
      </c>
      <c r="H58" s="614">
        <f>SUM(H34:H57)</f>
        <v>658</v>
      </c>
      <c r="I58" s="19"/>
      <c r="J58" s="19"/>
      <c r="K58" s="19"/>
      <c r="L58" s="11">
        <f>SUM(L34:L57)</f>
        <v>427010.4</v>
      </c>
      <c r="Q58" s="614"/>
    </row>
    <row r="59" spans="2:20">
      <c r="C59" s="614"/>
      <c r="D59" s="614"/>
      <c r="E59" s="614"/>
      <c r="F59" s="13"/>
      <c r="H59" s="19"/>
      <c r="I59" s="19"/>
      <c r="J59" s="19"/>
      <c r="K59" s="11"/>
      <c r="L59" s="8">
        <v>200000</v>
      </c>
      <c r="M59" s="12"/>
      <c r="Q59" s="614"/>
    </row>
    <row r="60" spans="2:20">
      <c r="C60" s="614"/>
      <c r="D60" s="614"/>
      <c r="E60" s="614"/>
      <c r="F60" s="13"/>
      <c r="H60" s="19"/>
      <c r="I60" s="19"/>
      <c r="J60" s="19"/>
      <c r="K60" s="11"/>
      <c r="L60" s="12">
        <f>+L58-L59</f>
        <v>227010.40000000002</v>
      </c>
      <c r="M60" t="s">
        <v>47</v>
      </c>
      <c r="Q60" s="614"/>
    </row>
    <row r="61" spans="2:20">
      <c r="C61" s="614"/>
      <c r="D61" s="614"/>
      <c r="E61" s="614"/>
      <c r="F61" s="13"/>
      <c r="H61" s="19"/>
      <c r="I61" s="19"/>
      <c r="J61" s="19"/>
      <c r="K61" s="11"/>
      <c r="Q61" s="614"/>
    </row>
    <row r="62" spans="2:20">
      <c r="C62" s="614"/>
      <c r="D62" s="614"/>
      <c r="E62" s="614"/>
      <c r="F62" s="13"/>
      <c r="H62" s="19"/>
      <c r="I62" s="19"/>
      <c r="J62" s="19"/>
      <c r="K62" s="11"/>
      <c r="Q62" s="614"/>
    </row>
    <row r="63" spans="2:20">
      <c r="B63" s="14"/>
      <c r="C63" s="15"/>
      <c r="D63" s="14"/>
      <c r="E63" s="14"/>
      <c r="F63" s="14"/>
      <c r="G63" s="14"/>
      <c r="H63" s="14"/>
      <c r="I63" s="14"/>
      <c r="J63" s="14"/>
      <c r="K63" s="22"/>
      <c r="Q63" s="614"/>
    </row>
    <row r="64" spans="2:20">
      <c r="B64" s="1" t="s">
        <v>72</v>
      </c>
      <c r="C64" s="614"/>
      <c r="Q64" s="614"/>
      <c r="R64" s="614"/>
      <c r="S64" s="614"/>
      <c r="T64" s="614"/>
    </row>
    <row r="65" spans="2:20" ht="30">
      <c r="B65" s="5" t="s">
        <v>73</v>
      </c>
      <c r="C65" s="5" t="s">
        <v>74</v>
      </c>
      <c r="D65" s="5" t="s">
        <v>51</v>
      </c>
      <c r="E65" s="5" t="s">
        <v>52</v>
      </c>
      <c r="F65" s="23" t="s">
        <v>53</v>
      </c>
      <c r="G65" s="10" t="s">
        <v>26</v>
      </c>
      <c r="H65" s="614" t="s">
        <v>28</v>
      </c>
      <c r="I65" s="614" t="s">
        <v>29</v>
      </c>
      <c r="J65" s="614" t="s">
        <v>30</v>
      </c>
      <c r="K65" s="614" t="s">
        <v>31</v>
      </c>
      <c r="Q65" s="614"/>
      <c r="R65" s="614"/>
      <c r="S65" s="614"/>
      <c r="T65" s="13"/>
    </row>
    <row r="66" spans="2:20">
      <c r="B66" s="4" t="s">
        <v>75</v>
      </c>
      <c r="C66" s="5" t="s">
        <v>34</v>
      </c>
      <c r="D66" s="21">
        <v>40</v>
      </c>
      <c r="E66" s="5"/>
      <c r="F66" s="558">
        <f>+D66+E66</f>
        <v>40</v>
      </c>
      <c r="H66">
        <v>220</v>
      </c>
      <c r="I66">
        <f>+H66*20%</f>
        <v>44</v>
      </c>
      <c r="J66" s="24">
        <f>+H66+I66</f>
        <v>264</v>
      </c>
      <c r="K66" s="8">
        <f>+(F66-G66)*H66</f>
        <v>8800</v>
      </c>
      <c r="Q66" s="614"/>
      <c r="R66" s="614"/>
      <c r="S66" s="614"/>
      <c r="T66" s="13"/>
    </row>
    <row r="67" spans="2:20">
      <c r="B67" s="4" t="s">
        <v>76</v>
      </c>
      <c r="C67" s="5" t="s">
        <v>35</v>
      </c>
      <c r="D67" s="21">
        <v>50</v>
      </c>
      <c r="E67" s="5"/>
      <c r="F67" s="558">
        <f t="shared" ref="F67:F80" si="11">+D67+E67</f>
        <v>50</v>
      </c>
      <c r="H67">
        <v>220</v>
      </c>
      <c r="I67">
        <f t="shared" ref="I67:I80" si="12">+H67*20%</f>
        <v>44</v>
      </c>
      <c r="J67" s="24">
        <f t="shared" ref="J67:J80" si="13">+H67+I67</f>
        <v>264</v>
      </c>
      <c r="K67" s="8">
        <f t="shared" ref="K67:K82" si="14">+(F67-G67)*H67</f>
        <v>11000</v>
      </c>
      <c r="Q67" s="614"/>
      <c r="R67" s="614"/>
      <c r="S67" s="614"/>
      <c r="T67" s="13"/>
    </row>
    <row r="68" spans="2:20">
      <c r="B68" s="4" t="s">
        <v>77</v>
      </c>
      <c r="C68" s="5" t="s">
        <v>36</v>
      </c>
      <c r="D68" s="21">
        <v>50</v>
      </c>
      <c r="E68" s="5"/>
      <c r="F68" s="558">
        <f t="shared" si="11"/>
        <v>50</v>
      </c>
      <c r="H68">
        <v>220</v>
      </c>
      <c r="I68">
        <f t="shared" si="12"/>
        <v>44</v>
      </c>
      <c r="J68" s="24">
        <f t="shared" si="13"/>
        <v>264</v>
      </c>
      <c r="K68" s="8">
        <f t="shared" si="14"/>
        <v>11000</v>
      </c>
      <c r="Q68" s="614"/>
      <c r="R68" s="614"/>
      <c r="S68" s="614"/>
      <c r="T68" s="13"/>
    </row>
    <row r="69" spans="2:20">
      <c r="B69" s="4" t="s">
        <v>78</v>
      </c>
      <c r="C69" s="5" t="s">
        <v>37</v>
      </c>
      <c r="D69" s="21">
        <v>60</v>
      </c>
      <c r="E69" s="5"/>
      <c r="F69" s="558">
        <f t="shared" si="11"/>
        <v>60</v>
      </c>
      <c r="H69">
        <v>220</v>
      </c>
      <c r="I69">
        <f t="shared" si="12"/>
        <v>44</v>
      </c>
      <c r="J69" s="24">
        <f t="shared" si="13"/>
        <v>264</v>
      </c>
      <c r="K69" s="8">
        <f t="shared" si="14"/>
        <v>13200</v>
      </c>
      <c r="P69" s="25"/>
      <c r="Q69" s="614"/>
      <c r="R69" s="614"/>
      <c r="S69" s="614"/>
      <c r="T69" s="13"/>
    </row>
    <row r="70" spans="2:20">
      <c r="B70" s="16" t="s">
        <v>79</v>
      </c>
      <c r="C70" s="5" t="s">
        <v>38</v>
      </c>
      <c r="D70" s="21">
        <v>45</v>
      </c>
      <c r="E70" s="5"/>
      <c r="F70" s="558">
        <f t="shared" si="11"/>
        <v>45</v>
      </c>
      <c r="H70">
        <v>220</v>
      </c>
      <c r="I70">
        <f t="shared" si="12"/>
        <v>44</v>
      </c>
      <c r="J70" s="24">
        <f t="shared" si="13"/>
        <v>264</v>
      </c>
      <c r="K70" s="8">
        <f t="shared" si="14"/>
        <v>9900</v>
      </c>
      <c r="Q70" s="614"/>
      <c r="R70" s="614"/>
      <c r="S70" s="614"/>
      <c r="T70" s="13"/>
    </row>
    <row r="71" spans="2:20">
      <c r="B71" s="4" t="s">
        <v>80</v>
      </c>
      <c r="C71" s="5" t="s">
        <v>40</v>
      </c>
      <c r="D71" s="5">
        <v>45</v>
      </c>
      <c r="E71" s="5">
        <v>15</v>
      </c>
      <c r="F71" s="558">
        <f t="shared" si="11"/>
        <v>60</v>
      </c>
      <c r="H71">
        <v>220</v>
      </c>
      <c r="I71">
        <f t="shared" si="12"/>
        <v>44</v>
      </c>
      <c r="J71" s="24">
        <f t="shared" si="13"/>
        <v>264</v>
      </c>
      <c r="K71" s="8">
        <f t="shared" si="14"/>
        <v>13200</v>
      </c>
      <c r="Q71" s="614"/>
      <c r="R71" s="614"/>
      <c r="S71" s="614"/>
      <c r="T71" s="13"/>
    </row>
    <row r="72" spans="2:20">
      <c r="B72" s="4" t="s">
        <v>81</v>
      </c>
      <c r="C72" s="5" t="s">
        <v>40</v>
      </c>
      <c r="D72" s="5">
        <v>45</v>
      </c>
      <c r="E72" s="5">
        <v>15</v>
      </c>
      <c r="F72" s="558">
        <f t="shared" si="11"/>
        <v>60</v>
      </c>
      <c r="H72">
        <v>220</v>
      </c>
      <c r="I72">
        <f t="shared" si="12"/>
        <v>44</v>
      </c>
      <c r="J72" s="24">
        <f t="shared" si="13"/>
        <v>264</v>
      </c>
      <c r="K72" s="8">
        <f t="shared" si="14"/>
        <v>13200</v>
      </c>
      <c r="Q72" s="614"/>
      <c r="R72" s="614"/>
      <c r="S72" s="614"/>
      <c r="T72" s="13"/>
    </row>
    <row r="73" spans="2:20">
      <c r="B73" s="4" t="s">
        <v>82</v>
      </c>
      <c r="C73" s="5" t="s">
        <v>41</v>
      </c>
      <c r="D73" s="5">
        <v>45</v>
      </c>
      <c r="E73" s="5">
        <v>15</v>
      </c>
      <c r="F73" s="558">
        <f t="shared" si="11"/>
        <v>60</v>
      </c>
      <c r="H73">
        <v>220</v>
      </c>
      <c r="I73">
        <f t="shared" si="12"/>
        <v>44</v>
      </c>
      <c r="J73" s="24">
        <f t="shared" si="13"/>
        <v>264</v>
      </c>
      <c r="K73" s="8">
        <f t="shared" si="14"/>
        <v>13200</v>
      </c>
      <c r="Q73" s="614"/>
      <c r="R73" s="614"/>
      <c r="S73" s="614"/>
      <c r="T73" s="13"/>
    </row>
    <row r="74" spans="2:20">
      <c r="B74" s="4" t="s">
        <v>78</v>
      </c>
      <c r="C74" s="5" t="s">
        <v>41</v>
      </c>
      <c r="D74" s="5">
        <v>45</v>
      </c>
      <c r="E74" s="5">
        <v>15</v>
      </c>
      <c r="F74" s="558">
        <f t="shared" si="11"/>
        <v>60</v>
      </c>
      <c r="H74">
        <v>220</v>
      </c>
      <c r="I74">
        <f t="shared" si="12"/>
        <v>44</v>
      </c>
      <c r="J74" s="24">
        <f t="shared" si="13"/>
        <v>264</v>
      </c>
      <c r="K74" s="8">
        <f t="shared" si="14"/>
        <v>13200</v>
      </c>
      <c r="Q74" s="614"/>
      <c r="R74" s="614"/>
      <c r="S74" s="614"/>
      <c r="T74" s="13"/>
    </row>
    <row r="75" spans="2:20">
      <c r="B75" s="4" t="s">
        <v>83</v>
      </c>
      <c r="C75" s="5" t="s">
        <v>42</v>
      </c>
      <c r="D75" s="5">
        <v>40</v>
      </c>
      <c r="E75" s="5">
        <v>15</v>
      </c>
      <c r="F75" s="558">
        <f t="shared" si="11"/>
        <v>55</v>
      </c>
      <c r="H75">
        <v>220</v>
      </c>
      <c r="I75">
        <f t="shared" si="12"/>
        <v>44</v>
      </c>
      <c r="J75" s="24">
        <f t="shared" si="13"/>
        <v>264</v>
      </c>
      <c r="K75" s="8">
        <f t="shared" si="14"/>
        <v>12100</v>
      </c>
      <c r="Q75" s="614"/>
      <c r="R75" s="614"/>
      <c r="S75" s="614"/>
      <c r="T75" s="13"/>
    </row>
    <row r="76" spans="2:20">
      <c r="B76" s="4" t="s">
        <v>84</v>
      </c>
      <c r="C76" s="5" t="s">
        <v>42</v>
      </c>
      <c r="D76" s="5">
        <v>40</v>
      </c>
      <c r="E76" s="5">
        <v>15</v>
      </c>
      <c r="F76" s="558">
        <f t="shared" si="11"/>
        <v>55</v>
      </c>
      <c r="H76">
        <v>220</v>
      </c>
      <c r="I76">
        <f t="shared" si="12"/>
        <v>44</v>
      </c>
      <c r="J76" s="24">
        <f t="shared" si="13"/>
        <v>264</v>
      </c>
      <c r="K76" s="8">
        <f t="shared" si="14"/>
        <v>12100</v>
      </c>
      <c r="Q76" s="614"/>
      <c r="R76" s="614"/>
      <c r="S76" s="614"/>
      <c r="T76" s="13"/>
    </row>
    <row r="77" spans="2:20">
      <c r="B77" s="4" t="s">
        <v>85</v>
      </c>
      <c r="C77" s="5" t="s">
        <v>66</v>
      </c>
      <c r="D77" s="5">
        <v>30</v>
      </c>
      <c r="E77" s="5">
        <v>15</v>
      </c>
      <c r="F77" s="558">
        <f t="shared" si="11"/>
        <v>45</v>
      </c>
      <c r="H77">
        <v>220</v>
      </c>
      <c r="I77">
        <f t="shared" si="12"/>
        <v>44</v>
      </c>
      <c r="J77" s="24">
        <f t="shared" si="13"/>
        <v>264</v>
      </c>
      <c r="K77" s="8">
        <f t="shared" si="14"/>
        <v>9900</v>
      </c>
      <c r="Q77" s="614"/>
      <c r="R77" s="614"/>
      <c r="S77" s="614"/>
      <c r="T77" s="13"/>
    </row>
    <row r="78" spans="2:20">
      <c r="B78" s="4" t="s">
        <v>86</v>
      </c>
      <c r="C78" s="5" t="s">
        <v>66</v>
      </c>
      <c r="D78" s="5">
        <v>30</v>
      </c>
      <c r="E78" s="5">
        <v>15</v>
      </c>
      <c r="F78" s="558">
        <f t="shared" si="11"/>
        <v>45</v>
      </c>
      <c r="H78">
        <v>220</v>
      </c>
      <c r="I78">
        <f t="shared" si="12"/>
        <v>44</v>
      </c>
      <c r="J78" s="24">
        <f t="shared" si="13"/>
        <v>264</v>
      </c>
      <c r="K78" s="8">
        <f t="shared" si="14"/>
        <v>9900</v>
      </c>
      <c r="Q78" s="614"/>
      <c r="R78" s="614"/>
      <c r="S78" s="614"/>
      <c r="T78" s="13"/>
    </row>
    <row r="79" spans="2:20">
      <c r="B79" s="4" t="s">
        <v>87</v>
      </c>
      <c r="C79" s="5" t="s">
        <v>70</v>
      </c>
      <c r="D79" s="5">
        <v>25</v>
      </c>
      <c r="E79" s="5">
        <v>25</v>
      </c>
      <c r="F79" s="558">
        <f t="shared" si="11"/>
        <v>50</v>
      </c>
      <c r="H79">
        <v>220</v>
      </c>
      <c r="I79">
        <f t="shared" si="12"/>
        <v>44</v>
      </c>
      <c r="J79" s="24">
        <f t="shared" si="13"/>
        <v>264</v>
      </c>
      <c r="K79" s="8">
        <f t="shared" si="14"/>
        <v>11000</v>
      </c>
      <c r="Q79" s="614"/>
    </row>
    <row r="80" spans="2:20">
      <c r="B80" s="4" t="s">
        <v>88</v>
      </c>
      <c r="C80" s="5" t="s">
        <v>70</v>
      </c>
      <c r="D80" s="5">
        <v>25</v>
      </c>
      <c r="E80" s="5">
        <v>25</v>
      </c>
      <c r="F80" s="558">
        <f t="shared" si="11"/>
        <v>50</v>
      </c>
      <c r="H80">
        <v>220</v>
      </c>
      <c r="I80">
        <f t="shared" si="12"/>
        <v>44</v>
      </c>
      <c r="J80" s="24">
        <f t="shared" si="13"/>
        <v>264</v>
      </c>
      <c r="K80" s="8">
        <f t="shared" si="14"/>
        <v>11000</v>
      </c>
      <c r="Q80" s="614"/>
    </row>
    <row r="81" spans="2:18">
      <c r="B81" s="4"/>
      <c r="C81" s="5"/>
      <c r="D81" s="4"/>
      <c r="E81" s="4"/>
      <c r="F81" s="4"/>
      <c r="J81" s="24"/>
      <c r="K81" s="8">
        <f t="shared" si="14"/>
        <v>0</v>
      </c>
      <c r="Q81" s="614"/>
    </row>
    <row r="82" spans="2:18">
      <c r="B82" s="4" t="s">
        <v>71</v>
      </c>
      <c r="C82" s="5"/>
      <c r="D82" s="4"/>
      <c r="E82" s="4"/>
      <c r="F82" s="21">
        <f>SUM(F66:F81)</f>
        <v>785</v>
      </c>
      <c r="J82" s="24"/>
      <c r="K82" s="8">
        <f t="shared" si="14"/>
        <v>0</v>
      </c>
      <c r="Q82" s="614"/>
    </row>
    <row r="83" spans="2:18">
      <c r="C83" s="614"/>
      <c r="J83" s="24"/>
      <c r="K83" s="8">
        <f>SUM(K66:K82)</f>
        <v>172700</v>
      </c>
      <c r="Q83" s="614"/>
    </row>
    <row r="84" spans="2:18">
      <c r="B84" t="s">
        <v>89</v>
      </c>
      <c r="C84" s="614"/>
      <c r="K84" s="11"/>
      <c r="Q84" s="614"/>
    </row>
    <row r="85" spans="2:18">
      <c r="B85" t="s">
        <v>90</v>
      </c>
      <c r="C85" s="614"/>
      <c r="I85" t="s">
        <v>91</v>
      </c>
      <c r="K85" s="11">
        <v>50000</v>
      </c>
      <c r="Q85" s="614"/>
    </row>
    <row r="86" spans="2:18">
      <c r="B86" t="s">
        <v>92</v>
      </c>
      <c r="C86" s="614"/>
      <c r="I86" t="s">
        <v>93</v>
      </c>
      <c r="K86" s="11">
        <v>50000</v>
      </c>
      <c r="Q86" s="614"/>
    </row>
    <row r="87" spans="2:18">
      <c r="C87" s="614"/>
      <c r="K87" s="11"/>
      <c r="Q87" s="614"/>
    </row>
    <row r="88" spans="2:18">
      <c r="C88" s="614"/>
      <c r="Q88" s="614"/>
    </row>
    <row r="89" spans="2:18">
      <c r="B89" s="14"/>
      <c r="C89" s="15"/>
      <c r="D89" s="14"/>
      <c r="E89" s="14"/>
      <c r="F89" s="14"/>
      <c r="G89" s="14"/>
      <c r="H89" s="14"/>
      <c r="I89" s="14"/>
      <c r="J89" s="14"/>
      <c r="K89" s="14"/>
      <c r="Q89" s="614"/>
    </row>
    <row r="90" spans="2:18">
      <c r="B90" s="26" t="s">
        <v>94</v>
      </c>
      <c r="C90" s="5"/>
      <c r="D90" s="4"/>
      <c r="Q90" s="614"/>
    </row>
    <row r="91" spans="2:18" ht="30">
      <c r="B91" s="4"/>
      <c r="C91" s="5"/>
      <c r="D91" s="16" t="s">
        <v>53</v>
      </c>
      <c r="E91" s="4" t="s">
        <v>26</v>
      </c>
      <c r="F91" s="10" t="s">
        <v>95</v>
      </c>
      <c r="G91" s="614" t="s">
        <v>28</v>
      </c>
      <c r="H91" s="614" t="s">
        <v>29</v>
      </c>
      <c r="I91" s="614" t="s">
        <v>30</v>
      </c>
      <c r="J91" s="614" t="s">
        <v>31</v>
      </c>
      <c r="Q91" s="614"/>
      <c r="R91" s="2"/>
    </row>
    <row r="92" spans="2:18">
      <c r="B92" s="4" t="s">
        <v>96</v>
      </c>
      <c r="C92" s="5" t="s">
        <v>34</v>
      </c>
      <c r="D92" s="21">
        <v>40</v>
      </c>
      <c r="E92" s="21">
        <v>4</v>
      </c>
      <c r="F92" s="614">
        <f>+D92-E92</f>
        <v>36</v>
      </c>
      <c r="G92">
        <v>139.5</v>
      </c>
      <c r="H92">
        <f>+G92*20%</f>
        <v>27.900000000000002</v>
      </c>
      <c r="I92" s="24">
        <f>+G92+H92</f>
        <v>167.4</v>
      </c>
      <c r="J92" s="8">
        <f>+F92*G92</f>
        <v>5022</v>
      </c>
      <c r="Q92" s="614"/>
      <c r="R92" s="2"/>
    </row>
    <row r="93" spans="2:18">
      <c r="B93" s="4" t="s">
        <v>96</v>
      </c>
      <c r="C93" s="5" t="s">
        <v>35</v>
      </c>
      <c r="D93" s="21">
        <v>50</v>
      </c>
      <c r="E93" s="21">
        <v>8</v>
      </c>
      <c r="F93" s="614">
        <f t="shared" ref="F93:F96" si="15">+D93-E93</f>
        <v>42</v>
      </c>
      <c r="G93">
        <v>139.5</v>
      </c>
      <c r="H93">
        <f>+G93*20%</f>
        <v>27.900000000000002</v>
      </c>
      <c r="I93" s="24">
        <f>+G93+H93</f>
        <v>167.4</v>
      </c>
      <c r="J93" s="8">
        <f t="shared" ref="J93:J96" si="16">+F93*G93</f>
        <v>5859</v>
      </c>
      <c r="Q93" s="614"/>
      <c r="R93" s="2"/>
    </row>
    <row r="94" spans="2:18">
      <c r="B94" s="4" t="s">
        <v>96</v>
      </c>
      <c r="C94" s="5" t="s">
        <v>36</v>
      </c>
      <c r="D94" s="21">
        <v>50</v>
      </c>
      <c r="E94" s="21">
        <v>6</v>
      </c>
      <c r="F94" s="614">
        <f t="shared" si="15"/>
        <v>44</v>
      </c>
      <c r="G94">
        <v>139.5</v>
      </c>
      <c r="H94">
        <f>+G94*20%</f>
        <v>27.900000000000002</v>
      </c>
      <c r="I94" s="24">
        <f>+G94+H94</f>
        <v>167.4</v>
      </c>
      <c r="J94" s="8">
        <f t="shared" si="16"/>
        <v>6138</v>
      </c>
      <c r="Q94" s="614"/>
      <c r="R94" s="2"/>
    </row>
    <row r="95" spans="2:18">
      <c r="B95" s="4" t="s">
        <v>96</v>
      </c>
      <c r="C95" s="5" t="s">
        <v>37</v>
      </c>
      <c r="D95" s="21">
        <v>60</v>
      </c>
      <c r="E95" s="21">
        <v>17</v>
      </c>
      <c r="F95" s="614">
        <f t="shared" si="15"/>
        <v>43</v>
      </c>
      <c r="G95">
        <v>139.5</v>
      </c>
      <c r="H95">
        <f>+G95*20%</f>
        <v>27.900000000000002</v>
      </c>
      <c r="I95" s="24">
        <f>+G95+H95</f>
        <v>167.4</v>
      </c>
      <c r="J95" s="8">
        <f t="shared" si="16"/>
        <v>5998.5</v>
      </c>
      <c r="Q95" s="614"/>
      <c r="R95" s="2"/>
    </row>
    <row r="96" spans="2:18">
      <c r="B96" s="4" t="s">
        <v>96</v>
      </c>
      <c r="C96" s="5" t="s">
        <v>38</v>
      </c>
      <c r="D96" s="21">
        <v>45</v>
      </c>
      <c r="E96" s="21">
        <v>4</v>
      </c>
      <c r="F96" s="614">
        <f t="shared" si="15"/>
        <v>41</v>
      </c>
      <c r="G96">
        <v>139.5</v>
      </c>
      <c r="H96">
        <f>+G96*20%</f>
        <v>27.900000000000002</v>
      </c>
      <c r="I96" s="24">
        <f>+G96+H96</f>
        <v>167.4</v>
      </c>
      <c r="J96" s="8">
        <f t="shared" si="16"/>
        <v>5719.5</v>
      </c>
      <c r="Q96" s="614"/>
    </row>
    <row r="97" spans="2:20">
      <c r="B97" s="4"/>
      <c r="C97" s="5"/>
      <c r="D97" s="5"/>
      <c r="E97" s="4"/>
      <c r="J97" s="12">
        <f>SUM(J92:J96)</f>
        <v>28737</v>
      </c>
      <c r="K97" t="s">
        <v>97</v>
      </c>
      <c r="Q97" s="614"/>
    </row>
    <row r="98" spans="2:20">
      <c r="B98" s="4" t="s">
        <v>98</v>
      </c>
      <c r="C98" s="5"/>
      <c r="D98" s="21">
        <f>SUM(D92:D97)</f>
        <v>245</v>
      </c>
      <c r="E98" s="4"/>
      <c r="J98" s="12"/>
      <c r="Q98" s="614"/>
    </row>
    <row r="99" spans="2:20">
      <c r="C99" s="614"/>
      <c r="J99" s="12"/>
      <c r="Q99" s="614"/>
    </row>
    <row r="100" spans="2:20">
      <c r="C100" s="614"/>
      <c r="J100" s="12"/>
      <c r="K100" s="27"/>
      <c r="Q100" s="614"/>
    </row>
    <row r="101" spans="2:20">
      <c r="C101" s="614"/>
      <c r="J101" s="12"/>
      <c r="Q101" s="614"/>
    </row>
    <row r="102" spans="2:20">
      <c r="C102" s="614"/>
      <c r="J102" s="12"/>
      <c r="Q102" s="614"/>
    </row>
    <row r="103" spans="2:20">
      <c r="B103" s="14"/>
      <c r="C103" s="15"/>
      <c r="D103" s="14"/>
      <c r="E103" s="14"/>
      <c r="F103" s="14"/>
      <c r="G103" s="14"/>
      <c r="H103" s="14"/>
      <c r="I103" s="14"/>
      <c r="J103" s="22"/>
      <c r="K103" s="14"/>
      <c r="Q103" s="614"/>
    </row>
    <row r="104" spans="2:20">
      <c r="B104" s="1" t="s">
        <v>99</v>
      </c>
      <c r="C104" s="614"/>
      <c r="Q104" s="614"/>
    </row>
    <row r="105" spans="2:20" ht="30">
      <c r="C105" s="614"/>
      <c r="D105" t="s">
        <v>51</v>
      </c>
      <c r="E105" t="s">
        <v>52</v>
      </c>
      <c r="F105" s="16" t="s">
        <v>53</v>
      </c>
      <c r="G105" s="10" t="s">
        <v>26</v>
      </c>
      <c r="H105" t="s">
        <v>27</v>
      </c>
      <c r="I105" s="614" t="s">
        <v>28</v>
      </c>
      <c r="J105" s="614" t="s">
        <v>29</v>
      </c>
      <c r="K105" s="614" t="s">
        <v>30</v>
      </c>
      <c r="Q105" s="614"/>
      <c r="T105" s="2"/>
    </row>
    <row r="106" spans="2:20">
      <c r="B106" s="4" t="s">
        <v>100</v>
      </c>
      <c r="C106" s="5" t="s">
        <v>40</v>
      </c>
      <c r="D106" s="5">
        <v>40</v>
      </c>
      <c r="E106" s="5">
        <v>15</v>
      </c>
      <c r="F106" s="558">
        <f>+D106+E106</f>
        <v>55</v>
      </c>
      <c r="G106" s="28">
        <v>1</v>
      </c>
      <c r="H106">
        <f>+F106-G106</f>
        <v>54</v>
      </c>
      <c r="I106" s="7">
        <v>340</v>
      </c>
      <c r="J106" s="7">
        <f>+I106*20%</f>
        <v>68</v>
      </c>
      <c r="K106" s="29">
        <f>+I106+J106</f>
        <v>408</v>
      </c>
      <c r="L106" s="8">
        <f>+H106*I106</f>
        <v>18360</v>
      </c>
      <c r="Q106" s="614"/>
      <c r="T106" s="2"/>
    </row>
    <row r="107" spans="2:20">
      <c r="B107" s="4" t="s">
        <v>101</v>
      </c>
      <c r="C107" s="5" t="s">
        <v>41</v>
      </c>
      <c r="D107" s="5">
        <v>40</v>
      </c>
      <c r="E107" s="5">
        <v>15</v>
      </c>
      <c r="F107" s="558">
        <f>+D107+E107</f>
        <v>55</v>
      </c>
      <c r="G107" s="614">
        <v>5</v>
      </c>
      <c r="H107">
        <f t="shared" ref="H107:H108" si="17">+F107-G107</f>
        <v>50</v>
      </c>
      <c r="I107" s="7">
        <v>340</v>
      </c>
      <c r="J107" s="7">
        <f>+I107*20%</f>
        <v>68</v>
      </c>
      <c r="K107" s="29">
        <f>+I107+J107</f>
        <v>408</v>
      </c>
      <c r="L107" s="8">
        <f t="shared" ref="L107:L108" si="18">+H107*I107</f>
        <v>17000</v>
      </c>
      <c r="Q107" s="614"/>
      <c r="T107" s="2"/>
    </row>
    <row r="108" spans="2:20">
      <c r="B108" s="4" t="s">
        <v>102</v>
      </c>
      <c r="C108" s="5" t="s">
        <v>42</v>
      </c>
      <c r="D108" s="5">
        <v>35</v>
      </c>
      <c r="E108" s="5">
        <v>15</v>
      </c>
      <c r="F108" s="558">
        <f>+D108+E108</f>
        <v>50</v>
      </c>
      <c r="G108" s="614">
        <v>6</v>
      </c>
      <c r="H108">
        <f t="shared" si="17"/>
        <v>44</v>
      </c>
      <c r="I108" s="7">
        <v>340</v>
      </c>
      <c r="J108" s="7">
        <f>+I108*20%</f>
        <v>68</v>
      </c>
      <c r="K108" s="29">
        <f>+I108+J108</f>
        <v>408</v>
      </c>
      <c r="L108" s="8">
        <f t="shared" si="18"/>
        <v>14960</v>
      </c>
      <c r="Q108" s="614"/>
      <c r="T108" s="2"/>
    </row>
    <row r="109" spans="2:20">
      <c r="B109" s="4" t="s">
        <v>103</v>
      </c>
      <c r="C109" s="5" t="s">
        <v>104</v>
      </c>
      <c r="D109" s="5">
        <v>30</v>
      </c>
      <c r="E109" s="5">
        <v>15</v>
      </c>
      <c r="F109" s="6">
        <f>+D109+E109</f>
        <v>45</v>
      </c>
      <c r="G109" s="574">
        <v>4</v>
      </c>
      <c r="H109" s="386"/>
      <c r="I109" s="575">
        <v>350</v>
      </c>
      <c r="J109" s="575">
        <f>+I109*20%</f>
        <v>70</v>
      </c>
      <c r="K109" s="575">
        <f>+I109+J109</f>
        <v>420</v>
      </c>
      <c r="L109" s="576"/>
      <c r="M109" t="s">
        <v>105</v>
      </c>
      <c r="P109" s="30"/>
      <c r="Q109" s="614"/>
      <c r="T109" s="2"/>
    </row>
    <row r="110" spans="2:20">
      <c r="B110" s="31"/>
      <c r="C110" s="5"/>
      <c r="D110" s="5"/>
      <c r="E110" s="5"/>
      <c r="F110" s="21"/>
      <c r="G110" s="614"/>
      <c r="I110" s="7"/>
      <c r="J110" s="7"/>
      <c r="K110" s="29"/>
      <c r="L110" s="8"/>
    </row>
    <row r="111" spans="2:20">
      <c r="B111" s="4" t="s">
        <v>71</v>
      </c>
      <c r="C111" s="5"/>
      <c r="D111" s="4"/>
      <c r="E111" s="4"/>
      <c r="F111" s="21">
        <f>SUM(F106:F110)</f>
        <v>205</v>
      </c>
      <c r="K111" s="8"/>
      <c r="L111" s="12">
        <f>SUM(L106:L110)</f>
        <v>50320</v>
      </c>
      <c r="Q111" s="614"/>
    </row>
    <row r="112" spans="2:20">
      <c r="C112" s="614"/>
      <c r="K112" s="8"/>
      <c r="Q112" s="614"/>
    </row>
    <row r="113" spans="2:18">
      <c r="C113" s="614"/>
      <c r="K113" s="12"/>
      <c r="Q113" s="614"/>
    </row>
    <row r="114" spans="2:18">
      <c r="C114" s="614"/>
      <c r="K114" s="12"/>
      <c r="Q114" s="614"/>
    </row>
    <row r="115" spans="2:18">
      <c r="C115" s="614"/>
      <c r="K115" s="12"/>
      <c r="Q115" s="614"/>
    </row>
    <row r="116" spans="2:18">
      <c r="B116" s="14"/>
      <c r="C116" s="15"/>
      <c r="D116" s="14"/>
      <c r="E116" s="14"/>
      <c r="F116" s="14"/>
      <c r="G116" s="14"/>
      <c r="H116" s="14"/>
      <c r="I116" s="14"/>
      <c r="J116" s="14"/>
      <c r="K116" s="22"/>
      <c r="Q116" s="614"/>
    </row>
    <row r="117" spans="2:18">
      <c r="C117" s="614"/>
      <c r="K117" s="12"/>
      <c r="Q117" s="614"/>
    </row>
    <row r="118" spans="2:18">
      <c r="B118" s="1" t="s">
        <v>106</v>
      </c>
      <c r="C118" s="614"/>
      <c r="Q118" s="614"/>
    </row>
    <row r="119" spans="2:18" ht="30">
      <c r="B119" s="4"/>
      <c r="C119" s="5"/>
      <c r="D119" s="23" t="s">
        <v>53</v>
      </c>
      <c r="E119" s="10" t="s">
        <v>26</v>
      </c>
      <c r="F119" t="s">
        <v>27</v>
      </c>
      <c r="G119" s="614" t="s">
        <v>28</v>
      </c>
      <c r="H119" s="614" t="s">
        <v>29</v>
      </c>
      <c r="I119" s="614" t="s">
        <v>30</v>
      </c>
      <c r="J119" s="614" t="s">
        <v>31</v>
      </c>
      <c r="Q119" s="614"/>
      <c r="R119" s="2"/>
    </row>
    <row r="120" spans="2:18">
      <c r="B120" s="4" t="s">
        <v>107</v>
      </c>
      <c r="C120" s="5" t="s">
        <v>40</v>
      </c>
      <c r="D120" s="5">
        <v>45</v>
      </c>
      <c r="E120" s="614">
        <v>6</v>
      </c>
      <c r="F120" s="614">
        <f>+D120-E120</f>
        <v>39</v>
      </c>
      <c r="G120" s="7">
        <v>560</v>
      </c>
      <c r="H120" s="7">
        <v>90</v>
      </c>
      <c r="I120" s="29">
        <f>+G120+H120</f>
        <v>650</v>
      </c>
      <c r="J120" s="8">
        <f>+F120*G120</f>
        <v>21840</v>
      </c>
      <c r="Q120" s="614"/>
      <c r="R120" s="2"/>
    </row>
    <row r="121" spans="2:18">
      <c r="B121" s="4" t="s">
        <v>107</v>
      </c>
      <c r="C121" s="5" t="s">
        <v>41</v>
      </c>
      <c r="D121" s="5">
        <v>45</v>
      </c>
      <c r="E121" s="614">
        <v>8</v>
      </c>
      <c r="F121" s="614">
        <f t="shared" ref="F121:F129" si="19">+D121-E121</f>
        <v>37</v>
      </c>
      <c r="G121" s="7">
        <v>560</v>
      </c>
      <c r="H121" s="7">
        <v>90</v>
      </c>
      <c r="I121" s="29">
        <f t="shared" ref="I121:I129" si="20">+G121+H121</f>
        <v>650</v>
      </c>
      <c r="J121" s="8">
        <f t="shared" ref="J121:J129" si="21">+F121*G121</f>
        <v>20720</v>
      </c>
      <c r="Q121" s="614"/>
      <c r="R121" s="2"/>
    </row>
    <row r="122" spans="2:18">
      <c r="B122" s="4" t="s">
        <v>107</v>
      </c>
      <c r="C122" s="5" t="s">
        <v>42</v>
      </c>
      <c r="D122" s="571">
        <f>40+1</f>
        <v>41</v>
      </c>
      <c r="E122" s="614">
        <v>11</v>
      </c>
      <c r="F122" s="614">
        <f t="shared" si="19"/>
        <v>30</v>
      </c>
      <c r="G122" s="7">
        <v>560</v>
      </c>
      <c r="H122" s="7">
        <v>90</v>
      </c>
      <c r="I122" s="29">
        <f t="shared" si="20"/>
        <v>650</v>
      </c>
      <c r="J122" s="8">
        <f t="shared" si="21"/>
        <v>16800</v>
      </c>
      <c r="Q122" s="614"/>
      <c r="R122" s="2"/>
    </row>
    <row r="123" spans="2:18">
      <c r="B123" s="4" t="s">
        <v>107</v>
      </c>
      <c r="C123" s="5" t="s">
        <v>66</v>
      </c>
      <c r="D123" s="5">
        <v>30</v>
      </c>
      <c r="E123" s="614">
        <v>6</v>
      </c>
      <c r="F123" s="614">
        <f t="shared" si="19"/>
        <v>24</v>
      </c>
      <c r="G123" s="7">
        <v>560</v>
      </c>
      <c r="H123" s="7">
        <v>90</v>
      </c>
      <c r="I123" s="29">
        <f t="shared" si="20"/>
        <v>650</v>
      </c>
      <c r="J123" s="8">
        <f t="shared" si="21"/>
        <v>13440</v>
      </c>
      <c r="Q123" s="614"/>
      <c r="R123" s="2"/>
    </row>
    <row r="124" spans="2:18">
      <c r="B124" s="4" t="s">
        <v>107</v>
      </c>
      <c r="C124" s="5" t="s">
        <v>70</v>
      </c>
      <c r="D124" s="570">
        <v>25</v>
      </c>
      <c r="E124" s="614">
        <v>2</v>
      </c>
      <c r="F124" s="614">
        <f t="shared" si="19"/>
        <v>23</v>
      </c>
      <c r="G124" s="7">
        <v>560</v>
      </c>
      <c r="H124" s="7">
        <v>90</v>
      </c>
      <c r="I124" s="29">
        <f t="shared" si="20"/>
        <v>650</v>
      </c>
      <c r="J124" s="8">
        <f t="shared" si="21"/>
        <v>12880</v>
      </c>
      <c r="Q124" s="614"/>
      <c r="R124" s="2"/>
    </row>
    <row r="125" spans="2:18">
      <c r="B125" s="4" t="s">
        <v>108</v>
      </c>
      <c r="C125" s="5" t="s">
        <v>40</v>
      </c>
      <c r="D125" s="5">
        <f>15+4</f>
        <v>19</v>
      </c>
      <c r="E125" s="614">
        <v>0</v>
      </c>
      <c r="F125" s="614">
        <f t="shared" si="19"/>
        <v>19</v>
      </c>
      <c r="G125" s="7">
        <v>390</v>
      </c>
      <c r="H125" s="7">
        <v>90</v>
      </c>
      <c r="I125" s="29">
        <f t="shared" si="20"/>
        <v>480</v>
      </c>
      <c r="J125" s="8">
        <f t="shared" si="21"/>
        <v>7410</v>
      </c>
      <c r="Q125" s="614"/>
      <c r="R125" s="2"/>
    </row>
    <row r="126" spans="2:18">
      <c r="B126" s="4" t="s">
        <v>108</v>
      </c>
      <c r="C126" s="5" t="s">
        <v>41</v>
      </c>
      <c r="D126" s="5">
        <v>16</v>
      </c>
      <c r="E126" s="614">
        <v>4</v>
      </c>
      <c r="F126" s="614">
        <f t="shared" si="19"/>
        <v>12</v>
      </c>
      <c r="G126" s="7">
        <v>390</v>
      </c>
      <c r="H126" s="7">
        <v>90</v>
      </c>
      <c r="I126" s="29">
        <f t="shared" si="20"/>
        <v>480</v>
      </c>
      <c r="J126" s="8">
        <f t="shared" si="21"/>
        <v>4680</v>
      </c>
      <c r="Q126" s="614"/>
      <c r="R126" s="2"/>
    </row>
    <row r="127" spans="2:18">
      <c r="B127" s="4" t="s">
        <v>108</v>
      </c>
      <c r="C127" s="5" t="s">
        <v>42</v>
      </c>
      <c r="D127" s="5">
        <v>15</v>
      </c>
      <c r="E127" s="614">
        <v>2</v>
      </c>
      <c r="F127" s="614">
        <f t="shared" si="19"/>
        <v>13</v>
      </c>
      <c r="G127" s="7">
        <v>390</v>
      </c>
      <c r="H127" s="7">
        <v>90</v>
      </c>
      <c r="I127" s="29">
        <f t="shared" si="20"/>
        <v>480</v>
      </c>
      <c r="J127" s="8">
        <f t="shared" si="21"/>
        <v>5070</v>
      </c>
      <c r="Q127" s="614"/>
      <c r="R127" s="2"/>
    </row>
    <row r="128" spans="2:18">
      <c r="B128" s="4" t="s">
        <v>108</v>
      </c>
      <c r="C128" s="5" t="s">
        <v>66</v>
      </c>
      <c r="D128" s="5">
        <v>15</v>
      </c>
      <c r="E128" s="614">
        <v>1</v>
      </c>
      <c r="F128" s="614">
        <f t="shared" si="19"/>
        <v>14</v>
      </c>
      <c r="G128" s="7">
        <v>420</v>
      </c>
      <c r="H128" s="7">
        <v>90</v>
      </c>
      <c r="I128" s="29">
        <f t="shared" si="20"/>
        <v>510</v>
      </c>
      <c r="J128" s="8">
        <f t="shared" si="21"/>
        <v>5880</v>
      </c>
      <c r="Q128" s="614"/>
      <c r="R128" s="2"/>
    </row>
    <row r="129" spans="2:18">
      <c r="B129" s="4" t="s">
        <v>108</v>
      </c>
      <c r="C129" s="5" t="s">
        <v>70</v>
      </c>
      <c r="D129" s="21">
        <v>28</v>
      </c>
      <c r="E129" s="614">
        <v>5</v>
      </c>
      <c r="F129" s="614">
        <f t="shared" si="19"/>
        <v>23</v>
      </c>
      <c r="G129" s="7">
        <v>420</v>
      </c>
      <c r="H129" s="7">
        <v>90</v>
      </c>
      <c r="I129" s="29">
        <f t="shared" si="20"/>
        <v>510</v>
      </c>
      <c r="J129" s="8">
        <f t="shared" si="21"/>
        <v>9660</v>
      </c>
      <c r="Q129" s="614"/>
    </row>
    <row r="130" spans="2:18">
      <c r="B130" s="4"/>
      <c r="C130" s="5"/>
      <c r="D130" s="5"/>
      <c r="E130" s="614"/>
      <c r="F130" s="614"/>
      <c r="J130" s="8"/>
      <c r="Q130" s="614"/>
    </row>
    <row r="131" spans="2:18">
      <c r="B131" s="4" t="s">
        <v>71</v>
      </c>
      <c r="C131" s="5"/>
      <c r="D131" s="21">
        <f>SUM(D120:D130)</f>
        <v>279</v>
      </c>
      <c r="I131" s="8"/>
      <c r="J131" s="12">
        <f>SUM(J120:J130)</f>
        <v>118380</v>
      </c>
      <c r="K131" t="s">
        <v>47</v>
      </c>
      <c r="Q131" s="614"/>
    </row>
    <row r="132" spans="2:18">
      <c r="C132" s="614"/>
      <c r="I132" s="8"/>
      <c r="Q132" s="614"/>
    </row>
    <row r="133" spans="2:18">
      <c r="C133" s="614"/>
      <c r="I133" s="8"/>
      <c r="Q133" s="614"/>
    </row>
    <row r="134" spans="2:18">
      <c r="C134" s="614"/>
      <c r="I134" s="8"/>
      <c r="Q134" s="614"/>
    </row>
    <row r="135" spans="2:18">
      <c r="C135" s="614"/>
      <c r="I135" s="8"/>
      <c r="Q135" s="614"/>
    </row>
    <row r="136" spans="2:18">
      <c r="B136" s="32"/>
      <c r="C136" s="33"/>
      <c r="D136" s="32"/>
      <c r="E136" s="32"/>
      <c r="F136" s="32"/>
      <c r="G136" s="32"/>
      <c r="H136" s="32"/>
      <c r="I136" s="34"/>
      <c r="J136" s="32"/>
      <c r="K136" s="32"/>
      <c r="Q136" s="614"/>
    </row>
    <row r="137" spans="2:18">
      <c r="B137" s="1" t="s">
        <v>109</v>
      </c>
      <c r="C137" s="614"/>
      <c r="Q137" s="614"/>
    </row>
    <row r="138" spans="2:18" ht="30">
      <c r="B138" s="4"/>
      <c r="C138" s="5"/>
      <c r="D138" s="5" t="s">
        <v>51</v>
      </c>
      <c r="E138" s="4" t="s">
        <v>52</v>
      </c>
      <c r="F138" s="16" t="s">
        <v>53</v>
      </c>
      <c r="G138" t="s">
        <v>26</v>
      </c>
      <c r="H138" t="s">
        <v>27</v>
      </c>
      <c r="I138" s="35" t="s">
        <v>110</v>
      </c>
      <c r="J138" s="614" t="s">
        <v>29</v>
      </c>
      <c r="K138" s="614" t="s">
        <v>30</v>
      </c>
      <c r="L138" s="614" t="s">
        <v>31</v>
      </c>
      <c r="Q138" s="614"/>
      <c r="R138" s="2"/>
    </row>
    <row r="139" spans="2:18">
      <c r="B139" s="4" t="s">
        <v>111</v>
      </c>
      <c r="C139" s="5" t="s">
        <v>40</v>
      </c>
      <c r="D139" s="5">
        <v>45</v>
      </c>
      <c r="E139" s="5">
        <v>15</v>
      </c>
      <c r="F139" s="557">
        <f>+D139+E139</f>
        <v>60</v>
      </c>
      <c r="G139">
        <v>3</v>
      </c>
      <c r="H139">
        <f>+F139-G139</f>
        <v>57</v>
      </c>
      <c r="I139">
        <v>414</v>
      </c>
      <c r="J139">
        <v>138</v>
      </c>
      <c r="K139" s="24">
        <v>552</v>
      </c>
      <c r="L139" s="8">
        <f>+H139*I139</f>
        <v>23598</v>
      </c>
      <c r="Q139" s="614"/>
      <c r="R139" s="2"/>
    </row>
    <row r="140" spans="2:18">
      <c r="B140" s="4" t="s">
        <v>111</v>
      </c>
      <c r="C140" s="5" t="s">
        <v>41</v>
      </c>
      <c r="D140" s="5">
        <v>45</v>
      </c>
      <c r="E140" s="5">
        <v>15</v>
      </c>
      <c r="F140" s="557">
        <v>61</v>
      </c>
      <c r="G140">
        <v>12</v>
      </c>
      <c r="H140">
        <f t="shared" ref="H140:H141" si="22">+F140-G140</f>
        <v>49</v>
      </c>
      <c r="I140">
        <v>414</v>
      </c>
      <c r="J140">
        <v>138</v>
      </c>
      <c r="K140" s="24">
        <v>552</v>
      </c>
      <c r="L140" s="8">
        <f t="shared" ref="L140:L141" si="23">+H140*I140</f>
        <v>20286</v>
      </c>
      <c r="Q140" s="614"/>
      <c r="R140" s="2"/>
    </row>
    <row r="141" spans="2:18">
      <c r="B141" s="4" t="s">
        <v>111</v>
      </c>
      <c r="C141" s="5" t="s">
        <v>42</v>
      </c>
      <c r="D141" s="5">
        <v>40</v>
      </c>
      <c r="E141" s="5">
        <v>15</v>
      </c>
      <c r="F141" s="557">
        <f>+D141+E141</f>
        <v>55</v>
      </c>
      <c r="G141">
        <v>12</v>
      </c>
      <c r="H141">
        <f t="shared" si="22"/>
        <v>43</v>
      </c>
      <c r="I141">
        <v>414</v>
      </c>
      <c r="J141">
        <v>138</v>
      </c>
      <c r="K141" s="24">
        <v>552</v>
      </c>
      <c r="L141" s="8">
        <f t="shared" si="23"/>
        <v>17802</v>
      </c>
    </row>
    <row r="142" spans="2:18">
      <c r="B142" s="4"/>
      <c r="C142" s="5"/>
      <c r="D142" s="4"/>
      <c r="E142" s="4"/>
      <c r="F142" s="5"/>
      <c r="L142" s="8">
        <f>SUM(L139:L141)</f>
        <v>61686</v>
      </c>
      <c r="M142" t="s">
        <v>47</v>
      </c>
      <c r="Q142" s="614"/>
    </row>
    <row r="143" spans="2:18">
      <c r="B143" s="4" t="s">
        <v>71</v>
      </c>
      <c r="C143" s="5"/>
      <c r="D143" s="4"/>
      <c r="E143" s="4"/>
      <c r="F143" s="21">
        <f>SUM(F139:F142)</f>
        <v>176</v>
      </c>
      <c r="I143" s="8"/>
      <c r="Q143" s="614"/>
    </row>
    <row r="144" spans="2:18">
      <c r="C144" s="614"/>
      <c r="I144" s="8"/>
      <c r="Q144" s="614"/>
    </row>
    <row r="145" spans="2:20">
      <c r="C145" s="614"/>
      <c r="I145" s="8"/>
      <c r="Q145" s="614"/>
    </row>
    <row r="146" spans="2:20">
      <c r="C146" s="614"/>
      <c r="I146" s="8"/>
      <c r="Q146" s="614"/>
    </row>
    <row r="147" spans="2:20">
      <c r="B147" s="32"/>
      <c r="C147" s="33"/>
      <c r="D147" s="32"/>
      <c r="E147" s="32"/>
      <c r="F147" s="32"/>
      <c r="G147" s="32"/>
      <c r="H147" s="32"/>
      <c r="I147" s="32"/>
      <c r="J147" s="32"/>
      <c r="K147" s="32"/>
      <c r="Q147" s="614"/>
    </row>
    <row r="148" spans="2:20">
      <c r="B148" s="1" t="s">
        <v>112</v>
      </c>
      <c r="C148" s="614"/>
      <c r="G148" t="s">
        <v>113</v>
      </c>
      <c r="Q148" s="614"/>
      <c r="T148" s="2"/>
    </row>
    <row r="149" spans="2:20">
      <c r="B149" s="4"/>
      <c r="C149" s="5"/>
      <c r="D149" s="5" t="s">
        <v>51</v>
      </c>
      <c r="E149" s="10" t="s">
        <v>52</v>
      </c>
      <c r="F149" s="5" t="s">
        <v>114</v>
      </c>
      <c r="G149" s="10" t="s">
        <v>26</v>
      </c>
      <c r="H149" s="614" t="s">
        <v>115</v>
      </c>
      <c r="I149" s="614" t="s">
        <v>28</v>
      </c>
      <c r="J149" s="614" t="s">
        <v>29</v>
      </c>
      <c r="K149" s="614" t="s">
        <v>30</v>
      </c>
      <c r="L149" s="614" t="s">
        <v>31</v>
      </c>
      <c r="Q149" s="614"/>
      <c r="T149" s="2"/>
    </row>
    <row r="150" spans="2:20">
      <c r="B150" s="4" t="s">
        <v>116</v>
      </c>
      <c r="C150" s="5" t="s">
        <v>40</v>
      </c>
      <c r="D150" s="5">
        <v>45</v>
      </c>
      <c r="E150" s="5">
        <v>15</v>
      </c>
      <c r="F150" s="21">
        <f>+D150+E150</f>
        <v>60</v>
      </c>
      <c r="G150" s="614">
        <v>2</v>
      </c>
      <c r="H150" s="614">
        <f>+F150-G150</f>
        <v>58</v>
      </c>
      <c r="I150" s="7">
        <v>130</v>
      </c>
      <c r="J150" s="7">
        <f>+I150*20%</f>
        <v>26</v>
      </c>
      <c r="K150" s="29">
        <f>+I150+J150</f>
        <v>156</v>
      </c>
      <c r="L150" s="8">
        <f>+H150*I150</f>
        <v>7540</v>
      </c>
      <c r="Q150" s="614"/>
      <c r="T150" s="2"/>
    </row>
    <row r="151" spans="2:20">
      <c r="B151" s="4" t="s">
        <v>116</v>
      </c>
      <c r="C151" s="5" t="s">
        <v>41</v>
      </c>
      <c r="D151" s="5">
        <v>45</v>
      </c>
      <c r="E151" s="5">
        <v>15</v>
      </c>
      <c r="F151" s="21">
        <f>+D151+E151</f>
        <v>60</v>
      </c>
      <c r="G151" s="614">
        <v>10</v>
      </c>
      <c r="H151" s="614">
        <f t="shared" ref="H151:H153" si="24">+F151-G151</f>
        <v>50</v>
      </c>
      <c r="I151" s="7">
        <v>130</v>
      </c>
      <c r="J151" s="7">
        <f>+I151*20%</f>
        <v>26</v>
      </c>
      <c r="K151" s="29">
        <f>+I151+J151</f>
        <v>156</v>
      </c>
      <c r="L151" s="8">
        <f t="shared" ref="L151:L153" si="25">+H151*I151</f>
        <v>6500</v>
      </c>
      <c r="Q151" s="614"/>
    </row>
    <row r="152" spans="2:20">
      <c r="B152" s="4" t="s">
        <v>116</v>
      </c>
      <c r="C152" s="5" t="s">
        <v>42</v>
      </c>
      <c r="D152" s="5">
        <v>40</v>
      </c>
      <c r="E152" s="5">
        <v>15</v>
      </c>
      <c r="F152" s="21">
        <f>+D152+E152</f>
        <v>55</v>
      </c>
      <c r="G152" s="614">
        <v>10</v>
      </c>
      <c r="H152" s="614">
        <f t="shared" si="24"/>
        <v>45</v>
      </c>
      <c r="I152" s="7">
        <v>130</v>
      </c>
      <c r="J152" s="7">
        <f>+I152*20%</f>
        <v>26</v>
      </c>
      <c r="K152" s="29">
        <f>+I152+J152</f>
        <v>156</v>
      </c>
      <c r="L152" s="8">
        <f t="shared" si="25"/>
        <v>5850</v>
      </c>
      <c r="Q152" s="614"/>
    </row>
    <row r="153" spans="2:20">
      <c r="B153" s="4" t="s">
        <v>116</v>
      </c>
      <c r="C153" s="5" t="s">
        <v>66</v>
      </c>
      <c r="D153" s="5">
        <v>30</v>
      </c>
      <c r="E153" s="5">
        <v>15</v>
      </c>
      <c r="F153" s="21">
        <f>+D153+E153</f>
        <v>45</v>
      </c>
      <c r="G153" s="614">
        <v>6</v>
      </c>
      <c r="H153" s="614">
        <f t="shared" si="24"/>
        <v>39</v>
      </c>
      <c r="I153" s="7">
        <v>130</v>
      </c>
      <c r="J153" s="7">
        <f>+I153*20%</f>
        <v>26</v>
      </c>
      <c r="K153" s="29">
        <f>+I153+J153</f>
        <v>156</v>
      </c>
      <c r="L153" s="8">
        <f t="shared" si="25"/>
        <v>5070</v>
      </c>
      <c r="Q153" s="614"/>
    </row>
    <row r="154" spans="2:20">
      <c r="B154" s="4"/>
      <c r="C154" s="5"/>
      <c r="D154" s="4"/>
      <c r="E154" s="4"/>
      <c r="F154" s="4"/>
      <c r="H154" s="7"/>
      <c r="K154" s="8"/>
      <c r="Q154" s="614"/>
      <c r="R154" s="614"/>
      <c r="S154" s="614"/>
      <c r="T154" s="614"/>
    </row>
    <row r="155" spans="2:20">
      <c r="B155" s="4" t="s">
        <v>71</v>
      </c>
      <c r="C155" s="5"/>
      <c r="D155" s="4"/>
      <c r="E155" s="5"/>
      <c r="F155" s="21">
        <f>SUM(F150:F154)</f>
        <v>220</v>
      </c>
      <c r="K155" s="8"/>
      <c r="L155" s="12">
        <f>SUM(L150:L154)</f>
        <v>24960</v>
      </c>
      <c r="Q155" s="614"/>
      <c r="R155" s="614"/>
      <c r="S155" s="614"/>
      <c r="T155" s="614"/>
    </row>
    <row r="156" spans="2:20">
      <c r="C156" s="614"/>
      <c r="K156" s="12"/>
      <c r="Q156" s="614"/>
      <c r="R156" s="614"/>
      <c r="S156" s="614"/>
      <c r="T156" s="614"/>
    </row>
    <row r="157" spans="2:20">
      <c r="C157" s="614"/>
      <c r="J157" t="s">
        <v>117</v>
      </c>
      <c r="K157" s="12">
        <f>+K154-K155-K156</f>
        <v>0</v>
      </c>
      <c r="Q157" s="614"/>
      <c r="R157" s="614"/>
      <c r="S157" s="614"/>
      <c r="T157" s="614"/>
    </row>
    <row r="158" spans="2:20">
      <c r="B158" s="32"/>
      <c r="C158" s="33"/>
      <c r="D158" s="32"/>
      <c r="E158" s="32"/>
      <c r="F158" s="32"/>
      <c r="G158" s="32"/>
      <c r="H158" s="32"/>
      <c r="I158" s="32"/>
      <c r="J158" s="32"/>
      <c r="K158" s="32"/>
      <c r="Q158" s="614"/>
      <c r="R158" s="614"/>
      <c r="S158" s="614"/>
      <c r="T158" s="614"/>
    </row>
    <row r="159" spans="2:20">
      <c r="B159" s="1" t="s">
        <v>118</v>
      </c>
      <c r="C159" s="614"/>
      <c r="Q159" s="614"/>
      <c r="R159" s="614"/>
      <c r="S159" s="13"/>
      <c r="T159" s="614"/>
    </row>
    <row r="160" spans="2:20">
      <c r="B160" s="5" t="s">
        <v>73</v>
      </c>
      <c r="C160" s="5" t="s">
        <v>74</v>
      </c>
      <c r="D160" s="5" t="s">
        <v>119</v>
      </c>
      <c r="E160" s="5" t="s">
        <v>61</v>
      </c>
      <c r="F160" s="5"/>
      <c r="G160" s="36" t="s">
        <v>26</v>
      </c>
      <c r="H160" s="614" t="s">
        <v>28</v>
      </c>
      <c r="I160" s="614" t="s">
        <v>29</v>
      </c>
      <c r="J160" s="614" t="s">
        <v>30</v>
      </c>
      <c r="K160" s="614" t="s">
        <v>31</v>
      </c>
      <c r="Q160" s="614"/>
      <c r="R160" s="614"/>
      <c r="S160" s="13"/>
      <c r="T160" s="614"/>
    </row>
    <row r="161" spans="2:20">
      <c r="B161" s="4" t="s">
        <v>120</v>
      </c>
      <c r="C161" s="5" t="s">
        <v>40</v>
      </c>
      <c r="D161" s="5"/>
      <c r="E161" s="558">
        <f>15+4</f>
        <v>19</v>
      </c>
      <c r="F161" s="5"/>
      <c r="G161" s="614"/>
      <c r="H161" s="37">
        <v>262.5</v>
      </c>
      <c r="I161">
        <v>205.5</v>
      </c>
      <c r="J161" s="7">
        <f>+H161+I161</f>
        <v>468</v>
      </c>
      <c r="K161" s="8">
        <f>+E161*H161</f>
        <v>4987.5</v>
      </c>
      <c r="Q161" s="614"/>
      <c r="R161" s="614"/>
      <c r="S161" s="13"/>
      <c r="T161" s="614"/>
    </row>
    <row r="162" spans="2:20">
      <c r="B162" s="4" t="s">
        <v>120</v>
      </c>
      <c r="C162" s="5" t="s">
        <v>41</v>
      </c>
      <c r="D162" s="5"/>
      <c r="E162" s="558">
        <v>15</v>
      </c>
      <c r="F162" s="5"/>
      <c r="G162" s="614"/>
      <c r="H162" s="37">
        <v>262.5</v>
      </c>
      <c r="I162">
        <v>205.5</v>
      </c>
      <c r="J162" s="7">
        <f t="shared" ref="J162:J174" si="26">+H162+I162</f>
        <v>468</v>
      </c>
      <c r="K162" s="8">
        <f t="shared" ref="K162:K171" si="27">+E162*H162</f>
        <v>3937.5</v>
      </c>
      <c r="Q162" s="614"/>
      <c r="R162" s="614"/>
      <c r="S162" s="13"/>
      <c r="T162" s="614"/>
    </row>
    <row r="163" spans="2:20">
      <c r="B163" s="4" t="s">
        <v>120</v>
      </c>
      <c r="C163" s="5" t="s">
        <v>42</v>
      </c>
      <c r="D163" s="5"/>
      <c r="E163" s="558">
        <v>15</v>
      </c>
      <c r="F163" s="5"/>
      <c r="G163" s="614"/>
      <c r="H163" s="37">
        <v>262.5</v>
      </c>
      <c r="I163">
        <v>205.5</v>
      </c>
      <c r="J163" s="7">
        <f t="shared" si="26"/>
        <v>468</v>
      </c>
      <c r="K163" s="8">
        <f t="shared" si="27"/>
        <v>3937.5</v>
      </c>
      <c r="Q163" s="614"/>
      <c r="R163" s="614"/>
      <c r="S163" s="13"/>
      <c r="T163" s="614"/>
    </row>
    <row r="164" spans="2:20">
      <c r="B164" s="4" t="s">
        <v>121</v>
      </c>
      <c r="C164" s="5" t="s">
        <v>66</v>
      </c>
      <c r="D164" s="5"/>
      <c r="E164" s="558">
        <v>15</v>
      </c>
      <c r="F164" s="5"/>
      <c r="G164" s="614"/>
      <c r="H164" s="37">
        <v>262.5</v>
      </c>
      <c r="I164">
        <v>205.5</v>
      </c>
      <c r="J164" s="7">
        <f t="shared" si="26"/>
        <v>468</v>
      </c>
      <c r="K164" s="8">
        <f t="shared" si="27"/>
        <v>3937.5</v>
      </c>
      <c r="P164" s="25"/>
      <c r="Q164" s="614"/>
      <c r="R164" s="614"/>
      <c r="S164" s="13"/>
      <c r="T164" s="614"/>
    </row>
    <row r="165" spans="2:20">
      <c r="B165" s="4" t="s">
        <v>122</v>
      </c>
      <c r="C165" s="5" t="s">
        <v>66</v>
      </c>
      <c r="D165" s="5"/>
      <c r="E165" s="558">
        <v>15</v>
      </c>
      <c r="F165" s="5"/>
      <c r="G165" s="614"/>
      <c r="H165" s="37">
        <v>262.5</v>
      </c>
      <c r="I165">
        <v>205.5</v>
      </c>
      <c r="J165" s="7">
        <f t="shared" si="26"/>
        <v>468</v>
      </c>
      <c r="K165" s="8">
        <f t="shared" si="27"/>
        <v>3937.5</v>
      </c>
      <c r="P165" s="25"/>
      <c r="Q165" s="614"/>
      <c r="R165" s="614"/>
      <c r="S165" s="13"/>
      <c r="T165" s="614"/>
    </row>
    <row r="166" spans="2:20">
      <c r="B166" s="16" t="s">
        <v>123</v>
      </c>
      <c r="C166" s="5" t="s">
        <v>66</v>
      </c>
      <c r="D166" s="5"/>
      <c r="E166" s="558">
        <v>15</v>
      </c>
      <c r="F166" s="5"/>
      <c r="G166" s="614"/>
      <c r="H166" s="37">
        <v>262.5</v>
      </c>
      <c r="I166">
        <v>205.5</v>
      </c>
      <c r="J166" s="7">
        <f t="shared" si="26"/>
        <v>468</v>
      </c>
      <c r="K166" s="8">
        <f t="shared" si="27"/>
        <v>3937.5</v>
      </c>
      <c r="Q166" s="614"/>
      <c r="R166" s="13"/>
      <c r="S166" s="614"/>
      <c r="T166" s="614"/>
    </row>
    <row r="167" spans="2:20">
      <c r="B167" s="16" t="s">
        <v>124</v>
      </c>
      <c r="C167" s="5" t="s">
        <v>70</v>
      </c>
      <c r="D167" s="5"/>
      <c r="E167" s="558">
        <v>25</v>
      </c>
      <c r="F167" s="5"/>
      <c r="G167" s="614"/>
      <c r="H167" s="37">
        <v>262.5</v>
      </c>
      <c r="I167">
        <v>205.5</v>
      </c>
      <c r="J167" s="7">
        <f t="shared" si="26"/>
        <v>468</v>
      </c>
      <c r="K167" s="8">
        <f t="shared" si="27"/>
        <v>6562.5</v>
      </c>
    </row>
    <row r="168" spans="2:20">
      <c r="B168" s="16" t="s">
        <v>125</v>
      </c>
      <c r="C168" s="5" t="s">
        <v>70</v>
      </c>
      <c r="D168" s="5"/>
      <c r="E168" s="558">
        <v>25</v>
      </c>
      <c r="F168" s="5"/>
      <c r="G168" s="614"/>
      <c r="H168" s="37">
        <v>262.5</v>
      </c>
      <c r="I168">
        <v>205.5</v>
      </c>
      <c r="J168" s="7">
        <f t="shared" si="26"/>
        <v>468</v>
      </c>
      <c r="K168" s="8">
        <f t="shared" si="27"/>
        <v>6562.5</v>
      </c>
    </row>
    <row r="169" spans="2:20">
      <c r="B169" s="4" t="s">
        <v>126</v>
      </c>
      <c r="C169" s="5" t="s">
        <v>70</v>
      </c>
      <c r="D169" s="21"/>
      <c r="E169" s="557">
        <v>25</v>
      </c>
      <c r="F169" s="5"/>
      <c r="G169" s="614"/>
      <c r="H169" s="37">
        <v>262.5</v>
      </c>
      <c r="I169">
        <v>205.5</v>
      </c>
      <c r="J169" s="7">
        <f t="shared" si="26"/>
        <v>468</v>
      </c>
      <c r="K169" s="8">
        <f t="shared" si="27"/>
        <v>6562.5</v>
      </c>
      <c r="Q169" s="614"/>
    </row>
    <row r="170" spans="2:20">
      <c r="B170" s="4" t="s">
        <v>127</v>
      </c>
      <c r="C170" s="5"/>
      <c r="D170" s="21"/>
      <c r="E170" s="557">
        <v>15</v>
      </c>
      <c r="F170" s="5"/>
      <c r="G170" s="614"/>
      <c r="H170" s="37">
        <v>262.5</v>
      </c>
      <c r="I170">
        <v>205.5</v>
      </c>
      <c r="J170" s="7">
        <f t="shared" si="26"/>
        <v>468</v>
      </c>
      <c r="K170" s="8">
        <f t="shared" si="27"/>
        <v>3937.5</v>
      </c>
      <c r="Q170" s="614"/>
    </row>
    <row r="171" spans="2:20">
      <c r="B171" s="4" t="s">
        <v>128</v>
      </c>
      <c r="C171" s="5"/>
      <c r="D171" s="21"/>
      <c r="E171" s="557">
        <v>25</v>
      </c>
      <c r="F171" s="5"/>
      <c r="G171" s="614"/>
      <c r="H171" s="37">
        <v>262.5</v>
      </c>
      <c r="I171">
        <v>205.5</v>
      </c>
      <c r="J171" s="7">
        <f t="shared" si="26"/>
        <v>468</v>
      </c>
      <c r="K171" s="8">
        <f t="shared" si="27"/>
        <v>6562.5</v>
      </c>
      <c r="Q171" s="614"/>
    </row>
    <row r="172" spans="2:20">
      <c r="B172" s="4" t="s">
        <v>129</v>
      </c>
      <c r="C172" s="5" t="s">
        <v>36</v>
      </c>
      <c r="D172" s="558">
        <v>50</v>
      </c>
      <c r="E172" s="5"/>
      <c r="F172" s="5"/>
      <c r="G172" s="614"/>
      <c r="H172" s="37">
        <v>262.5</v>
      </c>
      <c r="I172">
        <v>205.5</v>
      </c>
      <c r="J172" s="7">
        <f t="shared" si="26"/>
        <v>468</v>
      </c>
      <c r="K172" s="8">
        <f>+D172*H172</f>
        <v>13125</v>
      </c>
      <c r="Q172" s="614"/>
    </row>
    <row r="173" spans="2:20">
      <c r="B173" s="4" t="s">
        <v>129</v>
      </c>
      <c r="C173" s="5" t="s">
        <v>37</v>
      </c>
      <c r="D173" s="558">
        <v>30</v>
      </c>
      <c r="E173" s="5"/>
      <c r="F173" s="5"/>
      <c r="G173" s="614"/>
      <c r="H173" s="37">
        <v>262.5</v>
      </c>
      <c r="I173">
        <v>205.5</v>
      </c>
      <c r="J173" s="7">
        <f t="shared" si="26"/>
        <v>468</v>
      </c>
      <c r="K173" s="8">
        <f t="shared" ref="K173:K174" si="28">+D173*H173</f>
        <v>7875</v>
      </c>
      <c r="Q173" s="614"/>
    </row>
    <row r="174" spans="2:20">
      <c r="B174" s="4" t="s">
        <v>129</v>
      </c>
      <c r="C174" s="5" t="s">
        <v>38</v>
      </c>
      <c r="D174" s="558">
        <v>45</v>
      </c>
      <c r="E174" s="5"/>
      <c r="F174" s="5"/>
      <c r="G174" s="614"/>
      <c r="H174" s="37">
        <v>262.5</v>
      </c>
      <c r="I174">
        <v>205.5</v>
      </c>
      <c r="J174" s="7">
        <f t="shared" si="26"/>
        <v>468</v>
      </c>
      <c r="K174" s="8">
        <f t="shared" si="28"/>
        <v>11812.5</v>
      </c>
      <c r="Q174" s="614"/>
    </row>
    <row r="175" spans="2:20">
      <c r="B175" s="4"/>
      <c r="C175" s="5"/>
      <c r="D175" s="21"/>
      <c r="E175" s="5"/>
      <c r="F175" s="5"/>
      <c r="G175" s="614"/>
      <c r="H175" s="37"/>
      <c r="K175" s="8"/>
      <c r="Q175" s="614"/>
    </row>
    <row r="176" spans="2:20">
      <c r="B176" s="4"/>
      <c r="C176" s="5"/>
      <c r="D176" s="4"/>
      <c r="E176" s="4"/>
      <c r="F176" s="4"/>
      <c r="K176" s="559">
        <f>SUM(K161:K175)</f>
        <v>87675</v>
      </c>
      <c r="Q176" s="614"/>
    </row>
    <row r="177" spans="1:18">
      <c r="B177" s="4" t="s">
        <v>71</v>
      </c>
      <c r="C177" s="5"/>
      <c r="D177" s="4"/>
      <c r="E177" s="21">
        <f>SUM(E161:E176)</f>
        <v>209</v>
      </c>
      <c r="F177" s="4"/>
      <c r="K177" s="8"/>
      <c r="Q177" s="614"/>
    </row>
    <row r="178" spans="1:18">
      <c r="C178" s="614"/>
      <c r="K178" s="8"/>
      <c r="Q178" s="614"/>
    </row>
    <row r="179" spans="1:18">
      <c r="C179" s="614"/>
      <c r="K179" s="8"/>
      <c r="Q179" s="614"/>
    </row>
    <row r="180" spans="1:18">
      <c r="C180" s="614"/>
      <c r="K180" s="12"/>
      <c r="Q180" s="614"/>
    </row>
    <row r="181" spans="1:18">
      <c r="B181" s="14"/>
      <c r="C181" s="15"/>
      <c r="D181" s="14"/>
      <c r="E181" s="14"/>
      <c r="F181" s="14"/>
      <c r="G181" s="14"/>
      <c r="H181" s="14"/>
      <c r="I181" s="14"/>
      <c r="J181" s="14"/>
      <c r="K181" s="22"/>
      <c r="Q181" s="614"/>
    </row>
    <row r="182" spans="1:18">
      <c r="B182" s="1" t="s">
        <v>130</v>
      </c>
      <c r="C182" s="614"/>
      <c r="Q182" s="614"/>
      <c r="R182" s="2"/>
    </row>
    <row r="183" spans="1:18" ht="30">
      <c r="B183" s="4"/>
      <c r="C183" s="5"/>
      <c r="D183" s="16" t="s">
        <v>53</v>
      </c>
      <c r="E183" t="s">
        <v>131</v>
      </c>
      <c r="F183" t="s">
        <v>132</v>
      </c>
      <c r="G183" t="s">
        <v>133</v>
      </c>
      <c r="H183" t="s">
        <v>134</v>
      </c>
    </row>
    <row r="184" spans="1:18">
      <c r="B184" s="4" t="s">
        <v>135</v>
      </c>
      <c r="C184" s="5" t="s">
        <v>136</v>
      </c>
      <c r="D184" s="5"/>
    </row>
    <row r="185" spans="1:18">
      <c r="B185" s="4" t="s">
        <v>137</v>
      </c>
      <c r="C185" s="5" t="s">
        <v>46</v>
      </c>
      <c r="D185" s="21">
        <v>30</v>
      </c>
      <c r="E185" s="614">
        <v>2</v>
      </c>
      <c r="F185">
        <f>+D185-E185</f>
        <v>28</v>
      </c>
      <c r="G185" s="614">
        <v>350</v>
      </c>
      <c r="H185" s="18">
        <v>370</v>
      </c>
      <c r="I185" s="18">
        <f>+F185*G185</f>
        <v>9800</v>
      </c>
      <c r="J185" s="38" t="s">
        <v>47</v>
      </c>
      <c r="K185" s="8"/>
      <c r="Q185" s="614"/>
    </row>
    <row r="186" spans="1:18">
      <c r="B186" s="4"/>
      <c r="C186" s="5"/>
      <c r="D186" s="21"/>
      <c r="F186" s="614"/>
      <c r="G186" s="614"/>
      <c r="H186" s="18"/>
      <c r="I186" s="18"/>
      <c r="J186" s="38"/>
      <c r="K186" s="8"/>
      <c r="Q186" s="614"/>
    </row>
    <row r="187" spans="1:18">
      <c r="B187" s="4" t="s">
        <v>71</v>
      </c>
      <c r="C187" s="5"/>
      <c r="D187" s="21">
        <f>SUM(D184:D186)</f>
        <v>30</v>
      </c>
      <c r="F187" s="614"/>
      <c r="G187" s="614"/>
      <c r="H187" s="18"/>
      <c r="I187" s="18"/>
      <c r="J187" s="38"/>
      <c r="K187" s="8"/>
      <c r="Q187" s="614"/>
    </row>
    <row r="188" spans="1:18">
      <c r="C188" s="614"/>
      <c r="D188" s="13"/>
      <c r="F188" s="614"/>
      <c r="G188" s="614"/>
      <c r="H188" s="18"/>
      <c r="I188" s="18"/>
      <c r="J188" s="38"/>
      <c r="K188" s="8"/>
      <c r="Q188" s="614"/>
    </row>
    <row r="189" spans="1:18">
      <c r="B189" s="14"/>
      <c r="C189" s="15"/>
      <c r="D189" s="14"/>
      <c r="E189" s="14"/>
      <c r="F189" s="14"/>
      <c r="G189" s="14"/>
      <c r="H189" s="14"/>
      <c r="I189" s="14"/>
      <c r="J189" s="14"/>
      <c r="K189" s="14"/>
      <c r="Q189" s="614"/>
    </row>
    <row r="190" spans="1:18">
      <c r="B190" s="1" t="s">
        <v>138</v>
      </c>
      <c r="C190" s="614"/>
      <c r="P190" s="39"/>
      <c r="Q190" s="614"/>
      <c r="R190" s="2"/>
    </row>
    <row r="191" spans="1:18">
      <c r="A191">
        <v>1</v>
      </c>
      <c r="B191" s="40" t="s">
        <v>139</v>
      </c>
      <c r="C191" s="614" t="s">
        <v>33</v>
      </c>
      <c r="D191" s="21">
        <v>49</v>
      </c>
      <c r="E191" s="21"/>
      <c r="P191" s="39"/>
      <c r="Q191" s="614"/>
      <c r="R191" s="2"/>
    </row>
    <row r="194" spans="2:5">
      <c r="B194" t="s">
        <v>140</v>
      </c>
      <c r="C194" t="s">
        <v>141</v>
      </c>
      <c r="D194" t="s">
        <v>142</v>
      </c>
    </row>
    <row r="195" spans="2:5">
      <c r="B195" t="s">
        <v>143</v>
      </c>
      <c r="C195">
        <v>108</v>
      </c>
      <c r="E195" s="8"/>
    </row>
    <row r="196" spans="2:5">
      <c r="B196" t="s">
        <v>144</v>
      </c>
      <c r="C196">
        <v>124</v>
      </c>
      <c r="D196">
        <v>130</v>
      </c>
      <c r="E196" s="8">
        <f>130*25.5544</f>
        <v>3322.0720000000001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280E9-7EFA-4F45-A5FB-AED6FACD778D}">
  <dimension ref="A1:M108"/>
  <sheetViews>
    <sheetView workbookViewId="0">
      <selection activeCell="B23" sqref="B23"/>
    </sheetView>
  </sheetViews>
  <sheetFormatPr defaultColWidth="11.42578125" defaultRowHeight="15"/>
  <cols>
    <col min="1" max="14" width="18.5703125" customWidth="1"/>
  </cols>
  <sheetData>
    <row r="1" spans="1:11">
      <c r="A1" t="s">
        <v>145</v>
      </c>
    </row>
    <row r="3" spans="1:11">
      <c r="A3" s="41"/>
      <c r="B3" s="649" t="s">
        <v>146</v>
      </c>
      <c r="C3" s="650"/>
      <c r="D3" s="651" t="s">
        <v>147</v>
      </c>
      <c r="E3" s="652"/>
      <c r="F3" s="653" t="s">
        <v>148</v>
      </c>
      <c r="G3" s="654"/>
      <c r="H3" s="655" t="s">
        <v>149</v>
      </c>
      <c r="I3" s="656"/>
      <c r="J3" s="657" t="s">
        <v>150</v>
      </c>
      <c r="K3" s="658"/>
    </row>
    <row r="4" spans="1:11">
      <c r="A4" s="41" t="s">
        <v>151</v>
      </c>
      <c r="B4" s="42" t="s">
        <v>61</v>
      </c>
      <c r="C4" s="43">
        <v>617</v>
      </c>
      <c r="D4" s="44" t="s">
        <v>61</v>
      </c>
      <c r="E4" s="45">
        <v>617</v>
      </c>
      <c r="F4" s="46" t="s">
        <v>61</v>
      </c>
      <c r="G4" s="47">
        <v>617</v>
      </c>
      <c r="H4" s="48" t="s">
        <v>68</v>
      </c>
      <c r="I4" s="49">
        <v>675</v>
      </c>
      <c r="J4" s="50" t="s">
        <v>69</v>
      </c>
      <c r="K4" s="51">
        <v>672</v>
      </c>
    </row>
    <row r="5" spans="1:11">
      <c r="A5" s="41" t="s">
        <v>151</v>
      </c>
      <c r="B5" s="42" t="s">
        <v>152</v>
      </c>
      <c r="C5" s="43">
        <v>1290</v>
      </c>
      <c r="D5" s="44" t="s">
        <v>153</v>
      </c>
      <c r="E5" s="45">
        <v>1290</v>
      </c>
      <c r="F5" s="46" t="s">
        <v>154</v>
      </c>
      <c r="G5" s="47">
        <v>1290</v>
      </c>
      <c r="H5" s="48" t="s">
        <v>155</v>
      </c>
      <c r="I5" s="49">
        <v>1290</v>
      </c>
      <c r="J5" s="50"/>
      <c r="K5" s="51"/>
    </row>
    <row r="6" spans="1:11">
      <c r="A6" s="41" t="s">
        <v>151</v>
      </c>
      <c r="B6" s="42" t="s">
        <v>67</v>
      </c>
      <c r="C6" s="43">
        <v>396</v>
      </c>
      <c r="D6" s="44" t="s">
        <v>67</v>
      </c>
      <c r="E6" s="45">
        <v>396</v>
      </c>
      <c r="F6" s="46" t="s">
        <v>67</v>
      </c>
      <c r="G6" s="47">
        <v>396</v>
      </c>
      <c r="H6" s="48"/>
      <c r="I6" s="49"/>
      <c r="J6" s="50"/>
      <c r="K6" s="51"/>
    </row>
    <row r="7" spans="1:11">
      <c r="A7" s="41" t="s">
        <v>151</v>
      </c>
      <c r="B7" s="42" t="s">
        <v>156</v>
      </c>
      <c r="C7" s="43">
        <v>630</v>
      </c>
      <c r="D7" s="44" t="s">
        <v>156</v>
      </c>
      <c r="E7" s="45">
        <v>630</v>
      </c>
      <c r="F7" s="46" t="s">
        <v>156</v>
      </c>
      <c r="G7" s="47">
        <v>630</v>
      </c>
      <c r="H7" s="48"/>
      <c r="I7" s="49"/>
      <c r="J7" s="50"/>
      <c r="K7" s="51"/>
    </row>
    <row r="8" spans="1:11" ht="30">
      <c r="A8" s="41" t="s">
        <v>72</v>
      </c>
      <c r="B8" s="52" t="s">
        <v>80</v>
      </c>
      <c r="C8" s="53">
        <v>265</v>
      </c>
      <c r="D8" s="44" t="s">
        <v>82</v>
      </c>
      <c r="E8" s="45">
        <v>265</v>
      </c>
      <c r="F8" s="46" t="s">
        <v>83</v>
      </c>
      <c r="G8" s="47">
        <v>265</v>
      </c>
      <c r="H8" s="48" t="s">
        <v>85</v>
      </c>
      <c r="I8" s="49">
        <v>265</v>
      </c>
      <c r="J8" s="50" t="s">
        <v>87</v>
      </c>
      <c r="K8" s="51">
        <v>265</v>
      </c>
    </row>
    <row r="9" spans="1:11" ht="30">
      <c r="A9" s="41" t="s">
        <v>72</v>
      </c>
      <c r="B9" s="42" t="s">
        <v>81</v>
      </c>
      <c r="C9" s="43">
        <v>265</v>
      </c>
      <c r="D9" s="54" t="s">
        <v>78</v>
      </c>
      <c r="E9" s="55">
        <v>265</v>
      </c>
      <c r="F9" s="46" t="s">
        <v>84</v>
      </c>
      <c r="G9" s="47">
        <v>265</v>
      </c>
      <c r="H9" s="56" t="s">
        <v>86</v>
      </c>
      <c r="I9" s="57">
        <v>265</v>
      </c>
      <c r="J9" s="58" t="s">
        <v>88</v>
      </c>
      <c r="K9" s="51">
        <v>265</v>
      </c>
    </row>
    <row r="10" spans="1:11">
      <c r="A10" s="41" t="s">
        <v>157</v>
      </c>
      <c r="B10" s="42" t="s">
        <v>100</v>
      </c>
      <c r="C10" s="43">
        <v>410</v>
      </c>
      <c r="D10" s="44" t="s">
        <v>101</v>
      </c>
      <c r="E10" s="45">
        <v>410</v>
      </c>
      <c r="F10" s="46" t="s">
        <v>102</v>
      </c>
      <c r="G10" s="47">
        <v>420</v>
      </c>
      <c r="H10" s="48"/>
      <c r="I10" s="49"/>
      <c r="J10" s="50"/>
      <c r="K10" s="51"/>
    </row>
    <row r="11" spans="1:11">
      <c r="A11" s="41" t="s">
        <v>158</v>
      </c>
      <c r="B11" s="42" t="s">
        <v>107</v>
      </c>
      <c r="C11" s="43">
        <v>700</v>
      </c>
      <c r="D11" s="44" t="s">
        <v>107</v>
      </c>
      <c r="E11" s="45">
        <v>700</v>
      </c>
      <c r="F11" s="46" t="s">
        <v>107</v>
      </c>
      <c r="G11" s="47">
        <v>700</v>
      </c>
      <c r="H11" s="48" t="s">
        <v>107</v>
      </c>
      <c r="I11" s="49">
        <v>700</v>
      </c>
      <c r="J11" s="50" t="s">
        <v>107</v>
      </c>
      <c r="K11" s="51">
        <v>700</v>
      </c>
    </row>
    <row r="12" spans="1:11">
      <c r="A12" s="41" t="s">
        <v>109</v>
      </c>
      <c r="B12" s="42" t="s">
        <v>111</v>
      </c>
      <c r="C12" s="43">
        <v>552</v>
      </c>
      <c r="D12" s="44" t="s">
        <v>111</v>
      </c>
      <c r="E12" s="45">
        <v>552</v>
      </c>
      <c r="F12" s="46" t="s">
        <v>111</v>
      </c>
      <c r="G12" s="47">
        <v>552</v>
      </c>
      <c r="H12" s="48"/>
      <c r="I12" s="49"/>
      <c r="J12" s="50"/>
      <c r="K12" s="51"/>
    </row>
    <row r="13" spans="1:11">
      <c r="A13" s="41" t="s">
        <v>159</v>
      </c>
      <c r="B13" s="42" t="s">
        <v>116</v>
      </c>
      <c r="C13" s="43">
        <v>160</v>
      </c>
      <c r="D13" s="44" t="s">
        <v>116</v>
      </c>
      <c r="E13" s="45">
        <v>160</v>
      </c>
      <c r="F13" s="46" t="s">
        <v>116</v>
      </c>
      <c r="G13" s="47">
        <v>160</v>
      </c>
      <c r="H13" s="48" t="s">
        <v>116</v>
      </c>
      <c r="I13" s="49">
        <v>160</v>
      </c>
      <c r="J13" s="50"/>
      <c r="K13" s="51"/>
    </row>
    <row r="14" spans="1:11">
      <c r="A14" s="41"/>
      <c r="B14" s="42"/>
      <c r="C14" s="43"/>
      <c r="D14" s="44"/>
      <c r="E14" s="45"/>
      <c r="F14" s="46"/>
      <c r="G14" s="47"/>
      <c r="H14" s="48"/>
      <c r="I14" s="49"/>
      <c r="J14" s="50"/>
      <c r="K14" s="51"/>
    </row>
    <row r="15" spans="1:11">
      <c r="A15" s="41"/>
      <c r="B15" s="42"/>
      <c r="C15" s="43"/>
      <c r="D15" s="44"/>
      <c r="E15" s="45"/>
      <c r="F15" s="46"/>
      <c r="G15" s="47"/>
      <c r="H15" s="48"/>
      <c r="I15" s="49"/>
      <c r="J15" s="50"/>
      <c r="K15" s="51"/>
    </row>
    <row r="16" spans="1:11">
      <c r="A16" s="41"/>
      <c r="B16" s="42"/>
      <c r="C16" s="43">
        <f>SUM(C4:C15)</f>
        <v>5285</v>
      </c>
      <c r="D16" s="44"/>
      <c r="E16" s="45">
        <f>SUM(E4:E15)</f>
        <v>5285</v>
      </c>
      <c r="F16" s="46"/>
      <c r="G16" s="47">
        <f>SUM(G4:G15)</f>
        <v>5295</v>
      </c>
      <c r="H16" s="48"/>
      <c r="I16" s="49">
        <f>SUM(I4:I15)</f>
        <v>3355</v>
      </c>
      <c r="J16" s="50"/>
      <c r="K16" s="51">
        <f>SUM(K4:K15)</f>
        <v>1902</v>
      </c>
    </row>
    <row r="19" spans="1:11" ht="15.75" thickBot="1"/>
    <row r="20" spans="1:11" ht="15.75" thickBot="1">
      <c r="A20" s="59"/>
      <c r="B20" s="623" t="s">
        <v>160</v>
      </c>
      <c r="C20" s="624"/>
      <c r="D20" s="659" t="s">
        <v>161</v>
      </c>
      <c r="E20" s="660"/>
      <c r="F20" s="661" t="s">
        <v>162</v>
      </c>
      <c r="G20" s="662"/>
      <c r="H20" s="625" t="s">
        <v>163</v>
      </c>
      <c r="I20" s="626"/>
      <c r="J20" s="618" t="s">
        <v>164</v>
      </c>
      <c r="K20" s="619"/>
    </row>
    <row r="21" spans="1:11">
      <c r="A21" s="60" t="s">
        <v>165</v>
      </c>
      <c r="B21" s="61" t="s">
        <v>39</v>
      </c>
      <c r="C21" s="62">
        <v>415</v>
      </c>
      <c r="D21" s="63" t="s">
        <v>39</v>
      </c>
      <c r="E21" s="64">
        <v>415</v>
      </c>
      <c r="F21" s="65" t="s">
        <v>39</v>
      </c>
      <c r="G21" s="66">
        <v>415</v>
      </c>
      <c r="H21" s="67" t="s">
        <v>39</v>
      </c>
      <c r="I21" s="68">
        <v>416</v>
      </c>
      <c r="J21" s="69"/>
      <c r="K21" s="69"/>
    </row>
    <row r="22" spans="1:11">
      <c r="A22" s="70" t="s">
        <v>151</v>
      </c>
      <c r="B22" s="71" t="s">
        <v>61</v>
      </c>
      <c r="C22" s="72">
        <v>616</v>
      </c>
      <c r="D22" s="26" t="s">
        <v>61</v>
      </c>
      <c r="E22" s="73">
        <v>615</v>
      </c>
      <c r="F22" s="74" t="s">
        <v>61</v>
      </c>
      <c r="G22" s="75">
        <v>615</v>
      </c>
      <c r="H22" s="76" t="s">
        <v>68</v>
      </c>
      <c r="I22" s="77">
        <v>672</v>
      </c>
      <c r="J22" s="50" t="s">
        <v>69</v>
      </c>
      <c r="K22" s="51">
        <v>678</v>
      </c>
    </row>
    <row r="23" spans="1:11">
      <c r="A23" s="70" t="s">
        <v>151</v>
      </c>
      <c r="B23" s="71" t="s">
        <v>67</v>
      </c>
      <c r="C23" s="72">
        <v>396</v>
      </c>
      <c r="D23" s="26" t="s">
        <v>67</v>
      </c>
      <c r="E23" s="73">
        <v>396</v>
      </c>
      <c r="F23" s="74" t="s">
        <v>67</v>
      </c>
      <c r="G23" s="75">
        <v>396</v>
      </c>
      <c r="H23" s="76"/>
      <c r="I23" s="77"/>
      <c r="J23" s="50"/>
      <c r="K23" s="51"/>
    </row>
    <row r="24" spans="1:11" ht="30">
      <c r="A24" s="70" t="s">
        <v>72</v>
      </c>
      <c r="B24" s="78" t="s">
        <v>80</v>
      </c>
      <c r="C24" s="72">
        <v>265</v>
      </c>
      <c r="D24" s="26" t="s">
        <v>82</v>
      </c>
      <c r="E24" s="73">
        <v>265</v>
      </c>
      <c r="F24" s="74" t="s">
        <v>83</v>
      </c>
      <c r="G24" s="75">
        <v>265</v>
      </c>
      <c r="H24" s="76" t="s">
        <v>85</v>
      </c>
      <c r="I24" s="77">
        <v>265</v>
      </c>
      <c r="J24" s="58" t="s">
        <v>87</v>
      </c>
      <c r="K24" s="51">
        <v>265</v>
      </c>
    </row>
    <row r="25" spans="1:11" ht="30">
      <c r="A25" s="70" t="s">
        <v>72</v>
      </c>
      <c r="B25" s="71" t="s">
        <v>81</v>
      </c>
      <c r="C25" s="72">
        <v>265</v>
      </c>
      <c r="D25" s="26" t="s">
        <v>78</v>
      </c>
      <c r="E25" s="73">
        <v>265</v>
      </c>
      <c r="F25" s="74" t="s">
        <v>84</v>
      </c>
      <c r="G25" s="75">
        <v>265</v>
      </c>
      <c r="H25" s="79" t="s">
        <v>86</v>
      </c>
      <c r="I25" s="77">
        <v>265</v>
      </c>
      <c r="J25" s="58" t="s">
        <v>88</v>
      </c>
      <c r="K25" s="51">
        <v>265</v>
      </c>
    </row>
    <row r="26" spans="1:11">
      <c r="A26" s="70" t="s">
        <v>157</v>
      </c>
      <c r="B26" s="71" t="s">
        <v>100</v>
      </c>
      <c r="C26" s="72">
        <v>410</v>
      </c>
      <c r="D26" s="26" t="s">
        <v>101</v>
      </c>
      <c r="E26" s="73">
        <v>410</v>
      </c>
      <c r="F26" s="74" t="s">
        <v>102</v>
      </c>
      <c r="G26" s="75">
        <v>420</v>
      </c>
      <c r="H26" s="76"/>
      <c r="I26" s="77"/>
      <c r="J26" s="50"/>
      <c r="K26" s="51"/>
    </row>
    <row r="27" spans="1:11">
      <c r="A27" s="70" t="s">
        <v>158</v>
      </c>
      <c r="B27" s="71" t="s">
        <v>108</v>
      </c>
      <c r="C27" s="72">
        <v>530</v>
      </c>
      <c r="D27" s="26" t="s">
        <v>108</v>
      </c>
      <c r="E27" s="73">
        <v>530</v>
      </c>
      <c r="F27" s="74" t="s">
        <v>108</v>
      </c>
      <c r="G27" s="75">
        <v>530</v>
      </c>
      <c r="H27" s="76" t="s">
        <v>108</v>
      </c>
      <c r="I27" s="77">
        <v>540</v>
      </c>
      <c r="J27" s="50" t="s">
        <v>108</v>
      </c>
      <c r="K27" s="51">
        <v>540</v>
      </c>
    </row>
    <row r="28" spans="1:11">
      <c r="A28" s="70" t="s">
        <v>109</v>
      </c>
      <c r="B28" s="71" t="s">
        <v>111</v>
      </c>
      <c r="C28" s="72">
        <v>554</v>
      </c>
      <c r="D28" s="26" t="s">
        <v>111</v>
      </c>
      <c r="E28" s="73">
        <v>554</v>
      </c>
      <c r="F28" s="74" t="s">
        <v>111</v>
      </c>
      <c r="G28" s="75">
        <v>554</v>
      </c>
      <c r="H28" s="76"/>
      <c r="I28" s="77"/>
      <c r="J28" s="50"/>
      <c r="K28" s="51"/>
    </row>
    <row r="29" spans="1:11">
      <c r="A29" s="70" t="s">
        <v>159</v>
      </c>
      <c r="B29" s="71" t="s">
        <v>116</v>
      </c>
      <c r="C29" s="72">
        <v>160</v>
      </c>
      <c r="D29" s="26" t="s">
        <v>116</v>
      </c>
      <c r="E29" s="73">
        <v>160</v>
      </c>
      <c r="F29" s="74" t="s">
        <v>116</v>
      </c>
      <c r="G29" s="75">
        <v>160</v>
      </c>
      <c r="H29" s="76" t="s">
        <v>116</v>
      </c>
      <c r="I29" s="77">
        <v>160</v>
      </c>
      <c r="J29" s="50"/>
      <c r="K29" s="51"/>
    </row>
    <row r="30" spans="1:11">
      <c r="A30" s="70" t="s">
        <v>166</v>
      </c>
      <c r="B30" s="71" t="s">
        <v>120</v>
      </c>
      <c r="C30" s="72">
        <v>469</v>
      </c>
      <c r="D30" s="26" t="s">
        <v>120</v>
      </c>
      <c r="E30" s="73">
        <v>470</v>
      </c>
      <c r="F30" s="74" t="s">
        <v>120</v>
      </c>
      <c r="G30" s="75">
        <v>470</v>
      </c>
      <c r="H30" s="76" t="s">
        <v>121</v>
      </c>
      <c r="I30" s="77">
        <v>468</v>
      </c>
      <c r="J30" s="50" t="s">
        <v>124</v>
      </c>
      <c r="K30" s="51">
        <v>468</v>
      </c>
    </row>
    <row r="31" spans="1:11">
      <c r="A31" s="70" t="s">
        <v>166</v>
      </c>
      <c r="B31" s="71"/>
      <c r="C31" s="72"/>
      <c r="D31" s="26"/>
      <c r="E31" s="73"/>
      <c r="F31" s="74"/>
      <c r="G31" s="75"/>
      <c r="H31" s="76" t="s">
        <v>122</v>
      </c>
      <c r="I31" s="77">
        <v>468</v>
      </c>
      <c r="J31" s="50" t="s">
        <v>167</v>
      </c>
      <c r="K31" s="51">
        <v>468</v>
      </c>
    </row>
    <row r="32" spans="1:11">
      <c r="A32" s="70" t="s">
        <v>166</v>
      </c>
      <c r="B32" s="71"/>
      <c r="C32" s="72"/>
      <c r="D32" s="26"/>
      <c r="E32" s="73"/>
      <c r="F32" s="74"/>
      <c r="G32" s="75"/>
      <c r="H32" s="80" t="s">
        <v>123</v>
      </c>
      <c r="I32" s="81">
        <v>468</v>
      </c>
      <c r="J32" s="50" t="s">
        <v>126</v>
      </c>
      <c r="K32" s="51">
        <v>468</v>
      </c>
    </row>
    <row r="33" spans="1:11">
      <c r="A33" s="70" t="s">
        <v>166</v>
      </c>
      <c r="B33" s="71"/>
      <c r="C33" s="72"/>
      <c r="D33" s="26"/>
      <c r="E33" s="73"/>
      <c r="F33" s="74"/>
      <c r="G33" s="75"/>
      <c r="H33" s="76" t="s">
        <v>127</v>
      </c>
      <c r="I33" s="77">
        <v>468</v>
      </c>
      <c r="J33" s="50" t="s">
        <v>128</v>
      </c>
      <c r="K33" s="51">
        <v>468</v>
      </c>
    </row>
    <row r="34" spans="1:11">
      <c r="A34" s="70"/>
      <c r="B34" s="71"/>
      <c r="C34" s="72"/>
      <c r="D34" s="26"/>
      <c r="E34" s="73"/>
      <c r="F34" s="74"/>
      <c r="G34" s="75"/>
      <c r="H34" s="76"/>
      <c r="I34" s="77"/>
      <c r="J34" s="50"/>
      <c r="K34" s="51"/>
    </row>
    <row r="35" spans="1:11">
      <c r="A35" s="70"/>
      <c r="B35" s="71"/>
      <c r="C35" s="72">
        <f>SUM(C21:C33)</f>
        <v>4080</v>
      </c>
      <c r="D35" s="26"/>
      <c r="E35" s="73">
        <f>SUM(E21:E33)</f>
        <v>4080</v>
      </c>
      <c r="F35" s="74"/>
      <c r="G35" s="75">
        <f>SUM(G21:G33)</f>
        <v>4090</v>
      </c>
      <c r="H35" s="76"/>
      <c r="I35" s="77">
        <f>SUM(I21:I34)</f>
        <v>4190</v>
      </c>
      <c r="J35" s="50"/>
      <c r="K35" s="51">
        <f>SUM(K22:K34)</f>
        <v>3620</v>
      </c>
    </row>
    <row r="37" spans="1:11" ht="15.75" thickBot="1"/>
    <row r="38" spans="1:11" ht="15.75" thickBot="1">
      <c r="A38" s="643" t="s">
        <v>168</v>
      </c>
      <c r="B38" s="644"/>
      <c r="C38" s="643" t="s">
        <v>169</v>
      </c>
      <c r="D38" s="644"/>
      <c r="E38" s="643" t="s">
        <v>170</v>
      </c>
      <c r="F38" s="644"/>
    </row>
    <row r="39" spans="1:11" ht="15.75" thickBot="1">
      <c r="A39" s="645" t="s">
        <v>160</v>
      </c>
      <c r="B39" s="82"/>
      <c r="C39" s="646" t="s">
        <v>146</v>
      </c>
      <c r="D39" s="83"/>
      <c r="E39" s="648" t="s">
        <v>171</v>
      </c>
      <c r="F39" s="83"/>
    </row>
    <row r="40" spans="1:11" ht="15.75" thickBot="1">
      <c r="A40" s="645"/>
      <c r="B40" s="84">
        <v>4080</v>
      </c>
      <c r="C40" s="647"/>
      <c r="D40" s="85">
        <v>5285</v>
      </c>
      <c r="E40" s="621"/>
      <c r="F40" s="85">
        <v>6494</v>
      </c>
    </row>
    <row r="41" spans="1:11" ht="15.75" thickBot="1">
      <c r="A41" s="637" t="s">
        <v>161</v>
      </c>
      <c r="B41" s="86"/>
      <c r="C41" s="638" t="s">
        <v>147</v>
      </c>
      <c r="D41" s="87"/>
      <c r="E41" s="639" t="s">
        <v>172</v>
      </c>
      <c r="F41" s="87"/>
    </row>
    <row r="42" spans="1:11" ht="15.75" thickBot="1">
      <c r="A42" s="637"/>
      <c r="B42" s="86">
        <v>4080</v>
      </c>
      <c r="C42" s="638"/>
      <c r="D42" s="85">
        <v>5285</v>
      </c>
      <c r="E42" s="639"/>
      <c r="F42" s="85">
        <v>6335</v>
      </c>
    </row>
    <row r="43" spans="1:11" ht="15.75" thickBot="1">
      <c r="A43" s="640" t="s">
        <v>162</v>
      </c>
      <c r="B43" s="88"/>
      <c r="C43" s="641" t="s">
        <v>148</v>
      </c>
      <c r="D43" s="87"/>
      <c r="E43" s="642" t="s">
        <v>173</v>
      </c>
      <c r="F43" s="87"/>
    </row>
    <row r="44" spans="1:11" ht="15.75" thickBot="1">
      <c r="A44" s="640"/>
      <c r="B44" s="84">
        <v>4090</v>
      </c>
      <c r="C44" s="641"/>
      <c r="D44" s="85">
        <v>5295</v>
      </c>
      <c r="E44" s="642"/>
      <c r="F44" s="85">
        <v>6335</v>
      </c>
    </row>
    <row r="45" spans="1:11" ht="15.75" thickBot="1">
      <c r="A45" s="631" t="s">
        <v>163</v>
      </c>
      <c r="B45" s="88"/>
      <c r="C45" s="632" t="s">
        <v>149</v>
      </c>
      <c r="D45" s="87"/>
      <c r="E45" s="633" t="s">
        <v>174</v>
      </c>
      <c r="F45" s="87"/>
    </row>
    <row r="46" spans="1:11" ht="15.75" thickBot="1">
      <c r="A46" s="631"/>
      <c r="B46" s="84">
        <v>4190</v>
      </c>
      <c r="C46" s="632"/>
      <c r="D46" s="85">
        <v>3355</v>
      </c>
      <c r="E46" s="633"/>
      <c r="F46" s="85">
        <v>6213</v>
      </c>
    </row>
    <row r="47" spans="1:11" ht="15.75" thickBot="1">
      <c r="A47" s="634" t="s">
        <v>164</v>
      </c>
      <c r="B47" s="88"/>
      <c r="C47" s="635" t="s">
        <v>150</v>
      </c>
      <c r="D47" s="87"/>
      <c r="E47" s="636" t="s">
        <v>175</v>
      </c>
      <c r="F47" s="87"/>
    </row>
    <row r="48" spans="1:11" ht="15.75" thickBot="1">
      <c r="A48" s="634"/>
      <c r="B48" s="84">
        <v>3620</v>
      </c>
      <c r="C48" s="635"/>
      <c r="D48" s="85">
        <v>1902</v>
      </c>
      <c r="E48" s="636"/>
      <c r="F48" s="85">
        <v>6213</v>
      </c>
    </row>
    <row r="49" spans="1:13" ht="15.75" thickBot="1">
      <c r="E49" s="616" t="s">
        <v>176</v>
      </c>
      <c r="F49" s="87"/>
    </row>
    <row r="50" spans="1:13" ht="15.75" thickBot="1">
      <c r="E50" s="620"/>
      <c r="F50" s="85">
        <v>6213</v>
      </c>
    </row>
    <row r="54" spans="1:13" ht="15.75" thickBot="1"/>
    <row r="55" spans="1:13" ht="15.75" thickBot="1">
      <c r="A55" s="89"/>
      <c r="B55" s="621" t="s">
        <v>171</v>
      </c>
      <c r="C55" s="622"/>
      <c r="D55" s="623" t="s">
        <v>172</v>
      </c>
      <c r="E55" s="624"/>
      <c r="F55" s="625" t="s">
        <v>173</v>
      </c>
      <c r="G55" s="626"/>
      <c r="H55" s="627" t="s">
        <v>174</v>
      </c>
      <c r="I55" s="628"/>
      <c r="J55" s="629" t="s">
        <v>175</v>
      </c>
      <c r="K55" s="630"/>
      <c r="L55" s="616" t="s">
        <v>176</v>
      </c>
      <c r="M55" s="617"/>
    </row>
    <row r="56" spans="1:13">
      <c r="A56" s="89" t="s">
        <v>165</v>
      </c>
      <c r="B56" s="90" t="s">
        <v>32</v>
      </c>
      <c r="C56" s="91">
        <v>995</v>
      </c>
      <c r="D56" s="61" t="s">
        <v>32</v>
      </c>
      <c r="E56" s="62">
        <v>995</v>
      </c>
      <c r="F56" s="67" t="s">
        <v>32</v>
      </c>
      <c r="G56" s="68">
        <v>995</v>
      </c>
      <c r="H56" s="92" t="s">
        <v>32</v>
      </c>
      <c r="I56" s="93">
        <v>995</v>
      </c>
      <c r="J56" s="94" t="s">
        <v>32</v>
      </c>
      <c r="K56" s="95">
        <v>995</v>
      </c>
      <c r="L56" s="96" t="s">
        <v>32</v>
      </c>
      <c r="M56" s="97">
        <v>995</v>
      </c>
    </row>
    <row r="57" spans="1:13">
      <c r="A57" s="89" t="s">
        <v>165</v>
      </c>
      <c r="B57" s="98" t="s">
        <v>44</v>
      </c>
      <c r="C57" s="43">
        <v>515</v>
      </c>
      <c r="D57" s="71" t="s">
        <v>44</v>
      </c>
      <c r="E57" s="72">
        <v>515</v>
      </c>
      <c r="F57" s="76" t="s">
        <v>44</v>
      </c>
      <c r="G57" s="77">
        <v>515</v>
      </c>
      <c r="H57" s="99" t="s">
        <v>44</v>
      </c>
      <c r="I57" s="100">
        <v>515</v>
      </c>
      <c r="J57" s="101" t="s">
        <v>44</v>
      </c>
      <c r="K57" s="102">
        <v>515</v>
      </c>
      <c r="L57" s="103" t="s">
        <v>44</v>
      </c>
      <c r="M57" s="104">
        <v>515</v>
      </c>
    </row>
    <row r="58" spans="1:13">
      <c r="A58" s="89" t="s">
        <v>151</v>
      </c>
      <c r="B58" s="98" t="s">
        <v>58</v>
      </c>
      <c r="C58" s="43">
        <v>756</v>
      </c>
      <c r="D58" s="71" t="s">
        <v>60</v>
      </c>
      <c r="E58" s="72">
        <v>590</v>
      </c>
      <c r="F58" s="76" t="s">
        <v>60</v>
      </c>
      <c r="G58" s="77">
        <v>590</v>
      </c>
      <c r="H58" s="99"/>
      <c r="I58" s="100"/>
      <c r="J58" s="101"/>
      <c r="K58" s="102"/>
      <c r="L58" s="103"/>
      <c r="M58" s="104"/>
    </row>
    <row r="59" spans="1:13">
      <c r="A59" s="89" t="s">
        <v>166</v>
      </c>
      <c r="B59" s="98"/>
      <c r="C59" s="43"/>
      <c r="D59" s="71"/>
      <c r="E59" s="72"/>
      <c r="F59" s="76"/>
      <c r="G59" s="77"/>
      <c r="H59" s="99" t="s">
        <v>52</v>
      </c>
      <c r="I59" s="100">
        <v>468</v>
      </c>
      <c r="J59" s="101" t="s">
        <v>52</v>
      </c>
      <c r="K59" s="102">
        <v>468</v>
      </c>
      <c r="L59" s="103" t="s">
        <v>52</v>
      </c>
      <c r="M59" s="104">
        <v>468</v>
      </c>
    </row>
    <row r="60" spans="1:13" ht="30">
      <c r="A60" s="89" t="s">
        <v>151</v>
      </c>
      <c r="B60" s="105" t="s">
        <v>59</v>
      </c>
      <c r="C60" s="53">
        <v>228</v>
      </c>
      <c r="D60" s="71"/>
      <c r="E60" s="72"/>
      <c r="F60" s="76"/>
      <c r="G60" s="77"/>
      <c r="H60" s="99"/>
      <c r="I60" s="100"/>
      <c r="J60" s="101"/>
      <c r="K60" s="102"/>
      <c r="L60" s="103"/>
      <c r="M60" s="104"/>
    </row>
    <row r="61" spans="1:13" ht="30">
      <c r="A61" s="89" t="s">
        <v>72</v>
      </c>
      <c r="B61" s="98"/>
      <c r="C61" s="43"/>
      <c r="D61" s="106" t="s">
        <v>75</v>
      </c>
      <c r="E61" s="107">
        <v>265</v>
      </c>
      <c r="F61" s="108" t="s">
        <v>76</v>
      </c>
      <c r="G61" s="109">
        <v>265</v>
      </c>
      <c r="H61" s="110" t="s">
        <v>77</v>
      </c>
      <c r="I61" s="111">
        <v>265</v>
      </c>
      <c r="J61" s="112" t="s">
        <v>78</v>
      </c>
      <c r="K61" s="113">
        <v>265</v>
      </c>
      <c r="L61" s="114" t="s">
        <v>79</v>
      </c>
      <c r="M61" s="104">
        <v>265</v>
      </c>
    </row>
    <row r="62" spans="1:13">
      <c r="A62" s="89" t="s">
        <v>177</v>
      </c>
      <c r="B62" s="98"/>
      <c r="C62" s="43"/>
      <c r="D62" s="71" t="s">
        <v>96</v>
      </c>
      <c r="E62" s="72">
        <v>170</v>
      </c>
      <c r="F62" s="76" t="s">
        <v>96</v>
      </c>
      <c r="G62" s="77">
        <v>170</v>
      </c>
      <c r="H62" s="99" t="s">
        <v>96</v>
      </c>
      <c r="I62" s="100">
        <v>170</v>
      </c>
      <c r="J62" s="101" t="s">
        <v>96</v>
      </c>
      <c r="K62" s="102">
        <v>170</v>
      </c>
      <c r="L62" s="103" t="s">
        <v>96</v>
      </c>
      <c r="M62" s="104">
        <v>170</v>
      </c>
    </row>
    <row r="63" spans="1:13" ht="30">
      <c r="A63" s="89" t="s">
        <v>178</v>
      </c>
      <c r="B63" s="115" t="s">
        <v>139</v>
      </c>
      <c r="C63" s="116">
        <v>200</v>
      </c>
      <c r="D63" s="71"/>
      <c r="E63" s="72"/>
      <c r="F63" s="76"/>
      <c r="G63" s="77"/>
      <c r="H63" s="99"/>
      <c r="I63" s="100"/>
      <c r="J63" s="101"/>
      <c r="K63" s="102"/>
      <c r="L63" s="103"/>
      <c r="M63" s="104"/>
    </row>
    <row r="64" spans="1:13">
      <c r="A64" s="89" t="s">
        <v>179</v>
      </c>
      <c r="B64" s="98" t="s">
        <v>140</v>
      </c>
      <c r="C64" s="43">
        <v>3800</v>
      </c>
      <c r="D64" s="71" t="s">
        <v>140</v>
      </c>
      <c r="E64" s="72">
        <v>3800</v>
      </c>
      <c r="F64" s="76" t="s">
        <v>140</v>
      </c>
      <c r="G64" s="77">
        <v>3800</v>
      </c>
      <c r="H64" s="99" t="s">
        <v>140</v>
      </c>
      <c r="I64" s="100">
        <v>3800</v>
      </c>
      <c r="J64" s="101" t="s">
        <v>140</v>
      </c>
      <c r="K64" s="102">
        <v>3800</v>
      </c>
      <c r="L64" s="103" t="s">
        <v>140</v>
      </c>
      <c r="M64" s="104">
        <v>3800</v>
      </c>
    </row>
    <row r="65" spans="1:13">
      <c r="A65" s="89"/>
      <c r="B65" s="98"/>
      <c r="C65" s="43"/>
      <c r="D65" s="71"/>
      <c r="E65" s="71"/>
      <c r="F65" s="76"/>
      <c r="G65" s="76"/>
      <c r="H65" s="99"/>
      <c r="I65" s="99"/>
      <c r="J65" s="101"/>
      <c r="K65" s="101"/>
      <c r="L65" s="103"/>
      <c r="M65" s="103"/>
    </row>
    <row r="66" spans="1:13">
      <c r="A66" s="89"/>
      <c r="B66" s="117" t="s">
        <v>180</v>
      </c>
      <c r="C66" s="118">
        <f>SUM(C56:C65)</f>
        <v>6494</v>
      </c>
      <c r="D66" s="119" t="s">
        <v>180</v>
      </c>
      <c r="E66" s="120">
        <f>SUM(E56:E65)</f>
        <v>6335</v>
      </c>
      <c r="F66" s="121" t="s">
        <v>180</v>
      </c>
      <c r="G66" s="122">
        <f>SUM(G56:G65)</f>
        <v>6335</v>
      </c>
      <c r="H66" s="123" t="s">
        <v>180</v>
      </c>
      <c r="I66" s="124">
        <f>SUM(I56:I65)</f>
        <v>6213</v>
      </c>
      <c r="J66" s="125" t="s">
        <v>180</v>
      </c>
      <c r="K66" s="126">
        <f>SUM(K56:K65)</f>
        <v>6213</v>
      </c>
      <c r="L66" s="127" t="s">
        <v>180</v>
      </c>
      <c r="M66" s="128">
        <f>SUM(M56:M65)</f>
        <v>6213</v>
      </c>
    </row>
    <row r="68" spans="1:13" ht="15.75" thickBot="1"/>
    <row r="69" spans="1:13" ht="15.75" thickBot="1">
      <c r="B69" s="618" t="s">
        <v>56</v>
      </c>
      <c r="C69" s="619"/>
    </row>
    <row r="70" spans="1:13" ht="39">
      <c r="A70" s="4" t="s">
        <v>181</v>
      </c>
      <c r="B70" s="129" t="s">
        <v>182</v>
      </c>
      <c r="C70" s="130">
        <v>2295</v>
      </c>
    </row>
    <row r="71" spans="1:13">
      <c r="A71" s="4" t="s">
        <v>183</v>
      </c>
      <c r="B71" s="50" t="s">
        <v>137</v>
      </c>
      <c r="C71" s="51">
        <v>420</v>
      </c>
    </row>
    <row r="72" spans="1:13">
      <c r="A72" s="4" t="s">
        <v>184</v>
      </c>
      <c r="B72" s="50" t="s">
        <v>61</v>
      </c>
      <c r="C72" s="51">
        <v>490</v>
      </c>
    </row>
    <row r="73" spans="1:13">
      <c r="A73" s="4" t="s">
        <v>185</v>
      </c>
      <c r="B73" s="50" t="s">
        <v>186</v>
      </c>
      <c r="C73" s="51">
        <v>680</v>
      </c>
    </row>
    <row r="74" spans="1:13">
      <c r="A74" s="4"/>
      <c r="B74" s="131" t="s">
        <v>11</v>
      </c>
      <c r="C74" s="132">
        <f>SUM(C70:C73)</f>
        <v>3885</v>
      </c>
    </row>
    <row r="79" spans="1:13">
      <c r="B79" s="615"/>
      <c r="C79" s="615"/>
      <c r="E79" s="615"/>
      <c r="F79" s="615"/>
      <c r="H79" s="615"/>
      <c r="I79" s="615"/>
      <c r="K79" s="615"/>
      <c r="L79" s="615"/>
    </row>
    <row r="80" spans="1:13">
      <c r="C80" s="437"/>
      <c r="F80" s="437"/>
      <c r="I80" s="437"/>
      <c r="L80" s="437"/>
    </row>
    <row r="81" spans="2:12">
      <c r="C81" s="437"/>
      <c r="F81" s="437"/>
      <c r="I81" s="437"/>
      <c r="L81" s="437"/>
    </row>
    <row r="82" spans="2:12">
      <c r="C82" s="437"/>
      <c r="F82" s="437"/>
      <c r="I82" s="437"/>
      <c r="L82" s="437"/>
    </row>
    <row r="83" spans="2:12">
      <c r="C83" s="437"/>
      <c r="F83" s="437"/>
      <c r="I83" s="437"/>
      <c r="L83" s="437"/>
    </row>
    <row r="84" spans="2:12">
      <c r="C84" s="437"/>
      <c r="F84" s="437"/>
      <c r="I84" s="437"/>
      <c r="L84" s="437"/>
    </row>
    <row r="85" spans="2:12">
      <c r="B85" s="593"/>
      <c r="C85" s="594"/>
      <c r="E85" s="593"/>
      <c r="F85" s="594"/>
      <c r="H85" s="593"/>
      <c r="I85" s="594"/>
      <c r="K85" s="593"/>
      <c r="L85" s="594"/>
    </row>
    <row r="86" spans="2:12">
      <c r="C86" s="437"/>
      <c r="F86" s="437"/>
      <c r="I86" s="437"/>
      <c r="L86" s="437"/>
    </row>
    <row r="87" spans="2:12">
      <c r="C87" s="437"/>
      <c r="F87" s="437"/>
      <c r="I87" s="437"/>
      <c r="L87" s="437"/>
    </row>
    <row r="88" spans="2:12">
      <c r="C88" s="437"/>
      <c r="F88" s="437"/>
      <c r="I88" s="437"/>
      <c r="L88" s="437"/>
    </row>
    <row r="89" spans="2:12">
      <c r="C89" s="437"/>
      <c r="F89" s="437"/>
      <c r="I89" s="437"/>
      <c r="L89" s="437"/>
    </row>
    <row r="90" spans="2:12">
      <c r="C90" s="437"/>
      <c r="F90" s="437"/>
      <c r="I90" s="437"/>
      <c r="L90" s="437"/>
    </row>
    <row r="91" spans="2:12">
      <c r="C91" s="437"/>
      <c r="F91" s="437"/>
      <c r="I91" s="437"/>
      <c r="L91" s="437"/>
    </row>
    <row r="92" spans="2:12">
      <c r="C92" s="437"/>
      <c r="F92" s="437"/>
      <c r="I92" s="437"/>
      <c r="L92" s="437"/>
    </row>
    <row r="95" spans="2:12">
      <c r="B95" s="615"/>
      <c r="C95" s="615"/>
      <c r="E95" s="615"/>
      <c r="F95" s="615"/>
    </row>
    <row r="96" spans="2:12">
      <c r="C96" s="437"/>
      <c r="F96" s="437"/>
    </row>
    <row r="97" spans="2:6">
      <c r="C97" s="437"/>
      <c r="F97" s="437"/>
    </row>
    <row r="98" spans="2:6">
      <c r="C98" s="437"/>
      <c r="F98" s="437"/>
    </row>
    <row r="99" spans="2:6">
      <c r="C99" s="437"/>
      <c r="F99" s="437"/>
    </row>
    <row r="100" spans="2:6">
      <c r="C100" s="437"/>
      <c r="F100" s="437"/>
    </row>
    <row r="101" spans="2:6">
      <c r="B101" s="25"/>
      <c r="C101" s="437"/>
      <c r="E101" s="25"/>
      <c r="F101" s="437"/>
    </row>
    <row r="102" spans="2:6">
      <c r="C102" s="437"/>
      <c r="F102" s="437"/>
    </row>
    <row r="103" spans="2:6">
      <c r="C103" s="437"/>
      <c r="F103" s="437"/>
    </row>
    <row r="104" spans="2:6">
      <c r="C104" s="437"/>
      <c r="F104" s="437"/>
    </row>
    <row r="105" spans="2:6">
      <c r="C105" s="437"/>
      <c r="F105" s="437"/>
    </row>
    <row r="106" spans="2:6">
      <c r="C106" s="437"/>
      <c r="F106" s="437"/>
    </row>
    <row r="107" spans="2:6">
      <c r="C107" s="437"/>
      <c r="F107" s="437"/>
    </row>
    <row r="108" spans="2:6">
      <c r="C108" s="437"/>
      <c r="F108" s="437"/>
    </row>
  </sheetData>
  <mergeCells count="42">
    <mergeCell ref="B20:C20"/>
    <mergeCell ref="D20:E20"/>
    <mergeCell ref="F20:G20"/>
    <mergeCell ref="H20:I20"/>
    <mergeCell ref="J20:K20"/>
    <mergeCell ref="B3:C3"/>
    <mergeCell ref="D3:E3"/>
    <mergeCell ref="F3:G3"/>
    <mergeCell ref="H3:I3"/>
    <mergeCell ref="J3:K3"/>
    <mergeCell ref="A38:B38"/>
    <mergeCell ref="C38:D38"/>
    <mergeCell ref="E38:F38"/>
    <mergeCell ref="A39:A40"/>
    <mergeCell ref="C39:C40"/>
    <mergeCell ref="E39:E40"/>
    <mergeCell ref="A41:A42"/>
    <mergeCell ref="C41:C42"/>
    <mergeCell ref="E41:E42"/>
    <mergeCell ref="A43:A44"/>
    <mergeCell ref="C43:C44"/>
    <mergeCell ref="E43:E44"/>
    <mergeCell ref="A45:A46"/>
    <mergeCell ref="C45:C46"/>
    <mergeCell ref="E45:E46"/>
    <mergeCell ref="A47:A48"/>
    <mergeCell ref="C47:C48"/>
    <mergeCell ref="E47:E48"/>
    <mergeCell ref="L55:M55"/>
    <mergeCell ref="B69:C69"/>
    <mergeCell ref="E49:E50"/>
    <mergeCell ref="B55:C55"/>
    <mergeCell ref="D55:E55"/>
    <mergeCell ref="F55:G55"/>
    <mergeCell ref="H55:I55"/>
    <mergeCell ref="J55:K55"/>
    <mergeCell ref="B79:C79"/>
    <mergeCell ref="E79:F79"/>
    <mergeCell ref="H79:I79"/>
    <mergeCell ref="K79:L79"/>
    <mergeCell ref="B95:C95"/>
    <mergeCell ref="E95:F95"/>
  </mergeCells>
  <pageMargins left="0.7" right="0.7" top="0.75" bottom="0.75" header="0.3" footer="0.3"/>
  <pageSetup scale="75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45A75-80FC-4A5B-ABD3-4575439D4CB3}">
  <dimension ref="A1:AKZ179"/>
  <sheetViews>
    <sheetView workbookViewId="0">
      <selection activeCell="J9" sqref="J9"/>
    </sheetView>
  </sheetViews>
  <sheetFormatPr defaultColWidth="9.140625" defaultRowHeight="15"/>
  <cols>
    <col min="1" max="1" width="41.140625" style="151" bestFit="1" customWidth="1"/>
    <col min="2" max="2" width="10.42578125" style="433" customWidth="1"/>
    <col min="3" max="3" width="12.85546875" style="432" customWidth="1"/>
    <col min="4" max="4" width="24.7109375" style="432" customWidth="1"/>
    <col min="5" max="5" width="25.7109375" style="151" customWidth="1"/>
    <col min="6" max="6" width="14.42578125" style="151" customWidth="1"/>
    <col min="7" max="988" width="10.7109375" style="151" customWidth="1"/>
  </cols>
  <sheetData>
    <row r="1" spans="1:6" ht="51" customHeight="1">
      <c r="A1" s="663" t="s">
        <v>187</v>
      </c>
      <c r="B1" s="663"/>
      <c r="C1" s="663"/>
      <c r="D1" s="663"/>
      <c r="E1" s="663"/>
      <c r="F1" s="663"/>
    </row>
    <row r="2" spans="1:6" s="151" customFormat="1" ht="45">
      <c r="A2" s="134" t="s">
        <v>188</v>
      </c>
      <c r="B2" s="146" t="s">
        <v>189</v>
      </c>
      <c r="C2" s="147" t="s">
        <v>190</v>
      </c>
      <c r="D2" s="486" t="s">
        <v>191</v>
      </c>
      <c r="E2" s="282" t="s">
        <v>192</v>
      </c>
      <c r="F2" s="282" t="s">
        <v>193</v>
      </c>
    </row>
    <row r="3" spans="1:6" s="151" customFormat="1">
      <c r="A3" s="134" t="s">
        <v>194</v>
      </c>
      <c r="B3" s="146"/>
      <c r="C3" s="147"/>
      <c r="D3" s="486"/>
      <c r="E3" s="282"/>
      <c r="F3" s="487">
        <v>45699</v>
      </c>
    </row>
    <row r="4" spans="1:6" s="151" customFormat="1">
      <c r="A4" s="169" t="s">
        <v>195</v>
      </c>
      <c r="B4" s="165">
        <v>2535</v>
      </c>
      <c r="C4" s="166">
        <v>2000</v>
      </c>
      <c r="D4" s="488" t="s">
        <v>196</v>
      </c>
      <c r="E4" s="282"/>
      <c r="F4" s="487">
        <v>45699</v>
      </c>
    </row>
    <row r="5" spans="1:6" s="151" customFormat="1">
      <c r="A5" s="169" t="s">
        <v>197</v>
      </c>
      <c r="B5" s="165">
        <v>2516</v>
      </c>
      <c r="C5" s="166">
        <v>3885</v>
      </c>
      <c r="D5" s="488"/>
      <c r="E5" s="282"/>
      <c r="F5" s="487">
        <v>45699</v>
      </c>
    </row>
    <row r="6" spans="1:6" s="151" customFormat="1">
      <c r="A6" s="169" t="s">
        <v>198</v>
      </c>
      <c r="B6" s="165">
        <v>2808</v>
      </c>
      <c r="C6" s="166">
        <v>1500</v>
      </c>
      <c r="D6" s="488" t="s">
        <v>199</v>
      </c>
      <c r="E6" s="282"/>
      <c r="F6" s="487">
        <v>45699</v>
      </c>
    </row>
    <row r="7" spans="1:6" s="151" customFormat="1">
      <c r="A7" s="169" t="s">
        <v>200</v>
      </c>
      <c r="B7" s="165">
        <v>2768</v>
      </c>
      <c r="C7" s="166">
        <v>3885</v>
      </c>
      <c r="D7" s="488"/>
      <c r="E7" s="282"/>
      <c r="F7" s="487">
        <v>45699</v>
      </c>
    </row>
    <row r="8" spans="1:6" s="151" customFormat="1">
      <c r="A8" s="169" t="s">
        <v>201</v>
      </c>
      <c r="B8" s="165">
        <v>2737</v>
      </c>
      <c r="C8" s="166">
        <v>3885</v>
      </c>
      <c r="D8" s="488"/>
      <c r="E8" s="282"/>
      <c r="F8" s="487">
        <v>45699</v>
      </c>
    </row>
    <row r="9" spans="1:6" s="151" customFormat="1">
      <c r="A9" s="169" t="s">
        <v>202</v>
      </c>
      <c r="B9" s="165">
        <v>2744</v>
      </c>
      <c r="C9" s="166">
        <v>3885</v>
      </c>
      <c r="D9" s="488"/>
      <c r="E9" s="282"/>
      <c r="F9" s="487">
        <v>45699</v>
      </c>
    </row>
    <row r="10" spans="1:6" s="151" customFormat="1">
      <c r="A10" s="187" t="s">
        <v>171</v>
      </c>
      <c r="B10" s="146"/>
      <c r="C10" s="147"/>
      <c r="D10" s="486"/>
      <c r="E10" s="282"/>
      <c r="F10" s="487"/>
    </row>
    <row r="11" spans="1:6" s="151" customFormat="1">
      <c r="A11" s="169" t="s">
        <v>203</v>
      </c>
      <c r="B11" s="172">
        <v>2785</v>
      </c>
      <c r="C11" s="173">
        <v>6494</v>
      </c>
      <c r="D11" s="489"/>
      <c r="E11" s="282"/>
      <c r="F11" s="487">
        <v>45699</v>
      </c>
    </row>
    <row r="12" spans="1:6" s="151" customFormat="1">
      <c r="A12" s="282" t="s">
        <v>204</v>
      </c>
      <c r="B12" s="219">
        <v>2801</v>
      </c>
      <c r="C12" s="220">
        <v>165</v>
      </c>
      <c r="D12" s="490" t="s">
        <v>205</v>
      </c>
      <c r="E12" s="282"/>
      <c r="F12" s="487">
        <v>45699</v>
      </c>
    </row>
    <row r="13" spans="1:6" s="151" customFormat="1">
      <c r="A13" s="169" t="s">
        <v>206</v>
      </c>
      <c r="B13" s="219">
        <v>2864</v>
      </c>
      <c r="C13" s="220">
        <v>6494</v>
      </c>
      <c r="D13" s="490"/>
      <c r="E13" s="282"/>
      <c r="F13" s="487">
        <v>45699</v>
      </c>
    </row>
    <row r="14" spans="1:6" s="151" customFormat="1">
      <c r="A14" s="169" t="s">
        <v>207</v>
      </c>
      <c r="B14" s="219">
        <v>2804</v>
      </c>
      <c r="C14" s="220">
        <v>6494</v>
      </c>
      <c r="D14" s="490"/>
      <c r="E14" s="282"/>
      <c r="F14" s="487">
        <v>45699</v>
      </c>
    </row>
    <row r="15" spans="1:6" s="151" customFormat="1">
      <c r="A15" s="169" t="s">
        <v>208</v>
      </c>
      <c r="B15" s="219">
        <v>2807</v>
      </c>
      <c r="C15" s="220">
        <v>6494</v>
      </c>
      <c r="D15" s="490"/>
      <c r="E15" s="282"/>
      <c r="F15" s="487">
        <v>45699</v>
      </c>
    </row>
    <row r="16" spans="1:6" s="151" customFormat="1">
      <c r="A16" s="169" t="s">
        <v>209</v>
      </c>
      <c r="B16" s="219">
        <v>2677</v>
      </c>
      <c r="C16" s="220">
        <v>6494</v>
      </c>
      <c r="D16" s="490"/>
      <c r="E16" s="282"/>
      <c r="F16" s="487">
        <v>45699</v>
      </c>
    </row>
    <row r="17" spans="1:6" s="151" customFormat="1">
      <c r="A17" s="442"/>
      <c r="B17" s="491"/>
      <c r="C17" s="492"/>
      <c r="D17" s="492"/>
      <c r="E17" s="282"/>
      <c r="F17" s="487"/>
    </row>
    <row r="18" spans="1:6" s="151" customFormat="1">
      <c r="A18" s="134" t="s">
        <v>210</v>
      </c>
      <c r="B18" s="240"/>
      <c r="C18" s="241"/>
      <c r="D18" s="241"/>
      <c r="E18" s="282"/>
      <c r="F18" s="487"/>
    </row>
    <row r="19" spans="1:6" s="151" customFormat="1">
      <c r="A19" s="199" t="s">
        <v>211</v>
      </c>
      <c r="B19" s="172">
        <v>2851</v>
      </c>
      <c r="C19" s="173">
        <v>6355</v>
      </c>
      <c r="D19" s="489"/>
      <c r="E19" s="282"/>
      <c r="F19" s="487">
        <v>45699</v>
      </c>
    </row>
    <row r="20" spans="1:6" s="151" customFormat="1">
      <c r="A20" s="199" t="s">
        <v>212</v>
      </c>
      <c r="B20" s="172">
        <v>2685</v>
      </c>
      <c r="C20" s="173">
        <v>6335</v>
      </c>
      <c r="D20" s="489" t="s">
        <v>213</v>
      </c>
      <c r="E20" s="282"/>
      <c r="F20" s="487">
        <v>45699</v>
      </c>
    </row>
    <row r="21" spans="1:6" s="151" customFormat="1">
      <c r="A21" s="199" t="s">
        <v>214</v>
      </c>
      <c r="B21" s="172">
        <v>2726</v>
      </c>
      <c r="C21" s="173">
        <v>6335</v>
      </c>
      <c r="D21" s="489"/>
      <c r="E21" s="282"/>
      <c r="F21" s="487">
        <v>45699</v>
      </c>
    </row>
    <row r="22" spans="1:6" s="151" customFormat="1">
      <c r="A22" s="199" t="s">
        <v>215</v>
      </c>
      <c r="B22" s="172">
        <v>2852</v>
      </c>
      <c r="C22" s="173">
        <v>6355</v>
      </c>
      <c r="D22" s="489"/>
      <c r="E22" s="282"/>
      <c r="F22" s="487">
        <v>45699</v>
      </c>
    </row>
    <row r="23" spans="1:6" s="151" customFormat="1">
      <c r="A23" s="199" t="s">
        <v>216</v>
      </c>
      <c r="B23" s="172">
        <v>2839</v>
      </c>
      <c r="C23" s="173">
        <v>6335</v>
      </c>
      <c r="D23" s="489"/>
      <c r="E23" s="282"/>
      <c r="F23" s="487">
        <v>45699</v>
      </c>
    </row>
    <row r="24" spans="1:6" s="151" customFormat="1">
      <c r="A24" s="199" t="s">
        <v>217</v>
      </c>
      <c r="B24" s="172">
        <v>2737</v>
      </c>
      <c r="C24" s="173">
        <v>6335</v>
      </c>
      <c r="D24" s="489"/>
      <c r="E24" s="282"/>
      <c r="F24" s="487">
        <v>45699</v>
      </c>
    </row>
    <row r="25" spans="1:6" s="151" customFormat="1">
      <c r="A25" s="199" t="s">
        <v>218</v>
      </c>
      <c r="B25" s="172">
        <v>2694</v>
      </c>
      <c r="C25" s="173">
        <v>6335</v>
      </c>
      <c r="D25" s="489"/>
      <c r="E25" s="282"/>
      <c r="F25" s="487">
        <v>45699</v>
      </c>
    </row>
    <row r="26" spans="1:6" s="151" customFormat="1">
      <c r="A26" s="199" t="s">
        <v>219</v>
      </c>
      <c r="B26" s="172">
        <v>2693</v>
      </c>
      <c r="C26" s="173">
        <v>6335</v>
      </c>
      <c r="D26" s="489"/>
      <c r="E26" s="282"/>
      <c r="F26" s="487">
        <v>45699</v>
      </c>
    </row>
    <row r="27" spans="1:6" s="151" customFormat="1">
      <c r="A27" s="199" t="s">
        <v>220</v>
      </c>
      <c r="B27" s="172">
        <v>2651</v>
      </c>
      <c r="C27" s="173">
        <v>6335</v>
      </c>
      <c r="D27" s="489"/>
      <c r="E27" s="282"/>
      <c r="F27" s="487">
        <v>45699</v>
      </c>
    </row>
    <row r="28" spans="1:6" s="151" customFormat="1">
      <c r="A28" s="199" t="s">
        <v>221</v>
      </c>
      <c r="B28" s="172">
        <v>2847</v>
      </c>
      <c r="C28" s="173">
        <v>6335</v>
      </c>
      <c r="D28" s="489"/>
      <c r="E28" s="282"/>
      <c r="F28" s="487">
        <v>45699</v>
      </c>
    </row>
    <row r="29" spans="1:6" s="151" customFormat="1">
      <c r="A29" s="133"/>
      <c r="B29" s="259"/>
      <c r="C29" s="260"/>
      <c r="D29" s="493"/>
      <c r="E29" s="282"/>
      <c r="F29" s="487">
        <v>45699</v>
      </c>
    </row>
    <row r="30" spans="1:6" s="151" customFormat="1">
      <c r="A30" s="133" t="s">
        <v>173</v>
      </c>
      <c r="B30" s="240"/>
      <c r="C30" s="241"/>
      <c r="D30" s="241"/>
      <c r="E30" s="282"/>
      <c r="F30" s="487"/>
    </row>
    <row r="31" spans="1:6" s="151" customFormat="1">
      <c r="A31" s="253" t="s">
        <v>222</v>
      </c>
      <c r="B31" s="172">
        <v>2674</v>
      </c>
      <c r="C31" s="173">
        <v>6335</v>
      </c>
      <c r="D31" s="489"/>
      <c r="E31" s="282"/>
      <c r="F31" s="487">
        <v>45699</v>
      </c>
    </row>
    <row r="32" spans="1:6" s="151" customFormat="1">
      <c r="A32" s="253" t="s">
        <v>223</v>
      </c>
      <c r="B32" s="172">
        <v>2688</v>
      </c>
      <c r="C32" s="173">
        <f>2000+500</f>
        <v>2500</v>
      </c>
      <c r="D32" s="489" t="s">
        <v>224</v>
      </c>
      <c r="E32" s="282"/>
      <c r="F32" s="487">
        <v>45699</v>
      </c>
    </row>
    <row r="33" spans="1:6" s="151" customFormat="1">
      <c r="A33" s="253" t="s">
        <v>225</v>
      </c>
      <c r="B33" s="172">
        <v>2801</v>
      </c>
      <c r="C33" s="173">
        <v>6335</v>
      </c>
      <c r="D33" s="489"/>
      <c r="E33" s="282"/>
      <c r="F33" s="487">
        <v>45699</v>
      </c>
    </row>
    <row r="34" spans="1:6" s="151" customFormat="1">
      <c r="A34" s="254" t="s">
        <v>226</v>
      </c>
      <c r="B34" s="172">
        <v>2635</v>
      </c>
      <c r="C34" s="173">
        <v>6335</v>
      </c>
      <c r="D34" s="489"/>
      <c r="E34" s="282"/>
      <c r="F34" s="487">
        <v>45699</v>
      </c>
    </row>
    <row r="35" spans="1:6" s="151" customFormat="1">
      <c r="A35" s="254" t="s">
        <v>227</v>
      </c>
      <c r="B35" s="172">
        <v>2834</v>
      </c>
      <c r="C35" s="173">
        <v>4435</v>
      </c>
      <c r="D35" s="489"/>
      <c r="E35" s="282"/>
      <c r="F35" s="487">
        <v>45699</v>
      </c>
    </row>
    <row r="36" spans="1:6" s="151" customFormat="1">
      <c r="A36" s="254" t="s">
        <v>228</v>
      </c>
      <c r="B36" s="172">
        <v>2763</v>
      </c>
      <c r="C36" s="173">
        <v>6335</v>
      </c>
      <c r="D36" s="489"/>
      <c r="E36" s="282"/>
      <c r="F36" s="487">
        <v>45699</v>
      </c>
    </row>
    <row r="37" spans="1:6" s="151" customFormat="1">
      <c r="A37" s="263" t="s">
        <v>229</v>
      </c>
      <c r="B37" s="259">
        <v>2705</v>
      </c>
      <c r="C37" s="173">
        <v>6335</v>
      </c>
      <c r="D37" s="493"/>
      <c r="E37" s="282"/>
      <c r="F37" s="487">
        <v>45699</v>
      </c>
    </row>
    <row r="38" spans="1:6" s="151" customFormat="1">
      <c r="A38" s="134"/>
      <c r="B38" s="259"/>
      <c r="C38" s="260"/>
      <c r="D38" s="493"/>
      <c r="E38" s="282"/>
      <c r="F38" s="487">
        <v>45699</v>
      </c>
    </row>
    <row r="39" spans="1:6" s="151" customFormat="1">
      <c r="A39" s="187" t="s">
        <v>174</v>
      </c>
      <c r="B39" s="240"/>
      <c r="C39" s="241"/>
      <c r="D39" s="241"/>
      <c r="E39" s="157"/>
      <c r="F39" s="487"/>
    </row>
    <row r="40" spans="1:6">
      <c r="A40" s="273" t="s">
        <v>230</v>
      </c>
      <c r="B40" s="172">
        <v>2729</v>
      </c>
      <c r="C40" s="173">
        <v>213</v>
      </c>
      <c r="D40" s="489" t="s">
        <v>231</v>
      </c>
      <c r="E40" s="282"/>
      <c r="F40" s="487">
        <v>45699</v>
      </c>
    </row>
    <row r="41" spans="1:6" s="151" customFormat="1">
      <c r="A41" s="273" t="s">
        <v>232</v>
      </c>
      <c r="B41" s="172">
        <v>2752</v>
      </c>
      <c r="C41" s="173">
        <v>6335</v>
      </c>
      <c r="D41" s="489" t="s">
        <v>233</v>
      </c>
      <c r="E41" s="282"/>
      <c r="F41" s="487">
        <v>45699</v>
      </c>
    </row>
    <row r="42" spans="1:6" s="151" customFormat="1">
      <c r="A42" s="273" t="s">
        <v>234</v>
      </c>
      <c r="B42" s="172" t="s">
        <v>235</v>
      </c>
      <c r="C42" s="173">
        <f>3115+3098</f>
        <v>6213</v>
      </c>
      <c r="D42" s="489"/>
      <c r="E42" s="282"/>
      <c r="F42" s="487">
        <v>45699</v>
      </c>
    </row>
    <row r="43" spans="1:6" s="151" customFormat="1">
      <c r="A43" s="273" t="s">
        <v>236</v>
      </c>
      <c r="B43" s="172">
        <v>2873</v>
      </c>
      <c r="C43" s="173">
        <v>6213</v>
      </c>
      <c r="D43" s="489"/>
      <c r="E43" s="282"/>
      <c r="F43" s="487">
        <v>45699</v>
      </c>
    </row>
    <row r="44" spans="1:6" s="151" customFormat="1">
      <c r="A44" s="273" t="s">
        <v>237</v>
      </c>
      <c r="B44" s="172">
        <v>2808</v>
      </c>
      <c r="C44" s="173">
        <v>1600</v>
      </c>
      <c r="D44" s="489" t="s">
        <v>238</v>
      </c>
      <c r="E44" s="282"/>
      <c r="F44" s="487">
        <v>45699</v>
      </c>
    </row>
    <row r="45" spans="1:6" s="151" customFormat="1">
      <c r="A45" s="273" t="s">
        <v>239</v>
      </c>
      <c r="B45" s="172">
        <v>2876</v>
      </c>
      <c r="C45" s="173">
        <v>6213</v>
      </c>
      <c r="D45" s="489"/>
      <c r="E45" s="282"/>
      <c r="F45" s="487">
        <v>45699</v>
      </c>
    </row>
    <row r="46" spans="1:6" s="151" customFormat="1">
      <c r="A46" s="273" t="s">
        <v>240</v>
      </c>
      <c r="B46" s="172">
        <v>2853</v>
      </c>
      <c r="C46" s="173">
        <v>6213</v>
      </c>
      <c r="D46" s="489"/>
      <c r="E46" s="282"/>
      <c r="F46" s="487">
        <v>45699</v>
      </c>
    </row>
    <row r="47" spans="1:6" s="151" customFormat="1">
      <c r="A47" s="273" t="s">
        <v>241</v>
      </c>
      <c r="B47" s="172">
        <v>2850</v>
      </c>
      <c r="C47" s="173">
        <v>6213</v>
      </c>
      <c r="D47" s="489"/>
      <c r="E47" s="282"/>
      <c r="F47" s="487">
        <v>45699</v>
      </c>
    </row>
    <row r="48" spans="1:6" s="151" customFormat="1">
      <c r="A48" s="278" t="s">
        <v>242</v>
      </c>
      <c r="B48" s="172">
        <v>2784</v>
      </c>
      <c r="C48" s="173">
        <v>6213</v>
      </c>
      <c r="D48" s="489"/>
      <c r="E48" s="282"/>
      <c r="F48" s="487">
        <v>45699</v>
      </c>
    </row>
    <row r="49" spans="1:988" s="151" customFormat="1">
      <c r="A49" s="278" t="s">
        <v>243</v>
      </c>
      <c r="B49" s="172">
        <v>2798</v>
      </c>
      <c r="C49" s="173">
        <v>5948</v>
      </c>
      <c r="D49" s="489" t="s">
        <v>244</v>
      </c>
      <c r="E49" s="282"/>
      <c r="F49" s="487">
        <v>45699</v>
      </c>
    </row>
    <row r="50" spans="1:988" s="151" customFormat="1">
      <c r="A50" s="278" t="s">
        <v>245</v>
      </c>
      <c r="B50" s="172">
        <v>2848</v>
      </c>
      <c r="C50" s="173">
        <v>6213</v>
      </c>
      <c r="D50" s="489"/>
      <c r="E50" s="282"/>
      <c r="F50" s="487">
        <v>45699</v>
      </c>
    </row>
    <row r="51" spans="1:988" s="151" customFormat="1">
      <c r="A51" s="273" t="s">
        <v>246</v>
      </c>
      <c r="B51" s="219">
        <v>2805</v>
      </c>
      <c r="C51" s="220">
        <v>6213</v>
      </c>
      <c r="D51" s="490"/>
      <c r="E51" s="282"/>
      <c r="F51" s="487">
        <v>45699</v>
      </c>
    </row>
    <row r="52" spans="1:988" s="151" customFormat="1">
      <c r="A52" s="278" t="s">
        <v>247</v>
      </c>
      <c r="B52" s="219">
        <v>2679</v>
      </c>
      <c r="C52" s="220">
        <v>6213</v>
      </c>
      <c r="D52" s="490"/>
      <c r="E52" s="282"/>
      <c r="F52" s="487">
        <v>45699</v>
      </c>
    </row>
    <row r="53" spans="1:988">
      <c r="B53" s="229"/>
      <c r="C53" s="230"/>
      <c r="D53" s="494"/>
      <c r="E53" s="282"/>
      <c r="F53" s="487">
        <v>45699</v>
      </c>
    </row>
    <row r="54" spans="1:988" s="151" customFormat="1">
      <c r="A54" s="134" t="s">
        <v>175</v>
      </c>
      <c r="B54" s="240"/>
      <c r="C54" s="241"/>
      <c r="D54" s="241"/>
      <c r="E54" s="282"/>
      <c r="F54" s="487"/>
    </row>
    <row r="55" spans="1:988">
      <c r="A55" s="293" t="s">
        <v>248</v>
      </c>
      <c r="B55" s="305">
        <v>2817</v>
      </c>
      <c r="C55" s="306">
        <v>6213</v>
      </c>
      <c r="D55" s="495"/>
      <c r="E55" s="4"/>
      <c r="F55" s="487">
        <v>45699</v>
      </c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</row>
    <row r="56" spans="1:988">
      <c r="A56" s="4" t="s">
        <v>249</v>
      </c>
      <c r="B56" s="305">
        <v>2651</v>
      </c>
      <c r="C56" s="306">
        <v>6213</v>
      </c>
      <c r="D56" s="495"/>
      <c r="E56" s="4"/>
      <c r="F56" s="487">
        <v>45699</v>
      </c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</row>
    <row r="57" spans="1:988">
      <c r="A57" s="293" t="s">
        <v>250</v>
      </c>
      <c r="B57" s="305">
        <v>2815</v>
      </c>
      <c r="C57" s="306">
        <v>6213</v>
      </c>
      <c r="D57" s="495"/>
      <c r="E57" s="4"/>
      <c r="F57" s="487">
        <v>45699</v>
      </c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</row>
    <row r="58" spans="1:988">
      <c r="A58" s="293" t="s">
        <v>251</v>
      </c>
      <c r="B58" s="305">
        <v>2832</v>
      </c>
      <c r="C58" s="306">
        <v>6213</v>
      </c>
      <c r="D58" s="495"/>
      <c r="E58" s="4"/>
      <c r="F58" s="487">
        <v>45699</v>
      </c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</row>
    <row r="59" spans="1:988">
      <c r="A59" s="293" t="s">
        <v>252</v>
      </c>
      <c r="B59" s="305">
        <v>2739</v>
      </c>
      <c r="C59" s="306">
        <v>6213</v>
      </c>
      <c r="D59" s="495"/>
      <c r="E59" s="4"/>
      <c r="F59" s="487">
        <v>45699</v>
      </c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</row>
    <row r="60" spans="1:988">
      <c r="A60" s="293" t="s">
        <v>253</v>
      </c>
      <c r="B60" s="305">
        <v>2785</v>
      </c>
      <c r="C60" s="306">
        <v>6213</v>
      </c>
      <c r="D60" s="495"/>
      <c r="E60" s="4"/>
      <c r="F60" s="487">
        <v>45699</v>
      </c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</row>
    <row r="61" spans="1:988">
      <c r="A61" s="293" t="s">
        <v>254</v>
      </c>
      <c r="B61" s="305">
        <v>2757</v>
      </c>
      <c r="C61" s="306">
        <v>6213</v>
      </c>
      <c r="D61" s="495"/>
      <c r="E61" s="4"/>
      <c r="F61" s="487">
        <v>45699</v>
      </c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</row>
    <row r="62" spans="1:988">
      <c r="A62" s="293" t="s">
        <v>255</v>
      </c>
      <c r="B62" s="305">
        <v>2629</v>
      </c>
      <c r="C62" s="306">
        <v>6213</v>
      </c>
      <c r="D62" s="495"/>
      <c r="E62" s="4"/>
      <c r="F62" s="487">
        <v>45699</v>
      </c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</row>
    <row r="63" spans="1:988">
      <c r="A63" s="4" t="s">
        <v>256</v>
      </c>
      <c r="B63" s="305">
        <v>2746</v>
      </c>
      <c r="C63" s="306">
        <v>6213</v>
      </c>
      <c r="D63" s="495"/>
      <c r="E63" s="4"/>
      <c r="F63" s="487">
        <v>45699</v>
      </c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</row>
    <row r="64" spans="1:988">
      <c r="A64" s="293" t="s">
        <v>257</v>
      </c>
      <c r="B64" s="305">
        <v>2792</v>
      </c>
      <c r="C64" s="306">
        <v>6213</v>
      </c>
      <c r="D64" s="495"/>
      <c r="E64" s="4"/>
      <c r="F64" s="487">
        <v>45699</v>
      </c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</row>
    <row r="65" spans="1:988">
      <c r="A65" s="293" t="s">
        <v>258</v>
      </c>
      <c r="B65" s="305">
        <v>2849</v>
      </c>
      <c r="C65" s="306">
        <v>6213</v>
      </c>
      <c r="D65" s="495"/>
      <c r="E65" s="4"/>
      <c r="F65" s="487">
        <v>45699</v>
      </c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</row>
    <row r="66" spans="1:988">
      <c r="A66" s="293" t="s">
        <v>259</v>
      </c>
      <c r="B66" s="305">
        <v>2622</v>
      </c>
      <c r="C66" s="306">
        <v>6213</v>
      </c>
      <c r="D66" s="495"/>
      <c r="E66" s="4"/>
      <c r="F66" s="487">
        <v>45699</v>
      </c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</row>
    <row r="67" spans="1:988">
      <c r="A67" s="282"/>
      <c r="B67" s="259"/>
      <c r="C67" s="260"/>
      <c r="D67" s="493"/>
      <c r="E67" s="282"/>
      <c r="F67" s="487">
        <v>45699</v>
      </c>
    </row>
    <row r="68" spans="1:988" s="151" customFormat="1">
      <c r="A68" s="134" t="s">
        <v>176</v>
      </c>
      <c r="B68" s="240"/>
      <c r="C68" s="241"/>
      <c r="D68" s="241"/>
      <c r="E68" s="282"/>
      <c r="F68" s="487"/>
    </row>
    <row r="69" spans="1:988">
      <c r="A69" s="293" t="s">
        <v>260</v>
      </c>
      <c r="B69" s="305">
        <v>2658</v>
      </c>
      <c r="C69" s="306">
        <v>6213</v>
      </c>
      <c r="D69" s="495"/>
      <c r="E69" s="4"/>
      <c r="F69" s="487">
        <v>45699</v>
      </c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</row>
    <row r="70" spans="1:988">
      <c r="A70" s="293" t="s">
        <v>261</v>
      </c>
      <c r="B70" s="305">
        <v>2623</v>
      </c>
      <c r="C70" s="306">
        <v>6213</v>
      </c>
      <c r="D70" s="495"/>
      <c r="E70" s="4"/>
      <c r="F70" s="487">
        <v>45699</v>
      </c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</row>
    <row r="71" spans="1:988">
      <c r="A71" s="282" t="s">
        <v>262</v>
      </c>
      <c r="B71" s="305">
        <v>2641</v>
      </c>
      <c r="C71" s="306">
        <v>6213</v>
      </c>
      <c r="D71" s="495"/>
      <c r="E71" s="4"/>
      <c r="F71" s="487">
        <v>45699</v>
      </c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</row>
    <row r="72" spans="1:988">
      <c r="A72" s="293" t="s">
        <v>263</v>
      </c>
      <c r="B72" s="305">
        <v>2700</v>
      </c>
      <c r="C72" s="306">
        <v>6213</v>
      </c>
      <c r="D72" s="495"/>
      <c r="E72" s="4"/>
      <c r="F72" s="487">
        <v>45699</v>
      </c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</row>
    <row r="73" spans="1:988">
      <c r="A73" s="282" t="s">
        <v>264</v>
      </c>
      <c r="B73" s="305">
        <v>2742</v>
      </c>
      <c r="C73" s="306">
        <v>6213</v>
      </c>
      <c r="D73" s="496" t="s">
        <v>265</v>
      </c>
      <c r="E73" s="4"/>
      <c r="F73" s="487">
        <v>45699</v>
      </c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</row>
    <row r="74" spans="1:988">
      <c r="A74" s="293" t="s">
        <v>266</v>
      </c>
      <c r="B74" s="305">
        <v>2845</v>
      </c>
      <c r="C74" s="306">
        <v>6213</v>
      </c>
      <c r="D74" s="495"/>
      <c r="E74" s="4"/>
      <c r="F74" s="487">
        <v>45699</v>
      </c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</row>
    <row r="75" spans="1:988">
      <c r="A75" s="293" t="s">
        <v>267</v>
      </c>
      <c r="B75" s="305">
        <v>2663</v>
      </c>
      <c r="C75" s="306">
        <v>6213</v>
      </c>
      <c r="D75" s="495"/>
      <c r="E75" s="4"/>
      <c r="F75" s="487">
        <v>45699</v>
      </c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</row>
    <row r="76" spans="1:988">
      <c r="A76" s="293" t="s">
        <v>268</v>
      </c>
      <c r="B76" s="349">
        <v>2738</v>
      </c>
      <c r="C76" s="344">
        <v>6213</v>
      </c>
      <c r="D76" s="496" t="s">
        <v>265</v>
      </c>
      <c r="E76" s="4"/>
      <c r="F76" s="487">
        <v>45699</v>
      </c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</row>
    <row r="77" spans="1:988">
      <c r="B77" s="229"/>
      <c r="C77" s="230"/>
      <c r="D77" s="494"/>
      <c r="E77" s="282"/>
      <c r="F77" s="487">
        <v>45699</v>
      </c>
    </row>
    <row r="78" spans="1:988" s="151" customFormat="1">
      <c r="A78" s="134" t="s">
        <v>269</v>
      </c>
      <c r="B78" s="240"/>
      <c r="C78" s="241"/>
      <c r="D78" s="241"/>
      <c r="E78" s="282"/>
      <c r="F78" s="487"/>
    </row>
    <row r="79" spans="1:988">
      <c r="A79" s="293" t="s">
        <v>270</v>
      </c>
      <c r="B79" s="305">
        <v>2778</v>
      </c>
      <c r="C79" s="306">
        <v>5285</v>
      </c>
      <c r="D79" s="495"/>
      <c r="E79" s="4"/>
      <c r="F79" s="487">
        <v>45699</v>
      </c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</row>
    <row r="80" spans="1:988">
      <c r="A80" s="293" t="s">
        <v>271</v>
      </c>
      <c r="B80" s="305">
        <v>2792</v>
      </c>
      <c r="C80" s="306">
        <v>5285</v>
      </c>
      <c r="D80" s="495"/>
      <c r="E80" s="4"/>
      <c r="F80" s="487">
        <v>45699</v>
      </c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</row>
    <row r="81" spans="1:988">
      <c r="A81" s="293" t="s">
        <v>272</v>
      </c>
      <c r="B81" s="305">
        <v>2673</v>
      </c>
      <c r="C81" s="306">
        <v>5285</v>
      </c>
      <c r="D81" s="495"/>
      <c r="E81" s="4"/>
      <c r="F81" s="487">
        <v>45699</v>
      </c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</row>
    <row r="82" spans="1:988">
      <c r="A82" s="282" t="s">
        <v>273</v>
      </c>
      <c r="B82" s="305">
        <v>2769</v>
      </c>
      <c r="C82" s="306">
        <v>5285</v>
      </c>
      <c r="D82" s="495"/>
      <c r="E82" s="4"/>
      <c r="F82" s="487">
        <v>45699</v>
      </c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</row>
    <row r="83" spans="1:988">
      <c r="A83" s="293" t="s">
        <v>274</v>
      </c>
      <c r="B83" s="305">
        <v>2785</v>
      </c>
      <c r="C83" s="306">
        <v>5285</v>
      </c>
      <c r="D83" s="495"/>
      <c r="E83" s="4"/>
      <c r="F83" s="487">
        <v>45699</v>
      </c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</row>
    <row r="84" spans="1:988">
      <c r="A84" s="282" t="s">
        <v>275</v>
      </c>
      <c r="B84" s="305">
        <v>2837</v>
      </c>
      <c r="C84" s="306">
        <v>5285</v>
      </c>
      <c r="D84" s="495"/>
      <c r="E84" s="4"/>
      <c r="F84" s="487">
        <v>45699</v>
      </c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</row>
    <row r="85" spans="1:988" ht="14.25" customHeight="1">
      <c r="A85" s="421" t="s">
        <v>276</v>
      </c>
      <c r="B85" s="305">
        <v>2711</v>
      </c>
      <c r="C85" s="306">
        <v>2500</v>
      </c>
      <c r="D85" s="495" t="s">
        <v>277</v>
      </c>
      <c r="E85" s="4" t="s">
        <v>278</v>
      </c>
      <c r="F85" s="487">
        <v>45699</v>
      </c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</row>
    <row r="86" spans="1:988" ht="14.25" customHeight="1">
      <c r="A86" s="352" t="s">
        <v>279</v>
      </c>
      <c r="B86" s="305">
        <v>2723</v>
      </c>
      <c r="C86" s="306">
        <v>5285</v>
      </c>
      <c r="D86" s="495"/>
      <c r="E86" s="4"/>
      <c r="F86" s="487">
        <v>45699</v>
      </c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</row>
    <row r="87" spans="1:988">
      <c r="A87" s="357" t="s">
        <v>280</v>
      </c>
      <c r="B87" s="305">
        <v>2866</v>
      </c>
      <c r="C87" s="306">
        <v>5285</v>
      </c>
      <c r="D87" s="495"/>
      <c r="E87" s="4"/>
      <c r="F87" s="487">
        <v>45699</v>
      </c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</row>
    <row r="88" spans="1:988">
      <c r="A88" s="293" t="s">
        <v>281</v>
      </c>
      <c r="B88" s="305">
        <v>2818</v>
      </c>
      <c r="C88" s="306">
        <v>5285</v>
      </c>
      <c r="D88" s="495"/>
      <c r="E88" s="4"/>
      <c r="F88" s="487">
        <v>45699</v>
      </c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</row>
    <row r="89" spans="1:988">
      <c r="A89" s="293"/>
      <c r="B89" s="329"/>
      <c r="C89" s="330"/>
      <c r="D89" s="497"/>
      <c r="E89" s="4"/>
      <c r="F89" s="487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</row>
    <row r="90" spans="1:988" s="151" customFormat="1">
      <c r="A90" s="187" t="s">
        <v>282</v>
      </c>
      <c r="B90" s="146"/>
      <c r="C90" s="147"/>
      <c r="D90" s="486"/>
      <c r="E90" s="282"/>
      <c r="F90" s="487"/>
    </row>
    <row r="91" spans="1:988">
      <c r="A91" s="293" t="s">
        <v>283</v>
      </c>
      <c r="B91" s="305">
        <v>2815</v>
      </c>
      <c r="C91" s="306">
        <v>5285</v>
      </c>
      <c r="D91" s="495"/>
      <c r="E91" s="4"/>
      <c r="F91" s="487">
        <v>45699</v>
      </c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</row>
    <row r="92" spans="1:988">
      <c r="A92" s="293" t="s">
        <v>284</v>
      </c>
      <c r="B92" s="305">
        <v>2783</v>
      </c>
      <c r="C92" s="306">
        <v>5285</v>
      </c>
      <c r="D92" s="495"/>
      <c r="E92" s="4"/>
      <c r="F92" s="487">
        <v>45699</v>
      </c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</row>
    <row r="93" spans="1:988">
      <c r="A93" s="293" t="s">
        <v>285</v>
      </c>
      <c r="B93" s="305">
        <v>2729</v>
      </c>
      <c r="C93" s="306">
        <v>5285</v>
      </c>
      <c r="D93" s="495" t="s">
        <v>286</v>
      </c>
      <c r="E93" s="4"/>
      <c r="F93" s="487">
        <v>45699</v>
      </c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</row>
    <row r="94" spans="1:988">
      <c r="A94" s="4" t="s">
        <v>287</v>
      </c>
      <c r="B94" s="305">
        <v>2746</v>
      </c>
      <c r="C94" s="306">
        <v>5285</v>
      </c>
      <c r="D94" s="495"/>
      <c r="E94" s="4"/>
      <c r="F94" s="487">
        <v>45699</v>
      </c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</row>
    <row r="95" spans="1:988">
      <c r="A95" s="293" t="s">
        <v>288</v>
      </c>
      <c r="B95" s="305">
        <v>2690</v>
      </c>
      <c r="C95" s="306">
        <v>5285</v>
      </c>
      <c r="D95" s="495"/>
      <c r="E95" s="4"/>
      <c r="F95" s="487">
        <v>45699</v>
      </c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</row>
    <row r="96" spans="1:988">
      <c r="A96" s="293" t="s">
        <v>289</v>
      </c>
      <c r="B96" s="305">
        <v>2871</v>
      </c>
      <c r="C96" s="306">
        <v>5285</v>
      </c>
      <c r="D96" s="495"/>
      <c r="E96" s="4"/>
      <c r="F96" s="487">
        <v>45699</v>
      </c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</row>
    <row r="97" spans="1:988">
      <c r="A97" s="311" t="s">
        <v>290</v>
      </c>
      <c r="B97" s="305">
        <v>2799</v>
      </c>
      <c r="C97" s="306">
        <v>5285</v>
      </c>
      <c r="D97" s="495"/>
      <c r="E97" s="4"/>
      <c r="F97" s="487">
        <v>45699</v>
      </c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</row>
    <row r="98" spans="1:988">
      <c r="B98" s="259"/>
      <c r="C98" s="260"/>
      <c r="D98" s="493"/>
      <c r="E98" s="282"/>
      <c r="F98" s="487">
        <v>45699</v>
      </c>
    </row>
    <row r="99" spans="1:988" s="151" customFormat="1">
      <c r="A99" s="134" t="s">
        <v>291</v>
      </c>
      <c r="B99" s="240"/>
      <c r="C99" s="241"/>
      <c r="D99" s="241"/>
      <c r="E99" s="282"/>
      <c r="F99" s="487"/>
    </row>
    <row r="100" spans="1:988">
      <c r="A100" s="387" t="s">
        <v>292</v>
      </c>
      <c r="B100" s="305">
        <v>2871</v>
      </c>
      <c r="C100" s="306">
        <v>5015</v>
      </c>
      <c r="D100" s="495" t="s">
        <v>293</v>
      </c>
      <c r="E100" s="4"/>
      <c r="F100" s="487">
        <v>45699</v>
      </c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</row>
    <row r="101" spans="1:988">
      <c r="A101" s="293" t="s">
        <v>294</v>
      </c>
      <c r="B101" s="305">
        <v>2673</v>
      </c>
      <c r="C101" s="306">
        <v>5295</v>
      </c>
      <c r="D101" s="495"/>
      <c r="E101" s="4"/>
      <c r="F101" s="487">
        <v>45699</v>
      </c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</row>
    <row r="102" spans="1:988">
      <c r="A102" s="282" t="s">
        <v>295</v>
      </c>
      <c r="B102" s="305">
        <v>2846</v>
      </c>
      <c r="C102" s="306">
        <v>5295</v>
      </c>
      <c r="D102" s="495"/>
      <c r="E102" s="4"/>
      <c r="F102" s="487">
        <v>45699</v>
      </c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</row>
    <row r="103" spans="1:988">
      <c r="A103" s="293" t="s">
        <v>296</v>
      </c>
      <c r="B103" s="349">
        <v>2823</v>
      </c>
      <c r="C103" s="344">
        <v>5295</v>
      </c>
      <c r="D103" s="496"/>
      <c r="E103" s="4"/>
      <c r="F103" s="487">
        <v>45699</v>
      </c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</row>
    <row r="104" spans="1:988">
      <c r="A104" s="293" t="s">
        <v>297</v>
      </c>
      <c r="B104" s="305">
        <v>2673</v>
      </c>
      <c r="C104" s="306">
        <v>5295</v>
      </c>
      <c r="D104" s="495"/>
      <c r="E104" s="4"/>
      <c r="F104" s="487">
        <v>45699</v>
      </c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</row>
    <row r="105" spans="1:988">
      <c r="B105" s="329"/>
      <c r="C105" s="330"/>
      <c r="D105" s="497"/>
      <c r="E105" s="4"/>
      <c r="F105" s="487">
        <v>45699</v>
      </c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</row>
    <row r="106" spans="1:988" s="151" customFormat="1">
      <c r="A106" s="133" t="s">
        <v>298</v>
      </c>
      <c r="B106" s="240"/>
      <c r="C106" s="241"/>
      <c r="D106" s="241"/>
      <c r="E106" s="282"/>
      <c r="F106" s="487"/>
    </row>
    <row r="107" spans="1:988">
      <c r="A107" s="352" t="s">
        <v>299</v>
      </c>
      <c r="B107" s="349">
        <v>2868</v>
      </c>
      <c r="C107" s="344">
        <v>3355</v>
      </c>
      <c r="D107" s="496"/>
      <c r="E107" s="4"/>
      <c r="F107" s="487">
        <v>45699</v>
      </c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</row>
    <row r="108" spans="1:988" ht="15.75" customHeight="1">
      <c r="A108" s="151" t="s">
        <v>300</v>
      </c>
      <c r="B108" s="349">
        <v>2709</v>
      </c>
      <c r="C108" s="344">
        <v>3355</v>
      </c>
      <c r="D108" s="496"/>
      <c r="E108" s="4"/>
      <c r="F108" s="487">
        <v>45699</v>
      </c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</row>
    <row r="109" spans="1:988">
      <c r="A109" s="421" t="s">
        <v>301</v>
      </c>
      <c r="B109" s="349">
        <v>2752</v>
      </c>
      <c r="C109" s="344">
        <v>3355</v>
      </c>
      <c r="D109" s="496"/>
      <c r="E109" s="4"/>
      <c r="F109" s="487">
        <v>45699</v>
      </c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</row>
    <row r="110" spans="1:988">
      <c r="A110" s="421" t="s">
        <v>302</v>
      </c>
      <c r="B110" s="349">
        <v>2704</v>
      </c>
      <c r="C110" s="344">
        <v>3355</v>
      </c>
      <c r="D110" s="496"/>
      <c r="E110" s="99" t="s">
        <v>303</v>
      </c>
      <c r="F110" s="487">
        <v>45699</v>
      </c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</row>
    <row r="111" spans="1:988">
      <c r="A111" s="352" t="s">
        <v>304</v>
      </c>
      <c r="B111" s="349">
        <v>2873</v>
      </c>
      <c r="C111" s="344">
        <v>3355</v>
      </c>
      <c r="D111" s="496"/>
      <c r="E111" s="4"/>
      <c r="F111" s="487">
        <v>45699</v>
      </c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</row>
    <row r="112" spans="1:988">
      <c r="A112" s="352" t="s">
        <v>305</v>
      </c>
      <c r="B112" s="349">
        <v>2803</v>
      </c>
      <c r="C112" s="344">
        <f>3315+40</f>
        <v>3355</v>
      </c>
      <c r="D112" s="496"/>
      <c r="E112" s="4"/>
      <c r="F112" s="487">
        <v>45699</v>
      </c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</row>
    <row r="113" spans="1:988">
      <c r="A113" s="352" t="s">
        <v>306</v>
      </c>
      <c r="B113" s="349">
        <v>2765</v>
      </c>
      <c r="C113" s="344">
        <v>3355</v>
      </c>
      <c r="D113" s="496"/>
      <c r="E113" s="4"/>
      <c r="F113" s="487">
        <v>45699</v>
      </c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</row>
    <row r="114" spans="1:988">
      <c r="A114" s="293" t="s">
        <v>307</v>
      </c>
      <c r="B114" s="349">
        <v>2859</v>
      </c>
      <c r="C114" s="344">
        <v>3355</v>
      </c>
      <c r="D114" s="496"/>
      <c r="E114" s="4"/>
      <c r="F114" s="487">
        <v>45699</v>
      </c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</row>
    <row r="115" spans="1:988">
      <c r="A115" s="282" t="s">
        <v>308</v>
      </c>
      <c r="B115" s="172">
        <v>2679</v>
      </c>
      <c r="C115" s="173">
        <v>3355</v>
      </c>
      <c r="D115" s="489"/>
      <c r="E115" s="282"/>
      <c r="F115" s="487">
        <v>45699</v>
      </c>
    </row>
    <row r="116" spans="1:988">
      <c r="A116" s="264" t="s">
        <v>309</v>
      </c>
      <c r="B116" s="399">
        <v>2735</v>
      </c>
      <c r="C116" s="400">
        <v>3355</v>
      </c>
      <c r="D116" s="498"/>
      <c r="E116" s="4"/>
      <c r="F116" s="487">
        <v>45699</v>
      </c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</row>
    <row r="117" spans="1:988">
      <c r="B117" s="229"/>
      <c r="C117" s="230"/>
      <c r="D117" s="494"/>
      <c r="E117" s="282"/>
      <c r="F117" s="487">
        <v>45699</v>
      </c>
    </row>
    <row r="118" spans="1:988" s="151" customFormat="1">
      <c r="A118" s="133" t="s">
        <v>310</v>
      </c>
      <c r="B118" s="240"/>
      <c r="C118" s="241"/>
      <c r="D118" s="241"/>
      <c r="E118" s="282"/>
      <c r="F118" s="487"/>
    </row>
    <row r="119" spans="1:988">
      <c r="A119" s="293" t="s">
        <v>311</v>
      </c>
      <c r="B119" s="305">
        <v>2799</v>
      </c>
      <c r="C119" s="306">
        <v>1902</v>
      </c>
      <c r="D119" s="495"/>
      <c r="E119" s="4"/>
      <c r="F119" s="487">
        <v>45699</v>
      </c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</row>
    <row r="120" spans="1:988">
      <c r="A120" s="282" t="s">
        <v>312</v>
      </c>
      <c r="B120" s="329">
        <v>2681</v>
      </c>
      <c r="C120" s="306">
        <v>1902</v>
      </c>
      <c r="D120" s="495"/>
      <c r="E120" s="4"/>
      <c r="F120" s="487">
        <v>45699</v>
      </c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</row>
    <row r="121" spans="1:988">
      <c r="A121" s="282"/>
      <c r="B121" s="329"/>
      <c r="C121" s="330"/>
      <c r="D121" s="497"/>
      <c r="E121" s="4"/>
      <c r="F121" s="487">
        <v>45699</v>
      </c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</row>
    <row r="122" spans="1:988">
      <c r="A122" s="282"/>
      <c r="B122" s="259"/>
      <c r="C122" s="260"/>
      <c r="D122" s="493"/>
      <c r="E122" s="282"/>
      <c r="F122" s="487">
        <v>45699</v>
      </c>
    </row>
    <row r="123" spans="1:988">
      <c r="A123" s="414" t="s">
        <v>313</v>
      </c>
      <c r="B123" s="240"/>
      <c r="C123" s="241"/>
      <c r="D123" s="241"/>
      <c r="E123" s="4"/>
      <c r="F123" s="487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</row>
    <row r="124" spans="1:988">
      <c r="A124" s="169" t="s">
        <v>314</v>
      </c>
      <c r="B124" s="165">
        <v>2781</v>
      </c>
      <c r="C124" s="166">
        <v>4080</v>
      </c>
      <c r="D124" s="488"/>
      <c r="E124" s="4"/>
      <c r="F124" s="487">
        <v>45699</v>
      </c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</row>
    <row r="125" spans="1:988">
      <c r="A125" s="293" t="s">
        <v>315</v>
      </c>
      <c r="B125" s="305">
        <v>2865</v>
      </c>
      <c r="C125" s="306">
        <v>4080</v>
      </c>
      <c r="D125" s="495"/>
      <c r="E125" s="4"/>
      <c r="F125" s="487">
        <v>45699</v>
      </c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</row>
    <row r="126" spans="1:988">
      <c r="A126" s="293" t="s">
        <v>316</v>
      </c>
      <c r="B126" s="305">
        <v>2780</v>
      </c>
      <c r="C126" s="306">
        <v>4080</v>
      </c>
      <c r="D126" s="495"/>
      <c r="E126" s="4"/>
      <c r="F126" s="487">
        <v>45699</v>
      </c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</row>
    <row r="127" spans="1:988">
      <c r="A127" s="169" t="s">
        <v>317</v>
      </c>
      <c r="B127" s="165">
        <v>2788</v>
      </c>
      <c r="C127" s="166">
        <v>4080</v>
      </c>
      <c r="D127" s="488"/>
      <c r="E127" s="4"/>
      <c r="F127" s="487">
        <v>45699</v>
      </c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</row>
    <row r="128" spans="1:988" ht="30">
      <c r="A128" s="169" t="s">
        <v>318</v>
      </c>
      <c r="B128" s="165" t="s">
        <v>319</v>
      </c>
      <c r="C128" s="166">
        <f>2500+1550</f>
        <v>4050</v>
      </c>
      <c r="D128" s="488"/>
      <c r="E128" s="4"/>
      <c r="F128" s="487">
        <v>45699</v>
      </c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</row>
    <row r="129" spans="1:988">
      <c r="A129" s="169" t="s">
        <v>320</v>
      </c>
      <c r="B129" s="165">
        <v>2807</v>
      </c>
      <c r="C129" s="166">
        <v>4080</v>
      </c>
      <c r="D129" s="488"/>
      <c r="E129" s="4"/>
      <c r="F129" s="487">
        <v>45699</v>
      </c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</row>
    <row r="130" spans="1:988">
      <c r="A130" s="169" t="s">
        <v>321</v>
      </c>
      <c r="B130" s="165">
        <v>2875</v>
      </c>
      <c r="C130" s="166">
        <v>4080</v>
      </c>
      <c r="D130" s="488"/>
      <c r="E130" s="4"/>
      <c r="F130" s="487">
        <v>45699</v>
      </c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</row>
    <row r="131" spans="1:988">
      <c r="A131" s="169" t="s">
        <v>322</v>
      </c>
      <c r="B131" s="165">
        <v>2857</v>
      </c>
      <c r="C131" s="166">
        <v>4080</v>
      </c>
      <c r="D131" s="488"/>
      <c r="E131" s="4"/>
      <c r="F131" s="487">
        <v>45699</v>
      </c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</row>
    <row r="132" spans="1:988">
      <c r="A132" s="178"/>
      <c r="B132" s="146"/>
      <c r="C132" s="147"/>
      <c r="D132" s="486"/>
      <c r="E132" s="4"/>
      <c r="F132" s="487">
        <v>45699</v>
      </c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</row>
    <row r="133" spans="1:988">
      <c r="A133" s="414" t="s">
        <v>323</v>
      </c>
      <c r="B133" s="240"/>
      <c r="C133" s="241"/>
      <c r="D133" s="241"/>
      <c r="E133" s="4"/>
      <c r="F133" s="487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</row>
    <row r="134" spans="1:988">
      <c r="A134" s="169" t="s">
        <v>324</v>
      </c>
      <c r="B134" s="165">
        <v>2779</v>
      </c>
      <c r="C134" s="166">
        <v>4080</v>
      </c>
      <c r="D134" s="488"/>
      <c r="E134" s="4"/>
      <c r="F134" s="487">
        <v>45699</v>
      </c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</row>
    <row r="135" spans="1:988">
      <c r="A135" s="293" t="s">
        <v>325</v>
      </c>
      <c r="B135" s="165">
        <v>2630</v>
      </c>
      <c r="C135" s="166">
        <v>4080</v>
      </c>
      <c r="D135" s="488"/>
      <c r="E135" s="4"/>
      <c r="F135" s="487">
        <v>45699</v>
      </c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</row>
    <row r="136" spans="1:988">
      <c r="A136" s="178"/>
      <c r="B136" s="146"/>
      <c r="C136" s="147"/>
      <c r="D136" s="486"/>
      <c r="E136" s="4"/>
      <c r="F136" s="487">
        <v>45699</v>
      </c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</row>
    <row r="137" spans="1:988">
      <c r="A137" s="153" t="s">
        <v>326</v>
      </c>
      <c r="B137" s="240"/>
      <c r="C137" s="241"/>
      <c r="D137" s="241"/>
      <c r="E137" s="4"/>
      <c r="F137" s="48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</row>
    <row r="138" spans="1:988">
      <c r="A138" s="421" t="s">
        <v>327</v>
      </c>
      <c r="B138" s="305">
        <v>2836</v>
      </c>
      <c r="C138" s="306">
        <v>4090</v>
      </c>
      <c r="D138" s="495"/>
      <c r="E138" s="4"/>
      <c r="F138" s="487">
        <v>45699</v>
      </c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</row>
    <row r="139" spans="1:988">
      <c r="A139" s="421" t="s">
        <v>328</v>
      </c>
      <c r="B139" s="305">
        <v>2726</v>
      </c>
      <c r="C139" s="306">
        <v>4090</v>
      </c>
      <c r="D139" s="495"/>
      <c r="E139" s="4"/>
      <c r="F139" s="487">
        <v>45699</v>
      </c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</row>
    <row r="140" spans="1:988">
      <c r="A140" s="421" t="s">
        <v>329</v>
      </c>
      <c r="B140" s="305">
        <v>2824</v>
      </c>
      <c r="C140" s="306">
        <v>4090</v>
      </c>
      <c r="D140" s="495"/>
      <c r="E140" s="4"/>
      <c r="F140" s="487">
        <v>45699</v>
      </c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</row>
    <row r="141" spans="1:988">
      <c r="B141" s="329"/>
      <c r="C141" s="330"/>
      <c r="D141" s="497"/>
      <c r="E141" s="4"/>
      <c r="F141" s="487">
        <v>45699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</row>
    <row r="142" spans="1:988">
      <c r="A142" s="414" t="s">
        <v>330</v>
      </c>
      <c r="B142" s="240"/>
      <c r="C142" s="241"/>
      <c r="D142" s="241"/>
      <c r="E142" s="4"/>
      <c r="F142" s="487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</row>
    <row r="143" spans="1:988" ht="15.75" customHeight="1">
      <c r="A143" s="421" t="s">
        <v>331</v>
      </c>
      <c r="B143" s="305">
        <v>2742</v>
      </c>
      <c r="C143" s="306">
        <v>4190</v>
      </c>
      <c r="D143" s="495"/>
      <c r="E143" s="4"/>
      <c r="F143" s="487">
        <v>45699</v>
      </c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</row>
    <row r="144" spans="1:988">
      <c r="A144" s="421" t="s">
        <v>332</v>
      </c>
      <c r="B144" s="305">
        <v>2779</v>
      </c>
      <c r="C144" s="306">
        <v>4190</v>
      </c>
      <c r="D144" s="495"/>
      <c r="E144" s="4"/>
      <c r="F144" s="487">
        <v>45699</v>
      </c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</row>
    <row r="145" spans="1:988">
      <c r="A145" s="282" t="s">
        <v>333</v>
      </c>
      <c r="B145" s="305">
        <v>2860</v>
      </c>
      <c r="C145" s="306">
        <v>4190</v>
      </c>
      <c r="D145" s="495"/>
      <c r="E145" s="4"/>
      <c r="F145" s="487">
        <v>45699</v>
      </c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</row>
    <row r="146" spans="1:988">
      <c r="A146" s="421" t="s">
        <v>334</v>
      </c>
      <c r="B146" s="349">
        <v>2637</v>
      </c>
      <c r="C146" s="344">
        <v>3355</v>
      </c>
      <c r="D146" s="496"/>
      <c r="E146" s="4"/>
      <c r="F146" s="487">
        <v>45699</v>
      </c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</row>
    <row r="147" spans="1:988">
      <c r="B147" s="427"/>
      <c r="C147" s="428"/>
      <c r="D147" s="428"/>
      <c r="E147" s="4"/>
      <c r="F147" s="48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</row>
    <row r="148" spans="1:988" s="151" customFormat="1">
      <c r="A148" s="153" t="s">
        <v>335</v>
      </c>
      <c r="B148" s="240"/>
      <c r="C148" s="241"/>
      <c r="D148" s="241"/>
      <c r="E148" s="282"/>
      <c r="F148" s="487"/>
    </row>
    <row r="149" spans="1:988" ht="16.5" customHeight="1">
      <c r="A149" s="421" t="s">
        <v>336</v>
      </c>
      <c r="B149" s="305">
        <v>2648</v>
      </c>
      <c r="C149" s="306">
        <v>3620</v>
      </c>
      <c r="D149" s="495"/>
      <c r="E149" s="4"/>
      <c r="F149" s="487">
        <v>45699</v>
      </c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</row>
    <row r="150" spans="1:988">
      <c r="A150" s="352" t="s">
        <v>337</v>
      </c>
      <c r="B150" s="305">
        <v>2520</v>
      </c>
      <c r="C150" s="306">
        <v>3565</v>
      </c>
      <c r="D150" s="495" t="s">
        <v>338</v>
      </c>
      <c r="E150" s="4"/>
      <c r="F150" s="487">
        <v>45699</v>
      </c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</row>
    <row r="151" spans="1:988">
      <c r="B151" s="431"/>
      <c r="C151" s="13"/>
      <c r="D151" s="13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</row>
    <row r="153" spans="1:988">
      <c r="C153" s="435"/>
      <c r="D153" s="435"/>
    </row>
    <row r="154" spans="1:988"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</row>
    <row r="155" spans="1:988">
      <c r="B155" s="431"/>
      <c r="C155" s="13"/>
      <c r="D155" s="13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</row>
    <row r="156" spans="1:988">
      <c r="B156" s="431"/>
      <c r="C156" s="13"/>
      <c r="D156" s="13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</row>
    <row r="157" spans="1:988">
      <c r="B157" s="431"/>
      <c r="C157" s="13"/>
      <c r="D157" s="13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</row>
    <row r="158" spans="1:988">
      <c r="A158" s="442"/>
      <c r="B158" s="431"/>
      <c r="C158" s="13"/>
      <c r="D158" s="13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</row>
    <row r="159" spans="1:988">
      <c r="A159" s="444"/>
      <c r="B159" s="431"/>
      <c r="C159" s="13"/>
      <c r="D159" s="13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</row>
    <row r="160" spans="1:988">
      <c r="A160" s="445"/>
      <c r="B160" s="431"/>
      <c r="C160" s="13"/>
      <c r="D160" s="13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</row>
    <row r="161" spans="1:988">
      <c r="A161" s="447"/>
      <c r="B161" s="431"/>
      <c r="C161" s="13"/>
      <c r="D161" s="13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</row>
    <row r="162" spans="1:988">
      <c r="A162" s="447"/>
      <c r="B162" s="431"/>
      <c r="C162" s="13"/>
      <c r="D162" s="13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</row>
    <row r="163" spans="1:988">
      <c r="B163" s="431"/>
      <c r="C163" s="13"/>
      <c r="D163" s="1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</row>
    <row r="164" spans="1:988">
      <c r="A164" s="356"/>
      <c r="B164" s="431"/>
      <c r="C164" s="13"/>
      <c r="D164" s="13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</row>
    <row r="165" spans="1:988">
      <c r="A165" s="442"/>
      <c r="B165" s="431"/>
      <c r="C165" s="13"/>
      <c r="D165" s="13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</row>
    <row r="166" spans="1:988">
      <c r="B166" s="431"/>
      <c r="C166" s="13"/>
      <c r="D166" s="13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</row>
    <row r="167" spans="1:988">
      <c r="A167" s="449"/>
      <c r="B167" s="431"/>
      <c r="C167" s="13"/>
      <c r="D167" s="13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</row>
    <row r="168" spans="1:988">
      <c r="A168" s="356"/>
      <c r="B168" s="431"/>
      <c r="C168" s="13"/>
      <c r="D168" s="13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</row>
    <row r="169" spans="1:988">
      <c r="B169" s="431"/>
      <c r="C169" s="13"/>
      <c r="D169" s="1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</row>
    <row r="170" spans="1:988">
      <c r="B170" s="431"/>
      <c r="C170" s="13"/>
      <c r="D170" s="13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</row>
    <row r="171" spans="1:988">
      <c r="B171" s="431"/>
      <c r="C171" s="13"/>
      <c r="D171" s="13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</row>
    <row r="172" spans="1:988">
      <c r="B172" s="431"/>
      <c r="C172" s="13"/>
      <c r="D172" s="13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</row>
    <row r="173" spans="1:988">
      <c r="B173" s="431"/>
      <c r="C173" s="13"/>
      <c r="D173" s="1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</row>
    <row r="174" spans="1:988">
      <c r="B174" s="431"/>
      <c r="C174" s="13"/>
      <c r="D174" s="13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</row>
    <row r="177" spans="1:988" s="462" customFormat="1" ht="12.75">
      <c r="A177" s="454"/>
      <c r="B177" s="459"/>
      <c r="C177" s="458"/>
      <c r="D177" s="458"/>
    </row>
    <row r="179" spans="1:988">
      <c r="B179" s="431"/>
      <c r="C179" s="13"/>
      <c r="D179" s="13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</row>
  </sheetData>
  <mergeCells count="1">
    <mergeCell ref="A1:F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18AF5-D6E1-48E8-9A0D-0E8D51BA293D}">
  <dimension ref="A3:O66"/>
  <sheetViews>
    <sheetView topLeftCell="A3" workbookViewId="0">
      <selection activeCell="B9" sqref="B9"/>
    </sheetView>
  </sheetViews>
  <sheetFormatPr defaultColWidth="11.42578125" defaultRowHeight="15"/>
  <cols>
    <col min="2" max="2" width="41.140625" bestFit="1" customWidth="1"/>
    <col min="3" max="3" width="11.140625" customWidth="1"/>
    <col min="4" max="4" width="17.85546875" customWidth="1"/>
  </cols>
  <sheetData>
    <row r="3" spans="1:15" ht="30">
      <c r="B3" s="162" t="s">
        <v>310</v>
      </c>
      <c r="C3" s="162"/>
      <c r="D3" s="163" t="s">
        <v>339</v>
      </c>
      <c r="E3" s="291" t="s">
        <v>2</v>
      </c>
      <c r="F3" s="291" t="s">
        <v>4</v>
      </c>
      <c r="G3" s="291" t="s">
        <v>5</v>
      </c>
      <c r="H3" s="291" t="s">
        <v>6</v>
      </c>
      <c r="I3" s="291" t="s">
        <v>7</v>
      </c>
      <c r="J3" s="291" t="s">
        <v>8</v>
      </c>
      <c r="K3" s="291" t="s">
        <v>9</v>
      </c>
      <c r="L3" s="291" t="s">
        <v>10</v>
      </c>
      <c r="M3" s="291" t="s">
        <v>340</v>
      </c>
      <c r="N3" s="291" t="s">
        <v>341</v>
      </c>
      <c r="O3" s="291"/>
    </row>
    <row r="4" spans="1:15">
      <c r="A4">
        <v>1</v>
      </c>
      <c r="B4" s="175" t="s">
        <v>342</v>
      </c>
      <c r="C4" s="175"/>
      <c r="D4" s="175"/>
      <c r="E4" s="291">
        <v>1000</v>
      </c>
      <c r="F4" s="315">
        <v>1000</v>
      </c>
      <c r="G4" s="291"/>
      <c r="H4" s="291"/>
      <c r="I4" s="291"/>
      <c r="J4" s="291"/>
      <c r="K4" s="291"/>
      <c r="L4" s="291"/>
      <c r="M4" s="291"/>
      <c r="N4" s="291">
        <f>+E4+F4+G4+H4+I4+J4+K4+L4+M4</f>
        <v>2000</v>
      </c>
      <c r="O4" s="291"/>
    </row>
    <row r="5" spans="1:15">
      <c r="A5">
        <f>+A4+1</f>
        <v>2</v>
      </c>
      <c r="B5" s="565" t="s">
        <v>343</v>
      </c>
      <c r="C5" s="175"/>
      <c r="D5" s="175" t="s">
        <v>344</v>
      </c>
      <c r="E5" s="291"/>
      <c r="F5" s="291"/>
      <c r="G5" s="291"/>
      <c r="H5" s="291"/>
      <c r="I5" s="291"/>
      <c r="J5" s="291"/>
      <c r="K5" s="291"/>
      <c r="L5" s="291"/>
      <c r="M5" s="291"/>
      <c r="N5" s="291">
        <f t="shared" ref="N5:N28" si="0">+E5+F5+G5+H5+I5+J5+K5+L5+M5</f>
        <v>0</v>
      </c>
      <c r="O5" s="291"/>
    </row>
    <row r="6" spans="1:15">
      <c r="A6">
        <f t="shared" ref="A6:A28" si="1">+A5+1</f>
        <v>3</v>
      </c>
      <c r="B6" s="566" t="s">
        <v>311</v>
      </c>
      <c r="C6" s="567"/>
      <c r="D6" s="567" t="s">
        <v>345</v>
      </c>
      <c r="E6" s="291"/>
      <c r="F6" s="291"/>
      <c r="G6" s="291"/>
      <c r="H6" s="291"/>
      <c r="I6" s="291"/>
      <c r="J6" s="291"/>
      <c r="K6" s="291"/>
      <c r="L6" s="291"/>
      <c r="M6" s="291"/>
      <c r="N6" s="291">
        <f t="shared" si="0"/>
        <v>0</v>
      </c>
      <c r="O6" s="291"/>
    </row>
    <row r="7" spans="1:15">
      <c r="A7">
        <f t="shared" si="1"/>
        <v>4</v>
      </c>
      <c r="B7" s="565" t="s">
        <v>346</v>
      </c>
      <c r="C7" s="175"/>
      <c r="D7" s="175" t="s">
        <v>347</v>
      </c>
      <c r="E7" s="291"/>
      <c r="F7" s="291"/>
      <c r="G7" s="291"/>
      <c r="H7" s="291"/>
      <c r="I7" s="291"/>
      <c r="J7" s="291"/>
      <c r="K7" s="291"/>
      <c r="L7" s="291"/>
      <c r="M7" s="291"/>
      <c r="N7" s="291">
        <f t="shared" si="0"/>
        <v>0</v>
      </c>
      <c r="O7" s="291"/>
    </row>
    <row r="8" spans="1:15">
      <c r="A8">
        <f t="shared" si="1"/>
        <v>5</v>
      </c>
      <c r="B8" s="565" t="s">
        <v>312</v>
      </c>
      <c r="C8" s="175"/>
      <c r="D8" s="175" t="s">
        <v>348</v>
      </c>
      <c r="E8" s="291"/>
      <c r="F8" s="291"/>
      <c r="G8" s="291"/>
      <c r="H8" s="291"/>
      <c r="I8" s="291"/>
      <c r="J8" s="291"/>
      <c r="K8" s="291"/>
      <c r="L8" s="291"/>
      <c r="M8" s="291"/>
      <c r="N8" s="291">
        <f t="shared" si="0"/>
        <v>0</v>
      </c>
      <c r="O8" s="291"/>
    </row>
    <row r="9" spans="1:15">
      <c r="A9">
        <f t="shared" si="1"/>
        <v>6</v>
      </c>
      <c r="B9" s="565" t="s">
        <v>349</v>
      </c>
      <c r="C9" s="175"/>
      <c r="D9" s="175" t="s">
        <v>350</v>
      </c>
      <c r="E9" s="291"/>
      <c r="F9" s="291"/>
      <c r="G9" s="291"/>
      <c r="H9" s="291"/>
      <c r="I9" s="291"/>
      <c r="J9" s="291"/>
      <c r="K9" s="291"/>
      <c r="L9" s="291"/>
      <c r="M9" s="291"/>
      <c r="N9" s="291">
        <f t="shared" si="0"/>
        <v>0</v>
      </c>
      <c r="O9" s="291"/>
    </row>
    <row r="10" spans="1:15">
      <c r="A10">
        <f t="shared" si="1"/>
        <v>7</v>
      </c>
      <c r="B10" s="565" t="s">
        <v>351</v>
      </c>
      <c r="C10" s="175"/>
      <c r="D10" s="175" t="s">
        <v>352</v>
      </c>
      <c r="E10" s="291"/>
      <c r="F10" s="291"/>
      <c r="G10" s="291"/>
      <c r="H10" s="291"/>
      <c r="I10" s="291"/>
      <c r="J10" s="291"/>
      <c r="K10" s="291"/>
      <c r="L10" s="291"/>
      <c r="M10" s="291"/>
      <c r="N10" s="291">
        <f t="shared" si="0"/>
        <v>0</v>
      </c>
      <c r="O10" s="291"/>
    </row>
    <row r="11" spans="1:15">
      <c r="A11">
        <f t="shared" si="1"/>
        <v>8</v>
      </c>
      <c r="B11" s="567" t="s">
        <v>353</v>
      </c>
      <c r="C11" s="567"/>
      <c r="D11" s="567"/>
      <c r="E11" s="291"/>
      <c r="F11" s="291"/>
      <c r="G11" s="291"/>
      <c r="H11" s="291"/>
      <c r="I11" s="291"/>
      <c r="J11" s="291"/>
      <c r="K11" s="291"/>
      <c r="L11" s="291"/>
      <c r="M11" s="291"/>
      <c r="N11" s="291">
        <f t="shared" si="0"/>
        <v>0</v>
      </c>
      <c r="O11" s="291"/>
    </row>
    <row r="12" spans="1:15">
      <c r="A12">
        <f t="shared" si="1"/>
        <v>9</v>
      </c>
      <c r="B12" s="565" t="s">
        <v>354</v>
      </c>
      <c r="C12" s="175"/>
      <c r="D12" s="175" t="s">
        <v>355</v>
      </c>
      <c r="E12" s="291">
        <v>1000</v>
      </c>
      <c r="F12" s="291"/>
      <c r="G12" s="291"/>
      <c r="H12" s="291"/>
      <c r="I12" s="291"/>
      <c r="J12" s="291"/>
      <c r="K12" s="291"/>
      <c r="L12" s="291"/>
      <c r="M12" s="291"/>
      <c r="N12" s="291">
        <f t="shared" si="0"/>
        <v>1000</v>
      </c>
      <c r="O12" s="291"/>
    </row>
    <row r="13" spans="1:15">
      <c r="A13">
        <f t="shared" si="1"/>
        <v>10</v>
      </c>
      <c r="B13" s="566" t="s">
        <v>356</v>
      </c>
      <c r="C13" s="567"/>
      <c r="D13" s="567" t="s">
        <v>357</v>
      </c>
      <c r="E13" s="291">
        <v>1000</v>
      </c>
      <c r="F13" s="291"/>
      <c r="G13" s="291"/>
      <c r="H13" s="291"/>
      <c r="I13" s="291"/>
      <c r="J13" s="291"/>
      <c r="K13" s="291"/>
      <c r="L13" s="291"/>
      <c r="M13" s="291"/>
      <c r="N13" s="291">
        <f t="shared" si="0"/>
        <v>1000</v>
      </c>
      <c r="O13" s="291"/>
    </row>
    <row r="14" spans="1:15">
      <c r="A14">
        <f t="shared" si="1"/>
        <v>11</v>
      </c>
      <c r="B14" s="565" t="s">
        <v>358</v>
      </c>
      <c r="C14" s="175"/>
      <c r="D14" s="175" t="s">
        <v>359</v>
      </c>
      <c r="E14" s="291"/>
      <c r="F14" s="291"/>
      <c r="G14" s="291"/>
      <c r="H14" s="291"/>
      <c r="I14" s="291"/>
      <c r="J14" s="291"/>
      <c r="K14" s="291"/>
      <c r="L14" s="291"/>
      <c r="M14" s="291"/>
      <c r="N14" s="291">
        <f t="shared" si="0"/>
        <v>0</v>
      </c>
      <c r="O14" s="291"/>
    </row>
    <row r="15" spans="1:15">
      <c r="A15">
        <f t="shared" si="1"/>
        <v>12</v>
      </c>
      <c r="B15" s="565" t="s">
        <v>360</v>
      </c>
      <c r="C15" s="175"/>
      <c r="D15" s="175" t="s">
        <v>361</v>
      </c>
      <c r="E15" s="291">
        <v>1000</v>
      </c>
      <c r="F15" s="291">
        <v>1000</v>
      </c>
      <c r="G15" s="291">
        <v>1000</v>
      </c>
      <c r="H15" s="291"/>
      <c r="I15" s="291"/>
      <c r="J15" s="291"/>
      <c r="K15" s="291"/>
      <c r="L15" s="291"/>
      <c r="M15" s="291"/>
      <c r="N15" s="291">
        <f t="shared" si="0"/>
        <v>3000</v>
      </c>
      <c r="O15" s="291"/>
    </row>
    <row r="16" spans="1:15">
      <c r="A16">
        <f t="shared" si="1"/>
        <v>13</v>
      </c>
      <c r="B16" s="567" t="s">
        <v>362</v>
      </c>
      <c r="C16" s="567"/>
      <c r="D16" s="567" t="s">
        <v>363</v>
      </c>
      <c r="E16" s="291"/>
      <c r="F16" s="291"/>
      <c r="G16" s="291"/>
      <c r="H16" s="291"/>
      <c r="I16" s="291"/>
      <c r="J16" s="291"/>
      <c r="K16" s="291"/>
      <c r="L16" s="291"/>
      <c r="M16" s="291"/>
      <c r="N16" s="291">
        <f t="shared" si="0"/>
        <v>0</v>
      </c>
      <c r="O16" s="291"/>
    </row>
    <row r="17" spans="1:15">
      <c r="A17">
        <f t="shared" si="1"/>
        <v>14</v>
      </c>
      <c r="B17" s="175" t="s">
        <v>364</v>
      </c>
      <c r="C17" s="175"/>
      <c r="D17" s="175"/>
      <c r="E17" s="291"/>
      <c r="F17" s="291"/>
      <c r="G17" s="291"/>
      <c r="H17" s="291"/>
      <c r="I17" s="291"/>
      <c r="J17" s="291"/>
      <c r="K17" s="291"/>
      <c r="L17" s="291"/>
      <c r="M17" s="291"/>
      <c r="N17" s="291">
        <f t="shared" si="0"/>
        <v>0</v>
      </c>
      <c r="O17" s="291"/>
    </row>
    <row r="18" spans="1:15">
      <c r="A18">
        <f t="shared" si="1"/>
        <v>15</v>
      </c>
      <c r="B18" s="566" t="s">
        <v>365</v>
      </c>
      <c r="C18" s="567"/>
      <c r="D18" s="567" t="s">
        <v>359</v>
      </c>
      <c r="E18" s="291"/>
      <c r="F18" s="291"/>
      <c r="G18" s="291"/>
      <c r="H18" s="291"/>
      <c r="I18" s="291"/>
      <c r="J18" s="291"/>
      <c r="K18" s="291"/>
      <c r="L18" s="291"/>
      <c r="M18" s="291"/>
      <c r="N18" s="291">
        <f t="shared" si="0"/>
        <v>0</v>
      </c>
      <c r="O18" s="291"/>
    </row>
    <row r="19" spans="1:15">
      <c r="A19">
        <f t="shared" si="1"/>
        <v>16</v>
      </c>
      <c r="B19" s="566" t="s">
        <v>366</v>
      </c>
      <c r="C19" s="567"/>
      <c r="D19" s="567" t="s">
        <v>367</v>
      </c>
      <c r="E19" s="291">
        <v>1000</v>
      </c>
      <c r="F19" s="291"/>
      <c r="G19" s="291"/>
      <c r="H19" s="291"/>
      <c r="I19" s="291"/>
      <c r="J19" s="291"/>
      <c r="K19" s="291"/>
      <c r="L19" s="291"/>
      <c r="M19" s="291"/>
      <c r="N19" s="291">
        <f t="shared" si="0"/>
        <v>1000</v>
      </c>
      <c r="O19" s="291"/>
    </row>
    <row r="20" spans="1:15">
      <c r="A20">
        <f t="shared" si="1"/>
        <v>17</v>
      </c>
      <c r="B20" s="566" t="s">
        <v>368</v>
      </c>
      <c r="C20" s="567"/>
      <c r="D20" s="567" t="s">
        <v>369</v>
      </c>
      <c r="E20" s="291">
        <v>1000</v>
      </c>
      <c r="F20" s="291"/>
      <c r="G20" s="291"/>
      <c r="H20" s="291"/>
      <c r="I20" s="291"/>
      <c r="J20" s="291"/>
      <c r="K20" s="291"/>
      <c r="L20" s="291"/>
      <c r="M20" s="291"/>
      <c r="N20" s="291">
        <f t="shared" si="0"/>
        <v>1000</v>
      </c>
      <c r="O20" s="291"/>
    </row>
    <row r="21" spans="1:15">
      <c r="A21">
        <f t="shared" si="1"/>
        <v>18</v>
      </c>
      <c r="B21" s="175" t="s">
        <v>370</v>
      </c>
      <c r="C21" s="175"/>
      <c r="D21" s="175"/>
      <c r="E21" s="291"/>
      <c r="F21" s="291"/>
      <c r="G21" s="291"/>
      <c r="H21" s="291"/>
      <c r="I21" s="291"/>
      <c r="J21" s="291"/>
      <c r="K21" s="291"/>
      <c r="L21" s="291"/>
      <c r="M21" s="291"/>
      <c r="N21" s="291">
        <f t="shared" si="0"/>
        <v>0</v>
      </c>
      <c r="O21" s="291"/>
    </row>
    <row r="22" spans="1:15">
      <c r="A22">
        <f t="shared" si="1"/>
        <v>19</v>
      </c>
      <c r="B22" s="567" t="s">
        <v>371</v>
      </c>
      <c r="C22" s="567"/>
      <c r="D22" s="567" t="s">
        <v>372</v>
      </c>
      <c r="E22" s="291">
        <v>1000</v>
      </c>
      <c r="F22" s="291"/>
      <c r="G22" s="291"/>
      <c r="H22" s="291"/>
      <c r="I22" s="291"/>
      <c r="J22" s="291"/>
      <c r="K22" s="291"/>
      <c r="L22" s="291"/>
      <c r="M22" s="291"/>
      <c r="N22" s="291">
        <f t="shared" si="0"/>
        <v>1000</v>
      </c>
      <c r="O22" s="291"/>
    </row>
    <row r="23" spans="1:15">
      <c r="A23">
        <f t="shared" si="1"/>
        <v>20</v>
      </c>
      <c r="B23" s="566" t="s">
        <v>373</v>
      </c>
      <c r="C23" s="567"/>
      <c r="D23" s="567" t="s">
        <v>374</v>
      </c>
      <c r="E23" s="291">
        <v>1000</v>
      </c>
      <c r="F23" s="291"/>
      <c r="G23" s="291"/>
      <c r="H23" s="291"/>
      <c r="I23" s="291"/>
      <c r="J23" s="291"/>
      <c r="K23" s="291"/>
      <c r="L23" s="291"/>
      <c r="M23" s="291"/>
      <c r="N23" s="291">
        <f t="shared" si="0"/>
        <v>1000</v>
      </c>
      <c r="O23" s="291"/>
    </row>
    <row r="24" spans="1:15">
      <c r="A24">
        <f t="shared" si="1"/>
        <v>21</v>
      </c>
      <c r="B24" s="566" t="s">
        <v>375</v>
      </c>
      <c r="C24" s="567"/>
      <c r="D24" s="567" t="s">
        <v>359</v>
      </c>
      <c r="E24" s="291"/>
      <c r="F24" s="291"/>
      <c r="G24" s="291"/>
      <c r="H24" s="291"/>
      <c r="I24" s="291"/>
      <c r="J24" s="291"/>
      <c r="K24" s="291"/>
      <c r="L24" s="291"/>
      <c r="M24" s="291"/>
      <c r="N24" s="291">
        <f t="shared" si="0"/>
        <v>0</v>
      </c>
      <c r="O24" s="291"/>
    </row>
    <row r="25" spans="1:15">
      <c r="A25">
        <f t="shared" si="1"/>
        <v>22</v>
      </c>
      <c r="B25" s="566" t="s">
        <v>376</v>
      </c>
      <c r="C25" s="567"/>
      <c r="D25" s="567" t="s">
        <v>359</v>
      </c>
      <c r="E25" s="291">
        <v>1000</v>
      </c>
      <c r="F25" s="291"/>
      <c r="G25" s="291"/>
      <c r="H25" s="291"/>
      <c r="I25" s="291"/>
      <c r="J25" s="291"/>
      <c r="K25" s="291"/>
      <c r="L25" s="291"/>
      <c r="M25" s="291"/>
      <c r="N25" s="291">
        <f t="shared" si="0"/>
        <v>1000</v>
      </c>
      <c r="O25" s="291"/>
    </row>
    <row r="26" spans="1:15">
      <c r="A26">
        <f t="shared" si="1"/>
        <v>23</v>
      </c>
      <c r="B26" s="565" t="s">
        <v>377</v>
      </c>
      <c r="C26" s="175"/>
      <c r="D26" s="175" t="s">
        <v>378</v>
      </c>
      <c r="E26" s="291">
        <v>1000</v>
      </c>
      <c r="F26" s="291"/>
      <c r="G26" s="291"/>
      <c r="H26" s="291"/>
      <c r="I26" s="291"/>
      <c r="J26" s="291"/>
      <c r="K26" s="291"/>
      <c r="L26" s="291"/>
      <c r="M26" s="291"/>
      <c r="N26" s="291">
        <f t="shared" si="0"/>
        <v>1000</v>
      </c>
      <c r="O26" s="291"/>
    </row>
    <row r="27" spans="1:15">
      <c r="A27">
        <f t="shared" si="1"/>
        <v>24</v>
      </c>
      <c r="B27" s="567" t="s">
        <v>379</v>
      </c>
      <c r="C27" s="567"/>
      <c r="D27" s="567"/>
      <c r="E27" s="291">
        <v>1000</v>
      </c>
      <c r="F27" s="291"/>
      <c r="G27" s="291"/>
      <c r="H27" s="291"/>
      <c r="I27" s="291"/>
      <c r="J27" s="291"/>
      <c r="K27" s="291"/>
      <c r="L27" s="291"/>
      <c r="M27" s="291"/>
      <c r="N27" s="291">
        <f t="shared" si="0"/>
        <v>1000</v>
      </c>
      <c r="O27" s="291"/>
    </row>
    <row r="28" spans="1:15">
      <c r="A28">
        <f t="shared" si="1"/>
        <v>25</v>
      </c>
      <c r="B28" s="566" t="s">
        <v>380</v>
      </c>
      <c r="C28" s="567"/>
      <c r="D28" s="567" t="s">
        <v>381</v>
      </c>
      <c r="E28" s="291"/>
      <c r="F28" s="291"/>
      <c r="G28" s="291"/>
      <c r="H28" s="291"/>
      <c r="I28" s="291"/>
      <c r="J28" s="291"/>
      <c r="K28" s="291"/>
      <c r="L28" s="291"/>
      <c r="M28" s="291"/>
      <c r="N28" s="291">
        <f t="shared" si="0"/>
        <v>0</v>
      </c>
      <c r="O28" s="291"/>
    </row>
    <row r="29" spans="1:15">
      <c r="B29" s="175"/>
      <c r="C29" s="175"/>
      <c r="D29" s="175"/>
      <c r="E29" s="291"/>
      <c r="F29" s="291"/>
      <c r="G29" s="291"/>
      <c r="H29" s="291"/>
      <c r="I29" s="291"/>
      <c r="J29" s="291"/>
      <c r="K29" s="291"/>
      <c r="L29" s="291"/>
      <c r="M29" s="291"/>
      <c r="N29" s="291"/>
      <c r="O29" s="291"/>
    </row>
    <row r="30" spans="1:15">
      <c r="B30" s="291" t="s">
        <v>382</v>
      </c>
      <c r="C30" s="291"/>
      <c r="D30" s="291"/>
      <c r="E30" s="291">
        <f>SUM(E4:E29)</f>
        <v>11000</v>
      </c>
      <c r="F30" s="291">
        <f>SUM(F4:F29)</f>
        <v>2000</v>
      </c>
      <c r="G30" s="291"/>
      <c r="H30" s="291"/>
      <c r="I30" s="291"/>
      <c r="J30" s="291"/>
      <c r="K30" s="291"/>
      <c r="L30" s="291"/>
      <c r="M30" s="291"/>
      <c r="N30" s="291">
        <f>SUM(N4:N29)</f>
        <v>14000</v>
      </c>
      <c r="O30" s="291"/>
    </row>
    <row r="31" spans="1:15">
      <c r="B31" s="291"/>
      <c r="C31" s="291"/>
      <c r="D31" s="291"/>
      <c r="E31" s="291"/>
      <c r="F31" s="291"/>
      <c r="G31" s="291"/>
      <c r="H31" s="291"/>
      <c r="I31" s="291"/>
      <c r="J31" s="291"/>
      <c r="K31" s="291"/>
      <c r="L31" s="291"/>
      <c r="M31" s="291"/>
      <c r="N31" s="291"/>
      <c r="O31" s="291"/>
    </row>
    <row r="32" spans="1:15" ht="30">
      <c r="B32" s="162" t="s">
        <v>335</v>
      </c>
      <c r="C32" s="162"/>
      <c r="D32" s="163" t="s">
        <v>339</v>
      </c>
      <c r="E32" s="291"/>
      <c r="F32" s="291"/>
      <c r="G32" s="291"/>
      <c r="H32" s="291"/>
      <c r="I32" s="291"/>
      <c r="J32" s="291"/>
      <c r="K32" s="291"/>
      <c r="L32" s="291"/>
      <c r="M32" s="291"/>
      <c r="N32" s="291"/>
      <c r="O32" s="291"/>
    </row>
    <row r="33" spans="1:15">
      <c r="A33">
        <v>1</v>
      </c>
      <c r="B33" s="565" t="s">
        <v>383</v>
      </c>
      <c r="C33" s="175"/>
      <c r="D33" s="175" t="s">
        <v>378</v>
      </c>
      <c r="E33" s="291"/>
      <c r="F33" s="291"/>
      <c r="G33" s="291"/>
      <c r="H33" s="291"/>
      <c r="I33" s="291"/>
      <c r="J33" s="291"/>
      <c r="K33" s="291"/>
      <c r="L33" s="291"/>
      <c r="M33" s="291"/>
      <c r="N33" s="291">
        <f>+E33+F33+G33+H33+I33+J33+K33+L33+M33</f>
        <v>0</v>
      </c>
      <c r="O33" s="291"/>
    </row>
    <row r="34" spans="1:15">
      <c r="A34">
        <f>+A33+1</f>
        <v>2</v>
      </c>
      <c r="B34" s="565" t="s">
        <v>384</v>
      </c>
      <c r="C34" s="175"/>
      <c r="D34" s="175" t="s">
        <v>385</v>
      </c>
      <c r="E34" s="291"/>
      <c r="F34" s="291"/>
      <c r="G34" s="291"/>
      <c r="H34" s="291"/>
      <c r="I34" s="291"/>
      <c r="J34" s="291"/>
      <c r="K34" s="291"/>
      <c r="L34" s="291"/>
      <c r="M34" s="291"/>
      <c r="N34" s="291">
        <f t="shared" ref="N34:N59" si="2">+E34+F34+G34+H34+I34+J34+K34+L34+M34</f>
        <v>0</v>
      </c>
      <c r="O34" s="291"/>
    </row>
    <row r="35" spans="1:15">
      <c r="A35">
        <f t="shared" ref="A35:A60" si="3">+A34+1</f>
        <v>3</v>
      </c>
      <c r="B35" s="175" t="s">
        <v>386</v>
      </c>
      <c r="C35" s="175"/>
      <c r="D35" s="175" t="s">
        <v>387</v>
      </c>
      <c r="E35" s="291">
        <v>1000</v>
      </c>
      <c r="F35" s="291"/>
      <c r="G35" s="291"/>
      <c r="H35" s="291"/>
      <c r="I35" s="291"/>
      <c r="J35" s="291"/>
      <c r="K35" s="291"/>
      <c r="L35" s="291"/>
      <c r="M35" s="291"/>
      <c r="N35" s="291">
        <f t="shared" si="2"/>
        <v>1000</v>
      </c>
      <c r="O35" s="291"/>
    </row>
    <row r="36" spans="1:15">
      <c r="A36">
        <f t="shared" si="3"/>
        <v>4</v>
      </c>
      <c r="B36" s="175" t="s">
        <v>388</v>
      </c>
      <c r="C36" s="175"/>
      <c r="D36" s="175" t="s">
        <v>387</v>
      </c>
      <c r="E36" s="291">
        <v>1000</v>
      </c>
      <c r="F36" s="291"/>
      <c r="G36" s="291"/>
      <c r="H36" s="291"/>
      <c r="I36" s="291"/>
      <c r="J36" s="291"/>
      <c r="K36" s="291"/>
      <c r="L36" s="291"/>
      <c r="M36" s="291"/>
      <c r="N36" s="291">
        <f t="shared" si="2"/>
        <v>1000</v>
      </c>
      <c r="O36" s="291"/>
    </row>
    <row r="37" spans="1:15">
      <c r="A37">
        <f t="shared" si="3"/>
        <v>5</v>
      </c>
      <c r="B37" s="566" t="s">
        <v>389</v>
      </c>
      <c r="C37" s="567"/>
      <c r="D37" s="567" t="s">
        <v>390</v>
      </c>
      <c r="E37" s="291"/>
      <c r="F37" s="291"/>
      <c r="G37" s="291"/>
      <c r="H37" s="291"/>
      <c r="I37" s="291"/>
      <c r="J37" s="291"/>
      <c r="K37" s="291"/>
      <c r="L37" s="291"/>
      <c r="M37" s="291"/>
      <c r="N37" s="291">
        <f t="shared" si="2"/>
        <v>0</v>
      </c>
      <c r="O37" s="291"/>
    </row>
    <row r="38" spans="1:15">
      <c r="A38">
        <f t="shared" si="3"/>
        <v>6</v>
      </c>
      <c r="B38" s="565" t="s">
        <v>391</v>
      </c>
      <c r="C38" s="175"/>
      <c r="D38" s="175" t="s">
        <v>392</v>
      </c>
      <c r="E38" s="291"/>
      <c r="F38" s="291"/>
      <c r="G38" s="291"/>
      <c r="H38" s="291"/>
      <c r="I38" s="291"/>
      <c r="J38" s="291"/>
      <c r="K38" s="291"/>
      <c r="L38" s="291"/>
      <c r="M38" s="291"/>
      <c r="N38" s="291">
        <f t="shared" si="2"/>
        <v>0</v>
      </c>
      <c r="O38" s="291"/>
    </row>
    <row r="39" spans="1:15">
      <c r="A39">
        <f t="shared" si="3"/>
        <v>7</v>
      </c>
      <c r="B39" s="175" t="s">
        <v>393</v>
      </c>
      <c r="C39" s="175"/>
      <c r="D39" s="175" t="s">
        <v>394</v>
      </c>
      <c r="E39" s="291"/>
      <c r="F39" s="291"/>
      <c r="G39" s="291"/>
      <c r="H39" s="291"/>
      <c r="I39" s="291"/>
      <c r="J39" s="291"/>
      <c r="K39" s="291"/>
      <c r="L39" s="291"/>
      <c r="M39" s="291"/>
      <c r="N39" s="291">
        <f t="shared" si="2"/>
        <v>0</v>
      </c>
      <c r="O39" s="291"/>
    </row>
    <row r="40" spans="1:15">
      <c r="A40">
        <f t="shared" si="3"/>
        <v>8</v>
      </c>
      <c r="B40" s="565" t="s">
        <v>395</v>
      </c>
      <c r="C40" s="175"/>
      <c r="D40" s="175" t="s">
        <v>396</v>
      </c>
      <c r="E40" s="291">
        <v>1000</v>
      </c>
      <c r="F40" s="291">
        <v>1000</v>
      </c>
      <c r="G40" s="291"/>
      <c r="H40" s="291"/>
      <c r="I40" s="291"/>
      <c r="J40" s="291"/>
      <c r="K40" s="291"/>
      <c r="L40" s="291"/>
      <c r="M40" s="291"/>
      <c r="N40" s="291">
        <f t="shared" si="2"/>
        <v>2000</v>
      </c>
      <c r="O40" s="291"/>
    </row>
    <row r="41" spans="1:15">
      <c r="A41">
        <f t="shared" si="3"/>
        <v>9</v>
      </c>
      <c r="B41" s="565" t="s">
        <v>397</v>
      </c>
      <c r="C41" s="175"/>
      <c r="D41" s="175" t="s">
        <v>398</v>
      </c>
      <c r="E41" s="291"/>
      <c r="F41" s="291"/>
      <c r="G41" s="291"/>
      <c r="H41" s="291"/>
      <c r="I41" s="291"/>
      <c r="J41" s="291"/>
      <c r="K41" s="291"/>
      <c r="L41" s="291"/>
      <c r="M41" s="291"/>
      <c r="N41" s="291">
        <f t="shared" si="2"/>
        <v>0</v>
      </c>
      <c r="O41" s="291"/>
    </row>
    <row r="42" spans="1:15">
      <c r="A42">
        <f t="shared" si="3"/>
        <v>10</v>
      </c>
      <c r="B42" s="565" t="s">
        <v>399</v>
      </c>
      <c r="C42" s="175"/>
      <c r="D42" s="175" t="s">
        <v>357</v>
      </c>
      <c r="E42" s="291">
        <v>1000</v>
      </c>
      <c r="F42" s="291">
        <v>1000</v>
      </c>
      <c r="G42" s="291"/>
      <c r="H42" s="291"/>
      <c r="I42" s="291"/>
      <c r="J42" s="291"/>
      <c r="K42" s="291"/>
      <c r="L42" s="291"/>
      <c r="M42" s="291"/>
      <c r="N42" s="291">
        <f t="shared" si="2"/>
        <v>2000</v>
      </c>
      <c r="O42" s="291"/>
    </row>
    <row r="43" spans="1:15">
      <c r="A43">
        <f t="shared" si="3"/>
        <v>11</v>
      </c>
      <c r="B43" s="175" t="s">
        <v>400</v>
      </c>
      <c r="C43" s="175"/>
      <c r="D43" s="175"/>
      <c r="E43" s="291"/>
      <c r="F43" s="291"/>
      <c r="G43" s="291"/>
      <c r="H43" s="291"/>
      <c r="I43" s="291"/>
      <c r="J43" s="291"/>
      <c r="K43" s="291"/>
      <c r="L43" s="291"/>
      <c r="M43" s="291"/>
      <c r="N43" s="291">
        <f t="shared" si="2"/>
        <v>0</v>
      </c>
      <c r="O43" s="291"/>
    </row>
    <row r="44" spans="1:15">
      <c r="A44">
        <f t="shared" si="3"/>
        <v>12</v>
      </c>
      <c r="B44" s="565" t="s">
        <v>401</v>
      </c>
      <c r="C44" s="175"/>
      <c r="D44" s="175"/>
      <c r="E44" s="291"/>
      <c r="F44" s="291"/>
      <c r="G44" s="291"/>
      <c r="H44" s="291"/>
      <c r="I44" s="291"/>
      <c r="J44" s="291"/>
      <c r="K44" s="291"/>
      <c r="L44" s="291"/>
      <c r="M44" s="291"/>
      <c r="N44" s="291">
        <f t="shared" si="2"/>
        <v>0</v>
      </c>
      <c r="O44" s="291"/>
    </row>
    <row r="45" spans="1:15">
      <c r="A45">
        <f t="shared" si="3"/>
        <v>13</v>
      </c>
      <c r="B45" s="175" t="s">
        <v>402</v>
      </c>
      <c r="C45" s="175"/>
      <c r="D45" s="175"/>
      <c r="E45" s="291"/>
      <c r="F45" s="291"/>
      <c r="G45" s="291"/>
      <c r="H45" s="291"/>
      <c r="I45" s="291"/>
      <c r="J45" s="291"/>
      <c r="K45" s="291"/>
      <c r="L45" s="291"/>
      <c r="M45" s="291"/>
      <c r="N45" s="291">
        <f t="shared" si="2"/>
        <v>0</v>
      </c>
      <c r="O45" s="291"/>
    </row>
    <row r="46" spans="1:15">
      <c r="A46">
        <f t="shared" si="3"/>
        <v>14</v>
      </c>
      <c r="B46" s="175" t="s">
        <v>403</v>
      </c>
      <c r="C46" s="175"/>
      <c r="D46" s="175"/>
      <c r="E46" s="291"/>
      <c r="F46" s="291"/>
      <c r="G46" s="291"/>
      <c r="H46" s="291"/>
      <c r="I46" s="291"/>
      <c r="J46" s="291"/>
      <c r="K46" s="291"/>
      <c r="L46" s="291"/>
      <c r="M46" s="291"/>
      <c r="N46" s="291">
        <f t="shared" si="2"/>
        <v>0</v>
      </c>
      <c r="O46" s="291"/>
    </row>
    <row r="47" spans="1:15">
      <c r="A47">
        <f t="shared" si="3"/>
        <v>15</v>
      </c>
      <c r="B47" s="565" t="s">
        <v>404</v>
      </c>
      <c r="C47" s="175"/>
      <c r="D47" s="175" t="s">
        <v>378</v>
      </c>
      <c r="E47" s="291"/>
      <c r="F47" s="291"/>
      <c r="G47" s="291"/>
      <c r="H47" s="291"/>
      <c r="I47" s="291"/>
      <c r="J47" s="291"/>
      <c r="K47" s="291"/>
      <c r="L47" s="291"/>
      <c r="M47" s="291"/>
      <c r="N47" s="291">
        <f t="shared" si="2"/>
        <v>0</v>
      </c>
      <c r="O47" s="291"/>
    </row>
    <row r="48" spans="1:15">
      <c r="A48">
        <f t="shared" si="3"/>
        <v>16</v>
      </c>
      <c r="B48" s="565" t="s">
        <v>405</v>
      </c>
      <c r="C48" s="175"/>
      <c r="D48" s="175" t="s">
        <v>406</v>
      </c>
      <c r="E48" s="291">
        <f>670+330</f>
        <v>1000</v>
      </c>
      <c r="F48" s="291"/>
      <c r="G48" s="291"/>
      <c r="H48" s="291"/>
      <c r="I48" s="291"/>
      <c r="J48" s="291"/>
      <c r="K48" s="291"/>
      <c r="L48" s="291"/>
      <c r="M48" s="291"/>
      <c r="N48" s="291">
        <f t="shared" si="2"/>
        <v>1000</v>
      </c>
      <c r="O48" s="291"/>
    </row>
    <row r="49" spans="1:15">
      <c r="A49">
        <f t="shared" si="3"/>
        <v>17</v>
      </c>
      <c r="B49" s="565" t="s">
        <v>336</v>
      </c>
      <c r="C49" s="175"/>
      <c r="D49" s="175" t="s">
        <v>407</v>
      </c>
      <c r="E49" s="291"/>
      <c r="F49" s="291"/>
      <c r="G49" s="291"/>
      <c r="H49" s="291"/>
      <c r="I49" s="291"/>
      <c r="J49" s="291"/>
      <c r="K49" s="291"/>
      <c r="L49" s="291"/>
      <c r="M49" s="291"/>
      <c r="N49" s="291">
        <f t="shared" si="2"/>
        <v>0</v>
      </c>
      <c r="O49" s="291"/>
    </row>
    <row r="50" spans="1:15">
      <c r="A50">
        <f t="shared" si="3"/>
        <v>18</v>
      </c>
      <c r="B50" s="175" t="s">
        <v>408</v>
      </c>
      <c r="C50" s="175"/>
      <c r="D50" s="175"/>
      <c r="E50" s="291"/>
      <c r="F50" s="291"/>
      <c r="G50" s="291"/>
      <c r="H50" s="291"/>
      <c r="I50" s="291"/>
      <c r="J50" s="291"/>
      <c r="K50" s="291"/>
      <c r="L50" s="291"/>
      <c r="M50" s="291"/>
      <c r="N50" s="291">
        <f t="shared" si="2"/>
        <v>0</v>
      </c>
      <c r="O50" s="291"/>
    </row>
    <row r="51" spans="1:15">
      <c r="A51">
        <f t="shared" si="3"/>
        <v>19</v>
      </c>
      <c r="B51" s="565" t="s">
        <v>409</v>
      </c>
      <c r="C51" s="175"/>
      <c r="D51" s="175" t="s">
        <v>410</v>
      </c>
      <c r="E51" s="291">
        <v>1000</v>
      </c>
      <c r="F51" s="291"/>
      <c r="G51" s="291"/>
      <c r="H51" s="291"/>
      <c r="I51" s="291"/>
      <c r="J51" s="291"/>
      <c r="K51" s="291"/>
      <c r="L51" s="291"/>
      <c r="M51" s="291"/>
      <c r="N51" s="291">
        <f t="shared" si="2"/>
        <v>1000</v>
      </c>
      <c r="O51" s="291"/>
    </row>
    <row r="52" spans="1:15">
      <c r="A52">
        <f t="shared" si="3"/>
        <v>20</v>
      </c>
      <c r="B52" s="565" t="s">
        <v>411</v>
      </c>
      <c r="C52" s="175"/>
      <c r="D52" s="175" t="s">
        <v>412</v>
      </c>
      <c r="E52" s="291"/>
      <c r="F52" s="291"/>
      <c r="G52" s="291"/>
      <c r="H52" s="291"/>
      <c r="I52" s="291"/>
      <c r="J52" s="291"/>
      <c r="K52" s="291"/>
      <c r="L52" s="291"/>
      <c r="M52" s="291"/>
      <c r="N52" s="291">
        <f t="shared" si="2"/>
        <v>0</v>
      </c>
      <c r="O52" s="291"/>
    </row>
    <row r="53" spans="1:15">
      <c r="A53">
        <f t="shared" si="3"/>
        <v>21</v>
      </c>
      <c r="B53" s="568" t="s">
        <v>413</v>
      </c>
      <c r="C53" s="175"/>
      <c r="D53" s="175" t="s">
        <v>414</v>
      </c>
      <c r="E53" s="291">
        <v>1000</v>
      </c>
      <c r="F53" s="291"/>
      <c r="G53" s="291"/>
      <c r="H53" s="291"/>
      <c r="I53" s="291"/>
      <c r="J53" s="291"/>
      <c r="K53" s="291"/>
      <c r="L53" s="291"/>
      <c r="M53" s="291"/>
      <c r="N53" s="291">
        <f t="shared" si="2"/>
        <v>1000</v>
      </c>
      <c r="O53" s="291"/>
    </row>
    <row r="54" spans="1:15">
      <c r="A54">
        <f t="shared" si="3"/>
        <v>22</v>
      </c>
      <c r="B54" s="567" t="s">
        <v>337</v>
      </c>
      <c r="C54" s="567"/>
      <c r="D54" s="567"/>
      <c r="E54" s="291"/>
      <c r="F54" s="291"/>
      <c r="G54" s="291"/>
      <c r="H54" s="291"/>
      <c r="I54" s="291"/>
      <c r="J54" s="291"/>
      <c r="K54" s="291"/>
      <c r="L54" s="291"/>
      <c r="M54" s="291"/>
      <c r="N54" s="291">
        <f t="shared" si="2"/>
        <v>0</v>
      </c>
      <c r="O54" s="291"/>
    </row>
    <row r="55" spans="1:15">
      <c r="A55">
        <f t="shared" si="3"/>
        <v>23</v>
      </c>
      <c r="B55" s="175" t="s">
        <v>415</v>
      </c>
      <c r="C55" s="175"/>
      <c r="D55" s="175"/>
      <c r="E55" s="291"/>
      <c r="F55" s="291"/>
      <c r="G55" s="291"/>
      <c r="H55" s="291"/>
      <c r="I55" s="291"/>
      <c r="J55" s="291"/>
      <c r="K55" s="291"/>
      <c r="L55" s="291"/>
      <c r="M55" s="291"/>
      <c r="N55" s="291">
        <f t="shared" si="2"/>
        <v>0</v>
      </c>
      <c r="O55" s="291"/>
    </row>
    <row r="56" spans="1:15">
      <c r="A56">
        <f t="shared" si="3"/>
        <v>24</v>
      </c>
      <c r="B56" s="175" t="s">
        <v>416</v>
      </c>
      <c r="C56" s="175"/>
      <c r="D56" s="175"/>
      <c r="E56" s="291">
        <v>1000</v>
      </c>
      <c r="F56" s="291"/>
      <c r="G56" s="291"/>
      <c r="H56" s="291"/>
      <c r="I56" s="291"/>
      <c r="J56" s="291"/>
      <c r="K56" s="291"/>
      <c r="L56" s="291"/>
      <c r="M56" s="291"/>
      <c r="N56" s="291">
        <f t="shared" si="2"/>
        <v>1000</v>
      </c>
      <c r="O56" s="291"/>
    </row>
    <row r="57" spans="1:15">
      <c r="A57">
        <f t="shared" si="3"/>
        <v>25</v>
      </c>
      <c r="B57" s="175" t="s">
        <v>417</v>
      </c>
      <c r="C57" s="175"/>
      <c r="D57" s="175"/>
      <c r="E57" s="291">
        <v>1000</v>
      </c>
      <c r="F57" s="291"/>
      <c r="G57" s="291"/>
      <c r="H57" s="291"/>
      <c r="I57" s="291"/>
      <c r="J57" s="291"/>
      <c r="K57" s="291"/>
      <c r="L57" s="291"/>
      <c r="M57" s="291"/>
      <c r="N57" s="291">
        <f t="shared" si="2"/>
        <v>1000</v>
      </c>
      <c r="O57" s="291"/>
    </row>
    <row r="58" spans="1:15">
      <c r="A58">
        <f t="shared" si="3"/>
        <v>26</v>
      </c>
      <c r="B58" s="566" t="s">
        <v>418</v>
      </c>
      <c r="C58" s="567"/>
      <c r="D58" s="567" t="s">
        <v>355</v>
      </c>
      <c r="E58" s="291"/>
      <c r="F58" s="291"/>
      <c r="G58" s="291"/>
      <c r="H58" s="291"/>
      <c r="I58" s="291"/>
      <c r="J58" s="291"/>
      <c r="K58" s="291"/>
      <c r="L58" s="291"/>
      <c r="M58" s="291"/>
      <c r="N58" s="291">
        <f t="shared" si="2"/>
        <v>0</v>
      </c>
      <c r="O58" s="291"/>
    </row>
    <row r="59" spans="1:15">
      <c r="A59">
        <f t="shared" si="3"/>
        <v>27</v>
      </c>
      <c r="B59" s="565" t="s">
        <v>419</v>
      </c>
      <c r="C59" s="175"/>
      <c r="D59" s="175" t="s">
        <v>420</v>
      </c>
      <c r="E59" s="291"/>
      <c r="F59" s="291"/>
      <c r="G59" s="291"/>
      <c r="H59" s="291"/>
      <c r="I59" s="291"/>
      <c r="J59" s="291"/>
      <c r="K59" s="291"/>
      <c r="L59" s="291"/>
      <c r="M59" s="291"/>
      <c r="N59" s="291">
        <f t="shared" si="2"/>
        <v>0</v>
      </c>
      <c r="O59" s="291"/>
    </row>
    <row r="60" spans="1:15">
      <c r="A60">
        <f t="shared" si="3"/>
        <v>28</v>
      </c>
      <c r="B60" s="175" t="s">
        <v>421</v>
      </c>
      <c r="C60" s="175"/>
      <c r="D60" s="175"/>
      <c r="E60" s="291">
        <v>1000</v>
      </c>
      <c r="F60" s="291">
        <v>1000</v>
      </c>
      <c r="G60" s="291"/>
      <c r="H60" s="291"/>
      <c r="I60" s="291"/>
      <c r="J60" s="291"/>
      <c r="K60" s="291"/>
      <c r="L60" s="291"/>
      <c r="M60" s="291"/>
      <c r="N60" s="291"/>
      <c r="O60" s="291"/>
    </row>
    <row r="61" spans="1:15">
      <c r="B61" s="291"/>
      <c r="C61" s="291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</row>
    <row r="62" spans="1:15">
      <c r="B62" s="291" t="s">
        <v>382</v>
      </c>
      <c r="C62" s="291"/>
      <c r="D62" s="291"/>
      <c r="E62" s="291">
        <f>SUM(E33:E61)</f>
        <v>10000</v>
      </c>
      <c r="F62" s="291">
        <f>SUM(F33:F61)</f>
        <v>3000</v>
      </c>
      <c r="G62" s="291"/>
      <c r="H62" s="291"/>
      <c r="I62" s="291"/>
      <c r="J62" s="291"/>
      <c r="K62" s="291"/>
      <c r="L62" s="291"/>
      <c r="M62" s="291"/>
      <c r="N62" s="291">
        <f>SUM(N33:N61)</f>
        <v>11000</v>
      </c>
      <c r="O62" s="291"/>
    </row>
    <row r="63" spans="1:15">
      <c r="B63" s="291"/>
      <c r="C63" s="291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</row>
    <row r="64" spans="1:15">
      <c r="B64" s="4" t="s">
        <v>422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84">
        <f>+N30+N62</f>
        <v>25000</v>
      </c>
      <c r="O64" s="4"/>
    </row>
    <row r="65" spans="2:15"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</row>
    <row r="66" spans="2:15"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1A073-63DF-4C5B-AD98-1F7E83275CDF}">
  <dimension ref="A1:AME666"/>
  <sheetViews>
    <sheetView tabSelected="1" zoomScaleNormal="100" workbookViewId="0">
      <pane xSplit="2" ySplit="2" topLeftCell="AA57" activePane="bottomRight" state="frozen"/>
      <selection pane="bottomRight" activeCell="AA51" sqref="AA51"/>
      <selection pane="bottomLeft" activeCell="A3" sqref="A3"/>
      <selection pane="topRight" activeCell="C1" sqref="C1"/>
    </sheetView>
  </sheetViews>
  <sheetFormatPr defaultColWidth="9.140625" defaultRowHeight="15"/>
  <cols>
    <col min="1" max="1" width="39.42578125" style="151" customWidth="1"/>
    <col min="2" max="2" width="11.140625" style="151" customWidth="1"/>
    <col min="3" max="4" width="17.85546875" style="151" customWidth="1"/>
    <col min="5" max="5" width="11.7109375" style="151" customWidth="1"/>
    <col min="6" max="6" width="18" style="297" customWidth="1"/>
    <col min="7" max="7" width="6" style="151" customWidth="1"/>
    <col min="8" max="8" width="6.7109375" style="151" customWidth="1"/>
    <col min="9" max="10" width="12.42578125" style="151" customWidth="1"/>
    <col min="11" max="11" width="15.7109375" style="151" customWidth="1"/>
    <col min="12" max="12" width="13.7109375" style="151" customWidth="1"/>
    <col min="13" max="13" width="10.28515625" style="151" customWidth="1"/>
    <col min="14" max="14" width="14.42578125" style="151" customWidth="1"/>
    <col min="15" max="15" width="9" style="170" customWidth="1"/>
    <col min="16" max="16" width="13.7109375" style="432" customWidth="1"/>
    <col min="17" max="17" width="12.42578125" style="432" customWidth="1"/>
    <col min="18" max="18" width="13.7109375" style="433" customWidth="1"/>
    <col min="19" max="19" width="15.85546875" style="432" customWidth="1"/>
    <col min="20" max="20" width="13" style="432" customWidth="1"/>
    <col min="21" max="22" width="12.7109375" style="434" customWidth="1"/>
    <col min="23" max="25" width="11.140625" style="370" customWidth="1"/>
    <col min="26" max="26" width="16" style="370" customWidth="1"/>
    <col min="27" max="28" width="11.140625" style="370" customWidth="1"/>
    <col min="29" max="29" width="12.28515625" style="370" customWidth="1"/>
    <col min="30" max="33" width="11.140625" style="370" customWidth="1"/>
    <col min="34" max="34" width="10.7109375" style="370" customWidth="1"/>
    <col min="35" max="1018" width="10.7109375" style="151" customWidth="1"/>
  </cols>
  <sheetData>
    <row r="1" spans="1:34" s="151" customFormat="1" ht="60">
      <c r="A1" s="134" t="s">
        <v>423</v>
      </c>
      <c r="B1" s="133" t="s">
        <v>424</v>
      </c>
      <c r="C1" s="135" t="s">
        <v>339</v>
      </c>
      <c r="D1" s="135"/>
      <c r="E1" s="133"/>
      <c r="F1" s="136" t="s">
        <v>425</v>
      </c>
      <c r="G1" s="133" t="s">
        <v>426</v>
      </c>
      <c r="H1" s="137" t="s">
        <v>427</v>
      </c>
      <c r="I1" s="138" t="s">
        <v>428</v>
      </c>
      <c r="J1" s="139" t="s">
        <v>429</v>
      </c>
      <c r="K1" s="140" t="s">
        <v>430</v>
      </c>
      <c r="L1" s="141"/>
      <c r="M1" s="142" t="s">
        <v>431</v>
      </c>
      <c r="N1" s="588" t="s">
        <v>432</v>
      </c>
      <c r="O1" s="144"/>
      <c r="P1" s="145" t="s">
        <v>433</v>
      </c>
      <c r="Q1" s="145" t="s">
        <v>434</v>
      </c>
      <c r="R1" s="146" t="s">
        <v>189</v>
      </c>
      <c r="S1" s="147" t="s">
        <v>190</v>
      </c>
      <c r="T1" s="147" t="s">
        <v>191</v>
      </c>
      <c r="U1" s="148" t="s">
        <v>435</v>
      </c>
      <c r="V1" s="148" t="s">
        <v>436</v>
      </c>
      <c r="W1" s="149" t="s">
        <v>437</v>
      </c>
      <c r="X1" s="150" t="s">
        <v>438</v>
      </c>
      <c r="Y1" s="150" t="s">
        <v>2</v>
      </c>
      <c r="Z1" s="150" t="s">
        <v>4</v>
      </c>
      <c r="AA1" s="150" t="s">
        <v>5</v>
      </c>
      <c r="AB1" s="150" t="s">
        <v>6</v>
      </c>
      <c r="AC1" s="150" t="s">
        <v>7</v>
      </c>
      <c r="AD1" s="150" t="s">
        <v>8</v>
      </c>
      <c r="AE1" s="150" t="s">
        <v>9</v>
      </c>
      <c r="AF1" s="150" t="s">
        <v>10</v>
      </c>
      <c r="AG1" s="150" t="s">
        <v>340</v>
      </c>
      <c r="AH1" s="150" t="s">
        <v>439</v>
      </c>
    </row>
    <row r="2" spans="1:34" s="151" customFormat="1" ht="60">
      <c r="A2" s="134"/>
      <c r="B2" s="133" t="s">
        <v>424</v>
      </c>
      <c r="C2" s="135" t="s">
        <v>339</v>
      </c>
      <c r="D2" s="135"/>
      <c r="E2" s="133"/>
      <c r="F2" s="136"/>
      <c r="G2" s="133" t="s">
        <v>426</v>
      </c>
      <c r="H2" s="137" t="s">
        <v>427</v>
      </c>
      <c r="I2" s="138" t="s">
        <v>440</v>
      </c>
      <c r="J2" s="138" t="s">
        <v>429</v>
      </c>
      <c r="K2" s="152" t="s">
        <v>441</v>
      </c>
      <c r="L2" s="153"/>
      <c r="M2" s="135" t="s">
        <v>431</v>
      </c>
      <c r="N2" s="154" t="s">
        <v>432</v>
      </c>
      <c r="O2" s="155" t="s">
        <v>442</v>
      </c>
      <c r="P2" s="156"/>
      <c r="Q2" s="156"/>
      <c r="R2" s="146"/>
      <c r="S2" s="147"/>
      <c r="T2" s="147"/>
      <c r="U2" s="148"/>
      <c r="V2" s="148"/>
      <c r="W2" s="157" t="s">
        <v>437</v>
      </c>
      <c r="X2" s="157" t="s">
        <v>438</v>
      </c>
      <c r="Y2" s="157" t="s">
        <v>2</v>
      </c>
      <c r="Z2" s="157" t="s">
        <v>4</v>
      </c>
      <c r="AA2" s="157" t="s">
        <v>5</v>
      </c>
      <c r="AB2" s="157" t="s">
        <v>6</v>
      </c>
      <c r="AC2" s="157" t="s">
        <v>7</v>
      </c>
      <c r="AD2" s="157" t="s">
        <v>8</v>
      </c>
      <c r="AE2" s="157" t="s">
        <v>9</v>
      </c>
      <c r="AF2" s="157" t="s">
        <v>10</v>
      </c>
      <c r="AG2" s="157" t="s">
        <v>340</v>
      </c>
      <c r="AH2" s="157" t="s">
        <v>439</v>
      </c>
    </row>
    <row r="3" spans="1:34" s="151" customFormat="1">
      <c r="A3" s="169" t="s">
        <v>443</v>
      </c>
      <c r="B3" s="153"/>
      <c r="C3" s="135"/>
      <c r="D3" s="135"/>
      <c r="E3" s="133">
        <f t="shared" ref="E3:E16" si="0">+E2+1</f>
        <v>1</v>
      </c>
      <c r="F3" s="211" t="s">
        <v>444</v>
      </c>
      <c r="G3" s="178">
        <v>0.15</v>
      </c>
      <c r="H3" s="160">
        <v>10</v>
      </c>
      <c r="I3" s="160"/>
      <c r="J3" s="161"/>
      <c r="K3" s="162">
        <v>2973.3</v>
      </c>
      <c r="L3" s="162"/>
      <c r="M3" s="163"/>
      <c r="N3" s="163">
        <f>+J3+K3+L3+M3</f>
        <v>2973.3</v>
      </c>
      <c r="O3" s="364">
        <v>13311</v>
      </c>
      <c r="P3" s="164">
        <v>0</v>
      </c>
      <c r="Q3" s="164">
        <v>300</v>
      </c>
      <c r="R3" s="165">
        <v>3250</v>
      </c>
      <c r="S3" s="166">
        <v>3885</v>
      </c>
      <c r="T3" s="166"/>
      <c r="U3" s="167">
        <v>370</v>
      </c>
      <c r="V3" s="167">
        <v>370</v>
      </c>
      <c r="W3" s="157">
        <v>0</v>
      </c>
      <c r="X3" s="168">
        <v>2973.3</v>
      </c>
      <c r="Y3" s="157">
        <v>2973.3</v>
      </c>
      <c r="Z3" s="157">
        <v>2973.3</v>
      </c>
      <c r="AA3" s="157"/>
      <c r="AB3" s="157"/>
      <c r="AC3" s="157"/>
      <c r="AD3" s="157"/>
      <c r="AE3" s="157"/>
      <c r="AF3" s="157"/>
      <c r="AG3" s="157"/>
      <c r="AH3" s="157"/>
    </row>
    <row r="4" spans="1:34" s="151" customFormat="1">
      <c r="A4" s="555" t="s">
        <v>445</v>
      </c>
      <c r="B4" s="153"/>
      <c r="C4" s="133"/>
      <c r="D4" s="133"/>
      <c r="E4" s="133">
        <f>+E3+1</f>
        <v>2</v>
      </c>
      <c r="F4" s="211" t="s">
        <v>446</v>
      </c>
      <c r="G4" s="178">
        <v>0.15</v>
      </c>
      <c r="H4" s="282">
        <v>10</v>
      </c>
      <c r="I4" s="282"/>
      <c r="J4" s="282"/>
      <c r="K4" s="162">
        <v>2973.3</v>
      </c>
      <c r="L4" s="162">
        <v>1475</v>
      </c>
      <c r="M4" s="178"/>
      <c r="N4" s="162">
        <f>+J4+K4+L4+M4</f>
        <v>4448.3</v>
      </c>
      <c r="O4" s="196">
        <v>13717</v>
      </c>
      <c r="P4" s="171">
        <v>0</v>
      </c>
      <c r="Q4" s="171">
        <v>300</v>
      </c>
      <c r="R4" s="172">
        <v>3007</v>
      </c>
      <c r="S4" s="173">
        <v>3885</v>
      </c>
      <c r="T4" s="173"/>
      <c r="U4" s="174"/>
      <c r="V4" s="174"/>
      <c r="W4" s="521">
        <v>0</v>
      </c>
      <c r="X4" s="522">
        <v>4448.3</v>
      </c>
      <c r="Y4" s="521">
        <v>4448.3</v>
      </c>
      <c r="Z4" s="595"/>
      <c r="AA4" s="521"/>
      <c r="AB4" s="521"/>
      <c r="AC4" s="521"/>
      <c r="AD4" s="521"/>
      <c r="AE4" s="521"/>
      <c r="AF4" s="521"/>
      <c r="AG4" s="521"/>
      <c r="AH4" s="521"/>
    </row>
    <row r="5" spans="1:34" s="151" customFormat="1">
      <c r="A5" s="169" t="s">
        <v>447</v>
      </c>
      <c r="B5" s="153"/>
      <c r="C5" s="135"/>
      <c r="D5" s="135"/>
      <c r="E5" s="133">
        <f t="shared" si="0"/>
        <v>3</v>
      </c>
      <c r="F5" s="523" t="s">
        <v>448</v>
      </c>
      <c r="G5" s="178"/>
      <c r="H5" s="160">
        <v>11</v>
      </c>
      <c r="I5" s="160"/>
      <c r="J5" s="161"/>
      <c r="K5" s="162"/>
      <c r="L5" s="162"/>
      <c r="M5" s="163"/>
      <c r="N5" s="163">
        <f>+J5+K5+L5+M5</f>
        <v>0</v>
      </c>
      <c r="O5" s="364"/>
      <c r="P5" s="164"/>
      <c r="Q5" s="164"/>
      <c r="R5" s="165" t="s">
        <v>449</v>
      </c>
      <c r="S5" s="166">
        <f>2500+1385</f>
        <v>3885</v>
      </c>
      <c r="T5" s="166"/>
      <c r="U5" s="167"/>
      <c r="V5" s="167"/>
      <c r="W5" s="157"/>
      <c r="X5" s="168"/>
      <c r="Y5" s="157"/>
      <c r="Z5" s="157"/>
      <c r="AA5" s="157"/>
      <c r="AB5" s="157"/>
      <c r="AC5" s="157"/>
      <c r="AD5" s="157"/>
      <c r="AE5" s="157"/>
      <c r="AF5" s="157"/>
      <c r="AG5" s="157"/>
      <c r="AH5" s="157"/>
    </row>
    <row r="6" spans="1:34" s="151" customFormat="1">
      <c r="A6" s="555" t="s">
        <v>450</v>
      </c>
      <c r="B6" s="153"/>
      <c r="C6" s="135" t="s">
        <v>451</v>
      </c>
      <c r="D6" s="135"/>
      <c r="E6" s="133">
        <f t="shared" si="0"/>
        <v>4</v>
      </c>
      <c r="F6" s="275" t="s">
        <v>452</v>
      </c>
      <c r="G6" s="178">
        <v>0.25</v>
      </c>
      <c r="H6" s="160">
        <v>10</v>
      </c>
      <c r="I6" s="160"/>
      <c r="J6" s="161"/>
      <c r="K6" s="162">
        <v>2623.5</v>
      </c>
      <c r="L6" s="162">
        <v>2000</v>
      </c>
      <c r="M6" s="163"/>
      <c r="N6" s="163">
        <f>+J6+K6+L6+M6</f>
        <v>4623.5</v>
      </c>
      <c r="O6" s="364">
        <v>13222</v>
      </c>
      <c r="P6" s="164">
        <v>0</v>
      </c>
      <c r="Q6" s="164">
        <v>300</v>
      </c>
      <c r="R6" s="165">
        <v>3500</v>
      </c>
      <c r="S6" s="166">
        <v>3885</v>
      </c>
      <c r="T6" s="166"/>
      <c r="U6" s="167">
        <v>370</v>
      </c>
      <c r="V6" s="167">
        <v>370</v>
      </c>
      <c r="W6" s="157">
        <v>0</v>
      </c>
      <c r="X6" s="184">
        <v>4623.5</v>
      </c>
      <c r="Y6" s="168">
        <v>4623.5</v>
      </c>
      <c r="Z6" s="184">
        <v>4623.5</v>
      </c>
      <c r="AA6" s="184">
        <v>1000</v>
      </c>
      <c r="AB6" s="168"/>
      <c r="AC6" s="157"/>
      <c r="AD6" s="157"/>
      <c r="AE6" s="157"/>
      <c r="AF6" s="157"/>
      <c r="AG6" s="157"/>
      <c r="AH6" s="157"/>
    </row>
    <row r="7" spans="1:34" s="151" customFormat="1">
      <c r="A7" s="169" t="s">
        <v>453</v>
      </c>
      <c r="B7" s="153"/>
      <c r="C7" s="135"/>
      <c r="D7" s="135"/>
      <c r="E7" s="133">
        <f t="shared" si="0"/>
        <v>5</v>
      </c>
      <c r="F7" s="275" t="s">
        <v>454</v>
      </c>
      <c r="G7" s="178">
        <v>0.1</v>
      </c>
      <c r="H7" s="160">
        <v>10</v>
      </c>
      <c r="I7" s="160"/>
      <c r="J7" s="160"/>
      <c r="K7" s="162">
        <v>3148.2</v>
      </c>
      <c r="L7" s="178"/>
      <c r="M7" s="185"/>
      <c r="N7" s="163">
        <f>+J7+K7+L7+M7</f>
        <v>3148.2</v>
      </c>
      <c r="O7" s="364">
        <v>13957</v>
      </c>
      <c r="P7" s="164">
        <v>0</v>
      </c>
      <c r="Q7" s="164">
        <v>300</v>
      </c>
      <c r="R7" s="165">
        <v>3462</v>
      </c>
      <c r="S7" s="166">
        <v>3885</v>
      </c>
      <c r="T7" s="166"/>
      <c r="U7" s="167">
        <v>370</v>
      </c>
      <c r="V7" s="167">
        <v>370</v>
      </c>
      <c r="W7" s="157">
        <v>0</v>
      </c>
      <c r="X7" s="168">
        <v>3148.2</v>
      </c>
      <c r="Y7" s="203">
        <v>3148.2</v>
      </c>
      <c r="Z7" s="157">
        <v>3148.2</v>
      </c>
      <c r="AA7" s="157"/>
      <c r="AB7" s="157"/>
      <c r="AC7" s="157"/>
      <c r="AD7" s="157"/>
      <c r="AE7" s="157"/>
      <c r="AF7" s="157"/>
      <c r="AG7" s="157"/>
      <c r="AH7" s="157"/>
    </row>
    <row r="8" spans="1:34" s="151" customFormat="1">
      <c r="A8" s="169" t="s">
        <v>198</v>
      </c>
      <c r="B8" s="153"/>
      <c r="C8" s="135"/>
      <c r="D8" s="135"/>
      <c r="E8" s="133">
        <f t="shared" si="0"/>
        <v>6</v>
      </c>
      <c r="F8" s="275" t="s">
        <v>455</v>
      </c>
      <c r="G8" s="178">
        <v>0.15</v>
      </c>
      <c r="H8" s="160">
        <v>10</v>
      </c>
      <c r="I8" s="160"/>
      <c r="J8" s="160">
        <v>2703</v>
      </c>
      <c r="K8" s="162"/>
      <c r="L8" s="178"/>
      <c r="M8" s="185"/>
      <c r="N8" s="163">
        <f t="shared" ref="N8:N16" si="1">+J8+K8+L8+M8</f>
        <v>2703</v>
      </c>
      <c r="O8" s="364">
        <v>13339</v>
      </c>
      <c r="P8" s="164">
        <v>0</v>
      </c>
      <c r="Q8" s="164">
        <v>300</v>
      </c>
      <c r="R8" s="165" t="s">
        <v>456</v>
      </c>
      <c r="S8" s="166">
        <f>1500+2385</f>
        <v>3885</v>
      </c>
      <c r="T8" s="166"/>
      <c r="U8" s="167"/>
      <c r="V8" s="167"/>
      <c r="W8" s="157">
        <v>2703</v>
      </c>
      <c r="X8" s="168">
        <v>2703</v>
      </c>
      <c r="Y8" s="168">
        <v>2703</v>
      </c>
      <c r="Z8" s="168">
        <v>2838.15</v>
      </c>
      <c r="AA8" s="168"/>
      <c r="AB8" s="157"/>
      <c r="AC8" s="157"/>
      <c r="AD8" s="157"/>
      <c r="AE8" s="157"/>
      <c r="AF8" s="157"/>
      <c r="AG8" s="157"/>
      <c r="AH8" s="157"/>
    </row>
    <row r="9" spans="1:34" s="151" customFormat="1" ht="30">
      <c r="A9" s="555" t="s">
        <v>457</v>
      </c>
      <c r="B9" s="153"/>
      <c r="C9" s="135" t="s">
        <v>458</v>
      </c>
      <c r="D9" s="135"/>
      <c r="E9" s="133">
        <f t="shared" si="0"/>
        <v>7</v>
      </c>
      <c r="F9" s="211" t="s">
        <v>459</v>
      </c>
      <c r="G9" s="178">
        <v>0.22</v>
      </c>
      <c r="H9" s="160">
        <v>10</v>
      </c>
      <c r="I9" s="160"/>
      <c r="J9" s="161"/>
      <c r="K9" s="162">
        <v>2765.17</v>
      </c>
      <c r="L9" s="162">
        <v>2000</v>
      </c>
      <c r="M9" s="163"/>
      <c r="N9" s="163">
        <f t="shared" si="1"/>
        <v>4765.17</v>
      </c>
      <c r="O9" s="364">
        <v>13135</v>
      </c>
      <c r="P9" s="164">
        <v>0</v>
      </c>
      <c r="Q9" s="164">
        <v>300</v>
      </c>
      <c r="R9" s="165">
        <v>3450</v>
      </c>
      <c r="S9" s="166">
        <v>3885</v>
      </c>
      <c r="T9" s="166"/>
      <c r="U9" s="167"/>
      <c r="V9" s="167"/>
      <c r="W9" s="157">
        <v>0</v>
      </c>
      <c r="X9" s="168">
        <v>2765.17</v>
      </c>
      <c r="Y9" s="168">
        <v>2765.17</v>
      </c>
      <c r="Z9" s="168">
        <v>2765.17</v>
      </c>
      <c r="AA9" s="168">
        <v>2765.17</v>
      </c>
      <c r="AB9" s="168">
        <v>2765.17</v>
      </c>
      <c r="AC9" s="168">
        <v>2765.17</v>
      </c>
      <c r="AD9" s="168">
        <v>2765.17</v>
      </c>
      <c r="AE9" s="168">
        <v>2765.17</v>
      </c>
      <c r="AF9" s="168">
        <v>2765.17</v>
      </c>
      <c r="AG9" s="168">
        <v>2765.17</v>
      </c>
      <c r="AH9" s="168">
        <v>0</v>
      </c>
    </row>
    <row r="10" spans="1:34" s="151" customFormat="1">
      <c r="A10" s="169" t="s">
        <v>460</v>
      </c>
      <c r="B10" s="153"/>
      <c r="C10" s="135"/>
      <c r="D10" s="135"/>
      <c r="E10" s="133">
        <f t="shared" si="0"/>
        <v>8</v>
      </c>
      <c r="F10" s="211" t="s">
        <v>461</v>
      </c>
      <c r="G10" s="178">
        <v>0.2</v>
      </c>
      <c r="H10" s="160">
        <v>10</v>
      </c>
      <c r="I10" s="160"/>
      <c r="J10" s="160"/>
      <c r="K10" s="162">
        <v>2798.4</v>
      </c>
      <c r="L10" s="178"/>
      <c r="M10" s="185"/>
      <c r="N10" s="163">
        <f t="shared" si="1"/>
        <v>2798.4</v>
      </c>
      <c r="O10" s="364">
        <v>14556</v>
      </c>
      <c r="P10" s="164">
        <v>0</v>
      </c>
      <c r="Q10" s="164">
        <v>300</v>
      </c>
      <c r="R10" s="165">
        <v>3475</v>
      </c>
      <c r="S10" s="166">
        <v>3885</v>
      </c>
      <c r="T10" s="166"/>
      <c r="U10" s="167">
        <v>370</v>
      </c>
      <c r="V10" s="167">
        <v>370</v>
      </c>
      <c r="W10" s="157">
        <v>0</v>
      </c>
      <c r="X10" s="168">
        <v>0</v>
      </c>
      <c r="Y10" s="157">
        <v>2798.4</v>
      </c>
      <c r="Z10" s="157">
        <v>2798.4</v>
      </c>
      <c r="AA10" s="157"/>
      <c r="AB10" s="157"/>
      <c r="AC10" s="157"/>
      <c r="AD10" s="157"/>
      <c r="AE10" s="157"/>
      <c r="AF10" s="157"/>
      <c r="AG10" s="157"/>
      <c r="AH10" s="157"/>
    </row>
    <row r="11" spans="1:34" s="151" customFormat="1">
      <c r="A11" s="169" t="s">
        <v>201</v>
      </c>
      <c r="B11" s="153"/>
      <c r="C11" s="135"/>
      <c r="D11" s="135"/>
      <c r="E11" s="133">
        <f t="shared" si="0"/>
        <v>9</v>
      </c>
      <c r="F11" s="211" t="s">
        <v>462</v>
      </c>
      <c r="G11" s="178">
        <v>0.15</v>
      </c>
      <c r="H11" s="160">
        <v>11</v>
      </c>
      <c r="I11" s="160"/>
      <c r="J11" s="160">
        <v>2796.5</v>
      </c>
      <c r="K11" s="162"/>
      <c r="L11" s="178"/>
      <c r="M11" s="185"/>
      <c r="N11" s="163">
        <f t="shared" si="1"/>
        <v>2796.5</v>
      </c>
      <c r="O11" s="364">
        <v>13534</v>
      </c>
      <c r="P11" s="164">
        <v>0</v>
      </c>
      <c r="Q11" s="164">
        <v>300</v>
      </c>
      <c r="R11" s="165">
        <v>2737</v>
      </c>
      <c r="S11" s="166">
        <v>3885</v>
      </c>
      <c r="T11" s="166"/>
      <c r="U11" s="167">
        <v>370</v>
      </c>
      <c r="V11" s="167">
        <v>370</v>
      </c>
      <c r="W11" s="157">
        <v>2703</v>
      </c>
      <c r="X11" s="184">
        <v>2703</v>
      </c>
      <c r="Y11" s="183">
        <v>2703</v>
      </c>
      <c r="Z11" s="183">
        <v>2703</v>
      </c>
      <c r="AA11" s="157"/>
      <c r="AB11" s="157"/>
      <c r="AC11" s="157"/>
      <c r="AD11" s="157"/>
      <c r="AE11" s="157"/>
      <c r="AF11" s="157"/>
      <c r="AG11" s="157"/>
      <c r="AH11" s="157"/>
    </row>
    <row r="12" spans="1:34" s="151" customFormat="1">
      <c r="A12" s="555" t="s">
        <v>463</v>
      </c>
      <c r="B12" s="153"/>
      <c r="C12" s="135" t="s">
        <v>464</v>
      </c>
      <c r="D12" s="135"/>
      <c r="E12" s="133">
        <f t="shared" si="0"/>
        <v>10</v>
      </c>
      <c r="F12" s="211" t="s">
        <v>465</v>
      </c>
      <c r="G12" s="178">
        <v>0.1</v>
      </c>
      <c r="H12" s="160">
        <v>10</v>
      </c>
      <c r="I12" s="160"/>
      <c r="J12" s="160"/>
      <c r="K12" s="162">
        <v>3148.2</v>
      </c>
      <c r="L12" s="162">
        <v>2105</v>
      </c>
      <c r="M12" s="185"/>
      <c r="N12" s="163">
        <f t="shared" si="1"/>
        <v>5253.2</v>
      </c>
      <c r="O12" s="364">
        <v>14014</v>
      </c>
      <c r="P12" s="164">
        <v>0</v>
      </c>
      <c r="Q12" s="164">
        <v>300</v>
      </c>
      <c r="R12" s="165">
        <v>3195</v>
      </c>
      <c r="S12" s="166">
        <v>3885</v>
      </c>
      <c r="T12" s="166"/>
      <c r="U12" s="167">
        <v>370</v>
      </c>
      <c r="V12" s="167">
        <v>370</v>
      </c>
      <c r="W12" s="157">
        <v>0</v>
      </c>
      <c r="X12" s="168">
        <v>5095.79</v>
      </c>
      <c r="Y12" s="180">
        <v>5253.2</v>
      </c>
      <c r="Z12" s="157">
        <v>5253.2</v>
      </c>
      <c r="AA12" s="157"/>
      <c r="AB12" s="157"/>
      <c r="AC12" s="157"/>
      <c r="AD12" s="157"/>
      <c r="AE12" s="157"/>
      <c r="AF12" s="157"/>
      <c r="AG12" s="157"/>
      <c r="AH12" s="157"/>
    </row>
    <row r="13" spans="1:34" s="151" customFormat="1">
      <c r="A13" s="555" t="s">
        <v>466</v>
      </c>
      <c r="B13" s="153"/>
      <c r="C13" s="135"/>
      <c r="D13" s="135"/>
      <c r="E13" s="133">
        <f t="shared" si="0"/>
        <v>11</v>
      </c>
      <c r="F13" s="211" t="s">
        <v>467</v>
      </c>
      <c r="G13" s="178">
        <v>0.15</v>
      </c>
      <c r="H13" s="160">
        <v>10</v>
      </c>
      <c r="I13" s="160"/>
      <c r="J13" s="160"/>
      <c r="K13" s="162">
        <v>2973.3</v>
      </c>
      <c r="L13" s="162">
        <v>2000</v>
      </c>
      <c r="M13" s="185"/>
      <c r="N13" s="163">
        <f t="shared" si="1"/>
        <v>4973.3</v>
      </c>
      <c r="O13" s="364">
        <v>13697</v>
      </c>
      <c r="P13" s="164">
        <v>0</v>
      </c>
      <c r="Q13" s="164">
        <v>300</v>
      </c>
      <c r="R13" s="165">
        <v>3495</v>
      </c>
      <c r="S13" s="166">
        <v>3885</v>
      </c>
      <c r="T13" s="166"/>
      <c r="U13" s="167">
        <v>370</v>
      </c>
      <c r="V13" s="167">
        <v>370</v>
      </c>
      <c r="W13" s="157">
        <v>0</v>
      </c>
      <c r="X13" s="562">
        <v>4973.3</v>
      </c>
      <c r="Y13" s="203">
        <v>4973.3</v>
      </c>
      <c r="Z13" s="203">
        <v>4973.3</v>
      </c>
      <c r="AA13" s="157"/>
      <c r="AB13" s="157"/>
      <c r="AC13" s="157"/>
      <c r="AD13" s="157"/>
      <c r="AE13" s="157"/>
      <c r="AF13" s="157"/>
      <c r="AG13" s="157"/>
      <c r="AH13" s="157"/>
    </row>
    <row r="14" spans="1:34" s="151" customFormat="1">
      <c r="A14" s="555" t="s">
        <v>468</v>
      </c>
      <c r="B14" s="153"/>
      <c r="C14" s="135"/>
      <c r="D14" s="135"/>
      <c r="E14" s="133">
        <f t="shared" si="0"/>
        <v>12</v>
      </c>
      <c r="F14" s="211" t="s">
        <v>469</v>
      </c>
      <c r="G14" s="178">
        <v>0.2</v>
      </c>
      <c r="H14" s="160">
        <v>10</v>
      </c>
      <c r="I14" s="160"/>
      <c r="J14" s="160"/>
      <c r="K14" s="162">
        <v>2798.4</v>
      </c>
      <c r="L14" s="178">
        <v>375</v>
      </c>
      <c r="M14" s="185"/>
      <c r="N14" s="163">
        <f t="shared" si="1"/>
        <v>3173.4</v>
      </c>
      <c r="O14" s="364">
        <v>13511</v>
      </c>
      <c r="P14" s="164">
        <v>0</v>
      </c>
      <c r="Q14" s="164">
        <v>300</v>
      </c>
      <c r="R14" s="165">
        <v>3530</v>
      </c>
      <c r="S14" s="166">
        <v>3885</v>
      </c>
      <c r="T14" s="166"/>
      <c r="U14" s="167"/>
      <c r="V14" s="167"/>
      <c r="W14" s="157">
        <v>0</v>
      </c>
      <c r="X14" s="184">
        <f>2798.4+375</f>
        <v>3173.4</v>
      </c>
      <c r="Y14" s="157"/>
      <c r="Z14" s="157"/>
      <c r="AA14" s="157"/>
      <c r="AB14" s="157"/>
      <c r="AC14" s="157"/>
      <c r="AD14" s="157"/>
      <c r="AE14" s="157"/>
      <c r="AF14" s="157"/>
      <c r="AG14" s="157"/>
      <c r="AH14" s="157"/>
    </row>
    <row r="15" spans="1:34" s="151" customFormat="1">
      <c r="A15" s="169" t="s">
        <v>470</v>
      </c>
      <c r="B15" s="153"/>
      <c r="C15" s="135"/>
      <c r="D15" s="135"/>
      <c r="E15" s="133">
        <f t="shared" si="0"/>
        <v>13</v>
      </c>
      <c r="F15" s="211" t="s">
        <v>471</v>
      </c>
      <c r="G15" s="178">
        <v>0.25</v>
      </c>
      <c r="H15" s="160">
        <v>11</v>
      </c>
      <c r="I15" s="160"/>
      <c r="J15" s="160">
        <v>2385</v>
      </c>
      <c r="K15" s="162"/>
      <c r="L15" s="162"/>
      <c r="M15" s="185"/>
      <c r="N15" s="163">
        <f t="shared" si="1"/>
        <v>2385</v>
      </c>
      <c r="O15" s="364"/>
      <c r="P15" s="164">
        <v>0</v>
      </c>
      <c r="Q15" s="164">
        <v>300</v>
      </c>
      <c r="R15" s="165">
        <v>2887</v>
      </c>
      <c r="S15" s="166">
        <v>3885</v>
      </c>
      <c r="T15" s="166"/>
      <c r="U15" s="167">
        <v>370</v>
      </c>
      <c r="V15" s="167"/>
      <c r="W15" s="157">
        <v>2385</v>
      </c>
      <c r="X15" s="168">
        <v>2385</v>
      </c>
      <c r="Y15" s="157">
        <v>2385</v>
      </c>
      <c r="Z15" s="157"/>
      <c r="AA15" s="157"/>
      <c r="AB15" s="157"/>
      <c r="AC15" s="157"/>
      <c r="AD15" s="157"/>
      <c r="AE15" s="157"/>
      <c r="AF15" s="157"/>
      <c r="AG15" s="157"/>
      <c r="AH15" s="157"/>
    </row>
    <row r="16" spans="1:34" s="151" customFormat="1">
      <c r="A16" s="555" t="s">
        <v>472</v>
      </c>
      <c r="B16" s="153"/>
      <c r="C16" s="135"/>
      <c r="D16" s="135"/>
      <c r="E16" s="133">
        <f t="shared" si="0"/>
        <v>14</v>
      </c>
      <c r="F16" s="211" t="s">
        <v>473</v>
      </c>
      <c r="G16" s="178"/>
      <c r="H16" s="160">
        <v>11</v>
      </c>
      <c r="I16" s="160"/>
      <c r="J16" s="160">
        <v>3180</v>
      </c>
      <c r="K16" s="162"/>
      <c r="L16" s="178">
        <v>375</v>
      </c>
      <c r="M16" s="185"/>
      <c r="N16" s="163">
        <f t="shared" si="1"/>
        <v>3555</v>
      </c>
      <c r="O16" s="364"/>
      <c r="P16" s="164">
        <v>0</v>
      </c>
      <c r="Q16" s="164">
        <v>300</v>
      </c>
      <c r="R16" s="165">
        <v>3490</v>
      </c>
      <c r="S16" s="166">
        <v>3885</v>
      </c>
      <c r="T16" s="166"/>
      <c r="U16" s="167">
        <v>370</v>
      </c>
      <c r="V16" s="167">
        <v>370</v>
      </c>
      <c r="W16" s="157"/>
      <c r="X16" s="168">
        <v>3180</v>
      </c>
      <c r="Y16" s="157">
        <v>3732.75</v>
      </c>
      <c r="Z16" s="157">
        <v>3732.75</v>
      </c>
      <c r="AA16" s="157" t="s">
        <v>474</v>
      </c>
      <c r="AB16" s="157"/>
      <c r="AC16" s="157"/>
      <c r="AD16" s="157"/>
      <c r="AE16" s="157"/>
      <c r="AF16" s="157"/>
      <c r="AG16" s="157"/>
      <c r="AH16" s="157"/>
    </row>
    <row r="17" spans="1:34" s="151" customFormat="1">
      <c r="A17" s="169"/>
      <c r="B17" s="153"/>
      <c r="C17" s="135"/>
      <c r="D17" s="135"/>
      <c r="E17" s="133"/>
      <c r="F17" s="211"/>
      <c r="G17" s="178"/>
      <c r="H17" s="160"/>
      <c r="I17" s="160"/>
      <c r="J17" s="160"/>
      <c r="K17" s="162"/>
      <c r="L17" s="178"/>
      <c r="M17" s="185"/>
      <c r="N17" s="163"/>
      <c r="O17" s="364"/>
      <c r="P17" s="164"/>
      <c r="Q17" s="164"/>
      <c r="R17" s="165"/>
      <c r="S17" s="166"/>
      <c r="T17" s="166"/>
      <c r="U17" s="167"/>
      <c r="V17" s="167"/>
      <c r="W17" s="157"/>
      <c r="X17" s="168"/>
      <c r="Y17" s="157"/>
      <c r="Z17" s="157"/>
      <c r="AA17" s="157"/>
      <c r="AB17" s="157"/>
      <c r="AC17" s="157"/>
      <c r="AD17" s="157"/>
      <c r="AE17" s="157"/>
      <c r="AF17" s="157"/>
      <c r="AG17" s="157"/>
      <c r="AH17" s="157"/>
    </row>
    <row r="18" spans="1:34" s="151" customFormat="1">
      <c r="A18" s="134" t="s">
        <v>475</v>
      </c>
      <c r="B18" s="153"/>
      <c r="C18" s="135"/>
      <c r="D18" s="135"/>
      <c r="E18" s="133"/>
      <c r="F18" s="211"/>
      <c r="G18" s="178"/>
      <c r="H18" s="160"/>
      <c r="I18" s="160"/>
      <c r="J18" s="160"/>
      <c r="K18" s="162"/>
      <c r="L18" s="178"/>
      <c r="M18" s="185"/>
      <c r="N18" s="163"/>
      <c r="O18" s="364"/>
      <c r="P18" s="164"/>
      <c r="Q18" s="164"/>
      <c r="R18" s="165"/>
      <c r="S18" s="166"/>
      <c r="T18" s="166"/>
      <c r="U18" s="167"/>
      <c r="V18" s="167"/>
      <c r="W18" s="157"/>
      <c r="X18" s="168"/>
      <c r="Y18" s="157"/>
      <c r="Z18" s="157"/>
      <c r="AA18" s="157"/>
      <c r="AB18" s="157"/>
      <c r="AC18" s="157"/>
      <c r="AD18" s="157"/>
      <c r="AE18" s="157"/>
      <c r="AF18" s="157"/>
      <c r="AG18" s="157"/>
      <c r="AH18" s="157"/>
    </row>
    <row r="19" spans="1:34" s="151" customFormat="1" ht="30">
      <c r="A19" s="555" t="s">
        <v>476</v>
      </c>
      <c r="B19" s="153"/>
      <c r="C19" s="135" t="s">
        <v>420</v>
      </c>
      <c r="D19" s="135"/>
      <c r="E19" s="133">
        <f>+E18+1</f>
        <v>1</v>
      </c>
      <c r="F19" s="211" t="s">
        <v>477</v>
      </c>
      <c r="G19" s="178"/>
      <c r="H19" s="160">
        <v>10</v>
      </c>
      <c r="I19" s="160"/>
      <c r="J19" s="160"/>
      <c r="K19" s="162">
        <v>3498</v>
      </c>
      <c r="L19" s="162">
        <v>1800</v>
      </c>
      <c r="M19" s="185"/>
      <c r="N19" s="163">
        <f t="shared" ref="N19:N26" si="2">+J19+K19+L19+M19</f>
        <v>5298</v>
      </c>
      <c r="O19" s="364">
        <v>13554</v>
      </c>
      <c r="P19" s="164">
        <v>0</v>
      </c>
      <c r="Q19" s="164">
        <v>300</v>
      </c>
      <c r="R19" s="165">
        <v>3451</v>
      </c>
      <c r="S19" s="166">
        <v>3885</v>
      </c>
      <c r="T19" s="166"/>
      <c r="U19" s="167">
        <v>370</v>
      </c>
      <c r="V19" s="167">
        <v>370</v>
      </c>
      <c r="W19" s="157">
        <v>0</v>
      </c>
      <c r="X19" s="168">
        <v>5298</v>
      </c>
      <c r="Y19" s="157">
        <v>5298</v>
      </c>
      <c r="Z19" s="183">
        <v>5298</v>
      </c>
      <c r="AA19" s="157"/>
      <c r="AB19" s="157"/>
      <c r="AC19" s="157"/>
      <c r="AD19" s="157"/>
      <c r="AE19" s="157"/>
      <c r="AF19" s="157"/>
      <c r="AG19" s="157"/>
      <c r="AH19" s="157"/>
    </row>
    <row r="20" spans="1:34" s="151" customFormat="1">
      <c r="A20" s="555" t="s">
        <v>478</v>
      </c>
      <c r="B20" s="153"/>
      <c r="C20" s="135" t="s">
        <v>479</v>
      </c>
      <c r="D20" s="135"/>
      <c r="E20" s="133">
        <f>+E19+1</f>
        <v>2</v>
      </c>
      <c r="F20" s="523" t="s">
        <v>480</v>
      </c>
      <c r="G20" s="178">
        <v>0.15</v>
      </c>
      <c r="H20" s="160">
        <v>10</v>
      </c>
      <c r="I20" s="160"/>
      <c r="J20" s="161"/>
      <c r="K20" s="162">
        <v>2973.3</v>
      </c>
      <c r="L20" s="162">
        <v>2105</v>
      </c>
      <c r="M20" s="163"/>
      <c r="N20" s="163">
        <f t="shared" si="2"/>
        <v>5078.3</v>
      </c>
      <c r="O20" s="528">
        <v>13466</v>
      </c>
      <c r="P20" s="164">
        <v>0</v>
      </c>
      <c r="Q20" s="164">
        <v>300</v>
      </c>
      <c r="R20" s="165">
        <v>3487</v>
      </c>
      <c r="S20" s="166">
        <v>3885</v>
      </c>
      <c r="T20" s="166"/>
      <c r="U20" s="167">
        <v>370</v>
      </c>
      <c r="V20" s="167">
        <v>370</v>
      </c>
      <c r="W20" s="157">
        <v>0</v>
      </c>
      <c r="X20" s="168">
        <f>2105+2973.3</f>
        <v>5078.3</v>
      </c>
      <c r="Y20" s="157">
        <v>4500</v>
      </c>
      <c r="Z20" s="157" t="s">
        <v>481</v>
      </c>
      <c r="AA20" s="157"/>
      <c r="AB20" s="157"/>
      <c r="AC20" s="157"/>
      <c r="AD20" s="157"/>
      <c r="AE20" s="157"/>
      <c r="AF20" s="157"/>
      <c r="AG20" s="157"/>
      <c r="AH20" s="157"/>
    </row>
    <row r="21" spans="1:34" s="151" customFormat="1">
      <c r="A21" s="501" t="s">
        <v>197</v>
      </c>
      <c r="B21" s="153"/>
      <c r="C21" s="135"/>
      <c r="D21" s="135"/>
      <c r="E21" s="133">
        <f t="shared" ref="E21:E33" si="3">+E20+1</f>
        <v>3</v>
      </c>
      <c r="F21" s="211" t="s">
        <v>482</v>
      </c>
      <c r="G21" s="178">
        <v>0.15</v>
      </c>
      <c r="H21" s="160">
        <v>10</v>
      </c>
      <c r="I21" s="160"/>
      <c r="J21" s="161"/>
      <c r="K21" s="162">
        <v>2973.3</v>
      </c>
      <c r="L21" s="162"/>
      <c r="M21" s="163"/>
      <c r="N21" s="163">
        <f t="shared" si="2"/>
        <v>2973.3</v>
      </c>
      <c r="O21" s="364">
        <v>13214</v>
      </c>
      <c r="P21" s="164">
        <v>0</v>
      </c>
      <c r="Q21" s="164">
        <v>300</v>
      </c>
      <c r="R21" s="165">
        <v>2516</v>
      </c>
      <c r="S21" s="166">
        <v>3885</v>
      </c>
      <c r="T21" s="166"/>
      <c r="U21" s="167">
        <v>370</v>
      </c>
      <c r="V21" s="167">
        <v>370</v>
      </c>
      <c r="W21" s="157">
        <v>0</v>
      </c>
      <c r="X21" s="168">
        <v>2973.3</v>
      </c>
      <c r="Y21" s="157">
        <v>2973.3</v>
      </c>
      <c r="Z21" s="157">
        <v>2973.3</v>
      </c>
      <c r="AA21" s="157"/>
      <c r="AB21" s="157"/>
      <c r="AC21" s="157"/>
      <c r="AD21" s="157"/>
      <c r="AE21" s="157"/>
      <c r="AF21" s="157"/>
      <c r="AG21" s="157"/>
      <c r="AH21" s="157"/>
    </row>
    <row r="22" spans="1:34" s="151" customFormat="1">
      <c r="A22" s="555" t="s">
        <v>483</v>
      </c>
      <c r="B22" s="153"/>
      <c r="C22" s="135" t="s">
        <v>451</v>
      </c>
      <c r="D22" s="135"/>
      <c r="E22" s="133">
        <f t="shared" si="3"/>
        <v>4</v>
      </c>
      <c r="F22" s="211" t="s">
        <v>484</v>
      </c>
      <c r="G22" s="178">
        <v>0.25</v>
      </c>
      <c r="H22" s="160">
        <v>10</v>
      </c>
      <c r="I22" s="160"/>
      <c r="J22" s="161"/>
      <c r="K22" s="162">
        <v>2623.5</v>
      </c>
      <c r="L22" s="162">
        <v>2000</v>
      </c>
      <c r="M22" s="163"/>
      <c r="N22" s="163">
        <f t="shared" si="2"/>
        <v>4623.5</v>
      </c>
      <c r="O22" s="364">
        <v>13222</v>
      </c>
      <c r="P22" s="164">
        <v>0</v>
      </c>
      <c r="Q22" s="164">
        <v>300</v>
      </c>
      <c r="R22" s="165">
        <v>3500</v>
      </c>
      <c r="S22" s="166">
        <v>3885</v>
      </c>
      <c r="T22" s="166"/>
      <c r="U22" s="167">
        <v>370</v>
      </c>
      <c r="V22" s="167">
        <v>370</v>
      </c>
      <c r="W22" s="157">
        <v>0</v>
      </c>
      <c r="X22" s="184">
        <v>4623.5</v>
      </c>
      <c r="Y22" s="157">
        <v>4623.5</v>
      </c>
      <c r="Z22" s="183">
        <v>4623.5</v>
      </c>
      <c r="AA22" s="157"/>
      <c r="AB22" s="157"/>
      <c r="AC22" s="157"/>
      <c r="AD22" s="157"/>
      <c r="AE22" s="157"/>
      <c r="AF22" s="157"/>
      <c r="AG22" s="157"/>
      <c r="AH22" s="157"/>
    </row>
    <row r="23" spans="1:34" s="151" customFormat="1">
      <c r="A23" s="555" t="s">
        <v>485</v>
      </c>
      <c r="B23" s="153"/>
      <c r="C23" s="135" t="s">
        <v>486</v>
      </c>
      <c r="D23" s="135"/>
      <c r="E23" s="133">
        <f t="shared" si="3"/>
        <v>5</v>
      </c>
      <c r="F23" s="523" t="s">
        <v>487</v>
      </c>
      <c r="G23" s="178">
        <v>0.15</v>
      </c>
      <c r="H23" s="160">
        <v>10</v>
      </c>
      <c r="I23" s="160"/>
      <c r="J23" s="161"/>
      <c r="K23" s="162">
        <v>2973.3</v>
      </c>
      <c r="L23" s="162">
        <v>2000</v>
      </c>
      <c r="M23" s="163"/>
      <c r="N23" s="163">
        <f t="shared" si="2"/>
        <v>4973.3</v>
      </c>
      <c r="O23" s="364">
        <v>13426</v>
      </c>
      <c r="P23" s="164">
        <v>0</v>
      </c>
      <c r="Q23" s="164">
        <v>300</v>
      </c>
      <c r="R23" s="165" t="s">
        <v>488</v>
      </c>
      <c r="S23" s="166">
        <v>3885</v>
      </c>
      <c r="T23" s="166"/>
      <c r="U23" s="167">
        <v>375</v>
      </c>
      <c r="V23" s="167"/>
      <c r="W23" s="157">
        <v>0</v>
      </c>
      <c r="X23" s="177">
        <v>4973.3</v>
      </c>
      <c r="Y23" s="157">
        <v>4973.3</v>
      </c>
      <c r="Z23" s="157"/>
      <c r="AA23" s="157"/>
      <c r="AB23" s="157"/>
      <c r="AC23" s="157"/>
      <c r="AD23" s="157"/>
      <c r="AE23" s="157"/>
      <c r="AF23" s="157"/>
      <c r="AG23" s="157"/>
      <c r="AH23" s="157"/>
    </row>
    <row r="24" spans="1:34" s="151" customFormat="1">
      <c r="A24" s="169" t="s">
        <v>489</v>
      </c>
      <c r="B24" s="153"/>
      <c r="C24" s="135"/>
      <c r="D24" s="135"/>
      <c r="E24" s="133">
        <f t="shared" si="3"/>
        <v>6</v>
      </c>
      <c r="F24" s="211" t="s">
        <v>490</v>
      </c>
      <c r="G24" s="178"/>
      <c r="H24" s="160">
        <v>10</v>
      </c>
      <c r="I24" s="160"/>
      <c r="J24" s="160"/>
      <c r="K24" s="162">
        <v>3498</v>
      </c>
      <c r="L24" s="162"/>
      <c r="M24" s="185"/>
      <c r="N24" s="163">
        <f t="shared" si="2"/>
        <v>3498</v>
      </c>
      <c r="O24" s="364">
        <v>13606</v>
      </c>
      <c r="P24" s="164">
        <v>0</v>
      </c>
      <c r="Q24" s="164">
        <v>300</v>
      </c>
      <c r="R24" s="165" t="s">
        <v>488</v>
      </c>
      <c r="S24" s="166">
        <v>3885</v>
      </c>
      <c r="T24" s="166"/>
      <c r="U24" s="167">
        <v>370</v>
      </c>
      <c r="V24" s="167">
        <v>370</v>
      </c>
      <c r="W24" s="157">
        <v>0</v>
      </c>
      <c r="X24" s="168">
        <v>3498</v>
      </c>
      <c r="Y24" s="157">
        <v>3498</v>
      </c>
      <c r="Z24" s="157">
        <v>3498</v>
      </c>
      <c r="AA24" s="157"/>
      <c r="AB24" s="157"/>
      <c r="AC24" s="157"/>
      <c r="AD24" s="157"/>
      <c r="AE24" s="157"/>
      <c r="AF24" s="157"/>
      <c r="AG24" s="157"/>
      <c r="AH24" s="157"/>
    </row>
    <row r="25" spans="1:34" s="151" customFormat="1">
      <c r="A25" s="501" t="s">
        <v>491</v>
      </c>
      <c r="B25" s="153"/>
      <c r="C25" s="135"/>
      <c r="D25" s="135"/>
      <c r="E25" s="133">
        <f t="shared" si="3"/>
        <v>7</v>
      </c>
      <c r="F25" s="524" t="s">
        <v>492</v>
      </c>
      <c r="G25" s="178">
        <v>0.2</v>
      </c>
      <c r="H25" s="160">
        <v>10</v>
      </c>
      <c r="I25" s="160"/>
      <c r="J25" s="161"/>
      <c r="K25" s="162">
        <v>2798.4</v>
      </c>
      <c r="L25" s="162"/>
      <c r="M25" s="163"/>
      <c r="N25" s="163">
        <f t="shared" si="2"/>
        <v>2798.4</v>
      </c>
      <c r="O25" s="364">
        <v>13277</v>
      </c>
      <c r="P25" s="164">
        <v>0</v>
      </c>
      <c r="Q25" s="164">
        <v>300</v>
      </c>
      <c r="R25" s="165">
        <v>2984</v>
      </c>
      <c r="S25" s="166">
        <v>3885</v>
      </c>
      <c r="T25" s="166"/>
      <c r="U25" s="167"/>
      <c r="V25" s="167"/>
      <c r="W25" s="157">
        <v>0</v>
      </c>
      <c r="X25" s="168">
        <v>2602.5100000000002</v>
      </c>
      <c r="Y25" s="157">
        <v>2602.5100000000002</v>
      </c>
      <c r="Z25" s="157">
        <v>2602.5100000000002</v>
      </c>
      <c r="AA25" s="157">
        <v>2602.5100000000002</v>
      </c>
      <c r="AB25" s="157">
        <v>2602.5100000000002</v>
      </c>
      <c r="AC25" s="157"/>
      <c r="AD25" s="157"/>
      <c r="AE25" s="157"/>
      <c r="AF25" s="157"/>
      <c r="AG25" s="157"/>
      <c r="AH25" s="157"/>
    </row>
    <row r="26" spans="1:34" s="151" customFormat="1">
      <c r="A26" s="555" t="s">
        <v>493</v>
      </c>
      <c r="B26" s="153"/>
      <c r="C26" s="135" t="s">
        <v>355</v>
      </c>
      <c r="D26" s="135"/>
      <c r="E26" s="133">
        <f t="shared" si="3"/>
        <v>8</v>
      </c>
      <c r="F26" s="525" t="s">
        <v>494</v>
      </c>
      <c r="G26" s="178">
        <v>0.1</v>
      </c>
      <c r="H26" s="160">
        <v>11</v>
      </c>
      <c r="I26" s="160"/>
      <c r="J26" s="161">
        <v>2862</v>
      </c>
      <c r="K26" s="162"/>
      <c r="L26" s="162">
        <v>2105</v>
      </c>
      <c r="M26" s="163"/>
      <c r="N26" s="163">
        <f t="shared" si="2"/>
        <v>4967</v>
      </c>
      <c r="O26" s="364"/>
      <c r="P26" s="164"/>
      <c r="Q26" s="164"/>
      <c r="R26" s="165" t="s">
        <v>495</v>
      </c>
      <c r="S26" s="166">
        <f>3205+680</f>
        <v>3885</v>
      </c>
      <c r="T26" s="166"/>
      <c r="U26" s="167">
        <v>370</v>
      </c>
      <c r="V26" s="167">
        <v>370</v>
      </c>
      <c r="W26" s="203">
        <v>2862</v>
      </c>
      <c r="X26" s="179">
        <v>4967</v>
      </c>
      <c r="Y26" s="564">
        <v>4967</v>
      </c>
      <c r="Z26" s="203">
        <v>4967</v>
      </c>
      <c r="AA26" s="180"/>
      <c r="AB26" s="180"/>
      <c r="AC26" s="157"/>
      <c r="AD26" s="180"/>
      <c r="AE26" s="180"/>
      <c r="AF26" s="180"/>
      <c r="AG26" s="157"/>
      <c r="AH26" s="157"/>
    </row>
    <row r="27" spans="1:34" s="151" customFormat="1">
      <c r="A27" s="555" t="s">
        <v>496</v>
      </c>
      <c r="B27" s="153"/>
      <c r="C27" s="135" t="s">
        <v>497</v>
      </c>
      <c r="D27" s="135"/>
      <c r="E27" s="133">
        <f t="shared" si="3"/>
        <v>9</v>
      </c>
      <c r="F27" s="523" t="s">
        <v>498</v>
      </c>
      <c r="G27" s="178">
        <v>0.1</v>
      </c>
      <c r="H27" s="160">
        <v>11</v>
      </c>
      <c r="I27" s="160"/>
      <c r="J27" s="161">
        <v>2862</v>
      </c>
      <c r="K27" s="162"/>
      <c r="L27" s="162">
        <v>2105</v>
      </c>
      <c r="M27" s="185"/>
      <c r="N27" s="186">
        <f>+J27+L27</f>
        <v>4967</v>
      </c>
      <c r="O27" s="364">
        <v>13412</v>
      </c>
      <c r="P27" s="156">
        <v>0</v>
      </c>
      <c r="Q27" s="164">
        <v>300</v>
      </c>
      <c r="R27" s="146" t="s">
        <v>499</v>
      </c>
      <c r="S27" s="147"/>
      <c r="T27" s="147"/>
      <c r="U27" s="587">
        <v>0</v>
      </c>
      <c r="V27" s="587">
        <v>0</v>
      </c>
      <c r="W27" s="157">
        <v>2862</v>
      </c>
      <c r="X27" s="168">
        <f>2862+2105</f>
        <v>4967</v>
      </c>
      <c r="Y27" s="157">
        <f>2146.5+953.5+630.25</f>
        <v>3730.25</v>
      </c>
      <c r="Z27" s="157">
        <v>0</v>
      </c>
      <c r="AA27" s="157">
        <v>0</v>
      </c>
      <c r="AB27" s="157">
        <v>0</v>
      </c>
      <c r="AC27" s="157">
        <v>0</v>
      </c>
      <c r="AD27" s="157">
        <v>0</v>
      </c>
      <c r="AE27" s="157">
        <v>0</v>
      </c>
      <c r="AF27" s="157">
        <v>0</v>
      </c>
      <c r="AG27" s="157">
        <v>0</v>
      </c>
      <c r="AH27" s="157">
        <v>0</v>
      </c>
    </row>
    <row r="28" spans="1:34" s="151" customFormat="1">
      <c r="A28" s="555" t="s">
        <v>500</v>
      </c>
      <c r="B28" s="153"/>
      <c r="C28" s="135" t="s">
        <v>501</v>
      </c>
      <c r="D28" s="135"/>
      <c r="E28" s="133">
        <f t="shared" si="3"/>
        <v>10</v>
      </c>
      <c r="F28" s="211" t="s">
        <v>502</v>
      </c>
      <c r="G28" s="178"/>
      <c r="H28" s="160">
        <v>11</v>
      </c>
      <c r="I28" s="160"/>
      <c r="J28" s="160">
        <v>3180</v>
      </c>
      <c r="K28" s="162"/>
      <c r="L28" s="162">
        <v>1525</v>
      </c>
      <c r="M28" s="185"/>
      <c r="N28" s="163">
        <f t="shared" ref="N28:N33" si="4">+J28+K28+L28+M28</f>
        <v>4705</v>
      </c>
      <c r="O28" s="364">
        <v>13545</v>
      </c>
      <c r="P28" s="164">
        <v>0</v>
      </c>
      <c r="Q28" s="164">
        <v>300</v>
      </c>
      <c r="R28" s="165" t="s">
        <v>503</v>
      </c>
      <c r="S28" s="166">
        <f>3205+680</f>
        <v>3885</v>
      </c>
      <c r="T28" s="166"/>
      <c r="U28" s="167">
        <v>370</v>
      </c>
      <c r="V28" s="167"/>
      <c r="W28" s="157">
        <v>3180</v>
      </c>
      <c r="X28" s="168">
        <v>4248</v>
      </c>
      <c r="Y28" s="157">
        <v>4705</v>
      </c>
      <c r="Z28" s="157"/>
      <c r="AA28" s="157"/>
      <c r="AB28" s="157"/>
      <c r="AC28" s="157"/>
      <c r="AD28" s="157"/>
      <c r="AE28" s="157"/>
      <c r="AF28" s="157"/>
      <c r="AG28" s="157"/>
      <c r="AH28" s="157"/>
    </row>
    <row r="29" spans="1:34" s="151" customFormat="1">
      <c r="A29" s="555" t="s">
        <v>202</v>
      </c>
      <c r="B29" s="153"/>
      <c r="C29" s="135"/>
      <c r="D29" s="135"/>
      <c r="E29" s="133">
        <f t="shared" si="3"/>
        <v>11</v>
      </c>
      <c r="F29" s="136" t="s">
        <v>504</v>
      </c>
      <c r="G29" s="207"/>
      <c r="H29" s="208">
        <v>10</v>
      </c>
      <c r="I29" s="208"/>
      <c r="J29" s="208"/>
      <c r="K29" s="505">
        <v>3498</v>
      </c>
      <c r="L29" s="285">
        <v>1800</v>
      </c>
      <c r="M29" s="526"/>
      <c r="N29" s="527">
        <f t="shared" si="4"/>
        <v>5298</v>
      </c>
      <c r="O29" s="144">
        <v>13713</v>
      </c>
      <c r="P29" s="164">
        <v>0</v>
      </c>
      <c r="Q29" s="164">
        <v>300</v>
      </c>
      <c r="R29" s="165">
        <v>2744</v>
      </c>
      <c r="S29" s="166">
        <v>3885</v>
      </c>
      <c r="T29" s="166"/>
      <c r="U29" s="167">
        <v>370</v>
      </c>
      <c r="V29" s="167">
        <v>370</v>
      </c>
      <c r="W29" s="157">
        <v>0</v>
      </c>
      <c r="X29" s="168">
        <f>3498+1800</f>
        <v>5298</v>
      </c>
      <c r="Y29" s="183">
        <v>5298</v>
      </c>
      <c r="Z29" s="183">
        <v>5298</v>
      </c>
      <c r="AA29" s="157"/>
      <c r="AB29" s="157"/>
      <c r="AC29" s="157"/>
      <c r="AD29" s="157"/>
      <c r="AE29" s="157"/>
      <c r="AF29" s="157"/>
      <c r="AG29" s="157"/>
      <c r="AH29" s="157"/>
    </row>
    <row r="30" spans="1:34" s="151" customFormat="1" ht="30">
      <c r="A30" s="555" t="s">
        <v>505</v>
      </c>
      <c r="B30" s="153"/>
      <c r="C30" s="135" t="s">
        <v>506</v>
      </c>
      <c r="D30" s="135"/>
      <c r="E30" s="133">
        <f t="shared" si="3"/>
        <v>12</v>
      </c>
      <c r="F30" s="136" t="s">
        <v>507</v>
      </c>
      <c r="G30" s="159">
        <v>0.2</v>
      </c>
      <c r="H30" s="160">
        <v>10</v>
      </c>
      <c r="I30" s="160"/>
      <c r="J30" s="160"/>
      <c r="K30" s="162">
        <v>2798.4</v>
      </c>
      <c r="L30" s="162">
        <v>1475</v>
      </c>
      <c r="M30" s="185"/>
      <c r="N30" s="163">
        <f t="shared" si="4"/>
        <v>4273.3999999999996</v>
      </c>
      <c r="O30" s="144">
        <v>13644</v>
      </c>
      <c r="P30" s="164">
        <v>0</v>
      </c>
      <c r="Q30" s="164">
        <v>300</v>
      </c>
      <c r="R30" s="165">
        <v>2964</v>
      </c>
      <c r="S30" s="166">
        <v>3885</v>
      </c>
      <c r="T30" s="166"/>
      <c r="U30" s="167">
        <v>0</v>
      </c>
      <c r="V30" s="167">
        <v>0</v>
      </c>
      <c r="W30" s="157">
        <v>0</v>
      </c>
      <c r="X30" s="168">
        <v>4273.3999999999996</v>
      </c>
      <c r="Y30" s="157">
        <v>4273.3999999999996</v>
      </c>
      <c r="Z30" s="157"/>
      <c r="AA30" s="157"/>
      <c r="AB30" s="157"/>
      <c r="AC30" s="157"/>
      <c r="AD30" s="157"/>
      <c r="AE30" s="157"/>
      <c r="AF30" s="157"/>
      <c r="AG30" s="157"/>
      <c r="AH30" s="157"/>
    </row>
    <row r="31" spans="1:34" s="151" customFormat="1" ht="30">
      <c r="A31" s="169" t="s">
        <v>195</v>
      </c>
      <c r="B31" s="153"/>
      <c r="C31" s="181" t="s">
        <v>508</v>
      </c>
      <c r="D31" s="181"/>
      <c r="E31" s="133">
        <f t="shared" si="3"/>
        <v>13</v>
      </c>
      <c r="F31" s="499" t="s">
        <v>492</v>
      </c>
      <c r="G31" s="159">
        <v>0.15</v>
      </c>
      <c r="H31" s="160">
        <v>10</v>
      </c>
      <c r="I31" s="160"/>
      <c r="J31" s="161"/>
      <c r="K31" s="162">
        <v>2973.3</v>
      </c>
      <c r="L31" s="162"/>
      <c r="M31" s="163"/>
      <c r="N31" s="163">
        <f t="shared" si="4"/>
        <v>2973.3</v>
      </c>
      <c r="O31" s="144">
        <v>13360</v>
      </c>
      <c r="P31" s="164">
        <v>0</v>
      </c>
      <c r="Q31" s="164">
        <v>300</v>
      </c>
      <c r="R31" s="165" t="s">
        <v>509</v>
      </c>
      <c r="S31" s="166">
        <f>2000+1200+685</f>
        <v>3885</v>
      </c>
      <c r="T31" s="166"/>
      <c r="U31" s="167"/>
      <c r="V31" s="167"/>
      <c r="W31" s="157">
        <v>0</v>
      </c>
      <c r="X31" s="168">
        <v>2824.63</v>
      </c>
      <c r="Y31" s="157">
        <v>2824.63</v>
      </c>
      <c r="Z31" s="157">
        <v>2824.63</v>
      </c>
      <c r="AA31" s="157">
        <v>2824.63</v>
      </c>
      <c r="AB31" s="157"/>
      <c r="AC31" s="157"/>
      <c r="AD31" s="157"/>
      <c r="AE31" s="157"/>
      <c r="AF31" s="157"/>
      <c r="AG31" s="157"/>
      <c r="AH31" s="157"/>
    </row>
    <row r="32" spans="1:34" s="151" customFormat="1">
      <c r="A32" s="169" t="s">
        <v>510</v>
      </c>
      <c r="B32" s="153"/>
      <c r="C32" s="135"/>
      <c r="D32" s="135"/>
      <c r="E32" s="133">
        <f t="shared" si="3"/>
        <v>14</v>
      </c>
      <c r="F32" s="136" t="s">
        <v>511</v>
      </c>
      <c r="G32" s="159">
        <v>0.1</v>
      </c>
      <c r="H32" s="160">
        <v>10</v>
      </c>
      <c r="I32" s="160"/>
      <c r="J32" s="160"/>
      <c r="K32" s="162">
        <v>3148</v>
      </c>
      <c r="L32" s="162"/>
      <c r="M32" s="185"/>
      <c r="N32" s="163">
        <f t="shared" si="4"/>
        <v>3148</v>
      </c>
      <c r="O32" s="144">
        <v>13577</v>
      </c>
      <c r="P32" s="164">
        <v>0</v>
      </c>
      <c r="Q32" s="164">
        <v>300</v>
      </c>
      <c r="R32" s="165" t="s">
        <v>488</v>
      </c>
      <c r="S32" s="166"/>
      <c r="T32" s="166"/>
      <c r="U32" s="167">
        <v>370</v>
      </c>
      <c r="V32" s="167"/>
      <c r="W32" s="157">
        <v>0</v>
      </c>
      <c r="X32" s="184">
        <v>3305.4</v>
      </c>
      <c r="Y32" s="183">
        <v>3305.4</v>
      </c>
      <c r="Z32" s="183">
        <v>3148</v>
      </c>
      <c r="AA32" s="157"/>
      <c r="AB32" s="157"/>
      <c r="AC32" s="157"/>
      <c r="AD32" s="157"/>
      <c r="AE32" s="157"/>
      <c r="AF32" s="157"/>
      <c r="AG32" s="157"/>
      <c r="AH32" s="157"/>
    </row>
    <row r="33" spans="1:34" s="151" customFormat="1">
      <c r="A33" s="555" t="s">
        <v>512</v>
      </c>
      <c r="B33" s="153"/>
      <c r="C33" s="133" t="s">
        <v>513</v>
      </c>
      <c r="D33" s="133"/>
      <c r="E33" s="133">
        <f t="shared" si="3"/>
        <v>15</v>
      </c>
      <c r="F33" s="500" t="s">
        <v>494</v>
      </c>
      <c r="G33" s="159">
        <v>0.15</v>
      </c>
      <c r="H33" s="160">
        <v>10</v>
      </c>
      <c r="I33" s="160"/>
      <c r="J33" s="161"/>
      <c r="K33" s="162">
        <v>2973.3</v>
      </c>
      <c r="L33" s="162">
        <v>1800</v>
      </c>
      <c r="M33" s="163"/>
      <c r="N33" s="163">
        <f t="shared" si="4"/>
        <v>4773.3</v>
      </c>
      <c r="O33" s="144"/>
      <c r="P33" s="164"/>
      <c r="Q33" s="164"/>
      <c r="R33" s="165">
        <v>3452</v>
      </c>
      <c r="S33" s="166">
        <v>3885</v>
      </c>
      <c r="T33" s="166"/>
      <c r="U33" s="167">
        <v>370</v>
      </c>
      <c r="V33" s="167"/>
      <c r="W33" s="295">
        <v>0</v>
      </c>
      <c r="X33" s="184">
        <f>3450+1323</f>
        <v>4773</v>
      </c>
      <c r="Y33" s="183">
        <f>3559.63+1452.33</f>
        <v>5011.96</v>
      </c>
      <c r="Z33" s="183">
        <f>3547.67+1225.63</f>
        <v>4773.3</v>
      </c>
      <c r="AA33" s="183">
        <v>1531.02</v>
      </c>
      <c r="AB33" s="183"/>
      <c r="AC33" s="183"/>
      <c r="AD33" s="183"/>
      <c r="AE33" s="183"/>
      <c r="AF33" s="183"/>
      <c r="AG33" s="183"/>
      <c r="AH33" s="157"/>
    </row>
    <row r="34" spans="1:34" s="151" customFormat="1">
      <c r="A34" s="178"/>
      <c r="B34" s="153"/>
      <c r="C34" s="135"/>
      <c r="D34" s="135"/>
      <c r="E34" s="133"/>
      <c r="F34" s="136"/>
      <c r="G34" s="159"/>
      <c r="H34" s="160"/>
      <c r="I34" s="160"/>
      <c r="J34" s="160"/>
      <c r="K34" s="178"/>
      <c r="L34" s="178"/>
      <c r="M34" s="185"/>
      <c r="N34" s="185"/>
      <c r="O34" s="144"/>
      <c r="P34" s="156"/>
      <c r="Q34" s="156"/>
      <c r="R34" s="146"/>
      <c r="S34" s="147"/>
      <c r="T34" s="147"/>
      <c r="U34" s="148"/>
      <c r="V34" s="148"/>
      <c r="W34" s="157"/>
      <c r="X34" s="168"/>
      <c r="Y34" s="157"/>
      <c r="Z34" s="157"/>
      <c r="AA34" s="157"/>
      <c r="AB34" s="157"/>
      <c r="AC34" s="157"/>
      <c r="AD34" s="157"/>
      <c r="AE34" s="157"/>
      <c r="AF34" s="157"/>
      <c r="AG34" s="157"/>
      <c r="AH34" s="157"/>
    </row>
    <row r="35" spans="1:34" s="151" customFormat="1" ht="45">
      <c r="A35" s="187" t="s">
        <v>171</v>
      </c>
      <c r="B35" s="133" t="s">
        <v>424</v>
      </c>
      <c r="C35" s="135" t="s">
        <v>339</v>
      </c>
      <c r="D35" s="135"/>
      <c r="E35" s="133"/>
      <c r="F35" s="136"/>
      <c r="G35" s="133" t="s">
        <v>426</v>
      </c>
      <c r="H35" s="137" t="s">
        <v>427</v>
      </c>
      <c r="I35" s="138" t="s">
        <v>514</v>
      </c>
      <c r="J35" s="139" t="s">
        <v>429</v>
      </c>
      <c r="K35" s="140" t="s">
        <v>441</v>
      </c>
      <c r="L35" s="141"/>
      <c r="M35" s="142" t="s">
        <v>431</v>
      </c>
      <c r="N35" s="143" t="s">
        <v>432</v>
      </c>
      <c r="O35" s="144"/>
      <c r="P35" s="145"/>
      <c r="Q35" s="145"/>
      <c r="R35" s="146"/>
      <c r="S35" s="147"/>
      <c r="T35" s="147"/>
      <c r="U35" s="148"/>
      <c r="V35" s="148"/>
      <c r="W35" s="149" t="s">
        <v>437</v>
      </c>
      <c r="X35" s="150" t="s">
        <v>438</v>
      </c>
      <c r="Y35" s="150" t="s">
        <v>2</v>
      </c>
      <c r="Z35" s="150" t="s">
        <v>4</v>
      </c>
      <c r="AA35" s="150" t="s">
        <v>5</v>
      </c>
      <c r="AB35" s="150" t="s">
        <v>6</v>
      </c>
      <c r="AC35" s="150" t="s">
        <v>7</v>
      </c>
      <c r="AD35" s="150" t="s">
        <v>8</v>
      </c>
      <c r="AE35" s="150" t="s">
        <v>9</v>
      </c>
      <c r="AF35" s="150" t="s">
        <v>10</v>
      </c>
      <c r="AG35" s="150" t="s">
        <v>340</v>
      </c>
      <c r="AH35" s="150" t="s">
        <v>439</v>
      </c>
    </row>
    <row r="36" spans="1:34" s="151" customFormat="1">
      <c r="A36" s="178"/>
      <c r="B36" s="153"/>
      <c r="C36" s="135"/>
      <c r="D36" s="135"/>
      <c r="E36" s="133"/>
      <c r="F36" s="136"/>
      <c r="G36" s="159"/>
      <c r="H36" s="160"/>
      <c r="I36" s="160"/>
      <c r="J36" s="160"/>
      <c r="K36" s="178"/>
      <c r="L36" s="178"/>
      <c r="M36" s="185"/>
      <c r="N36" s="185"/>
      <c r="O36" s="144"/>
      <c r="P36" s="188"/>
      <c r="Q36" s="188"/>
      <c r="R36" s="189"/>
      <c r="S36" s="190"/>
      <c r="T36" s="190"/>
      <c r="U36" s="191"/>
      <c r="V36" s="191"/>
      <c r="W36" s="192"/>
      <c r="X36" s="157"/>
      <c r="Y36" s="157"/>
      <c r="Z36" s="157"/>
      <c r="AA36" s="157"/>
      <c r="AB36" s="157"/>
      <c r="AC36" s="157"/>
      <c r="AD36" s="157"/>
      <c r="AE36" s="157"/>
      <c r="AF36" s="157"/>
      <c r="AG36" s="157"/>
      <c r="AH36" s="157"/>
    </row>
    <row r="37" spans="1:34" s="151" customFormat="1">
      <c r="A37" s="529" t="s">
        <v>515</v>
      </c>
      <c r="B37" s="193" t="s">
        <v>516</v>
      </c>
      <c r="C37" s="133" t="s">
        <v>414</v>
      </c>
      <c r="D37" s="133"/>
      <c r="E37" s="133">
        <f t="shared" ref="E37:E51" si="5">+E36+1</f>
        <v>1</v>
      </c>
      <c r="F37" s="136" t="s">
        <v>517</v>
      </c>
      <c r="G37" s="159">
        <v>0.15</v>
      </c>
      <c r="H37" s="160">
        <v>10</v>
      </c>
      <c r="I37" s="160"/>
      <c r="J37" s="161"/>
      <c r="K37" s="162">
        <v>3076.15</v>
      </c>
      <c r="L37" s="194">
        <v>2000</v>
      </c>
      <c r="M37" s="135"/>
      <c r="N37" s="195">
        <f t="shared" ref="N37:N50" si="6">+J37+K37+L37</f>
        <v>5076.1499999999996</v>
      </c>
      <c r="O37" s="196">
        <v>13781</v>
      </c>
      <c r="P37" s="197">
        <v>2400</v>
      </c>
      <c r="Q37" s="197">
        <v>300</v>
      </c>
      <c r="R37" s="172">
        <v>3189</v>
      </c>
      <c r="S37" s="173">
        <v>6494</v>
      </c>
      <c r="T37" s="173"/>
      <c r="U37" s="174">
        <v>370</v>
      </c>
      <c r="V37" s="174">
        <v>370</v>
      </c>
      <c r="W37" s="175">
        <v>0</v>
      </c>
      <c r="X37" s="201">
        <v>5329.95</v>
      </c>
      <c r="Y37" s="201">
        <v>5329.95</v>
      </c>
      <c r="Z37" s="175"/>
      <c r="AA37" s="175"/>
      <c r="AB37" s="175"/>
      <c r="AC37" s="175"/>
      <c r="AD37" s="175"/>
      <c r="AE37" s="175"/>
      <c r="AF37" s="175"/>
      <c r="AG37" s="175"/>
      <c r="AH37" s="175"/>
    </row>
    <row r="38" spans="1:34" s="151" customFormat="1">
      <c r="A38" s="529" t="s">
        <v>518</v>
      </c>
      <c r="B38" s="193" t="s">
        <v>516</v>
      </c>
      <c r="C38" s="133" t="s">
        <v>519</v>
      </c>
      <c r="D38" s="133"/>
      <c r="E38" s="133">
        <f t="shared" si="5"/>
        <v>2</v>
      </c>
      <c r="F38" s="136" t="s">
        <v>520</v>
      </c>
      <c r="G38" s="159">
        <v>0.1</v>
      </c>
      <c r="H38" s="160">
        <v>11</v>
      </c>
      <c r="I38" s="160"/>
      <c r="J38" s="161">
        <v>2961</v>
      </c>
      <c r="K38" s="162"/>
      <c r="L38" s="194">
        <v>375</v>
      </c>
      <c r="M38" s="135"/>
      <c r="N38" s="195">
        <f t="shared" si="6"/>
        <v>3336</v>
      </c>
      <c r="O38" s="196">
        <v>13423</v>
      </c>
      <c r="P38" s="197">
        <v>1600</v>
      </c>
      <c r="Q38" s="197">
        <v>300</v>
      </c>
      <c r="R38" s="172">
        <v>2917</v>
      </c>
      <c r="S38" s="173">
        <v>6494</v>
      </c>
      <c r="T38" s="173"/>
      <c r="U38" s="174"/>
      <c r="V38" s="174"/>
      <c r="W38" s="175">
        <v>2961</v>
      </c>
      <c r="X38" s="175">
        <v>3336</v>
      </c>
      <c r="Y38" s="176">
        <v>3336</v>
      </c>
      <c r="Z38" s="176"/>
      <c r="AA38" s="176"/>
      <c r="AB38" s="176"/>
      <c r="AC38" s="176"/>
      <c r="AD38" s="176"/>
      <c r="AE38" s="176"/>
      <c r="AF38" s="175"/>
      <c r="AG38" s="175"/>
      <c r="AH38" s="175"/>
    </row>
    <row r="39" spans="1:34" s="151" customFormat="1">
      <c r="A39" s="169" t="s">
        <v>521</v>
      </c>
      <c r="B39" s="193" t="s">
        <v>516</v>
      </c>
      <c r="C39" s="133"/>
      <c r="D39" s="133"/>
      <c r="E39" s="133">
        <f t="shared" si="5"/>
        <v>3</v>
      </c>
      <c r="F39" s="136" t="s">
        <v>522</v>
      </c>
      <c r="G39" s="159">
        <v>0.15</v>
      </c>
      <c r="H39" s="160">
        <v>10</v>
      </c>
      <c r="I39" s="160"/>
      <c r="J39" s="161"/>
      <c r="K39" s="162">
        <v>3076.15</v>
      </c>
      <c r="L39" s="194"/>
      <c r="M39" s="135"/>
      <c r="N39" s="195">
        <f t="shared" si="6"/>
        <v>3076.15</v>
      </c>
      <c r="O39" s="196">
        <v>13401</v>
      </c>
      <c r="P39" s="197">
        <v>1600</v>
      </c>
      <c r="Q39" s="197">
        <v>300</v>
      </c>
      <c r="R39" s="172">
        <v>3422</v>
      </c>
      <c r="S39" s="173">
        <v>6494</v>
      </c>
      <c r="T39" s="173"/>
      <c r="U39" s="174"/>
      <c r="V39" s="174"/>
      <c r="W39" s="175">
        <v>0</v>
      </c>
      <c r="X39" s="175">
        <v>3076.15</v>
      </c>
      <c r="Y39" s="175">
        <v>3076.15</v>
      </c>
      <c r="Z39" s="175"/>
      <c r="AA39" s="175"/>
      <c r="AB39" s="175"/>
      <c r="AC39" s="175"/>
      <c r="AD39" s="175"/>
      <c r="AE39" s="175"/>
      <c r="AF39" s="175"/>
      <c r="AG39" s="175"/>
      <c r="AH39" s="175"/>
    </row>
    <row r="40" spans="1:34" s="151" customFormat="1">
      <c r="A40" s="529" t="s">
        <v>523</v>
      </c>
      <c r="B40" s="193" t="s">
        <v>516</v>
      </c>
      <c r="C40" s="133" t="s">
        <v>486</v>
      </c>
      <c r="D40" s="133"/>
      <c r="E40" s="133">
        <f t="shared" si="5"/>
        <v>4</v>
      </c>
      <c r="F40" s="136" t="s">
        <v>524</v>
      </c>
      <c r="G40" s="159">
        <v>0.15</v>
      </c>
      <c r="H40" s="160">
        <v>10</v>
      </c>
      <c r="I40" s="160"/>
      <c r="J40" s="161"/>
      <c r="K40" s="162">
        <v>2895.2</v>
      </c>
      <c r="L40" s="194">
        <v>2000</v>
      </c>
      <c r="M40" s="135"/>
      <c r="N40" s="195">
        <f t="shared" si="6"/>
        <v>4895.2</v>
      </c>
      <c r="O40" s="196">
        <v>13162</v>
      </c>
      <c r="P40" s="197">
        <v>1600</v>
      </c>
      <c r="Q40" s="197">
        <v>300</v>
      </c>
      <c r="R40" s="172">
        <v>2918</v>
      </c>
      <c r="S40" s="173">
        <v>6494</v>
      </c>
      <c r="T40" s="173"/>
      <c r="U40" s="174">
        <v>370</v>
      </c>
      <c r="V40" s="174">
        <v>370</v>
      </c>
      <c r="W40" s="175">
        <v>0</v>
      </c>
      <c r="X40" s="175">
        <v>4895.2</v>
      </c>
      <c r="Y40" s="176">
        <v>4895.2</v>
      </c>
      <c r="Z40" s="176">
        <v>4895.2</v>
      </c>
      <c r="AA40" s="176"/>
      <c r="AB40" s="176"/>
      <c r="AC40" s="176"/>
      <c r="AD40" s="176"/>
      <c r="AE40" s="176"/>
      <c r="AF40" s="176"/>
      <c r="AG40" s="176"/>
      <c r="AH40" s="175"/>
    </row>
    <row r="41" spans="1:34" s="151" customFormat="1">
      <c r="A41" s="529" t="s">
        <v>525</v>
      </c>
      <c r="B41" s="193" t="s">
        <v>516</v>
      </c>
      <c r="C41" s="133" t="s">
        <v>420</v>
      </c>
      <c r="D41" s="133"/>
      <c r="E41" s="133">
        <f t="shared" si="5"/>
        <v>5</v>
      </c>
      <c r="F41" s="136" t="s">
        <v>526</v>
      </c>
      <c r="G41" s="159"/>
      <c r="H41" s="160">
        <v>10</v>
      </c>
      <c r="I41" s="160"/>
      <c r="J41" s="161"/>
      <c r="K41" s="162">
        <v>3619</v>
      </c>
      <c r="L41" s="194">
        <v>1800</v>
      </c>
      <c r="M41" s="135"/>
      <c r="N41" s="195">
        <f t="shared" si="6"/>
        <v>5419</v>
      </c>
      <c r="O41" s="196">
        <v>13275</v>
      </c>
      <c r="P41" s="171">
        <v>0</v>
      </c>
      <c r="Q41" s="171">
        <v>300</v>
      </c>
      <c r="R41" s="172">
        <v>3089</v>
      </c>
      <c r="S41" s="173">
        <v>6494</v>
      </c>
      <c r="T41" s="173"/>
      <c r="U41" s="174">
        <v>370</v>
      </c>
      <c r="V41" s="174">
        <v>370</v>
      </c>
      <c r="W41" s="175">
        <v>0</v>
      </c>
      <c r="X41" s="175">
        <f>3619+1800</f>
        <v>5419</v>
      </c>
      <c r="Y41" s="175">
        <v>5419</v>
      </c>
      <c r="Z41" s="176">
        <v>5419</v>
      </c>
      <c r="AA41" s="176">
        <v>5419</v>
      </c>
      <c r="AB41" s="175"/>
      <c r="AC41" s="175"/>
      <c r="AD41" s="175"/>
      <c r="AE41" s="175"/>
      <c r="AF41" s="175"/>
      <c r="AG41" s="175"/>
      <c r="AH41" s="175"/>
    </row>
    <row r="42" spans="1:34" s="151" customFormat="1">
      <c r="A42" s="529" t="s">
        <v>527</v>
      </c>
      <c r="B42" s="193" t="s">
        <v>516</v>
      </c>
      <c r="C42" s="133" t="s">
        <v>528</v>
      </c>
      <c r="D42" s="133"/>
      <c r="E42" s="133">
        <f t="shared" si="5"/>
        <v>6</v>
      </c>
      <c r="F42" s="136" t="s">
        <v>529</v>
      </c>
      <c r="G42" s="159">
        <v>0.1</v>
      </c>
      <c r="H42" s="160">
        <v>11</v>
      </c>
      <c r="I42" s="160"/>
      <c r="J42" s="161">
        <v>2961</v>
      </c>
      <c r="K42" s="162"/>
      <c r="L42" s="194">
        <v>2105</v>
      </c>
      <c r="M42" s="135"/>
      <c r="N42" s="195">
        <f t="shared" si="6"/>
        <v>5066</v>
      </c>
      <c r="O42" s="196">
        <v>13354</v>
      </c>
      <c r="P42" s="197">
        <v>1300</v>
      </c>
      <c r="Q42" s="197">
        <v>300</v>
      </c>
      <c r="R42" s="172">
        <v>3246</v>
      </c>
      <c r="S42" s="173">
        <v>6496</v>
      </c>
      <c r="T42" s="173"/>
      <c r="U42" s="174">
        <v>370</v>
      </c>
      <c r="V42" s="174"/>
      <c r="W42" s="201">
        <v>2961</v>
      </c>
      <c r="X42" s="201">
        <f>2961+78+2027</f>
        <v>5066</v>
      </c>
      <c r="Y42" s="198">
        <v>2299</v>
      </c>
      <c r="Z42" s="198"/>
      <c r="AA42" s="198"/>
      <c r="AB42" s="198"/>
      <c r="AC42" s="198"/>
      <c r="AD42" s="176"/>
      <c r="AE42" s="176"/>
      <c r="AF42" s="176"/>
      <c r="AG42" s="176"/>
      <c r="AH42" s="175"/>
    </row>
    <row r="43" spans="1:34" s="151" customFormat="1">
      <c r="A43" s="529" t="s">
        <v>530</v>
      </c>
      <c r="B43" s="193" t="s">
        <v>516</v>
      </c>
      <c r="C43" s="199" t="s">
        <v>398</v>
      </c>
      <c r="D43" s="199"/>
      <c r="E43" s="133">
        <f t="shared" si="5"/>
        <v>7</v>
      </c>
      <c r="F43" s="136" t="s">
        <v>531</v>
      </c>
      <c r="G43" s="178">
        <v>0.15</v>
      </c>
      <c r="H43" s="160">
        <v>10</v>
      </c>
      <c r="I43" s="160"/>
      <c r="J43" s="161"/>
      <c r="K43" s="162">
        <v>3076.15</v>
      </c>
      <c r="L43" s="162">
        <v>2000</v>
      </c>
      <c r="M43" s="202"/>
      <c r="N43" s="195">
        <f t="shared" si="6"/>
        <v>5076.1499999999996</v>
      </c>
      <c r="O43" s="196">
        <v>13472</v>
      </c>
      <c r="P43" s="197">
        <v>1600</v>
      </c>
      <c r="Q43" s="197">
        <v>300</v>
      </c>
      <c r="R43" s="172">
        <v>3479</v>
      </c>
      <c r="S43" s="173">
        <v>6494</v>
      </c>
      <c r="T43" s="173"/>
      <c r="U43" s="174">
        <v>370</v>
      </c>
      <c r="V43" s="174"/>
      <c r="W43" s="175">
        <v>0</v>
      </c>
      <c r="X43" s="198">
        <v>5076.1499999999996</v>
      </c>
      <c r="Y43" s="176"/>
      <c r="Z43" s="176"/>
      <c r="AA43" s="176"/>
      <c r="AB43" s="176"/>
      <c r="AC43" s="176"/>
      <c r="AD43" s="176"/>
      <c r="AE43" s="176"/>
      <c r="AF43" s="176"/>
      <c r="AG43" s="175"/>
      <c r="AH43" s="175"/>
    </row>
    <row r="44" spans="1:34" s="151" customFormat="1">
      <c r="A44" s="529" t="s">
        <v>532</v>
      </c>
      <c r="B44" s="193" t="s">
        <v>516</v>
      </c>
      <c r="C44" s="199" t="s">
        <v>420</v>
      </c>
      <c r="D44" s="199"/>
      <c r="E44" s="133">
        <f t="shared" si="5"/>
        <v>8</v>
      </c>
      <c r="F44" s="136" t="s">
        <v>533</v>
      </c>
      <c r="G44" s="178"/>
      <c r="H44" s="160">
        <v>11</v>
      </c>
      <c r="I44" s="160"/>
      <c r="J44" s="161">
        <v>3290</v>
      </c>
      <c r="K44" s="162"/>
      <c r="L44" s="162">
        <v>1800</v>
      </c>
      <c r="M44" s="202"/>
      <c r="N44" s="195">
        <f t="shared" si="6"/>
        <v>5090</v>
      </c>
      <c r="O44" s="196">
        <v>13537</v>
      </c>
      <c r="P44" s="197">
        <v>2400</v>
      </c>
      <c r="Q44" s="197">
        <v>300</v>
      </c>
      <c r="R44" s="172">
        <v>2938</v>
      </c>
      <c r="S44" s="173">
        <v>6494</v>
      </c>
      <c r="T44" s="173"/>
      <c r="U44" s="174">
        <v>370</v>
      </c>
      <c r="V44" s="174">
        <v>370</v>
      </c>
      <c r="W44" s="175">
        <v>0</v>
      </c>
      <c r="X44" s="198">
        <v>5090</v>
      </c>
      <c r="Y44" s="198">
        <v>5090</v>
      </c>
      <c r="Z44" s="198">
        <v>5090</v>
      </c>
      <c r="AA44" s="198"/>
      <c r="AB44" s="198"/>
      <c r="AC44" s="198"/>
      <c r="AD44" s="198"/>
      <c r="AE44" s="198"/>
      <c r="AF44" s="198"/>
      <c r="AG44" s="175"/>
      <c r="AH44" s="175"/>
    </row>
    <row r="45" spans="1:34" s="151" customFormat="1">
      <c r="A45" s="169" t="s">
        <v>534</v>
      </c>
      <c r="B45" s="193" t="s">
        <v>516</v>
      </c>
      <c r="C45" s="133"/>
      <c r="D45" s="133"/>
      <c r="E45" s="133">
        <f t="shared" si="5"/>
        <v>9</v>
      </c>
      <c r="F45" s="136" t="s">
        <v>535</v>
      </c>
      <c r="G45" s="178"/>
      <c r="H45" s="160">
        <v>10</v>
      </c>
      <c r="I45" s="160"/>
      <c r="J45" s="161"/>
      <c r="K45" s="162">
        <v>3076.15</v>
      </c>
      <c r="L45" s="162"/>
      <c r="M45" s="202"/>
      <c r="N45" s="195">
        <f t="shared" si="6"/>
        <v>3076.15</v>
      </c>
      <c r="O45" s="196">
        <v>13341</v>
      </c>
      <c r="P45" s="197">
        <v>1600</v>
      </c>
      <c r="Q45" s="197">
        <v>300</v>
      </c>
      <c r="R45" s="172">
        <v>3237</v>
      </c>
      <c r="S45" s="173">
        <v>2415</v>
      </c>
      <c r="T45" s="173" t="s">
        <v>536</v>
      </c>
      <c r="U45" s="174"/>
      <c r="V45" s="174"/>
      <c r="W45" s="175">
        <v>0</v>
      </c>
      <c r="X45" s="157">
        <v>3076.15</v>
      </c>
      <c r="Y45" s="157">
        <v>3076.15</v>
      </c>
      <c r="Z45" s="157"/>
      <c r="AA45" s="157"/>
      <c r="AB45" s="203"/>
      <c r="AC45" s="203"/>
      <c r="AD45" s="157"/>
      <c r="AE45" s="157"/>
      <c r="AF45" s="157"/>
      <c r="AG45" s="157"/>
      <c r="AH45" s="157"/>
    </row>
    <row r="46" spans="1:34" s="151" customFormat="1">
      <c r="A46" s="529" t="s">
        <v>537</v>
      </c>
      <c r="B46" s="153" t="s">
        <v>516</v>
      </c>
      <c r="C46" s="133" t="s">
        <v>538</v>
      </c>
      <c r="D46" s="133"/>
      <c r="E46" s="133">
        <f t="shared" si="5"/>
        <v>10</v>
      </c>
      <c r="F46" s="136" t="s">
        <v>539</v>
      </c>
      <c r="G46" s="207">
        <v>0.15</v>
      </c>
      <c r="H46" s="208">
        <v>10</v>
      </c>
      <c r="I46" s="208"/>
      <c r="J46" s="209"/>
      <c r="K46" s="505">
        <v>3076.15</v>
      </c>
      <c r="L46" s="215">
        <v>2000</v>
      </c>
      <c r="M46" s="135"/>
      <c r="N46" s="195">
        <f t="shared" si="6"/>
        <v>5076.1499999999996</v>
      </c>
      <c r="O46" s="196">
        <v>14070</v>
      </c>
      <c r="P46" s="197">
        <v>1600</v>
      </c>
      <c r="Q46" s="197">
        <v>300</v>
      </c>
      <c r="R46" s="172">
        <v>3507</v>
      </c>
      <c r="S46" s="173">
        <v>2598</v>
      </c>
      <c r="T46" s="173" t="s">
        <v>540</v>
      </c>
      <c r="U46" s="174"/>
      <c r="V46" s="174"/>
      <c r="W46" s="175"/>
      <c r="X46" s="157"/>
      <c r="Y46" s="157"/>
      <c r="Z46" s="157"/>
      <c r="AA46" s="157"/>
      <c r="AB46" s="157"/>
      <c r="AC46" s="157"/>
      <c r="AD46" s="157"/>
      <c r="AE46" s="157"/>
      <c r="AF46" s="157"/>
      <c r="AG46" s="157"/>
      <c r="AH46" s="157"/>
    </row>
    <row r="47" spans="1:34" s="151" customFormat="1">
      <c r="A47" s="169" t="s">
        <v>541</v>
      </c>
      <c r="B47" s="153" t="s">
        <v>516</v>
      </c>
      <c r="C47" s="133"/>
      <c r="D47" s="133"/>
      <c r="E47" s="133">
        <f t="shared" si="5"/>
        <v>11</v>
      </c>
      <c r="F47" s="211" t="s">
        <v>542</v>
      </c>
      <c r="G47" s="207">
        <v>0.1</v>
      </c>
      <c r="H47" s="212">
        <v>10</v>
      </c>
      <c r="I47" s="212"/>
      <c r="J47" s="213"/>
      <c r="K47" s="214">
        <v>3257.1</v>
      </c>
      <c r="L47" s="215"/>
      <c r="M47" s="135"/>
      <c r="N47" s="195">
        <f t="shared" si="6"/>
        <v>3257.1</v>
      </c>
      <c r="O47" s="196">
        <v>13169</v>
      </c>
      <c r="P47" s="171">
        <v>0</v>
      </c>
      <c r="Q47" s="171">
        <v>300</v>
      </c>
      <c r="R47" s="172">
        <v>3168</v>
      </c>
      <c r="S47" s="173">
        <v>6494</v>
      </c>
      <c r="T47" s="173"/>
      <c r="U47" s="174">
        <v>370</v>
      </c>
      <c r="V47" s="174">
        <v>370</v>
      </c>
      <c r="W47" s="175">
        <v>0</v>
      </c>
      <c r="X47" s="175">
        <v>3257.1</v>
      </c>
      <c r="Y47" s="175">
        <v>3257.1</v>
      </c>
      <c r="Z47" s="175">
        <v>3258</v>
      </c>
      <c r="AA47" s="175"/>
      <c r="AB47" s="175"/>
      <c r="AC47" s="175"/>
      <c r="AD47" s="175"/>
      <c r="AE47" s="175"/>
      <c r="AF47" s="175"/>
      <c r="AG47" s="175"/>
      <c r="AH47" s="175"/>
    </row>
    <row r="48" spans="1:34" s="151" customFormat="1">
      <c r="A48" s="530" t="s">
        <v>204</v>
      </c>
      <c r="B48" s="153" t="s">
        <v>516</v>
      </c>
      <c r="C48" s="206" t="s">
        <v>543</v>
      </c>
      <c r="D48" s="206"/>
      <c r="E48" s="133">
        <f t="shared" si="5"/>
        <v>12</v>
      </c>
      <c r="F48" s="211" t="s">
        <v>544</v>
      </c>
      <c r="G48" s="178">
        <v>0.15</v>
      </c>
      <c r="H48" s="160">
        <v>11</v>
      </c>
      <c r="I48" s="160"/>
      <c r="J48" s="161">
        <v>3076.15</v>
      </c>
      <c r="K48" s="225"/>
      <c r="L48" s="225">
        <v>2115</v>
      </c>
      <c r="M48" s="226"/>
      <c r="N48" s="195">
        <f t="shared" si="6"/>
        <v>5191.1499999999996</v>
      </c>
      <c r="O48" s="217">
        <v>13378</v>
      </c>
      <c r="P48" s="224">
        <v>1600</v>
      </c>
      <c r="Q48" s="224">
        <v>300</v>
      </c>
      <c r="R48" s="219">
        <v>2801</v>
      </c>
      <c r="S48" s="220">
        <f>165+6329</f>
        <v>6494</v>
      </c>
      <c r="T48" s="220"/>
      <c r="U48" s="221">
        <v>370</v>
      </c>
      <c r="V48" s="221">
        <v>370</v>
      </c>
      <c r="W48" s="175">
        <v>3076.15</v>
      </c>
      <c r="X48" s="175">
        <v>5191.1499999999996</v>
      </c>
      <c r="Y48" s="175">
        <v>5191.1499999999996</v>
      </c>
      <c r="Z48" s="175">
        <v>5191.1499999999996</v>
      </c>
      <c r="AA48" s="175"/>
      <c r="AB48" s="175"/>
      <c r="AC48" s="175"/>
      <c r="AD48" s="175"/>
      <c r="AE48" s="175"/>
      <c r="AF48" s="175"/>
      <c r="AG48" s="175"/>
      <c r="AH48" s="175"/>
    </row>
    <row r="49" spans="1:34" s="151" customFormat="1">
      <c r="A49" s="529" t="s">
        <v>206</v>
      </c>
      <c r="B49" s="153" t="s">
        <v>516</v>
      </c>
      <c r="C49" s="133" t="s">
        <v>486</v>
      </c>
      <c r="D49" s="133"/>
      <c r="E49" s="133">
        <f t="shared" si="5"/>
        <v>13</v>
      </c>
      <c r="F49" s="211" t="s">
        <v>545</v>
      </c>
      <c r="G49" s="178">
        <v>0.1</v>
      </c>
      <c r="H49" s="160">
        <v>10</v>
      </c>
      <c r="I49" s="160"/>
      <c r="J49" s="161"/>
      <c r="K49" s="162">
        <v>3257.1</v>
      </c>
      <c r="L49" s="204">
        <v>2105</v>
      </c>
      <c r="M49" s="185"/>
      <c r="N49" s="195">
        <f t="shared" si="6"/>
        <v>5362.1</v>
      </c>
      <c r="O49" s="217">
        <v>13409</v>
      </c>
      <c r="P49" s="224">
        <v>1600</v>
      </c>
      <c r="Q49" s="224">
        <v>300</v>
      </c>
      <c r="R49" s="219">
        <v>2864</v>
      </c>
      <c r="S49" s="220">
        <v>6494</v>
      </c>
      <c r="T49" s="220"/>
      <c r="U49" s="221">
        <v>370</v>
      </c>
      <c r="V49" s="221">
        <v>370</v>
      </c>
      <c r="W49" s="175">
        <v>0</v>
      </c>
      <c r="X49" s="198">
        <v>5362.1</v>
      </c>
      <c r="Y49" s="198">
        <v>5362.1</v>
      </c>
      <c r="Z49" s="198">
        <v>5362.1</v>
      </c>
      <c r="AA49" s="216"/>
      <c r="AB49" s="216"/>
      <c r="AC49" s="216"/>
      <c r="AD49" s="216"/>
      <c r="AE49" s="216"/>
      <c r="AF49" s="216"/>
      <c r="AG49" s="175"/>
      <c r="AH49" s="175"/>
    </row>
    <row r="50" spans="1:34" s="151" customFormat="1">
      <c r="A50" s="169" t="s">
        <v>546</v>
      </c>
      <c r="B50" s="153" t="s">
        <v>516</v>
      </c>
      <c r="C50" s="133" t="s">
        <v>547</v>
      </c>
      <c r="D50" s="133"/>
      <c r="E50" s="133">
        <f t="shared" si="5"/>
        <v>14</v>
      </c>
      <c r="F50" s="211" t="s">
        <v>548</v>
      </c>
      <c r="G50" s="178">
        <v>0.1</v>
      </c>
      <c r="H50" s="160">
        <v>11</v>
      </c>
      <c r="I50" s="160"/>
      <c r="J50" s="161">
        <v>2961</v>
      </c>
      <c r="K50" s="162"/>
      <c r="L50" s="204"/>
      <c r="M50" s="185"/>
      <c r="N50" s="195">
        <f t="shared" si="6"/>
        <v>2961</v>
      </c>
      <c r="O50" s="217">
        <v>13591</v>
      </c>
      <c r="P50" s="218">
        <v>0</v>
      </c>
      <c r="Q50" s="218">
        <v>300</v>
      </c>
      <c r="R50" s="219">
        <v>3157</v>
      </c>
      <c r="S50" s="220">
        <v>6494</v>
      </c>
      <c r="T50" s="220"/>
      <c r="U50" s="221"/>
      <c r="V50" s="221"/>
      <c r="W50" s="175">
        <v>2862</v>
      </c>
      <c r="X50" s="176">
        <v>2961</v>
      </c>
      <c r="Y50" s="175"/>
      <c r="Z50" s="175"/>
      <c r="AA50" s="175"/>
      <c r="AB50" s="175"/>
      <c r="AC50" s="175"/>
      <c r="AD50" s="175"/>
      <c r="AE50" s="175"/>
      <c r="AF50" s="175"/>
      <c r="AG50" s="175"/>
      <c r="AH50" s="175"/>
    </row>
    <row r="51" spans="1:34" s="151" customFormat="1">
      <c r="A51" s="169" t="s">
        <v>549</v>
      </c>
      <c r="B51" s="153" t="s">
        <v>550</v>
      </c>
      <c r="C51" s="133" t="s">
        <v>547</v>
      </c>
      <c r="D51" s="133"/>
      <c r="E51" s="133">
        <f t="shared" si="5"/>
        <v>15</v>
      </c>
      <c r="F51" s="211" t="s">
        <v>551</v>
      </c>
      <c r="G51" s="178">
        <v>0.1</v>
      </c>
      <c r="H51" s="160">
        <v>11</v>
      </c>
      <c r="I51" s="160"/>
      <c r="J51" s="161">
        <v>2961</v>
      </c>
      <c r="K51" s="162"/>
      <c r="L51" s="204"/>
      <c r="M51" s="185"/>
      <c r="N51" s="195">
        <f t="shared" ref="N51" si="7">+J51+K51+L51</f>
        <v>2961</v>
      </c>
      <c r="O51" s="217">
        <v>13591</v>
      </c>
      <c r="P51" s="218">
        <v>0</v>
      </c>
      <c r="Q51" s="218">
        <v>300</v>
      </c>
      <c r="R51" s="219">
        <v>3157</v>
      </c>
      <c r="S51" s="220">
        <v>6494</v>
      </c>
      <c r="T51" s="220"/>
      <c r="U51" s="221"/>
      <c r="V51" s="221"/>
      <c r="W51" s="175">
        <v>100</v>
      </c>
      <c r="X51" s="175">
        <v>100</v>
      </c>
      <c r="Y51" s="175">
        <v>100</v>
      </c>
      <c r="Z51" s="175">
        <v>100</v>
      </c>
      <c r="AA51" s="613">
        <v>100</v>
      </c>
      <c r="AB51" s="175"/>
      <c r="AC51" s="175"/>
      <c r="AD51" s="175"/>
      <c r="AE51" s="175"/>
      <c r="AF51" s="175"/>
      <c r="AG51" s="175"/>
      <c r="AH51" s="175"/>
    </row>
    <row r="52" spans="1:34" s="151" customFormat="1">
      <c r="A52" s="169"/>
      <c r="B52" s="153"/>
      <c r="C52" s="133"/>
      <c r="D52" s="133"/>
      <c r="E52" s="133"/>
      <c r="F52" s="612"/>
      <c r="G52" s="178"/>
      <c r="H52" s="160"/>
      <c r="I52" s="160"/>
      <c r="J52" s="161"/>
      <c r="K52" s="162"/>
      <c r="L52" s="204"/>
      <c r="M52" s="185"/>
      <c r="N52" s="222"/>
      <c r="O52" s="217"/>
      <c r="P52" s="218"/>
      <c r="Q52" s="218"/>
      <c r="R52" s="219"/>
      <c r="S52" s="220"/>
      <c r="T52" s="220"/>
      <c r="U52" s="221"/>
      <c r="V52" s="221"/>
      <c r="W52" s="175"/>
      <c r="X52" s="175"/>
      <c r="Y52" s="175"/>
      <c r="Z52" s="175"/>
      <c r="AA52" s="175"/>
      <c r="AB52" s="175"/>
      <c r="AC52" s="175"/>
      <c r="AD52" s="175"/>
      <c r="AE52" s="175"/>
      <c r="AF52" s="175"/>
      <c r="AG52" s="175"/>
      <c r="AH52" s="175"/>
    </row>
    <row r="53" spans="1:34" s="151" customFormat="1">
      <c r="A53" s="529" t="s">
        <v>552</v>
      </c>
      <c r="B53" s="153" t="s">
        <v>553</v>
      </c>
      <c r="C53" s="133" t="s">
        <v>554</v>
      </c>
      <c r="D53" s="133"/>
      <c r="E53" s="133">
        <f>+E52+1</f>
        <v>1</v>
      </c>
      <c r="F53" s="211" t="s">
        <v>555</v>
      </c>
      <c r="G53" s="178"/>
      <c r="H53" s="160">
        <v>10</v>
      </c>
      <c r="I53" s="160"/>
      <c r="J53" s="161"/>
      <c r="K53" s="162">
        <v>3619</v>
      </c>
      <c r="L53" s="204">
        <v>1330</v>
      </c>
      <c r="M53" s="185"/>
      <c r="N53" s="223">
        <f t="shared" ref="N53:N66" si="8">+J53+K53+L53</f>
        <v>4949</v>
      </c>
      <c r="O53" s="217">
        <v>13841</v>
      </c>
      <c r="P53" s="218">
        <v>0</v>
      </c>
      <c r="Q53" s="218">
        <v>300</v>
      </c>
      <c r="R53" s="219">
        <v>3018</v>
      </c>
      <c r="S53" s="220">
        <v>6494</v>
      </c>
      <c r="T53" s="220"/>
      <c r="U53" s="221"/>
      <c r="V53" s="221">
        <v>370</v>
      </c>
      <c r="W53" s="175">
        <v>0</v>
      </c>
      <c r="X53" s="175">
        <f>3619+665</f>
        <v>4284</v>
      </c>
      <c r="Y53" s="563">
        <v>4949</v>
      </c>
      <c r="Z53" s="175">
        <v>4949</v>
      </c>
      <c r="AA53" s="175"/>
      <c r="AB53" s="175"/>
      <c r="AC53" s="175"/>
      <c r="AD53" s="175"/>
      <c r="AE53" s="175"/>
      <c r="AF53" s="175"/>
      <c r="AG53" s="175"/>
      <c r="AH53" s="175"/>
    </row>
    <row r="54" spans="1:34" s="151" customFormat="1">
      <c r="A54" s="182" t="s">
        <v>556</v>
      </c>
      <c r="B54" s="153" t="s">
        <v>553</v>
      </c>
      <c r="C54" s="133"/>
      <c r="D54" s="133"/>
      <c r="E54" s="133">
        <v>2</v>
      </c>
      <c r="F54" s="211" t="s">
        <v>557</v>
      </c>
      <c r="G54" s="178">
        <v>0.15</v>
      </c>
      <c r="H54" s="160">
        <v>10</v>
      </c>
      <c r="I54" s="160"/>
      <c r="J54" s="161"/>
      <c r="K54" s="162">
        <v>3076.15</v>
      </c>
      <c r="L54" s="573"/>
      <c r="M54" s="185"/>
      <c r="N54" s="223">
        <f t="shared" si="8"/>
        <v>3076.15</v>
      </c>
      <c r="O54" s="217">
        <v>13813</v>
      </c>
      <c r="P54" s="224">
        <f>1300+300</f>
        <v>1600</v>
      </c>
      <c r="Q54" s="224">
        <v>300</v>
      </c>
      <c r="R54" s="219">
        <v>2953</v>
      </c>
      <c r="S54" s="220">
        <v>6494</v>
      </c>
      <c r="T54" s="220"/>
      <c r="U54" s="584">
        <v>0</v>
      </c>
      <c r="V54" s="584">
        <v>0</v>
      </c>
      <c r="W54" s="175">
        <v>0</v>
      </c>
      <c r="X54" s="201">
        <v>2860.81</v>
      </c>
      <c r="Y54" s="201">
        <v>2860.81</v>
      </c>
      <c r="Z54" s="201">
        <v>2860.81</v>
      </c>
      <c r="AA54" s="201">
        <v>2860.81</v>
      </c>
      <c r="AB54" s="201">
        <v>2860.81</v>
      </c>
      <c r="AC54" s="201">
        <v>2860.81</v>
      </c>
      <c r="AD54" s="201">
        <v>2860.81</v>
      </c>
      <c r="AE54" s="201">
        <v>2860.81</v>
      </c>
      <c r="AF54" s="201">
        <v>2860.81</v>
      </c>
      <c r="AG54" s="201">
        <v>2860.81</v>
      </c>
      <c r="AH54" s="175">
        <v>0</v>
      </c>
    </row>
    <row r="55" spans="1:34" s="151" customFormat="1">
      <c r="A55" s="529" t="s">
        <v>208</v>
      </c>
      <c r="B55" s="153" t="s">
        <v>553</v>
      </c>
      <c r="C55" s="133" t="s">
        <v>558</v>
      </c>
      <c r="D55" s="133"/>
      <c r="E55" s="133">
        <f t="shared" ref="E55:E66" si="9">+E54+1</f>
        <v>3</v>
      </c>
      <c r="F55" s="211" t="s">
        <v>559</v>
      </c>
      <c r="G55" s="178">
        <v>0.15</v>
      </c>
      <c r="H55" s="160">
        <v>10</v>
      </c>
      <c r="I55" s="160"/>
      <c r="J55" s="161"/>
      <c r="K55" s="162">
        <v>3076.15</v>
      </c>
      <c r="L55" s="204">
        <v>2000</v>
      </c>
      <c r="M55" s="185"/>
      <c r="N55" s="223">
        <f t="shared" si="8"/>
        <v>5076.1499999999996</v>
      </c>
      <c r="O55" s="217">
        <v>13438</v>
      </c>
      <c r="P55" s="218">
        <v>0</v>
      </c>
      <c r="Q55" s="218">
        <v>300</v>
      </c>
      <c r="R55" s="219">
        <v>2807</v>
      </c>
      <c r="S55" s="220">
        <v>6494</v>
      </c>
      <c r="T55" s="220"/>
      <c r="U55" s="221"/>
      <c r="V55" s="221">
        <v>370</v>
      </c>
      <c r="W55" s="175">
        <v>0</v>
      </c>
      <c r="X55" s="175">
        <f>3076.15+2000</f>
        <v>5076.1499999999996</v>
      </c>
      <c r="Y55" s="176">
        <v>5076.1499999999996</v>
      </c>
      <c r="Z55" s="176">
        <v>5076.1499999999996</v>
      </c>
      <c r="AA55" s="175" t="s">
        <v>560</v>
      </c>
      <c r="AB55" s="175"/>
      <c r="AC55" s="175"/>
      <c r="AD55" s="175"/>
      <c r="AE55" s="175"/>
      <c r="AF55" s="175"/>
      <c r="AG55" s="175"/>
      <c r="AH55" s="175"/>
    </row>
    <row r="56" spans="1:34" s="151" customFormat="1">
      <c r="A56" s="529" t="s">
        <v>561</v>
      </c>
      <c r="B56" s="153" t="s">
        <v>553</v>
      </c>
      <c r="C56" s="133" t="s">
        <v>513</v>
      </c>
      <c r="D56" s="133"/>
      <c r="E56" s="133">
        <f t="shared" si="9"/>
        <v>4</v>
      </c>
      <c r="F56" s="211" t="s">
        <v>562</v>
      </c>
      <c r="G56" s="178"/>
      <c r="H56" s="160">
        <v>10</v>
      </c>
      <c r="I56" s="160"/>
      <c r="J56" s="161"/>
      <c r="K56" s="162">
        <v>3619</v>
      </c>
      <c r="L56" s="204">
        <v>1800</v>
      </c>
      <c r="M56" s="185"/>
      <c r="N56" s="223">
        <f t="shared" si="8"/>
        <v>5419</v>
      </c>
      <c r="O56" s="217">
        <v>13325</v>
      </c>
      <c r="P56" s="218">
        <v>0</v>
      </c>
      <c r="Q56" s="218">
        <v>300</v>
      </c>
      <c r="R56" s="219">
        <v>2956</v>
      </c>
      <c r="S56" s="220">
        <v>6494</v>
      </c>
      <c r="T56" s="220"/>
      <c r="U56" s="221">
        <v>370</v>
      </c>
      <c r="V56" s="221">
        <v>370</v>
      </c>
      <c r="W56" s="175">
        <v>0</v>
      </c>
      <c r="X56" s="175">
        <f>3619+1800</f>
        <v>5419</v>
      </c>
      <c r="Y56" s="175">
        <v>5419</v>
      </c>
      <c r="Z56" s="175">
        <v>5419</v>
      </c>
      <c r="AA56" s="175"/>
      <c r="AB56" s="175"/>
      <c r="AC56" s="175"/>
      <c r="AD56" s="175"/>
      <c r="AE56" s="175"/>
      <c r="AF56" s="175"/>
      <c r="AG56" s="175"/>
      <c r="AH56" s="175"/>
    </row>
    <row r="57" spans="1:34" s="151" customFormat="1">
      <c r="A57" s="169" t="s">
        <v>203</v>
      </c>
      <c r="B57" s="153" t="s">
        <v>553</v>
      </c>
      <c r="C57" s="133"/>
      <c r="D57" s="133"/>
      <c r="E57" s="133">
        <f t="shared" si="9"/>
        <v>5</v>
      </c>
      <c r="F57" s="211" t="s">
        <v>563</v>
      </c>
      <c r="G57" s="178">
        <v>0.2</v>
      </c>
      <c r="H57" s="160">
        <v>10</v>
      </c>
      <c r="I57" s="160"/>
      <c r="J57" s="161"/>
      <c r="K57" s="162">
        <v>2895.2</v>
      </c>
      <c r="L57" s="204"/>
      <c r="M57" s="185"/>
      <c r="N57" s="223">
        <f t="shared" si="8"/>
        <v>2895.2</v>
      </c>
      <c r="O57" s="217">
        <v>13142</v>
      </c>
      <c r="P57" s="224">
        <v>1600</v>
      </c>
      <c r="Q57" s="224">
        <v>300</v>
      </c>
      <c r="R57" s="219">
        <v>2785</v>
      </c>
      <c r="S57" s="220">
        <v>6494</v>
      </c>
      <c r="T57" s="220"/>
      <c r="U57" s="221">
        <v>370</v>
      </c>
      <c r="V57" s="584">
        <v>0</v>
      </c>
      <c r="W57" s="175">
        <v>0</v>
      </c>
      <c r="X57" s="198">
        <v>2895.2</v>
      </c>
      <c r="Y57" s="198">
        <v>2895.2</v>
      </c>
      <c r="Z57" s="198">
        <v>2895.2</v>
      </c>
      <c r="AA57" s="198"/>
      <c r="AB57" s="198"/>
      <c r="AC57" s="198"/>
      <c r="AD57" s="198"/>
      <c r="AE57" s="198"/>
      <c r="AF57" s="198"/>
      <c r="AG57" s="175"/>
      <c r="AH57" s="175"/>
    </row>
    <row r="58" spans="1:34" s="151" customFormat="1">
      <c r="A58" s="529" t="s">
        <v>564</v>
      </c>
      <c r="B58" s="153" t="s">
        <v>553</v>
      </c>
      <c r="C58" s="199" t="s">
        <v>350</v>
      </c>
      <c r="D58" s="199"/>
      <c r="E58" s="133">
        <f t="shared" si="9"/>
        <v>6</v>
      </c>
      <c r="F58" s="211" t="s">
        <v>565</v>
      </c>
      <c r="G58" s="178">
        <v>0.2</v>
      </c>
      <c r="H58" s="160">
        <v>10</v>
      </c>
      <c r="I58" s="160"/>
      <c r="J58" s="161"/>
      <c r="K58" s="162">
        <v>2895.2</v>
      </c>
      <c r="L58" s="162">
        <v>2000</v>
      </c>
      <c r="M58" s="163"/>
      <c r="N58" s="223">
        <f t="shared" si="8"/>
        <v>4895.2</v>
      </c>
      <c r="O58" s="217">
        <v>13451</v>
      </c>
      <c r="P58" s="224">
        <v>1600</v>
      </c>
      <c r="Q58" s="224">
        <v>300</v>
      </c>
      <c r="R58" s="219">
        <v>3185</v>
      </c>
      <c r="S58" s="220">
        <v>6494</v>
      </c>
      <c r="T58" s="220"/>
      <c r="U58" s="221">
        <v>370</v>
      </c>
      <c r="V58" s="221">
        <v>370</v>
      </c>
      <c r="W58" s="175">
        <v>0</v>
      </c>
      <c r="X58" s="198">
        <f>2000+2895.2</f>
        <v>4895.2</v>
      </c>
      <c r="Y58" s="198">
        <v>4895.2</v>
      </c>
      <c r="Z58" s="198">
        <f>2895.2+2000</f>
        <v>4895.2</v>
      </c>
      <c r="AA58" s="176"/>
      <c r="AB58" s="176"/>
      <c r="AC58" s="176"/>
      <c r="AD58" s="176"/>
      <c r="AE58" s="176"/>
      <c r="AF58" s="176"/>
      <c r="AG58" s="175"/>
      <c r="AH58" s="175"/>
    </row>
    <row r="59" spans="1:34" s="151" customFormat="1">
      <c r="A59" s="169" t="s">
        <v>566</v>
      </c>
      <c r="B59" s="153" t="s">
        <v>553</v>
      </c>
      <c r="C59" s="133"/>
      <c r="D59" s="133"/>
      <c r="E59" s="133">
        <f t="shared" si="9"/>
        <v>7</v>
      </c>
      <c r="F59" s="211" t="s">
        <v>567</v>
      </c>
      <c r="G59" s="178">
        <v>0.15</v>
      </c>
      <c r="H59" s="160">
        <v>10</v>
      </c>
      <c r="I59" s="160"/>
      <c r="J59" s="161"/>
      <c r="K59" s="162">
        <v>3076.15</v>
      </c>
      <c r="L59" s="204"/>
      <c r="M59" s="185"/>
      <c r="N59" s="223">
        <f t="shared" si="8"/>
        <v>3076.15</v>
      </c>
      <c r="O59" s="217">
        <v>13448</v>
      </c>
      <c r="P59" s="224">
        <v>1600</v>
      </c>
      <c r="Q59" s="224">
        <v>300</v>
      </c>
      <c r="R59" s="219">
        <v>2991</v>
      </c>
      <c r="S59" s="220">
        <v>6494</v>
      </c>
      <c r="T59" s="220"/>
      <c r="U59" s="221">
        <v>370</v>
      </c>
      <c r="V59" s="221"/>
      <c r="W59" s="175">
        <v>0</v>
      </c>
      <c r="X59" s="175">
        <v>3076.15</v>
      </c>
      <c r="Y59" s="176">
        <v>3076.15</v>
      </c>
      <c r="Z59" s="176">
        <v>3076.15</v>
      </c>
      <c r="AA59" s="176"/>
      <c r="AB59" s="176"/>
      <c r="AC59" s="176"/>
      <c r="AD59" s="176"/>
      <c r="AE59" s="176"/>
      <c r="AF59" s="176"/>
      <c r="AG59" s="175"/>
      <c r="AH59" s="175"/>
    </row>
    <row r="60" spans="1:34" s="151" customFormat="1">
      <c r="A60" s="529" t="s">
        <v>207</v>
      </c>
      <c r="B60" s="153" t="s">
        <v>553</v>
      </c>
      <c r="C60" s="133" t="s">
        <v>350</v>
      </c>
      <c r="D60" s="133"/>
      <c r="E60" s="133">
        <f t="shared" si="9"/>
        <v>8</v>
      </c>
      <c r="F60" s="211" t="s">
        <v>568</v>
      </c>
      <c r="G60" s="178">
        <v>0.1</v>
      </c>
      <c r="H60" s="160">
        <v>11</v>
      </c>
      <c r="I60" s="160"/>
      <c r="J60" s="161">
        <v>2961</v>
      </c>
      <c r="K60" s="162"/>
      <c r="L60" s="204">
        <v>2105</v>
      </c>
      <c r="M60" s="185"/>
      <c r="N60" s="223">
        <f t="shared" si="8"/>
        <v>5066</v>
      </c>
      <c r="O60" s="217">
        <v>13413</v>
      </c>
      <c r="P60" s="218">
        <v>0</v>
      </c>
      <c r="Q60" s="218">
        <v>300</v>
      </c>
      <c r="R60" s="219">
        <v>2804</v>
      </c>
      <c r="S60" s="220">
        <v>6494</v>
      </c>
      <c r="T60" s="220"/>
      <c r="U60" s="221">
        <v>370</v>
      </c>
      <c r="V60" s="221">
        <v>370</v>
      </c>
      <c r="W60" s="175">
        <v>2961</v>
      </c>
      <c r="X60" s="175">
        <f>2961+2105</f>
        <v>5066</v>
      </c>
      <c r="Y60" s="175">
        <f>2961+2105</f>
        <v>5066</v>
      </c>
      <c r="Z60" s="175">
        <v>2961</v>
      </c>
      <c r="AA60" s="175"/>
      <c r="AB60" s="175"/>
      <c r="AC60" s="175"/>
      <c r="AD60" s="175"/>
      <c r="AE60" s="175"/>
      <c r="AF60" s="175"/>
      <c r="AG60" s="175"/>
      <c r="AH60" s="175"/>
    </row>
    <row r="61" spans="1:34" s="151" customFormat="1">
      <c r="A61" s="169" t="s">
        <v>569</v>
      </c>
      <c r="B61" s="153" t="s">
        <v>553</v>
      </c>
      <c r="C61" s="133"/>
      <c r="D61" s="133"/>
      <c r="E61" s="133">
        <f t="shared" si="9"/>
        <v>9</v>
      </c>
      <c r="F61" s="211" t="s">
        <v>570</v>
      </c>
      <c r="G61" s="178"/>
      <c r="H61" s="160">
        <v>10</v>
      </c>
      <c r="I61" s="160"/>
      <c r="J61" s="161"/>
      <c r="K61" s="162">
        <v>3619</v>
      </c>
      <c r="L61" s="162"/>
      <c r="M61" s="163"/>
      <c r="N61" s="223">
        <f t="shared" si="8"/>
        <v>3619</v>
      </c>
      <c r="O61" s="217">
        <v>13165</v>
      </c>
      <c r="P61" s="224">
        <f>1300+300</f>
        <v>1600</v>
      </c>
      <c r="Q61" s="224">
        <v>300</v>
      </c>
      <c r="R61" s="219">
        <v>3219</v>
      </c>
      <c r="S61" s="220">
        <v>6494</v>
      </c>
      <c r="T61" s="220"/>
      <c r="U61" s="221"/>
      <c r="V61" s="221"/>
      <c r="W61" s="157">
        <v>0</v>
      </c>
      <c r="X61" s="157">
        <v>3619</v>
      </c>
      <c r="Y61" s="157">
        <v>3800</v>
      </c>
      <c r="Z61" s="157"/>
      <c r="AA61" s="157"/>
      <c r="AB61" s="157"/>
      <c r="AC61" s="157"/>
      <c r="AD61" s="157"/>
      <c r="AE61" s="157"/>
      <c r="AF61" s="157"/>
      <c r="AG61" s="157"/>
      <c r="AH61" s="157"/>
    </row>
    <row r="62" spans="1:34" s="151" customFormat="1" ht="14.25" customHeight="1">
      <c r="A62" s="529" t="s">
        <v>209</v>
      </c>
      <c r="B62" s="153" t="s">
        <v>553</v>
      </c>
      <c r="C62" s="133" t="s">
        <v>571</v>
      </c>
      <c r="D62" s="133" t="s">
        <v>572</v>
      </c>
      <c r="E62" s="133">
        <f t="shared" si="9"/>
        <v>10</v>
      </c>
      <c r="F62" s="211" t="s">
        <v>573</v>
      </c>
      <c r="G62" s="178"/>
      <c r="H62" s="160">
        <v>10</v>
      </c>
      <c r="I62" s="160"/>
      <c r="J62" s="161"/>
      <c r="K62" s="162">
        <v>3619</v>
      </c>
      <c r="L62" s="204">
        <v>1900</v>
      </c>
      <c r="M62" s="185"/>
      <c r="N62" s="223">
        <f t="shared" si="8"/>
        <v>5519</v>
      </c>
      <c r="O62" s="217">
        <v>13617</v>
      </c>
      <c r="P62" s="218">
        <v>0</v>
      </c>
      <c r="Q62" s="218">
        <v>300</v>
      </c>
      <c r="R62" s="219">
        <v>2677</v>
      </c>
      <c r="S62" s="220">
        <v>6494</v>
      </c>
      <c r="T62" s="220"/>
      <c r="U62" s="221">
        <v>370</v>
      </c>
      <c r="V62" s="221">
        <v>370</v>
      </c>
      <c r="W62" s="175">
        <v>0</v>
      </c>
      <c r="X62" s="175">
        <v>5519</v>
      </c>
      <c r="Y62" s="176">
        <v>5519</v>
      </c>
      <c r="Z62" s="176">
        <v>5519</v>
      </c>
      <c r="AA62" s="175"/>
      <c r="AB62" s="175"/>
      <c r="AC62" s="175"/>
      <c r="AD62" s="175"/>
      <c r="AE62" s="175"/>
      <c r="AF62" s="175"/>
      <c r="AG62" s="175"/>
      <c r="AH62" s="175"/>
    </row>
    <row r="63" spans="1:34" s="151" customFormat="1">
      <c r="A63" s="529" t="s">
        <v>574</v>
      </c>
      <c r="B63" s="153" t="s">
        <v>553</v>
      </c>
      <c r="C63" s="133" t="s">
        <v>575</v>
      </c>
      <c r="D63" s="133"/>
      <c r="E63" s="133">
        <f t="shared" si="9"/>
        <v>11</v>
      </c>
      <c r="F63" s="211" t="s">
        <v>576</v>
      </c>
      <c r="G63" s="160">
        <v>0.25</v>
      </c>
      <c r="H63" s="160">
        <v>10</v>
      </c>
      <c r="I63" s="225"/>
      <c r="J63" s="225"/>
      <c r="K63" s="225">
        <v>2714.25</v>
      </c>
      <c r="L63" s="226">
        <v>2105</v>
      </c>
      <c r="M63" s="223"/>
      <c r="N63" s="223">
        <f t="shared" si="8"/>
        <v>4819.25</v>
      </c>
      <c r="O63" s="227">
        <v>13252</v>
      </c>
      <c r="P63" s="224">
        <v>1600</v>
      </c>
      <c r="Q63" s="224">
        <v>300</v>
      </c>
      <c r="R63" s="219" t="s">
        <v>577</v>
      </c>
      <c r="S63" s="220">
        <f>3000+3213</f>
        <v>6213</v>
      </c>
      <c r="T63" s="220"/>
      <c r="U63" s="221"/>
      <c r="V63" s="221"/>
      <c r="W63" s="157">
        <v>0</v>
      </c>
      <c r="X63" s="157">
        <f>3287+1532.25</f>
        <v>4819.25</v>
      </c>
      <c r="Y63" s="183"/>
      <c r="Z63" s="157"/>
      <c r="AA63" s="157"/>
      <c r="AB63" s="157"/>
      <c r="AC63" s="157"/>
      <c r="AD63" s="157"/>
      <c r="AE63" s="157"/>
      <c r="AF63" s="157"/>
      <c r="AG63" s="157"/>
      <c r="AH63" s="157"/>
    </row>
    <row r="64" spans="1:34" s="151" customFormat="1">
      <c r="A64" s="529" t="s">
        <v>578</v>
      </c>
      <c r="B64" s="153" t="s">
        <v>553</v>
      </c>
      <c r="C64" s="133" t="s">
        <v>513</v>
      </c>
      <c r="D64" s="133"/>
      <c r="E64" s="133">
        <f t="shared" si="9"/>
        <v>12</v>
      </c>
      <c r="F64" s="211" t="s">
        <v>579</v>
      </c>
      <c r="G64" s="160">
        <v>0.2</v>
      </c>
      <c r="H64" s="160">
        <v>10</v>
      </c>
      <c r="I64" s="162"/>
      <c r="J64" s="162"/>
      <c r="K64" s="162">
        <v>2895.2</v>
      </c>
      <c r="L64" s="163">
        <v>2000</v>
      </c>
      <c r="M64" s="223"/>
      <c r="N64" s="223">
        <f t="shared" si="8"/>
        <v>4895.2</v>
      </c>
      <c r="O64" s="217"/>
      <c r="P64" s="224"/>
      <c r="Q64" s="224"/>
      <c r="R64" s="219">
        <v>3171</v>
      </c>
      <c r="S64" s="220">
        <v>6494</v>
      </c>
      <c r="T64" s="220"/>
      <c r="U64" s="221">
        <v>370</v>
      </c>
      <c r="V64" s="221"/>
      <c r="W64" s="175">
        <v>0</v>
      </c>
      <c r="X64" s="176">
        <v>4895.2</v>
      </c>
      <c r="Y64" s="176">
        <v>4895.2</v>
      </c>
      <c r="Z64" s="176">
        <v>4895.2</v>
      </c>
      <c r="AA64" s="176"/>
      <c r="AB64" s="176"/>
      <c r="AC64" s="176"/>
      <c r="AD64" s="176"/>
      <c r="AE64" s="176"/>
      <c r="AF64" s="175"/>
      <c r="AG64" s="175"/>
      <c r="AH64" s="175"/>
    </row>
    <row r="65" spans="1:34" s="151" customFormat="1">
      <c r="A65" s="529" t="s">
        <v>580</v>
      </c>
      <c r="B65" s="153" t="s">
        <v>553</v>
      </c>
      <c r="C65" s="133" t="s">
        <v>581</v>
      </c>
      <c r="D65" s="133"/>
      <c r="E65" s="133">
        <f t="shared" si="9"/>
        <v>13</v>
      </c>
      <c r="F65" s="211" t="s">
        <v>582</v>
      </c>
      <c r="G65" s="178"/>
      <c r="H65" s="160">
        <v>10</v>
      </c>
      <c r="I65" s="160"/>
      <c r="J65" s="161"/>
      <c r="K65" s="162">
        <v>3619</v>
      </c>
      <c r="L65" s="204">
        <v>2105</v>
      </c>
      <c r="M65" s="185"/>
      <c r="N65" s="223">
        <f t="shared" si="8"/>
        <v>5724</v>
      </c>
      <c r="O65" s="217">
        <v>13237</v>
      </c>
      <c r="P65" s="218">
        <v>0</v>
      </c>
      <c r="Q65" s="218">
        <v>300</v>
      </c>
      <c r="R65" s="219">
        <v>3229</v>
      </c>
      <c r="S65" s="220">
        <v>6494</v>
      </c>
      <c r="T65" s="220"/>
      <c r="U65" s="221"/>
      <c r="V65" s="221"/>
      <c r="W65" s="175">
        <v>0</v>
      </c>
      <c r="X65" s="175">
        <f>3619+2105</f>
        <v>5724</v>
      </c>
      <c r="Y65" s="176">
        <v>5724</v>
      </c>
      <c r="Z65" s="176">
        <v>5724</v>
      </c>
      <c r="AA65" s="175"/>
      <c r="AB65" s="175"/>
      <c r="AC65" s="175"/>
      <c r="AD65" s="175"/>
      <c r="AE65" s="175"/>
      <c r="AF65" s="175"/>
      <c r="AG65" s="175"/>
      <c r="AH65" s="175"/>
    </row>
    <row r="66" spans="1:34" s="151" customFormat="1">
      <c r="A66" s="169" t="s">
        <v>583</v>
      </c>
      <c r="B66" s="153" t="s">
        <v>553</v>
      </c>
      <c r="C66" s="133"/>
      <c r="D66" s="133"/>
      <c r="E66" s="133">
        <f t="shared" si="9"/>
        <v>14</v>
      </c>
      <c r="F66" s="211" t="s">
        <v>584</v>
      </c>
      <c r="G66" s="178">
        <v>0.15</v>
      </c>
      <c r="H66" s="160">
        <v>11</v>
      </c>
      <c r="I66" s="160"/>
      <c r="J66" s="161">
        <v>2796.5</v>
      </c>
      <c r="K66" s="162"/>
      <c r="L66" s="204"/>
      <c r="M66" s="185"/>
      <c r="N66" s="223">
        <f t="shared" si="8"/>
        <v>2796.5</v>
      </c>
      <c r="O66" s="217">
        <v>13578</v>
      </c>
      <c r="P66" s="218">
        <v>0</v>
      </c>
      <c r="Q66" s="218">
        <v>300</v>
      </c>
      <c r="R66" s="219">
        <v>3013</v>
      </c>
      <c r="S66" s="220">
        <v>6494</v>
      </c>
      <c r="T66" s="220"/>
      <c r="U66" s="221"/>
      <c r="V66" s="221"/>
      <c r="W66" s="175">
        <v>2796.5</v>
      </c>
      <c r="X66" s="176">
        <v>2796</v>
      </c>
      <c r="Y66" s="176">
        <v>2796</v>
      </c>
      <c r="Z66" s="176">
        <v>2800</v>
      </c>
      <c r="AA66" s="175"/>
      <c r="AB66" s="175"/>
      <c r="AC66" s="175"/>
      <c r="AD66" s="175"/>
      <c r="AE66" s="175"/>
      <c r="AF66" s="175"/>
      <c r="AG66" s="175"/>
      <c r="AH66" s="175"/>
    </row>
    <row r="67" spans="1:34" s="151" customFormat="1">
      <c r="A67" s="169"/>
      <c r="B67" s="153"/>
      <c r="C67" s="133"/>
      <c r="D67" s="133"/>
      <c r="E67" s="133"/>
      <c r="F67" s="211"/>
      <c r="G67" s="178"/>
      <c r="H67" s="160"/>
      <c r="I67" s="160"/>
      <c r="J67" s="161"/>
      <c r="K67" s="162"/>
      <c r="L67" s="204"/>
      <c r="M67" s="185"/>
      <c r="N67" s="223"/>
      <c r="O67" s="217"/>
      <c r="P67" s="218"/>
      <c r="Q67" s="218"/>
      <c r="R67" s="219"/>
      <c r="S67" s="220"/>
      <c r="T67" s="220"/>
      <c r="U67" s="221"/>
      <c r="V67" s="221"/>
      <c r="W67" s="175"/>
      <c r="X67" s="175"/>
      <c r="Y67" s="175"/>
      <c r="Z67" s="175"/>
      <c r="AA67" s="175"/>
      <c r="AB67" s="175"/>
      <c r="AC67" s="175"/>
      <c r="AD67" s="175"/>
      <c r="AE67" s="175"/>
      <c r="AF67" s="175"/>
      <c r="AG67" s="175"/>
      <c r="AH67" s="175"/>
    </row>
    <row r="68" spans="1:34" s="151" customFormat="1">
      <c r="A68" s="169"/>
      <c r="B68" s="153"/>
      <c r="C68" s="133"/>
      <c r="D68" s="133"/>
      <c r="E68" s="133"/>
      <c r="F68" s="211"/>
      <c r="G68" s="178"/>
      <c r="H68" s="160"/>
      <c r="I68" s="160"/>
      <c r="J68" s="160"/>
      <c r="K68" s="178"/>
      <c r="L68" s="178"/>
      <c r="M68" s="185"/>
      <c r="N68" s="185"/>
      <c r="O68" s="217"/>
      <c r="P68" s="228"/>
      <c r="Q68" s="228"/>
      <c r="R68" s="229"/>
      <c r="S68" s="230"/>
      <c r="T68" s="230"/>
      <c r="U68" s="231"/>
      <c r="V68" s="231"/>
      <c r="W68" s="175"/>
      <c r="X68" s="175"/>
      <c r="Y68" s="175"/>
      <c r="Z68" s="175"/>
      <c r="AA68" s="175"/>
      <c r="AB68" s="175"/>
      <c r="AC68" s="175"/>
      <c r="AD68" s="175"/>
      <c r="AE68" s="175"/>
      <c r="AF68" s="175"/>
      <c r="AG68" s="175"/>
      <c r="AH68" s="175"/>
    </row>
    <row r="69" spans="1:34" s="151" customFormat="1" ht="45">
      <c r="A69" s="134" t="s">
        <v>585</v>
      </c>
      <c r="B69" s="133" t="s">
        <v>424</v>
      </c>
      <c r="C69" s="135" t="s">
        <v>339</v>
      </c>
      <c r="D69" s="135"/>
      <c r="E69" s="134"/>
      <c r="F69" s="232"/>
      <c r="G69" s="233" t="s">
        <v>426</v>
      </c>
      <c r="H69" s="208" t="s">
        <v>427</v>
      </c>
      <c r="I69" s="234"/>
      <c r="J69" s="235" t="s">
        <v>429</v>
      </c>
      <c r="K69" s="236" t="s">
        <v>441</v>
      </c>
      <c r="L69" s="237" t="s">
        <v>586</v>
      </c>
      <c r="M69" s="238" t="s">
        <v>431</v>
      </c>
      <c r="N69" s="239" t="s">
        <v>432</v>
      </c>
      <c r="O69" s="144"/>
      <c r="P69" s="145"/>
      <c r="Q69" s="145"/>
      <c r="R69" s="240"/>
      <c r="S69" s="241"/>
      <c r="T69" s="241"/>
      <c r="U69" s="242"/>
      <c r="V69" s="242"/>
      <c r="W69" s="150" t="s">
        <v>437</v>
      </c>
      <c r="X69" s="150" t="s">
        <v>438</v>
      </c>
      <c r="Y69" s="150" t="s">
        <v>2</v>
      </c>
      <c r="Z69" s="150" t="s">
        <v>4</v>
      </c>
      <c r="AA69" s="150" t="s">
        <v>5</v>
      </c>
      <c r="AB69" s="150" t="s">
        <v>6</v>
      </c>
      <c r="AC69" s="150" t="s">
        <v>7</v>
      </c>
      <c r="AD69" s="150" t="s">
        <v>8</v>
      </c>
      <c r="AE69" s="150" t="s">
        <v>9</v>
      </c>
      <c r="AF69" s="150" t="s">
        <v>10</v>
      </c>
      <c r="AG69" s="150" t="s">
        <v>340</v>
      </c>
      <c r="AH69" s="150" t="s">
        <v>439</v>
      </c>
    </row>
    <row r="70" spans="1:34" s="151" customFormat="1">
      <c r="A70" s="533" t="s">
        <v>587</v>
      </c>
      <c r="B70" s="134" t="s">
        <v>516</v>
      </c>
      <c r="C70" s="243" t="s">
        <v>392</v>
      </c>
      <c r="D70" s="243"/>
      <c r="E70" s="134">
        <v>1</v>
      </c>
      <c r="F70" s="232" t="s">
        <v>588</v>
      </c>
      <c r="G70" s="244">
        <v>0.15</v>
      </c>
      <c r="H70" s="160">
        <v>10</v>
      </c>
      <c r="I70" s="160"/>
      <c r="J70" s="245"/>
      <c r="K70" s="246">
        <v>3076.15</v>
      </c>
      <c r="L70" s="246">
        <v>1475</v>
      </c>
      <c r="M70" s="247"/>
      <c r="N70" s="195">
        <f t="shared" ref="N70:N76" si="10">+J70+K70+L70</f>
        <v>4551.1499999999996</v>
      </c>
      <c r="O70" s="196">
        <v>13500</v>
      </c>
      <c r="P70" s="171">
        <v>1600</v>
      </c>
      <c r="Q70" s="171">
        <v>300</v>
      </c>
      <c r="R70" s="172">
        <v>3087</v>
      </c>
      <c r="S70" s="173">
        <v>6335</v>
      </c>
      <c r="T70" s="173"/>
      <c r="U70" s="174">
        <v>370</v>
      </c>
      <c r="V70" s="174">
        <v>370</v>
      </c>
      <c r="W70" s="175">
        <v>0</v>
      </c>
      <c r="X70" s="176">
        <v>4551.1499999999996</v>
      </c>
      <c r="Y70" s="176">
        <v>4551.1499999999996</v>
      </c>
      <c r="Z70" s="176">
        <v>4778.7</v>
      </c>
      <c r="AA70" s="201"/>
      <c r="AB70" s="175"/>
      <c r="AC70" s="175"/>
      <c r="AD70" s="175"/>
      <c r="AE70" s="175"/>
      <c r="AF70" s="175"/>
      <c r="AG70" s="175"/>
      <c r="AH70" s="175"/>
    </row>
    <row r="71" spans="1:34" s="151" customFormat="1">
      <c r="A71" s="199" t="s">
        <v>589</v>
      </c>
      <c r="B71" s="133" t="s">
        <v>516</v>
      </c>
      <c r="C71" s="133"/>
      <c r="D71" s="133"/>
      <c r="E71" s="133">
        <f t="shared" ref="E71:E87" si="11">+E70+1</f>
        <v>2</v>
      </c>
      <c r="F71" s="136" t="s">
        <v>590</v>
      </c>
      <c r="G71" s="159"/>
      <c r="H71" s="160">
        <v>10</v>
      </c>
      <c r="I71" s="160"/>
      <c r="J71" s="160"/>
      <c r="K71" s="162">
        <v>723.8</v>
      </c>
      <c r="L71" s="200"/>
      <c r="M71" s="135"/>
      <c r="N71" s="195">
        <f t="shared" si="10"/>
        <v>723.8</v>
      </c>
      <c r="O71" s="196">
        <v>13589</v>
      </c>
      <c r="P71" s="171">
        <f>480+1120</f>
        <v>1600</v>
      </c>
      <c r="Q71" s="171">
        <v>300</v>
      </c>
      <c r="R71" s="172" t="s">
        <v>488</v>
      </c>
      <c r="S71" s="173"/>
      <c r="T71" s="173" t="s">
        <v>591</v>
      </c>
      <c r="U71" s="174">
        <v>370</v>
      </c>
      <c r="V71" s="174"/>
      <c r="W71" s="175">
        <v>0</v>
      </c>
      <c r="X71" s="198">
        <v>723.8</v>
      </c>
      <c r="Y71" s="198">
        <v>723.8</v>
      </c>
      <c r="Z71" s="198">
        <v>723.8</v>
      </c>
      <c r="AA71" s="175"/>
      <c r="AB71" s="175"/>
      <c r="AC71" s="175"/>
      <c r="AD71" s="175"/>
      <c r="AE71" s="175"/>
      <c r="AF71" s="175"/>
      <c r="AG71" s="175"/>
      <c r="AH71" s="175"/>
    </row>
    <row r="72" spans="1:34" s="151" customFormat="1">
      <c r="A72" s="531" t="s">
        <v>592</v>
      </c>
      <c r="B72" s="134" t="s">
        <v>516</v>
      </c>
      <c r="C72" s="199" t="s">
        <v>398</v>
      </c>
      <c r="D72" s="199"/>
      <c r="E72" s="133">
        <f t="shared" si="11"/>
        <v>3</v>
      </c>
      <c r="F72" s="136" t="s">
        <v>593</v>
      </c>
      <c r="G72" s="159">
        <v>0.15</v>
      </c>
      <c r="H72" s="160">
        <v>10</v>
      </c>
      <c r="I72" s="160"/>
      <c r="J72" s="160"/>
      <c r="K72" s="162">
        <v>3076.15</v>
      </c>
      <c r="L72" s="200">
        <v>2000</v>
      </c>
      <c r="M72" s="135"/>
      <c r="N72" s="195">
        <f t="shared" si="10"/>
        <v>5076.1499999999996</v>
      </c>
      <c r="O72" s="196">
        <v>13633</v>
      </c>
      <c r="P72" s="171">
        <v>2400</v>
      </c>
      <c r="Q72" s="171">
        <v>300</v>
      </c>
      <c r="R72" s="172">
        <v>2986</v>
      </c>
      <c r="S72" s="173">
        <v>6335</v>
      </c>
      <c r="T72" s="173"/>
      <c r="U72" s="174">
        <v>370</v>
      </c>
      <c r="V72" s="174">
        <v>370</v>
      </c>
      <c r="W72" s="175">
        <v>0</v>
      </c>
      <c r="X72" s="563">
        <v>5076.1499999999996</v>
      </c>
      <c r="Y72" s="198">
        <v>5076.1499999999996</v>
      </c>
      <c r="Z72" s="216">
        <v>5076.1499999999996</v>
      </c>
      <c r="AA72" s="216"/>
      <c r="AB72" s="216"/>
      <c r="AC72" s="216"/>
      <c r="AD72" s="216"/>
      <c r="AE72" s="216"/>
      <c r="AF72" s="216"/>
      <c r="AG72" s="175"/>
      <c r="AH72" s="175"/>
    </row>
    <row r="73" spans="1:34" s="151" customFormat="1">
      <c r="A73" s="199" t="s">
        <v>221</v>
      </c>
      <c r="B73" s="133" t="s">
        <v>516</v>
      </c>
      <c r="C73" s="133"/>
      <c r="D73" s="133"/>
      <c r="E73" s="133">
        <f t="shared" si="11"/>
        <v>4</v>
      </c>
      <c r="F73" s="136"/>
      <c r="G73" s="159">
        <v>0.1</v>
      </c>
      <c r="H73" s="160">
        <v>11</v>
      </c>
      <c r="I73" s="160"/>
      <c r="J73" s="161">
        <v>2961</v>
      </c>
      <c r="K73" s="162"/>
      <c r="L73" s="153"/>
      <c r="M73" s="135"/>
      <c r="N73" s="195">
        <f t="shared" si="10"/>
        <v>2961</v>
      </c>
      <c r="O73" s="196">
        <v>13570</v>
      </c>
      <c r="P73" s="171">
        <v>0</v>
      </c>
      <c r="Q73" s="171">
        <v>300</v>
      </c>
      <c r="R73" s="172">
        <v>2847</v>
      </c>
      <c r="S73" s="173">
        <v>6335</v>
      </c>
      <c r="T73" s="173"/>
      <c r="U73" s="174"/>
      <c r="V73" s="174"/>
      <c r="W73" s="175">
        <v>2961</v>
      </c>
      <c r="X73" s="176">
        <v>2961</v>
      </c>
      <c r="Y73" s="176">
        <v>2961</v>
      </c>
      <c r="Z73" s="176">
        <v>2961</v>
      </c>
      <c r="AA73" s="175"/>
      <c r="AB73" s="175"/>
      <c r="AC73" s="175"/>
      <c r="AD73" s="175"/>
      <c r="AE73" s="175"/>
      <c r="AF73" s="175"/>
      <c r="AG73" s="175"/>
      <c r="AH73" s="175"/>
    </row>
    <row r="74" spans="1:34" s="151" customFormat="1">
      <c r="A74" s="199" t="s">
        <v>594</v>
      </c>
      <c r="B74" s="134" t="s">
        <v>516</v>
      </c>
      <c r="C74" s="133" t="s">
        <v>595</v>
      </c>
      <c r="D74" s="133"/>
      <c r="E74" s="133">
        <f t="shared" si="11"/>
        <v>5</v>
      </c>
      <c r="F74" s="136" t="s">
        <v>596</v>
      </c>
      <c r="G74" s="159">
        <v>0.15</v>
      </c>
      <c r="H74" s="160">
        <v>10</v>
      </c>
      <c r="I74" s="160"/>
      <c r="J74" s="161"/>
      <c r="K74" s="162"/>
      <c r="L74" s="200"/>
      <c r="M74" s="135"/>
      <c r="N74" s="195">
        <f t="shared" si="10"/>
        <v>0</v>
      </c>
      <c r="O74" s="249"/>
      <c r="P74" s="171"/>
      <c r="Q74" s="171"/>
      <c r="R74" s="172">
        <v>3192</v>
      </c>
      <c r="S74" s="173">
        <v>6335</v>
      </c>
      <c r="T74" s="173"/>
      <c r="U74" s="174"/>
      <c r="V74" s="174"/>
      <c r="W74" s="175"/>
      <c r="X74" s="176"/>
      <c r="Y74" s="176"/>
      <c r="Z74" s="176"/>
      <c r="AA74" s="175"/>
      <c r="AB74" s="175"/>
      <c r="AC74" s="175"/>
      <c r="AD74" s="175"/>
      <c r="AE74" s="175"/>
      <c r="AF74" s="175"/>
      <c r="AG74" s="175"/>
      <c r="AH74" s="175"/>
    </row>
    <row r="75" spans="1:34" s="151" customFormat="1">
      <c r="A75" s="206" t="s">
        <v>597</v>
      </c>
      <c r="B75" s="133" t="s">
        <v>516</v>
      </c>
      <c r="C75" s="206"/>
      <c r="D75" s="206"/>
      <c r="E75" s="133">
        <f t="shared" si="11"/>
        <v>6</v>
      </c>
      <c r="F75" s="136" t="s">
        <v>598</v>
      </c>
      <c r="G75" s="159">
        <v>0.1</v>
      </c>
      <c r="H75" s="160">
        <v>10</v>
      </c>
      <c r="I75" s="160"/>
      <c r="J75" s="160"/>
      <c r="K75" s="225">
        <v>3257.1</v>
      </c>
      <c r="L75" s="248"/>
      <c r="M75" s="210"/>
      <c r="N75" s="195">
        <f t="shared" si="10"/>
        <v>3257.1</v>
      </c>
      <c r="O75" s="196">
        <v>13421</v>
      </c>
      <c r="P75" s="197">
        <v>1600</v>
      </c>
      <c r="Q75" s="197">
        <v>300</v>
      </c>
      <c r="R75" s="172">
        <v>3234</v>
      </c>
      <c r="S75" s="173">
        <v>5480</v>
      </c>
      <c r="T75" s="173" t="s">
        <v>599</v>
      </c>
      <c r="U75" s="174">
        <f>242.9+127.1</f>
        <v>370</v>
      </c>
      <c r="V75" s="174">
        <v>370</v>
      </c>
      <c r="W75" s="175">
        <v>0</v>
      </c>
      <c r="X75" s="175">
        <v>3257.1</v>
      </c>
      <c r="Y75" s="175">
        <v>3257.1</v>
      </c>
      <c r="Z75" s="175">
        <v>3257.1</v>
      </c>
      <c r="AA75" s="175"/>
      <c r="AB75" s="175"/>
      <c r="AC75" s="175"/>
      <c r="AD75" s="175"/>
      <c r="AE75" s="175"/>
      <c r="AF75" s="175"/>
      <c r="AG75" s="175"/>
      <c r="AH75" s="175">
        <v>0</v>
      </c>
    </row>
    <row r="76" spans="1:34" s="151" customFormat="1">
      <c r="A76" s="199" t="s">
        <v>600</v>
      </c>
      <c r="B76" s="134" t="s">
        <v>516</v>
      </c>
      <c r="C76" s="133"/>
      <c r="D76" s="133"/>
      <c r="E76" s="133">
        <f t="shared" si="11"/>
        <v>7</v>
      </c>
      <c r="F76" s="136" t="s">
        <v>601</v>
      </c>
      <c r="G76" s="159">
        <v>0.1</v>
      </c>
      <c r="H76" s="160">
        <v>11</v>
      </c>
      <c r="I76" s="160"/>
      <c r="J76" s="161">
        <v>2961</v>
      </c>
      <c r="K76" s="162"/>
      <c r="L76" s="200"/>
      <c r="M76" s="135"/>
      <c r="N76" s="195">
        <f t="shared" si="10"/>
        <v>2961</v>
      </c>
      <c r="O76" s="249">
        <v>13391</v>
      </c>
      <c r="P76" s="171">
        <v>1600</v>
      </c>
      <c r="Q76" s="171">
        <v>300</v>
      </c>
      <c r="R76" s="172">
        <v>3172</v>
      </c>
      <c r="S76" s="173">
        <v>6335</v>
      </c>
      <c r="T76" s="173"/>
      <c r="U76" s="174">
        <v>370</v>
      </c>
      <c r="V76" s="174">
        <v>370</v>
      </c>
      <c r="W76" s="175">
        <v>2961</v>
      </c>
      <c r="X76" s="175">
        <v>2961</v>
      </c>
      <c r="Y76" s="175">
        <v>2961</v>
      </c>
      <c r="Z76" s="175">
        <v>2961</v>
      </c>
      <c r="AA76" s="175"/>
      <c r="AB76" s="175"/>
      <c r="AC76" s="175"/>
      <c r="AD76" s="175"/>
      <c r="AE76" s="175"/>
      <c r="AF76" s="175"/>
      <c r="AG76" s="175"/>
      <c r="AH76" s="175"/>
    </row>
    <row r="77" spans="1:34" s="151" customFormat="1" ht="28.5" customHeight="1">
      <c r="A77" s="531" t="s">
        <v>602</v>
      </c>
      <c r="B77" s="133" t="s">
        <v>516</v>
      </c>
      <c r="C77" s="133" t="s">
        <v>378</v>
      </c>
      <c r="D77" s="133"/>
      <c r="E77" s="133">
        <f t="shared" si="11"/>
        <v>8</v>
      </c>
      <c r="F77" s="232" t="s">
        <v>603</v>
      </c>
      <c r="G77" s="159"/>
      <c r="H77" s="160">
        <v>11</v>
      </c>
      <c r="I77" s="160"/>
      <c r="J77" s="160">
        <v>3290</v>
      </c>
      <c r="K77" s="178"/>
      <c r="L77" s="200">
        <v>375</v>
      </c>
      <c r="M77" s="135"/>
      <c r="N77" s="195">
        <f>+K77+L77+M77+J77</f>
        <v>3665</v>
      </c>
      <c r="O77" s="196">
        <v>13289</v>
      </c>
      <c r="P77" s="171">
        <v>1600</v>
      </c>
      <c r="Q77" s="171">
        <v>300</v>
      </c>
      <c r="R77" s="172">
        <v>3174</v>
      </c>
      <c r="S77" s="173">
        <v>6335</v>
      </c>
      <c r="T77" s="173"/>
      <c r="U77" s="174">
        <v>370</v>
      </c>
      <c r="V77" s="174">
        <v>370</v>
      </c>
      <c r="W77" s="198">
        <v>0</v>
      </c>
      <c r="X77" s="198">
        <v>3665</v>
      </c>
      <c r="Y77" s="198">
        <v>3665</v>
      </c>
      <c r="Z77" s="198">
        <v>3665</v>
      </c>
      <c r="AA77" s="216"/>
      <c r="AB77" s="216"/>
      <c r="AC77" s="216"/>
      <c r="AD77" s="216"/>
      <c r="AE77" s="216"/>
      <c r="AF77" s="216"/>
      <c r="AG77" s="175"/>
      <c r="AH77" s="175"/>
    </row>
    <row r="78" spans="1:34" s="151" customFormat="1">
      <c r="A78" s="206" t="s">
        <v>604</v>
      </c>
      <c r="B78" s="134" t="s">
        <v>516</v>
      </c>
      <c r="C78" s="133"/>
      <c r="D78" s="133"/>
      <c r="E78" s="133">
        <f t="shared" si="11"/>
        <v>9</v>
      </c>
      <c r="F78" s="136" t="s">
        <v>605</v>
      </c>
      <c r="G78" s="159">
        <v>0.15</v>
      </c>
      <c r="H78" s="160">
        <v>10</v>
      </c>
      <c r="I78" s="160"/>
      <c r="J78" s="161"/>
      <c r="K78" s="225">
        <v>3076.15</v>
      </c>
      <c r="L78" s="248"/>
      <c r="M78" s="210"/>
      <c r="N78" s="195">
        <f t="shared" ref="N78:N85" si="12">+J78+K78+L78</f>
        <v>3076.15</v>
      </c>
      <c r="O78" s="196">
        <v>13459</v>
      </c>
      <c r="P78" s="171">
        <v>2400</v>
      </c>
      <c r="Q78" s="171">
        <v>300</v>
      </c>
      <c r="R78" s="172">
        <v>3218</v>
      </c>
      <c r="S78" s="173">
        <f>665+5670</f>
        <v>6335</v>
      </c>
      <c r="T78" s="173"/>
      <c r="U78" s="174"/>
      <c r="V78" s="174"/>
      <c r="W78" s="175">
        <v>0</v>
      </c>
      <c r="X78" s="175">
        <f>2923.85+152.3</f>
        <v>3076.15</v>
      </c>
      <c r="Y78" s="175">
        <v>3076.15</v>
      </c>
      <c r="Z78" s="175">
        <v>3076.15</v>
      </c>
      <c r="AA78" s="175"/>
      <c r="AB78" s="175"/>
      <c r="AC78" s="175"/>
      <c r="AD78" s="175"/>
      <c r="AE78" s="175"/>
      <c r="AF78" s="175"/>
      <c r="AG78" s="175"/>
      <c r="AH78" s="175"/>
    </row>
    <row r="79" spans="1:34" s="151" customFormat="1">
      <c r="A79" s="199" t="s">
        <v>606</v>
      </c>
      <c r="B79" s="133" t="s">
        <v>516</v>
      </c>
      <c r="C79" s="133"/>
      <c r="D79" s="133"/>
      <c r="E79" s="133">
        <f t="shared" si="11"/>
        <v>10</v>
      </c>
      <c r="F79" s="136" t="s">
        <v>607</v>
      </c>
      <c r="G79" s="159">
        <v>0.1</v>
      </c>
      <c r="H79" s="160">
        <v>10</v>
      </c>
      <c r="I79" s="160"/>
      <c r="J79" s="161"/>
      <c r="K79" s="162">
        <v>3257.1</v>
      </c>
      <c r="L79" s="200"/>
      <c r="M79" s="135"/>
      <c r="N79" s="195">
        <f t="shared" si="12"/>
        <v>3257.1</v>
      </c>
      <c r="O79" s="196">
        <v>13260</v>
      </c>
      <c r="P79" s="171">
        <v>1600</v>
      </c>
      <c r="Q79" s="171">
        <v>300</v>
      </c>
      <c r="R79" s="172">
        <v>2881</v>
      </c>
      <c r="S79" s="173">
        <v>6335</v>
      </c>
      <c r="T79" s="173"/>
      <c r="U79" s="174">
        <v>370</v>
      </c>
      <c r="V79" s="174">
        <v>370</v>
      </c>
      <c r="W79" s="175">
        <v>0</v>
      </c>
      <c r="X79" s="175">
        <v>3257.1</v>
      </c>
      <c r="Y79" s="175">
        <v>3257.1</v>
      </c>
      <c r="Z79" s="175">
        <v>3257.1</v>
      </c>
      <c r="AA79" s="175"/>
      <c r="AB79" s="175"/>
      <c r="AC79" s="175"/>
      <c r="AD79" s="175"/>
      <c r="AE79" s="175"/>
      <c r="AF79" s="175"/>
      <c r="AG79" s="175"/>
      <c r="AH79" s="175"/>
    </row>
    <row r="80" spans="1:34" s="151" customFormat="1" ht="18.75" customHeight="1">
      <c r="A80" s="531" t="s">
        <v>608</v>
      </c>
      <c r="B80" s="134" t="s">
        <v>516</v>
      </c>
      <c r="C80" s="133" t="s">
        <v>609</v>
      </c>
      <c r="D80" s="133"/>
      <c r="E80" s="133">
        <f t="shared" si="11"/>
        <v>11</v>
      </c>
      <c r="F80" s="136" t="s">
        <v>610</v>
      </c>
      <c r="G80" s="159"/>
      <c r="H80" s="160">
        <v>10</v>
      </c>
      <c r="I80" s="160"/>
      <c r="J80" s="160"/>
      <c r="K80" s="162">
        <v>724</v>
      </c>
      <c r="L80" s="200">
        <v>2105</v>
      </c>
      <c r="M80" s="135"/>
      <c r="N80" s="195">
        <f t="shared" si="12"/>
        <v>2829</v>
      </c>
      <c r="O80" s="196">
        <v>13191</v>
      </c>
      <c r="P80" s="171">
        <v>1600</v>
      </c>
      <c r="Q80" s="171">
        <v>300</v>
      </c>
      <c r="R80" s="172">
        <v>3179</v>
      </c>
      <c r="S80" s="173">
        <v>3845</v>
      </c>
      <c r="T80" s="173" t="s">
        <v>611</v>
      </c>
      <c r="U80" s="174">
        <v>370</v>
      </c>
      <c r="V80" s="174">
        <v>370</v>
      </c>
      <c r="W80" s="175">
        <v>0</v>
      </c>
      <c r="X80" s="175">
        <f>2105+724</f>
        <v>2829</v>
      </c>
      <c r="Y80" s="175">
        <f t="shared" ref="Y80:Z80" si="13">2105+724</f>
        <v>2829</v>
      </c>
      <c r="Z80" s="175">
        <f t="shared" si="13"/>
        <v>2829</v>
      </c>
      <c r="AA80" s="175">
        <v>2105</v>
      </c>
      <c r="AB80" s="175"/>
      <c r="AC80" s="175"/>
      <c r="AD80" s="175"/>
      <c r="AE80" s="175"/>
      <c r="AF80" s="175"/>
      <c r="AG80" s="175"/>
      <c r="AH80" s="175"/>
    </row>
    <row r="81" spans="1:34" s="151" customFormat="1">
      <c r="A81" s="199" t="s">
        <v>219</v>
      </c>
      <c r="B81" s="134" t="s">
        <v>516</v>
      </c>
      <c r="C81" s="133"/>
      <c r="D81" s="133"/>
      <c r="E81" s="133">
        <f t="shared" si="11"/>
        <v>12</v>
      </c>
      <c r="F81" s="136"/>
      <c r="G81" s="159">
        <v>0.1</v>
      </c>
      <c r="H81" s="160">
        <v>10</v>
      </c>
      <c r="I81" s="160"/>
      <c r="J81" s="161"/>
      <c r="K81" s="162">
        <v>3257.1</v>
      </c>
      <c r="L81" s="153"/>
      <c r="M81" s="135"/>
      <c r="N81" s="195">
        <f t="shared" si="12"/>
        <v>3257.1</v>
      </c>
      <c r="O81" s="196">
        <v>13542</v>
      </c>
      <c r="P81" s="171">
        <v>0</v>
      </c>
      <c r="Q81" s="171">
        <v>300</v>
      </c>
      <c r="R81" s="172">
        <v>2693</v>
      </c>
      <c r="S81" s="173">
        <v>6335</v>
      </c>
      <c r="T81" s="173"/>
      <c r="U81" s="174">
        <v>370</v>
      </c>
      <c r="V81" s="174"/>
      <c r="W81" s="175">
        <v>0</v>
      </c>
      <c r="X81" s="175">
        <v>3257.1</v>
      </c>
      <c r="Y81" s="175">
        <v>3257.1</v>
      </c>
      <c r="Z81" s="175"/>
      <c r="AA81" s="175"/>
      <c r="AB81" s="175"/>
      <c r="AC81" s="175"/>
      <c r="AD81" s="175"/>
      <c r="AE81" s="175"/>
      <c r="AF81" s="175"/>
      <c r="AG81" s="175"/>
      <c r="AH81" s="175"/>
    </row>
    <row r="82" spans="1:34" s="151" customFormat="1">
      <c r="A82" s="531" t="s">
        <v>215</v>
      </c>
      <c r="B82" s="133" t="s">
        <v>516</v>
      </c>
      <c r="C82" s="133" t="s">
        <v>350</v>
      </c>
      <c r="D82" s="133"/>
      <c r="E82" s="133">
        <f t="shared" si="11"/>
        <v>13</v>
      </c>
      <c r="F82" s="136" t="s">
        <v>612</v>
      </c>
      <c r="G82" s="159">
        <v>0.1</v>
      </c>
      <c r="H82" s="160">
        <v>10</v>
      </c>
      <c r="I82" s="160"/>
      <c r="J82" s="161"/>
      <c r="K82" s="162">
        <v>3257.1</v>
      </c>
      <c r="L82" s="200">
        <v>1475</v>
      </c>
      <c r="M82" s="135"/>
      <c r="N82" s="195">
        <f t="shared" si="12"/>
        <v>4732.1000000000004</v>
      </c>
      <c r="O82" s="196">
        <v>13233</v>
      </c>
      <c r="P82" s="171">
        <v>1600</v>
      </c>
      <c r="Q82" s="171">
        <v>300</v>
      </c>
      <c r="R82" s="172">
        <v>2852</v>
      </c>
      <c r="S82" s="173">
        <v>6355</v>
      </c>
      <c r="T82" s="173"/>
      <c r="U82" s="174">
        <v>370</v>
      </c>
      <c r="V82" s="174">
        <v>370</v>
      </c>
      <c r="W82" s="175">
        <v>0</v>
      </c>
      <c r="X82" s="175">
        <v>4732.1000000000004</v>
      </c>
      <c r="Y82" s="175">
        <v>4732.1000000000004</v>
      </c>
      <c r="Z82" s="157">
        <v>4732.1000000000004</v>
      </c>
      <c r="AA82" s="175"/>
      <c r="AB82" s="175"/>
      <c r="AC82" s="175"/>
      <c r="AD82" s="175"/>
      <c r="AE82" s="175"/>
      <c r="AF82" s="175"/>
      <c r="AG82" s="175"/>
      <c r="AH82" s="175"/>
    </row>
    <row r="83" spans="1:34" s="151" customFormat="1">
      <c r="A83" s="531" t="s">
        <v>613</v>
      </c>
      <c r="B83" s="133" t="s">
        <v>516</v>
      </c>
      <c r="C83" s="199" t="s">
        <v>614</v>
      </c>
      <c r="D83" s="199"/>
      <c r="E83" s="133">
        <f t="shared" si="11"/>
        <v>14</v>
      </c>
      <c r="F83" s="136" t="s">
        <v>615</v>
      </c>
      <c r="G83" s="159"/>
      <c r="H83" s="160">
        <v>10</v>
      </c>
      <c r="I83" s="160"/>
      <c r="J83" s="160"/>
      <c r="K83" s="162">
        <v>3619</v>
      </c>
      <c r="L83" s="200">
        <v>2105</v>
      </c>
      <c r="M83" s="135"/>
      <c r="N83" s="195">
        <f t="shared" si="12"/>
        <v>5724</v>
      </c>
      <c r="O83" s="249"/>
      <c r="P83" s="171"/>
      <c r="Q83" s="171"/>
      <c r="R83" s="172">
        <v>2936</v>
      </c>
      <c r="S83" s="173">
        <v>6335</v>
      </c>
      <c r="T83" s="173"/>
      <c r="U83" s="174">
        <v>370</v>
      </c>
      <c r="V83" s="174">
        <v>370</v>
      </c>
      <c r="W83" s="201">
        <v>0</v>
      </c>
      <c r="X83" s="176">
        <f>5654+70</f>
        <v>5724</v>
      </c>
      <c r="Y83" s="176">
        <v>5724</v>
      </c>
      <c r="Z83" s="176">
        <v>5724</v>
      </c>
      <c r="AA83" s="176"/>
      <c r="AB83" s="176"/>
      <c r="AC83" s="176"/>
      <c r="AD83" s="176"/>
      <c r="AE83" s="176"/>
      <c r="AF83" s="176"/>
      <c r="AG83" s="183"/>
      <c r="AH83" s="175"/>
    </row>
    <row r="84" spans="1:34" s="151" customFormat="1">
      <c r="A84" s="531" t="s">
        <v>616</v>
      </c>
      <c r="B84" s="133" t="s">
        <v>516</v>
      </c>
      <c r="C84" s="133" t="s">
        <v>378</v>
      </c>
      <c r="D84" s="133"/>
      <c r="E84" s="133">
        <f t="shared" si="11"/>
        <v>15</v>
      </c>
      <c r="F84" s="136" t="s">
        <v>617</v>
      </c>
      <c r="G84" s="159"/>
      <c r="H84" s="160">
        <v>11</v>
      </c>
      <c r="I84" s="160"/>
      <c r="J84" s="160">
        <v>3290</v>
      </c>
      <c r="K84" s="162"/>
      <c r="L84" s="200">
        <v>375</v>
      </c>
      <c r="M84" s="135"/>
      <c r="N84" s="195">
        <f t="shared" si="12"/>
        <v>3665</v>
      </c>
      <c r="O84" s="249">
        <v>13344</v>
      </c>
      <c r="P84" s="171">
        <v>1600</v>
      </c>
      <c r="Q84" s="171">
        <v>300</v>
      </c>
      <c r="R84" s="172" t="s">
        <v>618</v>
      </c>
      <c r="S84" s="173">
        <f>3000+3335</f>
        <v>6335</v>
      </c>
      <c r="T84" s="173"/>
      <c r="U84" s="174"/>
      <c r="V84" s="174"/>
      <c r="W84" s="201">
        <v>3290</v>
      </c>
      <c r="X84" s="201">
        <v>3670</v>
      </c>
      <c r="Y84" s="176">
        <v>3665</v>
      </c>
      <c r="Z84" s="176">
        <v>3665</v>
      </c>
      <c r="AA84" s="176"/>
      <c r="AB84" s="176"/>
      <c r="AC84" s="176"/>
      <c r="AD84" s="176"/>
      <c r="AE84" s="183"/>
      <c r="AF84" s="183"/>
      <c r="AG84" s="157"/>
      <c r="AH84" s="175"/>
    </row>
    <row r="85" spans="1:34" s="151" customFormat="1">
      <c r="A85" s="199" t="s">
        <v>619</v>
      </c>
      <c r="B85" s="133" t="s">
        <v>516</v>
      </c>
      <c r="C85" s="133"/>
      <c r="D85" s="133"/>
      <c r="E85" s="133">
        <f t="shared" si="11"/>
        <v>16</v>
      </c>
      <c r="F85" s="136" t="s">
        <v>620</v>
      </c>
      <c r="G85" s="159"/>
      <c r="H85" s="160">
        <v>10</v>
      </c>
      <c r="I85" s="160"/>
      <c r="J85" s="161"/>
      <c r="K85" s="162">
        <v>3619</v>
      </c>
      <c r="L85" s="200"/>
      <c r="M85" s="135"/>
      <c r="N85" s="252">
        <f t="shared" si="12"/>
        <v>3619</v>
      </c>
      <c r="O85" s="196">
        <v>13402</v>
      </c>
      <c r="P85" s="171">
        <v>1600</v>
      </c>
      <c r="Q85" s="171">
        <v>300</v>
      </c>
      <c r="R85" s="172">
        <v>2934</v>
      </c>
      <c r="S85" s="173">
        <v>6335</v>
      </c>
      <c r="T85" s="173"/>
      <c r="U85" s="174">
        <v>370</v>
      </c>
      <c r="V85" s="174">
        <v>180.95</v>
      </c>
      <c r="W85" s="175">
        <v>0</v>
      </c>
      <c r="X85" s="175">
        <v>3619</v>
      </c>
      <c r="Y85" s="201">
        <v>3799.95</v>
      </c>
      <c r="Z85" s="201">
        <v>3619</v>
      </c>
      <c r="AA85" s="201" t="s">
        <v>621</v>
      </c>
      <c r="AB85" s="201"/>
      <c r="AC85" s="175"/>
      <c r="AD85" s="175"/>
      <c r="AE85" s="201"/>
      <c r="AF85" s="175"/>
      <c r="AG85" s="175"/>
      <c r="AH85" s="175"/>
    </row>
    <row r="86" spans="1:34" s="151" customFormat="1">
      <c r="A86" s="531" t="s">
        <v>622</v>
      </c>
      <c r="B86" s="133" t="s">
        <v>516</v>
      </c>
      <c r="C86" s="133" t="s">
        <v>414</v>
      </c>
      <c r="D86" s="133"/>
      <c r="E86" s="133">
        <f t="shared" si="11"/>
        <v>17</v>
      </c>
      <c r="F86" s="136" t="s">
        <v>623</v>
      </c>
      <c r="G86" s="159">
        <v>0.15</v>
      </c>
      <c r="H86" s="160">
        <v>10</v>
      </c>
      <c r="I86" s="160"/>
      <c r="J86" s="161"/>
      <c r="K86" s="162">
        <v>3076.15</v>
      </c>
      <c r="L86" s="200">
        <v>2000</v>
      </c>
      <c r="M86" s="135"/>
      <c r="N86" s="252">
        <f>+K86+L86+M86</f>
        <v>5076.1499999999996</v>
      </c>
      <c r="O86" s="196">
        <v>13781</v>
      </c>
      <c r="P86" s="171">
        <v>2400</v>
      </c>
      <c r="Q86" s="171">
        <v>300</v>
      </c>
      <c r="R86" s="172">
        <v>3189</v>
      </c>
      <c r="S86" s="173">
        <v>6335</v>
      </c>
      <c r="T86" s="173"/>
      <c r="U86" s="174">
        <v>370</v>
      </c>
      <c r="V86" s="174">
        <v>370</v>
      </c>
      <c r="W86" s="175">
        <v>0</v>
      </c>
      <c r="X86" s="201">
        <v>5329.95</v>
      </c>
      <c r="Y86" s="175">
        <v>5329.95</v>
      </c>
      <c r="Z86" s="175"/>
      <c r="AA86" s="175"/>
      <c r="AB86" s="175"/>
      <c r="AC86" s="175"/>
      <c r="AD86" s="175"/>
      <c r="AE86" s="175"/>
      <c r="AF86" s="175"/>
      <c r="AG86" s="175"/>
      <c r="AH86" s="175"/>
    </row>
    <row r="87" spans="1:34" s="151" customFormat="1">
      <c r="A87" s="532" t="s">
        <v>624</v>
      </c>
      <c r="B87" s="133" t="s">
        <v>516</v>
      </c>
      <c r="C87" s="506" t="s">
        <v>625</v>
      </c>
      <c r="D87" s="506"/>
      <c r="E87" s="133">
        <f t="shared" si="11"/>
        <v>18</v>
      </c>
      <c r="F87" s="232" t="s">
        <v>626</v>
      </c>
      <c r="G87" s="244"/>
      <c r="H87" s="160">
        <v>10</v>
      </c>
      <c r="I87" s="255"/>
      <c r="J87" s="161"/>
      <c r="K87" s="246">
        <v>3619</v>
      </c>
      <c r="L87" s="246">
        <v>2105</v>
      </c>
      <c r="M87" s="247"/>
      <c r="N87" s="195">
        <f>+J87+K87+L87</f>
        <v>5724</v>
      </c>
      <c r="O87" s="196">
        <v>13390</v>
      </c>
      <c r="P87" s="171">
        <v>1600</v>
      </c>
      <c r="Q87" s="171">
        <v>300</v>
      </c>
      <c r="R87" s="172">
        <v>2982</v>
      </c>
      <c r="S87" s="173">
        <v>6335</v>
      </c>
      <c r="T87" s="173"/>
      <c r="U87" s="174">
        <v>370</v>
      </c>
      <c r="V87" s="174">
        <v>370</v>
      </c>
      <c r="W87" s="175">
        <v>0</v>
      </c>
      <c r="X87" s="175">
        <v>5724</v>
      </c>
      <c r="Y87" s="201">
        <v>5724</v>
      </c>
      <c r="Z87" s="176">
        <v>5724</v>
      </c>
      <c r="AA87" s="176"/>
      <c r="AB87" s="176"/>
      <c r="AC87" s="176"/>
      <c r="AD87" s="176"/>
      <c r="AE87" s="176"/>
      <c r="AF87" s="176"/>
      <c r="AG87" s="175"/>
      <c r="AH87" s="175"/>
    </row>
    <row r="88" spans="1:34" s="151" customFormat="1">
      <c r="A88" s="199"/>
      <c r="B88" s="133"/>
      <c r="C88" s="199"/>
      <c r="D88" s="199"/>
      <c r="E88" s="133"/>
      <c r="F88" s="136"/>
      <c r="G88" s="159"/>
      <c r="H88" s="160"/>
      <c r="I88" s="160"/>
      <c r="J88" s="161"/>
      <c r="K88" s="162"/>
      <c r="L88" s="200"/>
      <c r="M88" s="135"/>
      <c r="N88" s="252"/>
      <c r="O88" s="196"/>
      <c r="P88" s="171"/>
      <c r="Q88" s="171"/>
      <c r="R88" s="172"/>
      <c r="S88" s="173"/>
      <c r="T88" s="173"/>
      <c r="U88" s="174"/>
      <c r="V88" s="174"/>
      <c r="W88" s="175"/>
      <c r="X88" s="175"/>
      <c r="Y88" s="176"/>
      <c r="Z88" s="176"/>
      <c r="AA88" s="176"/>
      <c r="AB88" s="176"/>
      <c r="AC88" s="176"/>
      <c r="AD88" s="176"/>
      <c r="AE88" s="176"/>
      <c r="AF88" s="176"/>
      <c r="AG88" s="175"/>
      <c r="AH88" s="175"/>
    </row>
    <row r="89" spans="1:34" s="151" customFormat="1">
      <c r="A89" s="199"/>
      <c r="B89" s="133"/>
      <c r="C89" s="199"/>
      <c r="D89" s="199"/>
      <c r="E89" s="133"/>
      <c r="F89" s="136"/>
      <c r="G89" s="159"/>
      <c r="H89" s="160"/>
      <c r="I89" s="160"/>
      <c r="J89" s="161"/>
      <c r="K89" s="162"/>
      <c r="L89" s="200"/>
      <c r="M89" s="135"/>
      <c r="N89" s="252"/>
      <c r="O89" s="196"/>
      <c r="P89" s="171"/>
      <c r="Q89" s="171"/>
      <c r="R89" s="172"/>
      <c r="S89" s="173"/>
      <c r="T89" s="173"/>
      <c r="U89" s="174"/>
      <c r="V89" s="174"/>
      <c r="W89" s="175"/>
      <c r="X89" s="175"/>
      <c r="Y89" s="176"/>
      <c r="Z89" s="176"/>
      <c r="AA89" s="176"/>
      <c r="AB89" s="176"/>
      <c r="AC89" s="176"/>
      <c r="AD89" s="176"/>
      <c r="AE89" s="176"/>
      <c r="AF89" s="176"/>
      <c r="AG89" s="175"/>
      <c r="AH89" s="175"/>
    </row>
    <row r="90" spans="1:34" s="151" customFormat="1">
      <c r="A90" s="134" t="s">
        <v>627</v>
      </c>
      <c r="B90" s="133"/>
      <c r="C90" s="199"/>
      <c r="D90" s="199"/>
      <c r="E90" s="133"/>
      <c r="F90" s="136"/>
      <c r="G90" s="159"/>
      <c r="H90" s="160"/>
      <c r="I90" s="160"/>
      <c r="J90" s="161"/>
      <c r="K90" s="162"/>
      <c r="L90" s="200"/>
      <c r="M90" s="135"/>
      <c r="N90" s="252"/>
      <c r="O90" s="196"/>
      <c r="P90" s="171"/>
      <c r="Q90" s="171"/>
      <c r="R90" s="172"/>
      <c r="S90" s="173"/>
      <c r="T90" s="173"/>
      <c r="U90" s="174"/>
      <c r="V90" s="174"/>
      <c r="W90" s="175"/>
      <c r="X90" s="175"/>
      <c r="Y90" s="176"/>
      <c r="Z90" s="176"/>
      <c r="AA90" s="176"/>
      <c r="AB90" s="176"/>
      <c r="AC90" s="176"/>
      <c r="AD90" s="176"/>
      <c r="AE90" s="176"/>
      <c r="AF90" s="176"/>
      <c r="AG90" s="175"/>
      <c r="AH90" s="175"/>
    </row>
    <row r="91" spans="1:34" s="151" customFormat="1">
      <c r="A91" s="199" t="s">
        <v>628</v>
      </c>
      <c r="B91" s="133" t="s">
        <v>553</v>
      </c>
      <c r="C91" s="133"/>
      <c r="D91" s="133"/>
      <c r="E91" s="133">
        <v>1</v>
      </c>
      <c r="F91" s="136"/>
      <c r="G91" s="159"/>
      <c r="H91" s="160">
        <v>10</v>
      </c>
      <c r="I91" s="160"/>
      <c r="J91" s="160"/>
      <c r="K91" s="225">
        <v>3619</v>
      </c>
      <c r="L91" s="248"/>
      <c r="M91" s="135"/>
      <c r="N91" s="252">
        <f>+J91+K91+L91</f>
        <v>3619</v>
      </c>
      <c r="O91" s="249">
        <v>13648</v>
      </c>
      <c r="P91" s="171">
        <v>0</v>
      </c>
      <c r="Q91" s="171">
        <v>300</v>
      </c>
      <c r="R91" s="172">
        <v>3497</v>
      </c>
      <c r="S91" s="173">
        <v>6335</v>
      </c>
      <c r="T91" s="173"/>
      <c r="U91" s="174">
        <v>370</v>
      </c>
      <c r="V91" s="174">
        <v>370</v>
      </c>
      <c r="W91" s="157">
        <v>0</v>
      </c>
      <c r="X91" s="157">
        <v>3619</v>
      </c>
      <c r="Y91" s="157">
        <v>3619</v>
      </c>
      <c r="Z91" s="157">
        <v>3619</v>
      </c>
      <c r="AA91" s="157"/>
      <c r="AB91" s="157"/>
      <c r="AC91" s="157"/>
      <c r="AD91" s="157"/>
      <c r="AE91" s="157"/>
      <c r="AF91" s="180"/>
      <c r="AG91" s="157"/>
      <c r="AH91" s="157"/>
    </row>
    <row r="92" spans="1:34" s="151" customFormat="1">
      <c r="A92" s="531" t="s">
        <v>211</v>
      </c>
      <c r="B92" s="556" t="s">
        <v>553</v>
      </c>
      <c r="C92" s="133" t="s">
        <v>350</v>
      </c>
      <c r="D92" s="133"/>
      <c r="E92" s="133">
        <f>+E91+1</f>
        <v>2</v>
      </c>
      <c r="F92" s="136" t="s">
        <v>629</v>
      </c>
      <c r="G92" s="159">
        <v>0.1</v>
      </c>
      <c r="H92" s="160">
        <v>10</v>
      </c>
      <c r="I92" s="160"/>
      <c r="J92" s="160"/>
      <c r="K92" s="162">
        <v>3257.1</v>
      </c>
      <c r="L92" s="200">
        <v>1475</v>
      </c>
      <c r="M92" s="135"/>
      <c r="N92" s="195">
        <f>+J92+K92+L92</f>
        <v>4732.1000000000004</v>
      </c>
      <c r="O92" s="196">
        <v>13198</v>
      </c>
      <c r="P92" s="171">
        <v>1600</v>
      </c>
      <c r="Q92" s="171">
        <v>300</v>
      </c>
      <c r="R92" s="172">
        <v>2851</v>
      </c>
      <c r="S92" s="173">
        <v>6355</v>
      </c>
      <c r="T92" s="173"/>
      <c r="U92" s="174"/>
      <c r="V92" s="174"/>
      <c r="W92" s="175">
        <v>0</v>
      </c>
      <c r="X92" s="175">
        <v>4732.1000000000004</v>
      </c>
      <c r="Y92" s="175">
        <v>4732.1000000000004</v>
      </c>
      <c r="Z92" s="175">
        <v>4732.1000000000004</v>
      </c>
      <c r="AA92" s="175"/>
      <c r="AB92" s="175"/>
      <c r="AC92" s="175"/>
      <c r="AD92" s="175"/>
      <c r="AE92" s="157"/>
      <c r="AF92" s="157"/>
      <c r="AG92" s="157"/>
      <c r="AH92" s="175"/>
    </row>
    <row r="93" spans="1:34" s="151" customFormat="1">
      <c r="A93" s="199" t="s">
        <v>214</v>
      </c>
      <c r="B93" s="133" t="s">
        <v>553</v>
      </c>
      <c r="C93" s="133"/>
      <c r="D93" s="133"/>
      <c r="E93" s="133">
        <f t="shared" ref="E93:E108" si="14">+E92+1</f>
        <v>3</v>
      </c>
      <c r="F93" s="136" t="s">
        <v>630</v>
      </c>
      <c r="G93" s="159">
        <v>0.15</v>
      </c>
      <c r="H93" s="160">
        <v>10</v>
      </c>
      <c r="I93" s="160"/>
      <c r="J93" s="161"/>
      <c r="K93" s="251">
        <v>2714.25</v>
      </c>
      <c r="L93" s="200"/>
      <c r="M93" s="135"/>
      <c r="N93" s="252">
        <f>+J93+K93+L93</f>
        <v>2714.25</v>
      </c>
      <c r="O93" s="249">
        <v>13223</v>
      </c>
      <c r="P93" s="171">
        <v>1600</v>
      </c>
      <c r="Q93" s="171">
        <v>300</v>
      </c>
      <c r="R93" s="172">
        <v>2726</v>
      </c>
      <c r="S93" s="173">
        <v>6335</v>
      </c>
      <c r="T93" s="173"/>
      <c r="U93" s="174">
        <v>370</v>
      </c>
      <c r="V93" s="174">
        <v>370</v>
      </c>
      <c r="W93" s="175">
        <v>0</v>
      </c>
      <c r="X93" s="175">
        <v>2714.25</v>
      </c>
      <c r="Y93" s="175">
        <v>2714.25</v>
      </c>
      <c r="Z93" s="175">
        <v>2714.25</v>
      </c>
      <c r="AA93" s="175">
        <v>2714.25</v>
      </c>
      <c r="AB93" s="175">
        <v>2714.25</v>
      </c>
      <c r="AC93" s="175">
        <v>2714.25</v>
      </c>
      <c r="AD93" s="175"/>
      <c r="AE93" s="157"/>
      <c r="AF93" s="157"/>
      <c r="AG93" s="157"/>
      <c r="AH93" s="175"/>
    </row>
    <row r="94" spans="1:34" s="151" customFormat="1" ht="16.5" customHeight="1">
      <c r="A94" s="199" t="s">
        <v>631</v>
      </c>
      <c r="B94" s="556" t="s">
        <v>553</v>
      </c>
      <c r="C94" s="133"/>
      <c r="D94" s="133"/>
      <c r="E94" s="133">
        <f t="shared" si="14"/>
        <v>4</v>
      </c>
      <c r="F94" s="136"/>
      <c r="G94" s="159">
        <v>0.2</v>
      </c>
      <c r="H94" s="160">
        <v>10</v>
      </c>
      <c r="I94" s="160"/>
      <c r="J94" s="160"/>
      <c r="K94" s="162">
        <v>2895.2</v>
      </c>
      <c r="L94" s="153"/>
      <c r="M94" s="135"/>
      <c r="N94" s="195">
        <f>+K94+L94+M94</f>
        <v>2895.2</v>
      </c>
      <c r="O94" s="196">
        <v>13739</v>
      </c>
      <c r="P94" s="171">
        <v>2400</v>
      </c>
      <c r="Q94" s="171">
        <v>300</v>
      </c>
      <c r="R94" s="172" t="s">
        <v>488</v>
      </c>
      <c r="S94" s="173"/>
      <c r="T94" s="173" t="s">
        <v>632</v>
      </c>
      <c r="U94" s="174">
        <v>370</v>
      </c>
      <c r="V94" s="174">
        <v>370</v>
      </c>
      <c r="W94" s="175">
        <v>0</v>
      </c>
      <c r="X94" s="175">
        <v>3039.96</v>
      </c>
      <c r="Y94" s="175">
        <v>3039.96</v>
      </c>
      <c r="Z94" s="175"/>
      <c r="AA94" s="175"/>
      <c r="AB94" s="175"/>
      <c r="AC94" s="175"/>
      <c r="AD94" s="175"/>
      <c r="AE94" s="175"/>
      <c r="AF94" s="175"/>
      <c r="AG94" s="175"/>
      <c r="AH94" s="175"/>
    </row>
    <row r="95" spans="1:34" s="151" customFormat="1">
      <c r="A95" s="199" t="s">
        <v>633</v>
      </c>
      <c r="B95" s="133" t="s">
        <v>553</v>
      </c>
      <c r="C95" s="133"/>
      <c r="D95" s="133"/>
      <c r="E95" s="133">
        <f t="shared" si="14"/>
        <v>5</v>
      </c>
      <c r="F95" s="136" t="s">
        <v>634</v>
      </c>
      <c r="G95" s="159">
        <v>0.15</v>
      </c>
      <c r="H95" s="160">
        <v>10</v>
      </c>
      <c r="I95" s="160"/>
      <c r="J95" s="161"/>
      <c r="K95" s="162"/>
      <c r="L95" s="200"/>
      <c r="M95" s="135"/>
      <c r="N95" s="252">
        <f t="shared" ref="N95:N101" si="15">+J95+K95+L95</f>
        <v>0</v>
      </c>
      <c r="O95" s="249">
        <v>13708</v>
      </c>
      <c r="P95" s="171"/>
      <c r="Q95" s="171">
        <v>300</v>
      </c>
      <c r="R95" s="172">
        <v>3231</v>
      </c>
      <c r="S95" s="173">
        <v>6335</v>
      </c>
      <c r="T95" s="173"/>
      <c r="U95" s="174"/>
      <c r="V95" s="174"/>
      <c r="W95" s="175"/>
      <c r="X95" s="175"/>
      <c r="Y95" s="175"/>
      <c r="Z95" s="175"/>
      <c r="AA95" s="175"/>
      <c r="AB95" s="175"/>
      <c r="AC95" s="175"/>
      <c r="AD95" s="175"/>
      <c r="AE95" s="157"/>
      <c r="AF95" s="157"/>
      <c r="AG95" s="157"/>
      <c r="AH95" s="175"/>
    </row>
    <row r="96" spans="1:34" s="151" customFormat="1">
      <c r="A96" s="531" t="s">
        <v>220</v>
      </c>
      <c r="B96" s="133" t="s">
        <v>553</v>
      </c>
      <c r="C96" s="133" t="s">
        <v>420</v>
      </c>
      <c r="D96" s="133"/>
      <c r="E96" s="133">
        <f t="shared" si="14"/>
        <v>6</v>
      </c>
      <c r="F96" s="136"/>
      <c r="G96" s="159">
        <v>0.15</v>
      </c>
      <c r="H96" s="160">
        <v>11</v>
      </c>
      <c r="I96" s="160"/>
      <c r="J96" s="161">
        <v>2796.5</v>
      </c>
      <c r="K96" s="162"/>
      <c r="L96" s="200">
        <v>1710</v>
      </c>
      <c r="M96" s="135"/>
      <c r="N96" s="252">
        <f t="shared" si="15"/>
        <v>4506.5</v>
      </c>
      <c r="O96" s="196">
        <v>13566</v>
      </c>
      <c r="P96" s="171">
        <v>0</v>
      </c>
      <c r="Q96" s="171">
        <v>300</v>
      </c>
      <c r="R96" s="172">
        <v>2651</v>
      </c>
      <c r="S96" s="173">
        <v>6335</v>
      </c>
      <c r="T96" s="173"/>
      <c r="U96" s="174">
        <v>370</v>
      </c>
      <c r="V96" s="174">
        <v>370</v>
      </c>
      <c r="W96" s="175">
        <v>2796.5</v>
      </c>
      <c r="X96" s="175">
        <v>4506.5</v>
      </c>
      <c r="Y96" s="175">
        <v>4506.5</v>
      </c>
      <c r="Z96" s="175">
        <v>4506.5</v>
      </c>
      <c r="AA96" s="175"/>
      <c r="AB96" s="175"/>
      <c r="AC96" s="175"/>
      <c r="AD96" s="175"/>
      <c r="AE96" s="175"/>
      <c r="AF96" s="175"/>
      <c r="AG96" s="175"/>
      <c r="AH96" s="175"/>
    </row>
    <row r="97" spans="1:34" s="151" customFormat="1">
      <c r="A97" s="206" t="s">
        <v>635</v>
      </c>
      <c r="B97" s="133" t="s">
        <v>553</v>
      </c>
      <c r="C97" s="206"/>
      <c r="D97" s="206"/>
      <c r="E97" s="133">
        <f t="shared" si="14"/>
        <v>7</v>
      </c>
      <c r="F97" s="136" t="s">
        <v>636</v>
      </c>
      <c r="G97" s="159"/>
      <c r="H97" s="160">
        <v>2</v>
      </c>
      <c r="I97" s="160"/>
      <c r="J97" s="160"/>
      <c r="K97" s="225">
        <v>3619</v>
      </c>
      <c r="L97" s="248"/>
      <c r="M97" s="210"/>
      <c r="N97" s="252">
        <f t="shared" si="15"/>
        <v>3619</v>
      </c>
      <c r="O97" s="196">
        <v>13327</v>
      </c>
      <c r="P97" s="171">
        <v>1600</v>
      </c>
      <c r="Q97" s="171">
        <v>300</v>
      </c>
      <c r="R97" s="172" t="s">
        <v>488</v>
      </c>
      <c r="S97" s="173"/>
      <c r="T97" s="173"/>
      <c r="U97" s="174"/>
      <c r="V97" s="174"/>
      <c r="W97" s="175">
        <v>0</v>
      </c>
      <c r="X97" s="201">
        <v>3619</v>
      </c>
      <c r="Y97" s="176">
        <v>3619</v>
      </c>
      <c r="Z97" s="198">
        <v>0</v>
      </c>
      <c r="AA97" s="198">
        <v>0</v>
      </c>
      <c r="AB97" s="198">
        <v>0</v>
      </c>
      <c r="AC97" s="198">
        <v>0</v>
      </c>
      <c r="AD97" s="198">
        <v>0</v>
      </c>
      <c r="AE97" s="198">
        <v>0</v>
      </c>
      <c r="AF97" s="198">
        <v>0</v>
      </c>
      <c r="AG97" s="198">
        <v>0</v>
      </c>
      <c r="AH97" s="198">
        <v>0</v>
      </c>
    </row>
    <row r="98" spans="1:34" s="151" customFormat="1">
      <c r="A98" s="531" t="s">
        <v>212</v>
      </c>
      <c r="B98" s="133" t="s">
        <v>553</v>
      </c>
      <c r="C98" s="199" t="s">
        <v>637</v>
      </c>
      <c r="D98" s="199"/>
      <c r="E98" s="133">
        <f t="shared" si="14"/>
        <v>8</v>
      </c>
      <c r="F98" s="136" t="s">
        <v>638</v>
      </c>
      <c r="G98" s="159">
        <v>0.1</v>
      </c>
      <c r="H98" s="160">
        <v>10</v>
      </c>
      <c r="I98" s="160"/>
      <c r="J98" s="160"/>
      <c r="K98" s="162">
        <v>3257.1</v>
      </c>
      <c r="L98" s="200">
        <v>2025</v>
      </c>
      <c r="M98" s="135"/>
      <c r="N98" s="252">
        <f t="shared" si="15"/>
        <v>5282.1</v>
      </c>
      <c r="O98" s="196">
        <v>13631</v>
      </c>
      <c r="P98" s="171">
        <v>2400</v>
      </c>
      <c r="Q98" s="171">
        <v>300</v>
      </c>
      <c r="R98" s="172">
        <v>2685</v>
      </c>
      <c r="S98" s="173">
        <v>6335</v>
      </c>
      <c r="T98" s="173" t="s">
        <v>213</v>
      </c>
      <c r="U98" s="174">
        <v>370</v>
      </c>
      <c r="V98" s="174">
        <v>370</v>
      </c>
      <c r="W98" s="175">
        <v>0</v>
      </c>
      <c r="X98" s="175">
        <v>5282.1</v>
      </c>
      <c r="Y98" s="176">
        <v>5282.1</v>
      </c>
      <c r="Z98" s="176">
        <v>5546.2</v>
      </c>
      <c r="AA98" s="176">
        <v>5282.1</v>
      </c>
      <c r="AB98" s="175"/>
      <c r="AC98" s="175"/>
      <c r="AD98" s="176"/>
      <c r="AE98" s="176"/>
      <c r="AF98" s="176"/>
      <c r="AG98" s="176"/>
      <c r="AH98" s="175"/>
    </row>
    <row r="99" spans="1:34" s="151" customFormat="1">
      <c r="A99" s="199" t="s">
        <v>639</v>
      </c>
      <c r="B99" s="133" t="s">
        <v>553</v>
      </c>
      <c r="C99" s="133"/>
      <c r="D99" s="133"/>
      <c r="E99" s="133">
        <f t="shared" si="14"/>
        <v>9</v>
      </c>
      <c r="F99" s="136" t="s">
        <v>640</v>
      </c>
      <c r="G99" s="159">
        <v>0.1</v>
      </c>
      <c r="H99" s="160">
        <v>10</v>
      </c>
      <c r="I99" s="160"/>
      <c r="J99" s="160"/>
      <c r="K99" s="162">
        <v>3257.1</v>
      </c>
      <c r="L99" s="200"/>
      <c r="M99" s="135"/>
      <c r="N99" s="195">
        <f t="shared" si="15"/>
        <v>3257.1</v>
      </c>
      <c r="O99" s="196">
        <v>13262</v>
      </c>
      <c r="P99" s="171">
        <v>1600</v>
      </c>
      <c r="Q99" s="171">
        <v>300</v>
      </c>
      <c r="R99" s="172">
        <v>2882</v>
      </c>
      <c r="S99" s="173">
        <v>6335</v>
      </c>
      <c r="T99" s="173"/>
      <c r="U99" s="174">
        <v>370</v>
      </c>
      <c r="V99" s="174">
        <v>370</v>
      </c>
      <c r="W99" s="175">
        <v>0</v>
      </c>
      <c r="X99" s="175">
        <v>3257.1</v>
      </c>
      <c r="Y99" s="175">
        <v>3257.1</v>
      </c>
      <c r="Z99" s="175">
        <v>3257.1</v>
      </c>
      <c r="AA99" s="175"/>
      <c r="AB99" s="175"/>
      <c r="AC99" s="175"/>
      <c r="AD99" s="175"/>
      <c r="AE99" s="157"/>
      <c r="AF99" s="157"/>
      <c r="AG99" s="157"/>
      <c r="AH99" s="175"/>
    </row>
    <row r="100" spans="1:34" s="151" customFormat="1">
      <c r="A100" s="531" t="s">
        <v>641</v>
      </c>
      <c r="B100" s="133" t="s">
        <v>553</v>
      </c>
      <c r="C100" s="199" t="s">
        <v>642</v>
      </c>
      <c r="D100" s="199"/>
      <c r="E100" s="133">
        <f t="shared" si="14"/>
        <v>10</v>
      </c>
      <c r="F100" s="136" t="s">
        <v>643</v>
      </c>
      <c r="G100" s="159">
        <v>0.1</v>
      </c>
      <c r="H100" s="160">
        <v>10</v>
      </c>
      <c r="I100" s="160"/>
      <c r="J100" s="161"/>
      <c r="K100" s="162">
        <v>3257.1</v>
      </c>
      <c r="L100" s="200">
        <v>2105</v>
      </c>
      <c r="M100" s="135"/>
      <c r="N100" s="195">
        <f t="shared" si="15"/>
        <v>5362.1</v>
      </c>
      <c r="O100" s="249"/>
      <c r="P100" s="171"/>
      <c r="Q100" s="171"/>
      <c r="R100" s="172" t="s">
        <v>644</v>
      </c>
      <c r="S100" s="173">
        <f>3200+3135</f>
        <v>6335</v>
      </c>
      <c r="T100" s="173"/>
      <c r="U100" s="174">
        <v>370</v>
      </c>
      <c r="V100" s="174">
        <v>370</v>
      </c>
      <c r="W100" s="175">
        <v>0</v>
      </c>
      <c r="X100" s="176">
        <v>5362.1</v>
      </c>
      <c r="Y100" s="176">
        <v>5362.1</v>
      </c>
      <c r="Z100" s="176">
        <v>5362.1</v>
      </c>
      <c r="AA100" s="175"/>
      <c r="AB100" s="201"/>
      <c r="AC100" s="176"/>
      <c r="AD100" s="175"/>
      <c r="AE100" s="157"/>
      <c r="AF100" s="183"/>
      <c r="AG100" s="183"/>
      <c r="AH100" s="175"/>
    </row>
    <row r="101" spans="1:34" s="151" customFormat="1">
      <c r="A101" s="199" t="s">
        <v>218</v>
      </c>
      <c r="B101" s="133" t="s">
        <v>553</v>
      </c>
      <c r="C101" s="133"/>
      <c r="D101" s="133"/>
      <c r="E101" s="133">
        <f t="shared" si="14"/>
        <v>11</v>
      </c>
      <c r="F101" s="136"/>
      <c r="G101" s="159">
        <v>0.1</v>
      </c>
      <c r="H101" s="160">
        <v>10</v>
      </c>
      <c r="I101" s="160"/>
      <c r="J101" s="161"/>
      <c r="K101" s="162">
        <v>3257.1</v>
      </c>
      <c r="L101" s="200"/>
      <c r="M101" s="135"/>
      <c r="N101" s="195">
        <f t="shared" si="15"/>
        <v>3257.1</v>
      </c>
      <c r="O101" s="196">
        <v>13541</v>
      </c>
      <c r="P101" s="171">
        <v>0</v>
      </c>
      <c r="Q101" s="171">
        <v>300</v>
      </c>
      <c r="R101" s="172">
        <v>2694</v>
      </c>
      <c r="S101" s="173">
        <v>6335</v>
      </c>
      <c r="T101" s="173"/>
      <c r="U101" s="174">
        <v>370</v>
      </c>
      <c r="V101" s="174"/>
      <c r="W101" s="175">
        <v>0</v>
      </c>
      <c r="X101" s="175">
        <v>3257.1</v>
      </c>
      <c r="Y101" s="175">
        <v>3257.1</v>
      </c>
      <c r="Z101" s="175"/>
      <c r="AA101" s="175"/>
      <c r="AB101" s="175"/>
      <c r="AC101" s="175"/>
      <c r="AD101" s="175"/>
      <c r="AE101" s="175"/>
      <c r="AF101" s="175"/>
      <c r="AG101" s="175"/>
      <c r="AH101" s="175"/>
    </row>
    <row r="102" spans="1:34" s="151" customFormat="1">
      <c r="A102" s="531" t="s">
        <v>645</v>
      </c>
      <c r="B102" s="133" t="s">
        <v>553</v>
      </c>
      <c r="C102" s="133" t="s">
        <v>575</v>
      </c>
      <c r="D102" s="133"/>
      <c r="E102" s="133">
        <f t="shared" si="14"/>
        <v>12</v>
      </c>
      <c r="F102" s="136" t="s">
        <v>646</v>
      </c>
      <c r="G102" s="159">
        <v>0.1</v>
      </c>
      <c r="H102" s="160">
        <v>10</v>
      </c>
      <c r="I102" s="160"/>
      <c r="J102" s="160"/>
      <c r="K102" s="162">
        <v>3257.1</v>
      </c>
      <c r="L102" s="200">
        <v>2105</v>
      </c>
      <c r="M102" s="135"/>
      <c r="N102" s="195">
        <f>+K102+L102+M102</f>
        <v>5362.1</v>
      </c>
      <c r="O102" s="196">
        <v>13484</v>
      </c>
      <c r="P102" s="171">
        <v>2400</v>
      </c>
      <c r="Q102" s="171">
        <v>300</v>
      </c>
      <c r="R102" s="172">
        <v>2930</v>
      </c>
      <c r="S102" s="173">
        <v>6335</v>
      </c>
      <c r="T102" s="173"/>
      <c r="U102" s="174">
        <v>370</v>
      </c>
      <c r="V102" s="174">
        <v>370</v>
      </c>
      <c r="W102" s="175">
        <v>0</v>
      </c>
      <c r="X102" s="175">
        <v>5362.1</v>
      </c>
      <c r="Y102" s="176">
        <v>5362.1</v>
      </c>
      <c r="Z102" s="176">
        <v>5362.1</v>
      </c>
      <c r="AA102" s="176"/>
      <c r="AB102" s="176"/>
      <c r="AC102" s="176"/>
      <c r="AD102" s="176"/>
      <c r="AE102" s="176"/>
      <c r="AF102" s="176"/>
      <c r="AG102" s="176"/>
      <c r="AH102" s="157"/>
    </row>
    <row r="103" spans="1:34" s="151" customFormat="1">
      <c r="A103" s="531" t="s">
        <v>647</v>
      </c>
      <c r="B103" s="133" t="s">
        <v>553</v>
      </c>
      <c r="C103" s="133" t="s">
        <v>420</v>
      </c>
      <c r="D103" s="133"/>
      <c r="E103" s="133">
        <f t="shared" si="14"/>
        <v>13</v>
      </c>
      <c r="F103" s="136"/>
      <c r="G103" s="159"/>
      <c r="H103" s="160">
        <v>10</v>
      </c>
      <c r="I103" s="160"/>
      <c r="J103" s="161"/>
      <c r="K103" s="162">
        <v>3619</v>
      </c>
      <c r="L103" s="200">
        <v>1800</v>
      </c>
      <c r="M103" s="135"/>
      <c r="N103" s="195">
        <f t="shared" ref="N103:N108" si="16">+J103+K103+L103</f>
        <v>5419</v>
      </c>
      <c r="O103" s="196">
        <v>13513</v>
      </c>
      <c r="P103" s="171">
        <v>0</v>
      </c>
      <c r="Q103" s="171">
        <v>300</v>
      </c>
      <c r="R103" s="172" t="s">
        <v>648</v>
      </c>
      <c r="S103" s="173">
        <f>3335+3000</f>
        <v>6335</v>
      </c>
      <c r="T103" s="173"/>
      <c r="U103" s="174">
        <v>370</v>
      </c>
      <c r="V103" s="174">
        <v>370</v>
      </c>
      <c r="W103" s="175">
        <v>0</v>
      </c>
      <c r="X103" s="198">
        <v>5419</v>
      </c>
      <c r="Y103" s="198">
        <v>5419</v>
      </c>
      <c r="Z103" s="198">
        <v>5419</v>
      </c>
      <c r="AA103" s="175"/>
      <c r="AB103" s="175"/>
      <c r="AC103" s="175"/>
      <c r="AD103" s="175"/>
      <c r="AE103" s="175"/>
      <c r="AF103" s="175"/>
      <c r="AG103" s="175"/>
      <c r="AH103" s="175"/>
    </row>
    <row r="104" spans="1:34" s="151" customFormat="1">
      <c r="A104" s="533" t="s">
        <v>649</v>
      </c>
      <c r="B104" s="133" t="s">
        <v>553</v>
      </c>
      <c r="C104" s="199" t="s">
        <v>650</v>
      </c>
      <c r="D104" s="199"/>
      <c r="E104" s="133">
        <f t="shared" si="14"/>
        <v>14</v>
      </c>
      <c r="F104" s="136" t="s">
        <v>651</v>
      </c>
      <c r="G104" s="244">
        <v>0.1</v>
      </c>
      <c r="H104" s="160">
        <v>10</v>
      </c>
      <c r="I104" s="160"/>
      <c r="J104" s="245"/>
      <c r="K104" s="246">
        <v>3257.1</v>
      </c>
      <c r="L104" s="246">
        <v>1475</v>
      </c>
      <c r="M104" s="247"/>
      <c r="N104" s="195">
        <f t="shared" si="16"/>
        <v>4732.1000000000004</v>
      </c>
      <c r="O104" s="249">
        <v>13458</v>
      </c>
      <c r="P104" s="171">
        <v>1600</v>
      </c>
      <c r="Q104" s="171">
        <v>300</v>
      </c>
      <c r="R104" s="172">
        <v>3424</v>
      </c>
      <c r="S104" s="173">
        <v>6335</v>
      </c>
      <c r="T104" s="173"/>
      <c r="U104" s="174">
        <v>370</v>
      </c>
      <c r="V104" s="174">
        <v>370</v>
      </c>
      <c r="W104" s="175">
        <v>0</v>
      </c>
      <c r="X104" s="250">
        <v>4732.1000000000004</v>
      </c>
      <c r="Y104" s="250">
        <v>4732.1000000000004</v>
      </c>
      <c r="Z104" s="198">
        <v>4732.1000000000004</v>
      </c>
      <c r="AA104" s="250"/>
      <c r="AB104" s="198"/>
      <c r="AC104" s="198"/>
      <c r="AD104" s="198"/>
      <c r="AE104" s="198"/>
      <c r="AF104" s="198"/>
      <c r="AG104" s="175"/>
      <c r="AH104" s="175"/>
    </row>
    <row r="105" spans="1:34" s="151" customFormat="1">
      <c r="A105" s="199" t="s">
        <v>652</v>
      </c>
      <c r="B105" s="133" t="s">
        <v>553</v>
      </c>
      <c r="C105" s="199"/>
      <c r="D105" s="199"/>
      <c r="E105" s="133">
        <f t="shared" si="14"/>
        <v>15</v>
      </c>
      <c r="F105" s="136" t="s">
        <v>653</v>
      </c>
      <c r="G105" s="159">
        <v>0.15</v>
      </c>
      <c r="H105" s="160">
        <v>10</v>
      </c>
      <c r="I105" s="160"/>
      <c r="J105" s="161"/>
      <c r="K105" s="162">
        <v>3076.15</v>
      </c>
      <c r="L105" s="200"/>
      <c r="M105" s="135"/>
      <c r="N105" s="195">
        <f t="shared" si="16"/>
        <v>3076.15</v>
      </c>
      <c r="O105" s="196">
        <v>13454</v>
      </c>
      <c r="P105" s="171">
        <v>1600</v>
      </c>
      <c r="Q105" s="171">
        <v>300</v>
      </c>
      <c r="R105" s="172">
        <v>2925</v>
      </c>
      <c r="S105" s="173">
        <f>715+5620</f>
        <v>6335</v>
      </c>
      <c r="T105" s="173"/>
      <c r="U105" s="174">
        <v>370</v>
      </c>
      <c r="V105" s="174"/>
      <c r="W105" s="175">
        <v>0</v>
      </c>
      <c r="X105" s="201">
        <v>3076.15</v>
      </c>
      <c r="Y105" s="201">
        <v>3076.15</v>
      </c>
      <c r="Z105" s="198">
        <v>3076.15</v>
      </c>
      <c r="AA105" s="176"/>
      <c r="AB105" s="176"/>
      <c r="AC105" s="176"/>
      <c r="AD105" s="176"/>
      <c r="AE105" s="176"/>
      <c r="AF105" s="176"/>
      <c r="AG105" s="175"/>
      <c r="AH105" s="175"/>
    </row>
    <row r="106" spans="1:34" s="151" customFormat="1">
      <c r="A106" s="531" t="s">
        <v>216</v>
      </c>
      <c r="B106" s="133" t="s">
        <v>553</v>
      </c>
      <c r="C106" s="133" t="s">
        <v>420</v>
      </c>
      <c r="D106" s="133"/>
      <c r="E106" s="133">
        <f t="shared" si="14"/>
        <v>16</v>
      </c>
      <c r="F106" s="136"/>
      <c r="G106" s="159"/>
      <c r="H106" s="160">
        <v>10</v>
      </c>
      <c r="I106" s="160"/>
      <c r="J106" s="161"/>
      <c r="K106" s="162">
        <v>3619</v>
      </c>
      <c r="L106" s="200">
        <v>1800</v>
      </c>
      <c r="M106" s="135"/>
      <c r="N106" s="195">
        <f t="shared" si="16"/>
        <v>5419</v>
      </c>
      <c r="O106" s="196">
        <v>13447</v>
      </c>
      <c r="P106" s="171">
        <v>0</v>
      </c>
      <c r="Q106" s="171">
        <v>300</v>
      </c>
      <c r="R106" s="172">
        <v>2839</v>
      </c>
      <c r="S106" s="173">
        <v>6335</v>
      </c>
      <c r="T106" s="173"/>
      <c r="U106" s="174">
        <v>370</v>
      </c>
      <c r="V106" s="174">
        <v>370</v>
      </c>
      <c r="W106" s="175">
        <v>0</v>
      </c>
      <c r="X106" s="175">
        <f>3619+1800</f>
        <v>5419</v>
      </c>
      <c r="Y106" s="175">
        <v>5419</v>
      </c>
      <c r="Z106" s="176">
        <v>5419</v>
      </c>
      <c r="AA106" s="176">
        <v>5419</v>
      </c>
      <c r="AB106" s="176">
        <v>5419</v>
      </c>
      <c r="AC106" s="175"/>
      <c r="AD106" s="175"/>
      <c r="AE106" s="175"/>
      <c r="AF106" s="175"/>
      <c r="AG106" s="175"/>
      <c r="AH106" s="175"/>
    </row>
    <row r="107" spans="1:34" s="151" customFormat="1">
      <c r="A107" s="199" t="s">
        <v>217</v>
      </c>
      <c r="B107" s="133" t="s">
        <v>553</v>
      </c>
      <c r="C107" s="133"/>
      <c r="D107" s="133"/>
      <c r="E107" s="133">
        <f t="shared" si="14"/>
        <v>17</v>
      </c>
      <c r="F107" s="136" t="s">
        <v>654</v>
      </c>
      <c r="G107" s="159">
        <v>0.15</v>
      </c>
      <c r="H107" s="160">
        <v>11</v>
      </c>
      <c r="I107" s="160"/>
      <c r="J107" s="161">
        <v>2796.5</v>
      </c>
      <c r="K107" s="162"/>
      <c r="L107" s="153"/>
      <c r="M107" s="135"/>
      <c r="N107" s="252">
        <f t="shared" si="16"/>
        <v>2796.5</v>
      </c>
      <c r="O107" s="196">
        <v>13534</v>
      </c>
      <c r="P107" s="171">
        <v>0</v>
      </c>
      <c r="Q107" s="171">
        <v>300</v>
      </c>
      <c r="R107" s="172">
        <v>2737</v>
      </c>
      <c r="S107" s="173">
        <v>6335</v>
      </c>
      <c r="T107" s="173"/>
      <c r="U107" s="174">
        <v>370</v>
      </c>
      <c r="V107" s="174">
        <v>370</v>
      </c>
      <c r="W107" s="175">
        <v>2796.5</v>
      </c>
      <c r="X107" s="176">
        <v>2796.5</v>
      </c>
      <c r="Y107" s="176">
        <v>2796</v>
      </c>
      <c r="Z107" s="176">
        <v>2796</v>
      </c>
      <c r="AA107" s="175"/>
      <c r="AB107" s="175"/>
      <c r="AC107" s="175"/>
      <c r="AD107" s="175"/>
      <c r="AE107" s="175"/>
      <c r="AF107" s="175"/>
      <c r="AG107" s="175"/>
      <c r="AH107" s="175"/>
    </row>
    <row r="108" spans="1:34" s="151" customFormat="1">
      <c r="A108" s="531" t="s">
        <v>655</v>
      </c>
      <c r="B108" s="133" t="s">
        <v>553</v>
      </c>
      <c r="C108" s="133" t="s">
        <v>378</v>
      </c>
      <c r="D108" s="133"/>
      <c r="E108" s="133">
        <f t="shared" si="14"/>
        <v>18</v>
      </c>
      <c r="F108" s="136" t="s">
        <v>656</v>
      </c>
      <c r="G108" s="159">
        <v>0.2</v>
      </c>
      <c r="H108" s="160">
        <v>10</v>
      </c>
      <c r="I108" s="160"/>
      <c r="J108" s="161"/>
      <c r="K108" s="162">
        <v>2895.2</v>
      </c>
      <c r="L108" s="200">
        <v>375</v>
      </c>
      <c r="M108" s="135"/>
      <c r="N108" s="252">
        <f t="shared" si="16"/>
        <v>3270.2</v>
      </c>
      <c r="O108" s="196">
        <v>13510</v>
      </c>
      <c r="P108" s="171">
        <v>1600</v>
      </c>
      <c r="Q108" s="171">
        <v>300</v>
      </c>
      <c r="R108" s="172">
        <v>3167</v>
      </c>
      <c r="S108" s="173">
        <v>6335</v>
      </c>
      <c r="T108" s="173"/>
      <c r="U108" s="174"/>
      <c r="V108" s="174"/>
      <c r="W108" s="175">
        <v>0</v>
      </c>
      <c r="X108" s="176">
        <f>2895+375</f>
        <v>3270</v>
      </c>
      <c r="Y108" s="176"/>
      <c r="Z108" s="176"/>
      <c r="AA108" s="176"/>
      <c r="AB108" s="176"/>
      <c r="AC108" s="176"/>
      <c r="AD108" s="176"/>
      <c r="AE108" s="183"/>
      <c r="AF108" s="183"/>
      <c r="AG108" s="183"/>
      <c r="AH108" s="175"/>
    </row>
    <row r="111" spans="1:34" s="151" customFormat="1" ht="45">
      <c r="A111" s="133" t="s">
        <v>173</v>
      </c>
      <c r="B111" s="135"/>
      <c r="C111" s="135" t="s">
        <v>339</v>
      </c>
      <c r="D111" s="135"/>
      <c r="E111" s="134"/>
      <c r="F111" s="232"/>
      <c r="G111" s="244" t="s">
        <v>426</v>
      </c>
      <c r="H111" s="208" t="s">
        <v>427</v>
      </c>
      <c r="I111" s="234"/>
      <c r="J111" s="235" t="s">
        <v>429</v>
      </c>
      <c r="K111" s="236" t="s">
        <v>441</v>
      </c>
      <c r="L111" s="237"/>
      <c r="M111" s="238" t="s">
        <v>431</v>
      </c>
      <c r="N111" s="239" t="s">
        <v>432</v>
      </c>
      <c r="O111" s="144"/>
      <c r="P111" s="145"/>
      <c r="Q111" s="145"/>
      <c r="R111" s="240"/>
      <c r="S111" s="241"/>
      <c r="T111" s="241"/>
      <c r="U111" s="242"/>
      <c r="V111" s="242"/>
      <c r="W111" s="150" t="s">
        <v>437</v>
      </c>
      <c r="X111" s="150" t="s">
        <v>438</v>
      </c>
      <c r="Y111" s="150" t="s">
        <v>2</v>
      </c>
      <c r="Z111" s="150" t="s">
        <v>4</v>
      </c>
      <c r="AA111" s="150" t="s">
        <v>5</v>
      </c>
      <c r="AB111" s="150" t="s">
        <v>6</v>
      </c>
      <c r="AC111" s="150" t="s">
        <v>7</v>
      </c>
      <c r="AD111" s="150" t="s">
        <v>8</v>
      </c>
      <c r="AE111" s="150" t="s">
        <v>9</v>
      </c>
      <c r="AF111" s="150" t="s">
        <v>10</v>
      </c>
      <c r="AG111" s="150" t="s">
        <v>340</v>
      </c>
      <c r="AH111" s="150" t="s">
        <v>439</v>
      </c>
    </row>
    <row r="112" spans="1:34" s="151" customFormat="1">
      <c r="A112" s="253" t="s">
        <v>657</v>
      </c>
      <c r="B112" s="178" t="s">
        <v>516</v>
      </c>
      <c r="C112" s="254"/>
      <c r="D112" s="254"/>
      <c r="E112" s="134">
        <v>1</v>
      </c>
      <c r="F112" s="232" t="s">
        <v>658</v>
      </c>
      <c r="G112" s="244">
        <v>0.1</v>
      </c>
      <c r="H112" s="160">
        <v>11</v>
      </c>
      <c r="I112" s="255"/>
      <c r="J112" s="160">
        <v>2961</v>
      </c>
      <c r="K112" s="256"/>
      <c r="L112" s="256"/>
      <c r="M112" s="257"/>
      <c r="N112" s="195">
        <f t="shared" ref="N112:N132" si="17">+J112+K112+L112</f>
        <v>2961</v>
      </c>
      <c r="O112" s="196">
        <v>13619</v>
      </c>
      <c r="P112" s="197">
        <v>2400</v>
      </c>
      <c r="Q112" s="197">
        <v>300</v>
      </c>
      <c r="R112" s="172">
        <v>2913</v>
      </c>
      <c r="S112" s="173">
        <v>6335</v>
      </c>
      <c r="T112" s="173" t="s">
        <v>659</v>
      </c>
      <c r="U112" s="581">
        <v>370</v>
      </c>
      <c r="V112" s="174"/>
      <c r="W112" s="176">
        <v>2961</v>
      </c>
      <c r="X112" s="176">
        <v>2961</v>
      </c>
      <c r="Y112" s="176">
        <v>2961</v>
      </c>
      <c r="Z112" s="176">
        <v>2961</v>
      </c>
      <c r="AA112" s="176">
        <v>1156</v>
      </c>
      <c r="AB112" s="176"/>
      <c r="AC112" s="176"/>
      <c r="AD112" s="176"/>
      <c r="AE112" s="201"/>
      <c r="AF112" s="175"/>
      <c r="AG112" s="201"/>
      <c r="AH112" s="175">
        <v>0</v>
      </c>
    </row>
    <row r="113" spans="1:34" s="151" customFormat="1">
      <c r="A113" s="253" t="s">
        <v>222</v>
      </c>
      <c r="B113" s="178" t="s">
        <v>516</v>
      </c>
      <c r="C113" s="254" t="s">
        <v>660</v>
      </c>
      <c r="D113" s="254"/>
      <c r="E113" s="134">
        <f t="shared" ref="E113:E132" si="18">+E112+1</f>
        <v>2</v>
      </c>
      <c r="F113" s="232" t="s">
        <v>661</v>
      </c>
      <c r="G113" s="244">
        <v>0.1</v>
      </c>
      <c r="H113" s="160">
        <v>10</v>
      </c>
      <c r="I113" s="255"/>
      <c r="J113" s="160"/>
      <c r="K113" s="256">
        <v>3257.1</v>
      </c>
      <c r="L113" s="256"/>
      <c r="M113" s="257"/>
      <c r="N113" s="195">
        <f t="shared" si="17"/>
        <v>3257.1</v>
      </c>
      <c r="O113" s="196">
        <v>13381</v>
      </c>
      <c r="P113" s="197">
        <v>1600</v>
      </c>
      <c r="Q113" s="197">
        <v>300</v>
      </c>
      <c r="R113" s="172">
        <v>2674</v>
      </c>
      <c r="S113" s="173">
        <v>6335</v>
      </c>
      <c r="T113" s="173"/>
      <c r="U113" s="581">
        <v>370</v>
      </c>
      <c r="V113" s="174">
        <v>370</v>
      </c>
      <c r="W113" s="175">
        <v>0</v>
      </c>
      <c r="X113" s="175">
        <v>3257.1</v>
      </c>
      <c r="Y113" s="201">
        <v>3257.1</v>
      </c>
      <c r="Z113" s="176">
        <v>3257.1</v>
      </c>
      <c r="AA113" s="176">
        <v>3257.1</v>
      </c>
      <c r="AB113" s="201"/>
      <c r="AC113" s="175"/>
      <c r="AD113" s="175"/>
      <c r="AE113" s="175"/>
      <c r="AF113" s="175"/>
      <c r="AG113" s="175"/>
      <c r="AH113" s="175">
        <v>0</v>
      </c>
    </row>
    <row r="114" spans="1:34" s="151" customFormat="1">
      <c r="A114" s="539" t="s">
        <v>662</v>
      </c>
      <c r="B114" s="178" t="s">
        <v>516</v>
      </c>
      <c r="C114" s="254" t="s">
        <v>663</v>
      </c>
      <c r="D114" s="254"/>
      <c r="E114" s="134">
        <f t="shared" si="18"/>
        <v>3</v>
      </c>
      <c r="F114" s="232" t="s">
        <v>664</v>
      </c>
      <c r="G114" s="244"/>
      <c r="H114" s="160">
        <v>10</v>
      </c>
      <c r="I114" s="255"/>
      <c r="J114" s="160"/>
      <c r="K114" s="256">
        <v>3619</v>
      </c>
      <c r="L114" s="256">
        <v>2105</v>
      </c>
      <c r="M114" s="257"/>
      <c r="N114" s="195">
        <f t="shared" si="17"/>
        <v>5724</v>
      </c>
      <c r="O114" s="196">
        <v>13721</v>
      </c>
      <c r="P114" s="197">
        <v>2400</v>
      </c>
      <c r="Q114" s="197">
        <v>300</v>
      </c>
      <c r="R114" s="172">
        <v>3426</v>
      </c>
      <c r="S114" s="173">
        <v>6335</v>
      </c>
      <c r="T114" s="173"/>
      <c r="U114" s="581">
        <v>370</v>
      </c>
      <c r="V114" s="174">
        <v>370</v>
      </c>
      <c r="W114" s="175">
        <v>0</v>
      </c>
      <c r="X114" s="201">
        <v>5724</v>
      </c>
      <c r="Y114" s="198">
        <v>5724</v>
      </c>
      <c r="Z114" s="198">
        <v>5724</v>
      </c>
      <c r="AA114" s="198"/>
      <c r="AB114" s="198"/>
      <c r="AC114" s="198"/>
      <c r="AD114" s="198"/>
      <c r="AE114" s="198"/>
      <c r="AF114" s="198"/>
      <c r="AG114" s="175"/>
      <c r="AH114" s="175">
        <v>0</v>
      </c>
    </row>
    <row r="115" spans="1:34" s="151" customFormat="1">
      <c r="A115" s="539" t="s">
        <v>665</v>
      </c>
      <c r="B115" s="178" t="s">
        <v>516</v>
      </c>
      <c r="C115" s="254" t="s">
        <v>420</v>
      </c>
      <c r="D115" s="254"/>
      <c r="E115" s="134">
        <f t="shared" si="18"/>
        <v>4</v>
      </c>
      <c r="F115" s="232" t="s">
        <v>666</v>
      </c>
      <c r="G115" s="244"/>
      <c r="H115" s="160">
        <v>11</v>
      </c>
      <c r="I115" s="255"/>
      <c r="J115" s="160"/>
      <c r="K115" s="256">
        <v>3290</v>
      </c>
      <c r="L115" s="256">
        <v>1800</v>
      </c>
      <c r="M115" s="257"/>
      <c r="N115" s="195">
        <f t="shared" si="17"/>
        <v>5090</v>
      </c>
      <c r="O115" s="196">
        <v>13505</v>
      </c>
      <c r="P115" s="258">
        <v>0</v>
      </c>
      <c r="Q115" s="171">
        <v>300</v>
      </c>
      <c r="R115" s="259" t="s">
        <v>667</v>
      </c>
      <c r="S115" s="173">
        <f>4335+2000</f>
        <v>6335</v>
      </c>
      <c r="T115" s="260"/>
      <c r="U115" s="582">
        <v>370</v>
      </c>
      <c r="V115" s="174">
        <v>370</v>
      </c>
      <c r="W115" s="175">
        <v>3290</v>
      </c>
      <c r="X115" s="175">
        <f>1800+3290</f>
        <v>5090</v>
      </c>
      <c r="Y115" s="175">
        <f>1800+3290</f>
        <v>5090</v>
      </c>
      <c r="Z115" s="175">
        <f>3290+1800</f>
        <v>5090</v>
      </c>
      <c r="AA115" s="175">
        <v>3290</v>
      </c>
      <c r="AB115" s="175"/>
      <c r="AC115" s="175"/>
      <c r="AD115" s="175"/>
      <c r="AE115" s="175"/>
      <c r="AF115" s="175"/>
      <c r="AG115" s="175"/>
      <c r="AH115" s="175"/>
    </row>
    <row r="116" spans="1:34" s="151" customFormat="1">
      <c r="A116" s="253" t="s">
        <v>668</v>
      </c>
      <c r="B116" s="178" t="s">
        <v>516</v>
      </c>
      <c r="C116" s="254" t="s">
        <v>406</v>
      </c>
      <c r="D116" s="254"/>
      <c r="E116" s="134">
        <f t="shared" si="18"/>
        <v>5</v>
      </c>
      <c r="F116" s="232" t="s">
        <v>669</v>
      </c>
      <c r="G116" s="244">
        <v>0.1</v>
      </c>
      <c r="H116" s="160">
        <v>10</v>
      </c>
      <c r="I116" s="255"/>
      <c r="J116" s="160"/>
      <c r="K116" s="256">
        <v>3257.1</v>
      </c>
      <c r="L116" s="256"/>
      <c r="M116" s="257"/>
      <c r="N116" s="195">
        <f t="shared" si="17"/>
        <v>3257.1</v>
      </c>
      <c r="O116" s="196">
        <v>13323</v>
      </c>
      <c r="P116" s="171">
        <v>0</v>
      </c>
      <c r="Q116" s="171">
        <v>300</v>
      </c>
      <c r="R116" s="172">
        <v>3033</v>
      </c>
      <c r="S116" s="173">
        <v>6335</v>
      </c>
      <c r="T116" s="173"/>
      <c r="U116" s="581">
        <v>370</v>
      </c>
      <c r="V116" s="174">
        <v>370</v>
      </c>
      <c r="W116" s="175">
        <v>0</v>
      </c>
      <c r="X116" s="175">
        <f>2957.1+300</f>
        <v>3257.1</v>
      </c>
      <c r="Y116" s="176">
        <v>3257.1</v>
      </c>
      <c r="Z116" s="176">
        <v>3257.1</v>
      </c>
      <c r="AA116" s="175"/>
      <c r="AB116" s="175"/>
      <c r="AC116" s="175"/>
      <c r="AD116" s="175"/>
      <c r="AE116" s="175"/>
      <c r="AF116" s="175"/>
      <c r="AG116" s="175"/>
      <c r="AH116" s="175"/>
    </row>
    <row r="117" spans="1:34" s="151" customFormat="1">
      <c r="A117" s="253" t="s">
        <v>670</v>
      </c>
      <c r="B117" s="178" t="s">
        <v>516</v>
      </c>
      <c r="C117" s="254"/>
      <c r="D117" s="254"/>
      <c r="E117" s="134">
        <f t="shared" si="18"/>
        <v>6</v>
      </c>
      <c r="F117" s="232" t="s">
        <v>671</v>
      </c>
      <c r="G117" s="244"/>
      <c r="H117" s="160">
        <v>10</v>
      </c>
      <c r="I117" s="255"/>
      <c r="J117" s="161"/>
      <c r="K117" s="256">
        <v>3619</v>
      </c>
      <c r="L117" s="256"/>
      <c r="M117" s="257"/>
      <c r="N117" s="195">
        <f t="shared" si="17"/>
        <v>3619</v>
      </c>
      <c r="O117" s="196">
        <v>13231</v>
      </c>
      <c r="P117" s="197">
        <v>1600</v>
      </c>
      <c r="Q117" s="197">
        <v>300</v>
      </c>
      <c r="R117" s="172">
        <v>2885</v>
      </c>
      <c r="S117" s="173">
        <v>6335</v>
      </c>
      <c r="T117" s="173" t="s">
        <v>672</v>
      </c>
      <c r="U117" s="581">
        <v>370</v>
      </c>
      <c r="V117" s="174">
        <v>370</v>
      </c>
      <c r="W117" s="175">
        <v>0</v>
      </c>
      <c r="X117" s="175">
        <v>3619</v>
      </c>
      <c r="Y117" s="175">
        <v>3619</v>
      </c>
      <c r="Z117" s="175">
        <v>3619</v>
      </c>
      <c r="AA117" s="175"/>
      <c r="AB117" s="175"/>
      <c r="AC117" s="175"/>
      <c r="AD117" s="175"/>
      <c r="AE117" s="175"/>
      <c r="AF117" s="175"/>
      <c r="AG117" s="175"/>
      <c r="AH117" s="175">
        <v>0</v>
      </c>
    </row>
    <row r="118" spans="1:34" s="151" customFormat="1">
      <c r="A118" s="539" t="s">
        <v>229</v>
      </c>
      <c r="B118" s="178" t="s">
        <v>516</v>
      </c>
      <c r="C118" s="254" t="s">
        <v>673</v>
      </c>
      <c r="D118" s="254"/>
      <c r="E118" s="134">
        <f t="shared" si="18"/>
        <v>7</v>
      </c>
      <c r="F118" s="232" t="s">
        <v>674</v>
      </c>
      <c r="G118" s="244">
        <v>0.1</v>
      </c>
      <c r="H118" s="160">
        <v>10</v>
      </c>
      <c r="I118" s="255"/>
      <c r="J118" s="160"/>
      <c r="K118" s="256">
        <v>3257.1</v>
      </c>
      <c r="L118" s="256">
        <v>1475</v>
      </c>
      <c r="M118" s="257"/>
      <c r="N118" s="195">
        <f t="shared" si="17"/>
        <v>4732.1000000000004</v>
      </c>
      <c r="O118" s="196">
        <v>13422</v>
      </c>
      <c r="P118" s="258">
        <v>0</v>
      </c>
      <c r="Q118" s="171">
        <v>300</v>
      </c>
      <c r="R118" s="259">
        <v>2705</v>
      </c>
      <c r="S118" s="173">
        <v>6335</v>
      </c>
      <c r="T118" s="260"/>
      <c r="U118" s="581">
        <v>370</v>
      </c>
      <c r="V118" s="261"/>
      <c r="W118" s="175">
        <v>0</v>
      </c>
      <c r="X118" s="175">
        <f>3094.24+1400+75</f>
        <v>4569.24</v>
      </c>
      <c r="Y118" s="175">
        <f>3094.24+1475</f>
        <v>4569.24</v>
      </c>
      <c r="Z118" s="175">
        <f>3094.24+1475</f>
        <v>4569.24</v>
      </c>
      <c r="AA118" s="175">
        <v>3094.24</v>
      </c>
      <c r="AB118" s="175">
        <v>3094.24</v>
      </c>
      <c r="AC118" s="175"/>
      <c r="AD118" s="175"/>
      <c r="AE118" s="175"/>
      <c r="AF118" s="175"/>
      <c r="AG118" s="175"/>
      <c r="AH118" s="175"/>
    </row>
    <row r="119" spans="1:34" s="151" customFormat="1">
      <c r="A119" s="539" t="s">
        <v>675</v>
      </c>
      <c r="B119" s="178" t="s">
        <v>516</v>
      </c>
      <c r="C119" s="254" t="s">
        <v>676</v>
      </c>
      <c r="D119" s="254"/>
      <c r="E119" s="134">
        <f t="shared" si="18"/>
        <v>8</v>
      </c>
      <c r="F119" s="232" t="s">
        <v>677</v>
      </c>
      <c r="G119" s="244">
        <v>0.15</v>
      </c>
      <c r="H119" s="160">
        <v>10</v>
      </c>
      <c r="I119" s="255"/>
      <c r="J119" s="160"/>
      <c r="K119" s="256">
        <v>3076.15</v>
      </c>
      <c r="L119" s="256">
        <v>1805</v>
      </c>
      <c r="M119" s="257"/>
      <c r="N119" s="195">
        <f t="shared" si="17"/>
        <v>4881.1499999999996</v>
      </c>
      <c r="O119" s="196">
        <v>13306</v>
      </c>
      <c r="P119" s="197">
        <v>1600</v>
      </c>
      <c r="Q119" s="197">
        <v>300</v>
      </c>
      <c r="R119" s="172">
        <v>3077</v>
      </c>
      <c r="S119" s="173">
        <v>6335</v>
      </c>
      <c r="T119" s="173"/>
      <c r="U119" s="581">
        <f>190+180</f>
        <v>370</v>
      </c>
      <c r="V119" s="174">
        <v>370</v>
      </c>
      <c r="W119" s="175">
        <v>0</v>
      </c>
      <c r="X119" s="176">
        <v>4881.1499999999996</v>
      </c>
      <c r="Y119" s="176">
        <v>4881.1499999999996</v>
      </c>
      <c r="Z119" s="176">
        <v>4881.1499999999996</v>
      </c>
      <c r="AA119" s="176"/>
      <c r="AB119" s="176"/>
      <c r="AC119" s="176"/>
      <c r="AD119" s="176"/>
      <c r="AE119" s="176"/>
      <c r="AF119" s="176"/>
      <c r="AG119" s="176"/>
      <c r="AH119" s="175">
        <v>0</v>
      </c>
    </row>
    <row r="120" spans="1:34" s="151" customFormat="1">
      <c r="A120" s="253" t="s">
        <v>223</v>
      </c>
      <c r="B120" s="178" t="s">
        <v>516</v>
      </c>
      <c r="C120" s="254"/>
      <c r="D120" s="254"/>
      <c r="E120" s="134">
        <f t="shared" si="18"/>
        <v>9</v>
      </c>
      <c r="F120" s="232" t="s">
        <v>678</v>
      </c>
      <c r="G120" s="244"/>
      <c r="H120" s="160">
        <v>10</v>
      </c>
      <c r="I120" s="255"/>
      <c r="J120" s="160"/>
      <c r="K120" s="256">
        <v>3619</v>
      </c>
      <c r="L120" s="256"/>
      <c r="M120" s="257"/>
      <c r="N120" s="195">
        <f t="shared" si="17"/>
        <v>3619</v>
      </c>
      <c r="O120" s="196">
        <v>13636</v>
      </c>
      <c r="P120" s="197">
        <v>2400</v>
      </c>
      <c r="Q120" s="197">
        <v>300</v>
      </c>
      <c r="R120" s="172">
        <v>2688</v>
      </c>
      <c r="S120" s="173">
        <f>2000+500+1400</f>
        <v>3900</v>
      </c>
      <c r="T120" s="173" t="s">
        <v>679</v>
      </c>
      <c r="U120" s="581">
        <v>370</v>
      </c>
      <c r="V120" s="174"/>
      <c r="W120" s="175">
        <v>0</v>
      </c>
      <c r="X120" s="175">
        <v>3619</v>
      </c>
      <c r="Y120" s="175"/>
      <c r="Z120" s="175"/>
      <c r="AA120" s="175"/>
      <c r="AB120" s="175"/>
      <c r="AC120" s="175"/>
      <c r="AD120" s="175"/>
      <c r="AE120" s="175"/>
      <c r="AF120" s="175"/>
      <c r="AG120" s="175"/>
      <c r="AH120" s="175">
        <v>0</v>
      </c>
    </row>
    <row r="121" spans="1:34" s="151" customFormat="1">
      <c r="A121" s="539" t="s">
        <v>225</v>
      </c>
      <c r="B121" s="178" t="s">
        <v>516</v>
      </c>
      <c r="C121" s="254" t="s">
        <v>543</v>
      </c>
      <c r="D121" s="254"/>
      <c r="E121" s="134">
        <f t="shared" si="18"/>
        <v>10</v>
      </c>
      <c r="F121" s="232" t="s">
        <v>680</v>
      </c>
      <c r="G121" s="244">
        <v>0.15</v>
      </c>
      <c r="H121" s="160">
        <v>11</v>
      </c>
      <c r="I121" s="255"/>
      <c r="J121" s="160">
        <v>3076.15</v>
      </c>
      <c r="K121" s="256"/>
      <c r="L121" s="256">
        <v>2115</v>
      </c>
      <c r="M121" s="257"/>
      <c r="N121" s="195">
        <f t="shared" si="17"/>
        <v>5191.1499999999996</v>
      </c>
      <c r="O121" s="196">
        <v>13378</v>
      </c>
      <c r="P121" s="197">
        <v>1600</v>
      </c>
      <c r="Q121" s="197">
        <v>300</v>
      </c>
      <c r="R121" s="172">
        <v>2801</v>
      </c>
      <c r="S121" s="173">
        <v>6335</v>
      </c>
      <c r="T121" s="173"/>
      <c r="U121" s="581">
        <v>370</v>
      </c>
      <c r="V121" s="174">
        <v>370</v>
      </c>
      <c r="W121" s="175">
        <v>3076.15</v>
      </c>
      <c r="X121" s="175">
        <v>5191.1499999999996</v>
      </c>
      <c r="Y121" s="175">
        <v>5191.1499999999996</v>
      </c>
      <c r="Z121" s="175">
        <v>5191.1499999999996</v>
      </c>
      <c r="AA121" s="175"/>
      <c r="AB121" s="175"/>
      <c r="AC121" s="175"/>
      <c r="AD121" s="175"/>
      <c r="AE121" s="175"/>
      <c r="AF121" s="175"/>
      <c r="AG121" s="175"/>
      <c r="AH121" s="175">
        <v>0</v>
      </c>
    </row>
    <row r="122" spans="1:34" s="151" customFormat="1">
      <c r="A122" s="253" t="s">
        <v>681</v>
      </c>
      <c r="B122" s="178" t="s">
        <v>516</v>
      </c>
      <c r="C122" s="254"/>
      <c r="D122" s="254"/>
      <c r="E122" s="134">
        <f t="shared" si="18"/>
        <v>11</v>
      </c>
      <c r="F122" s="232" t="s">
        <v>682</v>
      </c>
      <c r="G122" s="244">
        <v>0.1</v>
      </c>
      <c r="H122" s="160">
        <v>10</v>
      </c>
      <c r="I122" s="255"/>
      <c r="J122" s="160"/>
      <c r="K122" s="256">
        <v>3257.1</v>
      </c>
      <c r="L122" s="256"/>
      <c r="M122" s="257"/>
      <c r="N122" s="195">
        <f t="shared" si="17"/>
        <v>3257.1</v>
      </c>
      <c r="O122" s="196">
        <v>13226</v>
      </c>
      <c r="P122" s="197">
        <v>1600</v>
      </c>
      <c r="Q122" s="197">
        <v>300</v>
      </c>
      <c r="R122" s="172">
        <v>3048</v>
      </c>
      <c r="S122" s="173">
        <v>6335</v>
      </c>
      <c r="T122" s="173" t="s">
        <v>683</v>
      </c>
      <c r="U122" s="581">
        <v>370</v>
      </c>
      <c r="V122" s="174">
        <v>370</v>
      </c>
      <c r="W122" s="175">
        <v>0</v>
      </c>
      <c r="X122" s="175">
        <v>3257.1</v>
      </c>
      <c r="Y122" s="175">
        <v>3257.1</v>
      </c>
      <c r="Z122" s="175">
        <v>3257.1</v>
      </c>
      <c r="AA122" s="175"/>
      <c r="AB122" s="175"/>
      <c r="AC122" s="175"/>
      <c r="AD122" s="175"/>
      <c r="AE122" s="175"/>
      <c r="AF122" s="175"/>
      <c r="AG122" s="175"/>
      <c r="AH122" s="175">
        <v>0</v>
      </c>
    </row>
    <row r="123" spans="1:34" s="151" customFormat="1">
      <c r="A123" s="539" t="s">
        <v>684</v>
      </c>
      <c r="B123" s="178" t="s">
        <v>516</v>
      </c>
      <c r="C123" s="254" t="s">
        <v>392</v>
      </c>
      <c r="D123" s="254"/>
      <c r="E123" s="134">
        <f t="shared" si="18"/>
        <v>12</v>
      </c>
      <c r="F123" s="232" t="s">
        <v>685</v>
      </c>
      <c r="G123" s="244"/>
      <c r="H123" s="160">
        <v>11</v>
      </c>
      <c r="I123" s="255"/>
      <c r="J123" s="160"/>
      <c r="K123" s="256">
        <v>3290</v>
      </c>
      <c r="L123" s="256">
        <v>2105</v>
      </c>
      <c r="M123" s="257"/>
      <c r="N123" s="195">
        <f t="shared" si="17"/>
        <v>5395</v>
      </c>
      <c r="O123" s="196">
        <v>13443</v>
      </c>
      <c r="P123" s="258">
        <v>0</v>
      </c>
      <c r="Q123" s="171">
        <v>300</v>
      </c>
      <c r="R123" s="259">
        <v>2912</v>
      </c>
      <c r="S123" s="173">
        <v>6335</v>
      </c>
      <c r="T123" s="260"/>
      <c r="U123" s="582">
        <v>370</v>
      </c>
      <c r="V123" s="174">
        <v>370</v>
      </c>
      <c r="W123" s="175">
        <v>3290</v>
      </c>
      <c r="X123" s="175">
        <f>3290+1055</f>
        <v>4345</v>
      </c>
      <c r="Y123" s="176">
        <f>3290+2110</f>
        <v>5400</v>
      </c>
      <c r="Z123" s="176">
        <f>3290+2100</f>
        <v>5390</v>
      </c>
      <c r="AA123" s="175"/>
      <c r="AB123" s="175"/>
      <c r="AC123" s="175"/>
      <c r="AD123" s="175"/>
      <c r="AE123" s="175"/>
      <c r="AF123" s="175"/>
      <c r="AG123" s="175"/>
      <c r="AH123" s="175"/>
    </row>
    <row r="124" spans="1:34" s="151" customFormat="1">
      <c r="A124" s="539" t="s">
        <v>686</v>
      </c>
      <c r="B124" s="178" t="s">
        <v>516</v>
      </c>
      <c r="C124" s="254" t="s">
        <v>410</v>
      </c>
      <c r="D124" s="254"/>
      <c r="E124" s="134">
        <f t="shared" si="18"/>
        <v>13</v>
      </c>
      <c r="F124" s="232" t="s">
        <v>687</v>
      </c>
      <c r="G124" s="244"/>
      <c r="H124" s="160">
        <v>10</v>
      </c>
      <c r="I124" s="255"/>
      <c r="J124" s="160"/>
      <c r="K124" s="256">
        <v>3619</v>
      </c>
      <c r="L124" s="256">
        <v>2105</v>
      </c>
      <c r="M124" s="257"/>
      <c r="N124" s="195">
        <f t="shared" si="17"/>
        <v>5724</v>
      </c>
      <c r="O124" s="196">
        <v>13501</v>
      </c>
      <c r="P124" s="197">
        <v>1600</v>
      </c>
      <c r="Q124" s="197">
        <v>300</v>
      </c>
      <c r="R124" s="172">
        <v>3049</v>
      </c>
      <c r="S124" s="173">
        <v>6335</v>
      </c>
      <c r="T124" s="173"/>
      <c r="U124" s="581"/>
      <c r="V124" s="174"/>
      <c r="W124" s="175">
        <v>0</v>
      </c>
      <c r="X124" s="176">
        <f>5600+124</f>
        <v>5724</v>
      </c>
      <c r="Y124" s="176">
        <v>5676</v>
      </c>
      <c r="Z124" s="201" t="s">
        <v>688</v>
      </c>
      <c r="AA124" s="176"/>
      <c r="AB124" s="176"/>
      <c r="AC124" s="176"/>
      <c r="AD124" s="176"/>
      <c r="AE124" s="176"/>
      <c r="AF124" s="175"/>
      <c r="AG124" s="175"/>
      <c r="AH124" s="175"/>
    </row>
    <row r="125" spans="1:34" s="151" customFormat="1">
      <c r="A125" s="253" t="s">
        <v>227</v>
      </c>
      <c r="B125" s="178" t="s">
        <v>516</v>
      </c>
      <c r="C125" s="254"/>
      <c r="D125" s="254"/>
      <c r="E125" s="134">
        <f t="shared" si="18"/>
        <v>14</v>
      </c>
      <c r="F125" s="232" t="s">
        <v>689</v>
      </c>
      <c r="G125" s="244"/>
      <c r="H125" s="160">
        <v>10</v>
      </c>
      <c r="I125" s="255"/>
      <c r="J125" s="160"/>
      <c r="K125" s="256">
        <v>3619</v>
      </c>
      <c r="L125" s="256"/>
      <c r="M125" s="257"/>
      <c r="N125" s="195">
        <f t="shared" si="17"/>
        <v>3619</v>
      </c>
      <c r="O125" s="196">
        <v>13258</v>
      </c>
      <c r="P125" s="197">
        <v>1600</v>
      </c>
      <c r="Q125" s="197">
        <v>300</v>
      </c>
      <c r="R125" s="172">
        <v>2834</v>
      </c>
      <c r="S125" s="173">
        <v>4435</v>
      </c>
      <c r="T125" s="173"/>
      <c r="U125" s="581">
        <v>370</v>
      </c>
      <c r="V125" s="174">
        <v>370</v>
      </c>
      <c r="W125" s="175">
        <v>0</v>
      </c>
      <c r="X125" s="175">
        <v>3619</v>
      </c>
      <c r="Y125" s="175">
        <v>3619</v>
      </c>
      <c r="Z125" s="175">
        <v>3619</v>
      </c>
      <c r="AA125" s="198"/>
      <c r="AB125" s="175"/>
      <c r="AC125" s="175"/>
      <c r="AD125" s="175"/>
      <c r="AE125" s="175"/>
      <c r="AF125" s="175"/>
      <c r="AG125" s="175"/>
      <c r="AH125" s="175"/>
    </row>
    <row r="126" spans="1:34" s="151" customFormat="1">
      <c r="A126" s="535" t="s">
        <v>690</v>
      </c>
      <c r="B126" s="178" t="s">
        <v>516</v>
      </c>
      <c r="C126" s="254" t="s">
        <v>691</v>
      </c>
      <c r="D126" s="254"/>
      <c r="E126" s="134">
        <f t="shared" si="18"/>
        <v>15</v>
      </c>
      <c r="F126" s="232" t="s">
        <v>692</v>
      </c>
      <c r="G126" s="244">
        <v>0.1</v>
      </c>
      <c r="H126" s="160">
        <v>10</v>
      </c>
      <c r="I126" s="255"/>
      <c r="J126" s="160"/>
      <c r="K126" s="256">
        <v>3257.1</v>
      </c>
      <c r="L126" s="256">
        <v>2105</v>
      </c>
      <c r="M126" s="257"/>
      <c r="N126" s="195">
        <f t="shared" si="17"/>
        <v>5362.1</v>
      </c>
      <c r="O126" s="196">
        <v>13608</v>
      </c>
      <c r="P126" s="197">
        <v>2400</v>
      </c>
      <c r="Q126" s="197">
        <v>300</v>
      </c>
      <c r="R126" s="172" t="s">
        <v>693</v>
      </c>
      <c r="S126" s="173">
        <v>6335</v>
      </c>
      <c r="T126" s="173"/>
      <c r="U126" s="581">
        <v>370</v>
      </c>
      <c r="V126" s="174">
        <v>370</v>
      </c>
      <c r="W126" s="175">
        <v>0</v>
      </c>
      <c r="X126" s="176">
        <v>5362.1</v>
      </c>
      <c r="Y126" s="176">
        <v>5362.1</v>
      </c>
      <c r="Z126" s="176">
        <v>5362.1</v>
      </c>
      <c r="AA126" s="176"/>
      <c r="AB126" s="183"/>
      <c r="AC126" s="176"/>
      <c r="AD126" s="176"/>
      <c r="AE126" s="176"/>
      <c r="AF126" s="176"/>
      <c r="AG126" s="183"/>
      <c r="AH126" s="157">
        <v>0</v>
      </c>
    </row>
    <row r="127" spans="1:34" s="151" customFormat="1">
      <c r="A127" s="254" t="s">
        <v>694</v>
      </c>
      <c r="B127" s="178" t="s">
        <v>516</v>
      </c>
      <c r="C127" s="263"/>
      <c r="D127" s="263"/>
      <c r="E127" s="134">
        <f t="shared" si="18"/>
        <v>16</v>
      </c>
      <c r="F127" s="232" t="s">
        <v>695</v>
      </c>
      <c r="G127" s="244"/>
      <c r="H127" s="160">
        <v>10</v>
      </c>
      <c r="I127" s="255"/>
      <c r="J127" s="160"/>
      <c r="K127" s="256">
        <v>3619</v>
      </c>
      <c r="L127" s="256"/>
      <c r="M127" s="257"/>
      <c r="N127" s="195">
        <f t="shared" si="17"/>
        <v>3619</v>
      </c>
      <c r="O127" s="196">
        <v>13319</v>
      </c>
      <c r="P127" s="171">
        <v>0</v>
      </c>
      <c r="Q127" s="171">
        <v>300</v>
      </c>
      <c r="R127" s="172" t="s">
        <v>696</v>
      </c>
      <c r="S127" s="173">
        <f>6000+335</f>
        <v>6335</v>
      </c>
      <c r="T127" s="173"/>
      <c r="U127" s="581">
        <v>370</v>
      </c>
      <c r="V127" s="174">
        <v>370</v>
      </c>
      <c r="W127" s="175">
        <v>0</v>
      </c>
      <c r="X127" s="175">
        <v>3619</v>
      </c>
      <c r="Y127" s="175">
        <v>3619</v>
      </c>
      <c r="Z127" s="176">
        <v>3800</v>
      </c>
      <c r="AA127" s="175"/>
      <c r="AB127" s="175"/>
      <c r="AC127" s="175"/>
      <c r="AD127" s="175"/>
      <c r="AE127" s="175"/>
      <c r="AF127" s="175"/>
      <c r="AG127" s="175"/>
      <c r="AH127" s="175"/>
    </row>
    <row r="128" spans="1:34" s="151" customFormat="1">
      <c r="A128" s="537" t="s">
        <v>697</v>
      </c>
      <c r="B128" s="178" t="s">
        <v>516</v>
      </c>
      <c r="C128" s="263"/>
      <c r="D128" s="263"/>
      <c r="E128" s="134">
        <f t="shared" si="18"/>
        <v>17</v>
      </c>
      <c r="F128" s="232" t="s">
        <v>698</v>
      </c>
      <c r="G128" s="244">
        <v>0.1</v>
      </c>
      <c r="H128" s="160">
        <v>10</v>
      </c>
      <c r="I128" s="255"/>
      <c r="J128" s="160"/>
      <c r="K128" s="256">
        <v>3257.1</v>
      </c>
      <c r="L128" s="256">
        <v>2025</v>
      </c>
      <c r="M128" s="257"/>
      <c r="N128" s="195">
        <f t="shared" si="17"/>
        <v>5282.1</v>
      </c>
      <c r="O128" s="196">
        <v>13819</v>
      </c>
      <c r="P128" s="197">
        <v>2400</v>
      </c>
      <c r="Q128" s="197">
        <v>300</v>
      </c>
      <c r="R128" s="172">
        <v>3455</v>
      </c>
      <c r="S128" s="173">
        <v>6335</v>
      </c>
      <c r="T128" s="173"/>
      <c r="U128" s="581"/>
      <c r="V128" s="174"/>
      <c r="W128" s="175"/>
      <c r="X128" s="176"/>
      <c r="Y128" s="176"/>
      <c r="Z128" s="176"/>
      <c r="AA128" s="176"/>
      <c r="AB128" s="176"/>
      <c r="AC128" s="176"/>
      <c r="AD128" s="176"/>
      <c r="AE128" s="176"/>
      <c r="AF128" s="176"/>
      <c r="AG128" s="176"/>
      <c r="AH128" s="175">
        <v>0</v>
      </c>
    </row>
    <row r="129" spans="1:34" s="151" customFormat="1">
      <c r="A129" s="537" t="s">
        <v>699</v>
      </c>
      <c r="B129" s="178" t="s">
        <v>516</v>
      </c>
      <c r="C129" s="263" t="s">
        <v>385</v>
      </c>
      <c r="D129" s="263"/>
      <c r="E129" s="134">
        <f t="shared" si="18"/>
        <v>18</v>
      </c>
      <c r="F129" s="232" t="s">
        <v>700</v>
      </c>
      <c r="G129" s="244">
        <v>0.1</v>
      </c>
      <c r="H129" s="160">
        <v>11</v>
      </c>
      <c r="I129" s="255"/>
      <c r="J129" s="161">
        <v>2961</v>
      </c>
      <c r="K129" s="256"/>
      <c r="L129" s="256">
        <v>2105</v>
      </c>
      <c r="M129" s="257"/>
      <c r="N129" s="195">
        <f t="shared" si="17"/>
        <v>5066</v>
      </c>
      <c r="O129" s="196">
        <v>13168</v>
      </c>
      <c r="P129" s="197">
        <v>1300</v>
      </c>
      <c r="Q129" s="197">
        <v>300</v>
      </c>
      <c r="R129" s="172" t="s">
        <v>693</v>
      </c>
      <c r="S129" s="173">
        <v>6335</v>
      </c>
      <c r="T129" s="173"/>
      <c r="U129" s="581">
        <v>370</v>
      </c>
      <c r="V129" s="174">
        <v>370</v>
      </c>
      <c r="W129" s="175">
        <v>3290</v>
      </c>
      <c r="X129" s="201">
        <v>5395</v>
      </c>
      <c r="Y129" s="201">
        <v>5395</v>
      </c>
      <c r="Z129" s="176">
        <v>5395</v>
      </c>
      <c r="AA129" s="176"/>
      <c r="AB129" s="175"/>
      <c r="AC129" s="175"/>
      <c r="AD129" s="176"/>
      <c r="AE129" s="175"/>
      <c r="AF129" s="175"/>
      <c r="AG129" s="157"/>
      <c r="AH129" s="157">
        <v>0</v>
      </c>
    </row>
    <row r="130" spans="1:34" s="151" customFormat="1">
      <c r="A130" s="537" t="s">
        <v>701</v>
      </c>
      <c r="B130" s="178" t="s">
        <v>516</v>
      </c>
      <c r="C130" s="263" t="s">
        <v>702</v>
      </c>
      <c r="D130" s="263"/>
      <c r="E130" s="134">
        <f t="shared" si="18"/>
        <v>19</v>
      </c>
      <c r="F130" s="232" t="s">
        <v>703</v>
      </c>
      <c r="G130" s="244">
        <v>0.1</v>
      </c>
      <c r="H130" s="160">
        <v>10</v>
      </c>
      <c r="I130" s="255"/>
      <c r="J130" s="160"/>
      <c r="K130" s="256">
        <v>3257.1</v>
      </c>
      <c r="L130" s="256">
        <v>2105</v>
      </c>
      <c r="M130" s="257"/>
      <c r="N130" s="195">
        <f t="shared" si="17"/>
        <v>5362.1</v>
      </c>
      <c r="O130" s="196">
        <v>13271</v>
      </c>
      <c r="P130" s="197">
        <v>1600</v>
      </c>
      <c r="Q130" s="197">
        <v>300</v>
      </c>
      <c r="R130" s="172">
        <v>3160</v>
      </c>
      <c r="S130" s="173">
        <v>6335</v>
      </c>
      <c r="T130" s="173"/>
      <c r="U130" s="174">
        <v>370</v>
      </c>
      <c r="V130" s="174">
        <v>370</v>
      </c>
      <c r="W130" s="175">
        <v>0</v>
      </c>
      <c r="X130" s="175">
        <v>5362.1</v>
      </c>
      <c r="Y130" s="175">
        <v>5630.2</v>
      </c>
      <c r="Z130" s="175">
        <v>5362.1</v>
      </c>
      <c r="AA130" s="175"/>
      <c r="AB130" s="175"/>
      <c r="AC130" s="175"/>
      <c r="AD130" s="175"/>
      <c r="AE130" s="175"/>
      <c r="AF130" s="175"/>
      <c r="AG130" s="175"/>
      <c r="AH130" s="175">
        <v>0</v>
      </c>
    </row>
    <row r="131" spans="1:34" s="151" customFormat="1">
      <c r="A131" s="254" t="s">
        <v>704</v>
      </c>
      <c r="B131" s="178" t="s">
        <v>516</v>
      </c>
      <c r="C131" s="263"/>
      <c r="D131" s="263"/>
      <c r="E131" s="134">
        <f t="shared" si="18"/>
        <v>20</v>
      </c>
      <c r="F131" s="232" t="s">
        <v>705</v>
      </c>
      <c r="G131" s="244"/>
      <c r="H131" s="160">
        <v>10</v>
      </c>
      <c r="I131" s="255"/>
      <c r="J131" s="160"/>
      <c r="K131" s="256">
        <v>3619</v>
      </c>
      <c r="L131" s="256"/>
      <c r="M131" s="257"/>
      <c r="N131" s="195">
        <f t="shared" si="17"/>
        <v>3619</v>
      </c>
      <c r="O131" s="196">
        <v>13712</v>
      </c>
      <c r="P131" s="197">
        <v>2400</v>
      </c>
      <c r="Q131" s="197">
        <v>300</v>
      </c>
      <c r="R131" s="172">
        <v>3217</v>
      </c>
      <c r="S131" s="173">
        <v>6335</v>
      </c>
      <c r="T131" s="173"/>
      <c r="U131" s="174">
        <v>370</v>
      </c>
      <c r="V131" s="174"/>
      <c r="W131" s="175">
        <v>0</v>
      </c>
      <c r="X131" s="175">
        <v>3799.95</v>
      </c>
      <c r="Y131" s="175"/>
      <c r="Z131" s="175"/>
      <c r="AA131" s="175"/>
      <c r="AB131" s="175"/>
      <c r="AC131" s="175"/>
      <c r="AD131" s="175"/>
      <c r="AE131" s="175"/>
      <c r="AF131" s="175"/>
      <c r="AG131" s="175"/>
      <c r="AH131" s="175">
        <v>0</v>
      </c>
    </row>
    <row r="132" spans="1:34" s="151" customFormat="1">
      <c r="A132" s="254" t="s">
        <v>706</v>
      </c>
      <c r="B132" s="178" t="s">
        <v>516</v>
      </c>
      <c r="C132" s="263"/>
      <c r="D132" s="263"/>
      <c r="E132" s="134">
        <f t="shared" si="18"/>
        <v>21</v>
      </c>
      <c r="F132" s="232" t="s">
        <v>707</v>
      </c>
      <c r="G132" s="244">
        <v>0.2</v>
      </c>
      <c r="H132" s="160">
        <v>10</v>
      </c>
      <c r="I132" s="255"/>
      <c r="J132" s="160"/>
      <c r="K132" s="256">
        <v>2895.2</v>
      </c>
      <c r="L132" s="256"/>
      <c r="M132" s="257"/>
      <c r="N132" s="195">
        <f t="shared" si="17"/>
        <v>2895.2</v>
      </c>
      <c r="O132" s="196">
        <v>13374</v>
      </c>
      <c r="P132" s="197">
        <v>1600</v>
      </c>
      <c r="Q132" s="197">
        <v>300</v>
      </c>
      <c r="R132" s="172">
        <v>2935</v>
      </c>
      <c r="S132" s="173">
        <v>6335</v>
      </c>
      <c r="T132" s="173"/>
      <c r="U132" s="174">
        <v>370</v>
      </c>
      <c r="V132" s="174">
        <v>370</v>
      </c>
      <c r="W132" s="175">
        <v>0</v>
      </c>
      <c r="X132" s="198">
        <v>2895.2</v>
      </c>
      <c r="Y132" s="198">
        <v>2895.2</v>
      </c>
      <c r="Z132" s="198">
        <v>2895.2</v>
      </c>
      <c r="AA132" s="198"/>
      <c r="AB132" s="198"/>
      <c r="AC132" s="198"/>
      <c r="AD132" s="198"/>
      <c r="AE132" s="198"/>
      <c r="AF132" s="198"/>
      <c r="AG132" s="175"/>
      <c r="AH132" s="175">
        <v>0</v>
      </c>
    </row>
    <row r="133" spans="1:34" s="151" customFormat="1">
      <c r="A133" s="254"/>
      <c r="B133" s="282"/>
      <c r="C133" s="263"/>
      <c r="D133" s="263"/>
      <c r="E133" s="263"/>
      <c r="F133" s="232"/>
      <c r="G133" s="244"/>
      <c r="H133" s="160"/>
      <c r="I133" s="255"/>
      <c r="J133" s="160"/>
      <c r="K133" s="256"/>
      <c r="L133" s="256"/>
      <c r="M133" s="257"/>
      <c r="N133" s="195"/>
      <c r="O133" s="196"/>
      <c r="P133" s="258"/>
      <c r="Q133" s="171"/>
      <c r="R133" s="259"/>
      <c r="S133" s="173"/>
      <c r="T133" s="260"/>
      <c r="U133" s="261"/>
      <c r="V133" s="261"/>
      <c r="W133" s="175"/>
      <c r="X133" s="175"/>
      <c r="Y133" s="175"/>
      <c r="Z133" s="175"/>
      <c r="AA133" s="175"/>
      <c r="AB133" s="175"/>
      <c r="AC133" s="175"/>
      <c r="AD133" s="175"/>
      <c r="AE133" s="175"/>
      <c r="AF133" s="175"/>
      <c r="AG133" s="175"/>
      <c r="AH133" s="175"/>
    </row>
    <row r="134" spans="1:34" s="151" customFormat="1">
      <c r="A134" s="254"/>
      <c r="B134" s="282"/>
      <c r="C134" s="263"/>
      <c r="D134" s="263"/>
      <c r="E134" s="263"/>
      <c r="F134" s="232"/>
      <c r="G134" s="244"/>
      <c r="H134" s="160"/>
      <c r="I134" s="255"/>
      <c r="J134" s="160"/>
      <c r="K134" s="256"/>
      <c r="L134" s="256"/>
      <c r="M134" s="257"/>
      <c r="N134" s="195"/>
      <c r="O134" s="196"/>
      <c r="P134" s="258"/>
      <c r="Q134" s="171"/>
      <c r="R134" s="259"/>
      <c r="S134" s="173"/>
      <c r="T134" s="260"/>
      <c r="U134" s="261"/>
      <c r="V134" s="261"/>
      <c r="W134" s="175"/>
      <c r="X134" s="175"/>
      <c r="Y134" s="175"/>
      <c r="Z134" s="175"/>
      <c r="AA134" s="175"/>
      <c r="AB134" s="175"/>
      <c r="AC134" s="175"/>
      <c r="AD134" s="175"/>
      <c r="AE134" s="175"/>
      <c r="AF134" s="175"/>
      <c r="AG134" s="175"/>
      <c r="AH134" s="175"/>
    </row>
    <row r="135" spans="1:34" s="151" customFormat="1">
      <c r="A135" s="254"/>
      <c r="B135" s="282"/>
      <c r="C135" s="263"/>
      <c r="D135" s="263"/>
      <c r="E135" s="263"/>
      <c r="F135" s="232"/>
      <c r="G135" s="244"/>
      <c r="H135" s="160"/>
      <c r="I135" s="255"/>
      <c r="J135" s="160"/>
      <c r="K135" s="256"/>
      <c r="L135" s="256"/>
      <c r="M135" s="257"/>
      <c r="N135" s="195"/>
      <c r="O135" s="196"/>
      <c r="P135" s="258"/>
      <c r="Q135" s="171"/>
      <c r="R135" s="259"/>
      <c r="S135" s="173"/>
      <c r="T135" s="260"/>
      <c r="U135" s="261"/>
      <c r="V135" s="261"/>
      <c r="W135" s="175"/>
      <c r="X135" s="175"/>
      <c r="Y135" s="175"/>
      <c r="Z135" s="175"/>
      <c r="AA135" s="175"/>
      <c r="AB135" s="175"/>
      <c r="AC135" s="175"/>
      <c r="AD135" s="175"/>
      <c r="AE135" s="175"/>
      <c r="AF135" s="175"/>
      <c r="AG135" s="175"/>
      <c r="AH135" s="175"/>
    </row>
    <row r="136" spans="1:34" s="151" customFormat="1">
      <c r="A136" s="254" t="s">
        <v>226</v>
      </c>
      <c r="B136" s="178" t="s">
        <v>553</v>
      </c>
      <c r="C136" s="263"/>
      <c r="D136" s="263"/>
      <c r="E136" s="134">
        <f>+E135+1</f>
        <v>1</v>
      </c>
      <c r="F136" s="232" t="s">
        <v>708</v>
      </c>
      <c r="G136" s="244"/>
      <c r="H136" s="160">
        <v>10</v>
      </c>
      <c r="I136" s="255"/>
      <c r="J136" s="160"/>
      <c r="K136" s="256">
        <v>3619</v>
      </c>
      <c r="L136" s="256"/>
      <c r="M136" s="257"/>
      <c r="N136" s="195">
        <f t="shared" ref="N136:N156" si="19">+J136+K136+L136</f>
        <v>3619</v>
      </c>
      <c r="O136" s="196">
        <v>13559</v>
      </c>
      <c r="P136" s="197">
        <v>1600</v>
      </c>
      <c r="Q136" s="197">
        <v>300</v>
      </c>
      <c r="R136" s="172">
        <v>2635</v>
      </c>
      <c r="S136" s="173">
        <v>6335</v>
      </c>
      <c r="T136" s="173"/>
      <c r="U136" s="174">
        <v>370</v>
      </c>
      <c r="V136" s="174">
        <v>370</v>
      </c>
      <c r="W136" s="175">
        <v>0</v>
      </c>
      <c r="X136" s="175">
        <v>3619</v>
      </c>
      <c r="Y136" s="175">
        <v>3619</v>
      </c>
      <c r="Z136" s="175">
        <v>3619</v>
      </c>
      <c r="AA136" s="175"/>
      <c r="AB136" s="175"/>
      <c r="AC136" s="175"/>
      <c r="AD136" s="175"/>
      <c r="AE136" s="175"/>
      <c r="AF136" s="175"/>
      <c r="AG136" s="175"/>
      <c r="AH136" s="175">
        <v>0</v>
      </c>
    </row>
    <row r="137" spans="1:34" s="151" customFormat="1">
      <c r="A137" s="537" t="s">
        <v>709</v>
      </c>
      <c r="B137" s="178" t="s">
        <v>553</v>
      </c>
      <c r="C137" s="263"/>
      <c r="D137" s="263"/>
      <c r="E137" s="134">
        <v>2</v>
      </c>
      <c r="F137" s="232" t="s">
        <v>710</v>
      </c>
      <c r="G137" s="244">
        <v>0.15</v>
      </c>
      <c r="H137" s="160">
        <v>10</v>
      </c>
      <c r="I137" s="255"/>
      <c r="J137" s="160"/>
      <c r="K137" s="256"/>
      <c r="L137" s="256">
        <v>2000</v>
      </c>
      <c r="M137" s="257"/>
      <c r="N137" s="195">
        <f t="shared" si="19"/>
        <v>2000</v>
      </c>
      <c r="O137" s="196">
        <v>13909</v>
      </c>
      <c r="P137" s="197"/>
      <c r="Q137" s="197">
        <v>300</v>
      </c>
      <c r="R137" s="172">
        <v>3509</v>
      </c>
      <c r="S137" s="173">
        <v>2872</v>
      </c>
      <c r="T137" s="173" t="s">
        <v>711</v>
      </c>
      <c r="U137" s="267">
        <v>0</v>
      </c>
      <c r="V137" s="267">
        <v>0</v>
      </c>
      <c r="W137" s="175"/>
      <c r="X137" s="175"/>
      <c r="Y137" s="175"/>
      <c r="Z137" s="198"/>
      <c r="AA137" s="198"/>
      <c r="AB137" s="175"/>
      <c r="AC137" s="175"/>
      <c r="AD137" s="175"/>
      <c r="AE137" s="175"/>
      <c r="AF137" s="175"/>
      <c r="AG137" s="175"/>
      <c r="AH137" s="175"/>
    </row>
    <row r="138" spans="1:34" s="151" customFormat="1">
      <c r="A138" s="254" t="s">
        <v>712</v>
      </c>
      <c r="B138" s="178" t="s">
        <v>553</v>
      </c>
      <c r="C138" s="263"/>
      <c r="D138" s="263"/>
      <c r="E138" s="134">
        <f t="shared" ref="E138:E156" si="20">+E137+1</f>
        <v>3</v>
      </c>
      <c r="F138" s="232" t="s">
        <v>713</v>
      </c>
      <c r="G138" s="244">
        <v>0.15</v>
      </c>
      <c r="H138" s="160">
        <v>10</v>
      </c>
      <c r="I138" s="255"/>
      <c r="J138" s="160"/>
      <c r="K138" s="256">
        <v>3076.15</v>
      </c>
      <c r="L138" s="256"/>
      <c r="M138" s="257"/>
      <c r="N138" s="195">
        <f t="shared" si="19"/>
        <v>3076.15</v>
      </c>
      <c r="O138" s="196">
        <v>13411</v>
      </c>
      <c r="P138" s="197">
        <v>1600</v>
      </c>
      <c r="Q138" s="197">
        <v>300</v>
      </c>
      <c r="R138" s="172" t="s">
        <v>714</v>
      </c>
      <c r="S138" s="173">
        <f>810+5525</f>
        <v>6335</v>
      </c>
      <c r="T138" s="173"/>
      <c r="U138" s="174">
        <v>370</v>
      </c>
      <c r="V138" s="174">
        <v>370</v>
      </c>
      <c r="W138" s="175">
        <v>0</v>
      </c>
      <c r="X138" s="175">
        <v>3076.15</v>
      </c>
      <c r="Y138" s="175">
        <v>3076.15</v>
      </c>
      <c r="Z138" s="175">
        <v>3076.15</v>
      </c>
      <c r="AA138" s="175"/>
      <c r="AB138" s="175"/>
      <c r="AC138" s="175"/>
      <c r="AD138" s="175"/>
      <c r="AE138" s="175"/>
      <c r="AF138" s="175"/>
      <c r="AG138" s="175"/>
      <c r="AH138" s="175">
        <v>0</v>
      </c>
    </row>
    <row r="139" spans="1:34" s="151" customFormat="1">
      <c r="A139" s="537" t="s">
        <v>715</v>
      </c>
      <c r="B139" s="178" t="s">
        <v>553</v>
      </c>
      <c r="C139" s="263" t="s">
        <v>716</v>
      </c>
      <c r="D139" s="263"/>
      <c r="E139" s="134">
        <f t="shared" si="20"/>
        <v>4</v>
      </c>
      <c r="F139" s="232" t="s">
        <v>717</v>
      </c>
      <c r="G139" s="244">
        <v>0.1</v>
      </c>
      <c r="H139" s="160">
        <v>10</v>
      </c>
      <c r="I139" s="255"/>
      <c r="J139" s="160"/>
      <c r="K139" s="256">
        <v>3257.1</v>
      </c>
      <c r="L139" s="256">
        <v>1800</v>
      </c>
      <c r="M139" s="257"/>
      <c r="N139" s="195">
        <f t="shared" si="19"/>
        <v>5057.1000000000004</v>
      </c>
      <c r="O139" s="196">
        <v>13544</v>
      </c>
      <c r="P139" s="197">
        <v>2400</v>
      </c>
      <c r="Q139" s="197">
        <v>300</v>
      </c>
      <c r="R139" s="172">
        <v>2941</v>
      </c>
      <c r="S139" s="173">
        <v>6335</v>
      </c>
      <c r="T139" s="173"/>
      <c r="U139" s="174">
        <v>370</v>
      </c>
      <c r="V139" s="174">
        <v>370</v>
      </c>
      <c r="W139" s="175">
        <v>0</v>
      </c>
      <c r="X139" s="175">
        <v>5057.1000000000004</v>
      </c>
      <c r="Y139" s="175">
        <v>5087.1000000000004</v>
      </c>
      <c r="Z139" s="175">
        <v>5057.1000000000004</v>
      </c>
      <c r="AA139" s="175"/>
      <c r="AB139" s="175"/>
      <c r="AC139" s="175"/>
      <c r="AD139" s="175"/>
      <c r="AE139" s="175"/>
      <c r="AF139" s="175"/>
      <c r="AG139" s="175"/>
      <c r="AH139" s="175">
        <v>0</v>
      </c>
    </row>
    <row r="140" spans="1:34" s="151" customFormat="1">
      <c r="A140" s="254" t="s">
        <v>718</v>
      </c>
      <c r="B140" s="178" t="s">
        <v>553</v>
      </c>
      <c r="C140" s="263"/>
      <c r="D140" s="263"/>
      <c r="E140" s="134">
        <f t="shared" si="20"/>
        <v>5</v>
      </c>
      <c r="F140" s="232" t="s">
        <v>719</v>
      </c>
      <c r="G140" s="244">
        <v>0.1</v>
      </c>
      <c r="H140" s="160">
        <v>10</v>
      </c>
      <c r="I140" s="255"/>
      <c r="J140" s="160"/>
      <c r="K140" s="256">
        <v>3257.1</v>
      </c>
      <c r="L140" s="256"/>
      <c r="M140" s="257"/>
      <c r="N140" s="195">
        <f t="shared" si="19"/>
        <v>3257.1</v>
      </c>
      <c r="O140" s="196">
        <v>13478</v>
      </c>
      <c r="P140" s="197">
        <v>1600</v>
      </c>
      <c r="Q140" s="197">
        <v>300</v>
      </c>
      <c r="R140" s="172">
        <v>3205</v>
      </c>
      <c r="S140" s="173">
        <v>6335</v>
      </c>
      <c r="T140" s="173"/>
      <c r="U140" s="174">
        <v>370</v>
      </c>
      <c r="V140" s="174">
        <v>370</v>
      </c>
      <c r="W140" s="175">
        <v>0</v>
      </c>
      <c r="X140" s="175">
        <v>3257.1</v>
      </c>
      <c r="Y140" s="175">
        <v>3257.1</v>
      </c>
      <c r="Z140" s="175">
        <v>3257</v>
      </c>
      <c r="AA140" s="175"/>
      <c r="AB140" s="175"/>
      <c r="AC140" s="175"/>
      <c r="AD140" s="175"/>
      <c r="AE140" s="175"/>
      <c r="AF140" s="175"/>
      <c r="AG140" s="175"/>
      <c r="AH140" s="175">
        <v>0</v>
      </c>
    </row>
    <row r="141" spans="1:34" s="151" customFormat="1">
      <c r="A141" s="254" t="s">
        <v>720</v>
      </c>
      <c r="B141" s="178" t="s">
        <v>553</v>
      </c>
      <c r="C141" s="263"/>
      <c r="D141" s="263"/>
      <c r="E141" s="134">
        <f t="shared" si="20"/>
        <v>6</v>
      </c>
      <c r="F141" s="232" t="s">
        <v>721</v>
      </c>
      <c r="G141" s="244">
        <v>0.15</v>
      </c>
      <c r="H141" s="160">
        <v>10</v>
      </c>
      <c r="I141" s="255"/>
      <c r="J141" s="160"/>
      <c r="K141" s="256">
        <v>3076.15</v>
      </c>
      <c r="L141" s="256"/>
      <c r="M141" s="257"/>
      <c r="N141" s="195">
        <f t="shared" si="19"/>
        <v>3076.15</v>
      </c>
      <c r="O141" s="196">
        <v>13459</v>
      </c>
      <c r="P141" s="197">
        <v>2400</v>
      </c>
      <c r="Q141" s="197">
        <v>300</v>
      </c>
      <c r="R141" s="172">
        <v>3218</v>
      </c>
      <c r="S141" s="173">
        <v>6335</v>
      </c>
      <c r="T141" s="173"/>
      <c r="U141" s="174">
        <v>347.7</v>
      </c>
      <c r="V141" s="174"/>
      <c r="W141" s="175">
        <v>0</v>
      </c>
      <c r="X141" s="175">
        <v>3076.15</v>
      </c>
      <c r="Y141" s="175">
        <v>3076.15</v>
      </c>
      <c r="Z141" s="175">
        <v>3076.15</v>
      </c>
      <c r="AA141" s="175" t="s">
        <v>722</v>
      </c>
      <c r="AB141" s="175"/>
      <c r="AC141" s="175"/>
      <c r="AD141" s="175"/>
      <c r="AE141" s="175"/>
      <c r="AF141" s="175"/>
      <c r="AG141" s="175"/>
      <c r="AH141" s="175">
        <v>0</v>
      </c>
    </row>
    <row r="142" spans="1:34" s="151" customFormat="1">
      <c r="A142" s="537" t="s">
        <v>723</v>
      </c>
      <c r="B142" s="178" t="s">
        <v>553</v>
      </c>
      <c r="C142" s="263" t="s">
        <v>414</v>
      </c>
      <c r="D142" s="263"/>
      <c r="E142" s="134">
        <f t="shared" si="20"/>
        <v>7</v>
      </c>
      <c r="F142" s="232" t="s">
        <v>724</v>
      </c>
      <c r="G142" s="244">
        <v>0.2</v>
      </c>
      <c r="H142" s="160">
        <v>10</v>
      </c>
      <c r="I142" s="255"/>
      <c r="J142" s="160"/>
      <c r="K142" s="256">
        <v>2895.2</v>
      </c>
      <c r="L142" s="256">
        <v>1475</v>
      </c>
      <c r="M142" s="257"/>
      <c r="N142" s="195">
        <f t="shared" si="19"/>
        <v>4370.2</v>
      </c>
      <c r="O142" s="196">
        <v>13403</v>
      </c>
      <c r="P142" s="197">
        <v>1600</v>
      </c>
      <c r="Q142" s="197">
        <v>300</v>
      </c>
      <c r="R142" s="172">
        <v>2945</v>
      </c>
      <c r="S142" s="173">
        <v>6335</v>
      </c>
      <c r="T142" s="173"/>
      <c r="U142" s="174"/>
      <c r="V142" s="174"/>
      <c r="W142" s="175">
        <v>0</v>
      </c>
      <c r="X142" s="175">
        <v>4370.2</v>
      </c>
      <c r="Y142" s="176">
        <v>4370.2</v>
      </c>
      <c r="Z142" s="175"/>
      <c r="AA142" s="175"/>
      <c r="AB142" s="175"/>
      <c r="AC142" s="175"/>
      <c r="AD142" s="175"/>
      <c r="AE142" s="175"/>
      <c r="AF142" s="175"/>
      <c r="AG142" s="175"/>
      <c r="AH142" s="175">
        <v>0</v>
      </c>
    </row>
    <row r="143" spans="1:34" s="151" customFormat="1" ht="21.75" customHeight="1">
      <c r="A143" s="537" t="s">
        <v>725</v>
      </c>
      <c r="B143" s="178" t="s">
        <v>553</v>
      </c>
      <c r="C143" s="263" t="s">
        <v>726</v>
      </c>
      <c r="D143" s="263"/>
      <c r="E143" s="134">
        <f t="shared" si="20"/>
        <v>8</v>
      </c>
      <c r="F143" s="232" t="s">
        <v>727</v>
      </c>
      <c r="G143" s="244"/>
      <c r="H143" s="160">
        <v>10</v>
      </c>
      <c r="I143" s="255"/>
      <c r="J143" s="160"/>
      <c r="K143" s="256">
        <v>3619</v>
      </c>
      <c r="L143" s="256">
        <v>2105</v>
      </c>
      <c r="M143" s="257"/>
      <c r="N143" s="195">
        <f t="shared" si="19"/>
        <v>5724</v>
      </c>
      <c r="O143" s="196">
        <v>13735</v>
      </c>
      <c r="P143" s="197">
        <f>488.44+1911.56</f>
        <v>2400</v>
      </c>
      <c r="Q143" s="197">
        <v>300</v>
      </c>
      <c r="R143" s="172">
        <v>3494</v>
      </c>
      <c r="S143" s="173">
        <v>6335</v>
      </c>
      <c r="T143" s="173"/>
      <c r="U143" s="174">
        <v>370</v>
      </c>
      <c r="V143" s="174">
        <v>370</v>
      </c>
      <c r="W143" s="175">
        <v>0</v>
      </c>
      <c r="X143" s="176">
        <f>5834+176.2</f>
        <v>6010.2</v>
      </c>
      <c r="Y143" s="176">
        <f>5067.8+942.4</f>
        <v>6010.2</v>
      </c>
      <c r="Z143" s="176">
        <v>6010.2</v>
      </c>
      <c r="AA143" s="176"/>
      <c r="AB143" s="176"/>
      <c r="AC143" s="176"/>
      <c r="AD143" s="176"/>
      <c r="AE143" s="175"/>
      <c r="AF143" s="175"/>
      <c r="AG143" s="175"/>
      <c r="AH143" s="175"/>
    </row>
    <row r="144" spans="1:34" s="151" customFormat="1" ht="15" customHeight="1">
      <c r="A144" s="534" t="s">
        <v>728</v>
      </c>
      <c r="B144" s="178" t="s">
        <v>553</v>
      </c>
      <c r="C144" s="263" t="s">
        <v>691</v>
      </c>
      <c r="D144" s="263"/>
      <c r="E144" s="134">
        <f t="shared" si="20"/>
        <v>9</v>
      </c>
      <c r="F144" s="232" t="s">
        <v>729</v>
      </c>
      <c r="G144" s="244">
        <v>0.15</v>
      </c>
      <c r="H144" s="160">
        <v>10</v>
      </c>
      <c r="I144" s="255" t="s">
        <v>660</v>
      </c>
      <c r="J144" s="160"/>
      <c r="K144" s="256">
        <v>3076.15</v>
      </c>
      <c r="L144" s="256">
        <v>1475</v>
      </c>
      <c r="M144" s="257"/>
      <c r="N144" s="195">
        <f t="shared" si="19"/>
        <v>4551.1499999999996</v>
      </c>
      <c r="O144" s="196">
        <v>13687</v>
      </c>
      <c r="P144" s="197">
        <v>2400</v>
      </c>
      <c r="Q144" s="197">
        <v>300</v>
      </c>
      <c r="R144" s="165" t="s">
        <v>730</v>
      </c>
      <c r="S144" s="173">
        <f>4215+2000+120</f>
        <v>6335</v>
      </c>
      <c r="T144" s="173"/>
      <c r="U144" s="174">
        <v>370</v>
      </c>
      <c r="V144" s="174">
        <v>370</v>
      </c>
      <c r="W144" s="175">
        <v>0</v>
      </c>
      <c r="X144" s="175">
        <v>4551.1499999999996</v>
      </c>
      <c r="Y144" s="175">
        <v>4551.1499999999996</v>
      </c>
      <c r="Z144" s="175">
        <v>4551.1499999999996</v>
      </c>
      <c r="AA144" s="175"/>
      <c r="AB144" s="176"/>
      <c r="AC144" s="176"/>
      <c r="AD144" s="176"/>
      <c r="AE144" s="176"/>
      <c r="AF144" s="176"/>
      <c r="AG144" s="176"/>
      <c r="AH144" s="175">
        <v>0</v>
      </c>
    </row>
    <row r="145" spans="1:35" s="151" customFormat="1" ht="20.25" customHeight="1">
      <c r="A145" s="254" t="s">
        <v>731</v>
      </c>
      <c r="B145" s="178" t="s">
        <v>553</v>
      </c>
      <c r="C145" s="263"/>
      <c r="D145" s="263"/>
      <c r="E145" s="134">
        <f t="shared" si="20"/>
        <v>10</v>
      </c>
      <c r="F145" s="232" t="s">
        <v>732</v>
      </c>
      <c r="G145" s="244">
        <v>0.15</v>
      </c>
      <c r="H145" s="160">
        <v>10</v>
      </c>
      <c r="I145" s="255"/>
      <c r="J145" s="160"/>
      <c r="K145" s="256">
        <v>3076.15</v>
      </c>
      <c r="L145" s="256"/>
      <c r="M145" s="257"/>
      <c r="N145" s="195">
        <f t="shared" si="19"/>
        <v>3076.15</v>
      </c>
      <c r="O145" s="196">
        <v>13672</v>
      </c>
      <c r="P145" s="197">
        <v>2400</v>
      </c>
      <c r="Q145" s="197">
        <v>300</v>
      </c>
      <c r="R145" s="172" t="s">
        <v>733</v>
      </c>
      <c r="S145" s="173">
        <f>715+1000+2630</f>
        <v>4345</v>
      </c>
      <c r="T145" s="173" t="s">
        <v>734</v>
      </c>
      <c r="U145" s="174">
        <v>300</v>
      </c>
      <c r="V145" s="174"/>
      <c r="W145" s="175">
        <v>0</v>
      </c>
      <c r="X145" s="175">
        <v>3076.15</v>
      </c>
      <c r="Y145" s="175"/>
      <c r="Z145" s="175"/>
      <c r="AA145" s="175"/>
      <c r="AB145" s="175"/>
      <c r="AC145" s="175"/>
      <c r="AD145" s="175"/>
      <c r="AE145" s="175"/>
      <c r="AF145" s="175"/>
      <c r="AG145" s="175"/>
      <c r="AH145" s="175">
        <v>0</v>
      </c>
    </row>
    <row r="146" spans="1:35" s="151" customFormat="1">
      <c r="A146" s="537" t="s">
        <v>735</v>
      </c>
      <c r="B146" s="178" t="s">
        <v>553</v>
      </c>
      <c r="C146" s="263" t="s">
        <v>736</v>
      </c>
      <c r="D146" s="263"/>
      <c r="E146" s="134">
        <f t="shared" si="20"/>
        <v>11</v>
      </c>
      <c r="F146" s="232" t="s">
        <v>737</v>
      </c>
      <c r="G146" s="244">
        <v>0.15</v>
      </c>
      <c r="H146" s="160">
        <v>10</v>
      </c>
      <c r="I146" s="255"/>
      <c r="J146" s="160"/>
      <c r="K146" s="256">
        <v>3076.15</v>
      </c>
      <c r="L146" s="256">
        <v>2000</v>
      </c>
      <c r="M146" s="257"/>
      <c r="N146" s="265">
        <f t="shared" si="19"/>
        <v>5076.1499999999996</v>
      </c>
      <c r="O146" s="266"/>
      <c r="P146" s="267"/>
      <c r="Q146" s="267"/>
      <c r="R146" s="172">
        <v>2947</v>
      </c>
      <c r="S146" s="173">
        <v>6335</v>
      </c>
      <c r="T146" s="173"/>
      <c r="U146" s="174">
        <v>370</v>
      </c>
      <c r="V146" s="174">
        <v>370</v>
      </c>
      <c r="W146" s="157">
        <v>0</v>
      </c>
      <c r="X146" s="176">
        <v>5076.1499999999996</v>
      </c>
      <c r="Y146" s="176">
        <v>5076.1499999999996</v>
      </c>
      <c r="Z146" s="176">
        <v>5076.1499999999996</v>
      </c>
      <c r="AA146" s="176"/>
      <c r="AB146" s="176"/>
      <c r="AC146" s="176"/>
      <c r="AD146" s="176"/>
      <c r="AE146" s="176"/>
      <c r="AF146" s="269"/>
      <c r="AG146" s="269"/>
      <c r="AH146" s="175">
        <v>0</v>
      </c>
    </row>
    <row r="147" spans="1:35" s="151" customFormat="1">
      <c r="A147" s="262" t="s">
        <v>738</v>
      </c>
      <c r="B147" s="178" t="s">
        <v>553</v>
      </c>
      <c r="C147" s="254"/>
      <c r="D147" s="254"/>
      <c r="E147" s="134">
        <f t="shared" si="20"/>
        <v>12</v>
      </c>
      <c r="F147" s="232" t="s">
        <v>739</v>
      </c>
      <c r="G147" s="244">
        <v>0.1</v>
      </c>
      <c r="H147" s="160">
        <v>10</v>
      </c>
      <c r="I147" s="255"/>
      <c r="J147" s="160"/>
      <c r="K147" s="256">
        <v>3076.15</v>
      </c>
      <c r="L147" s="256"/>
      <c r="M147" s="257"/>
      <c r="N147" s="195">
        <f t="shared" si="19"/>
        <v>3076.15</v>
      </c>
      <c r="O147" s="196">
        <v>13389</v>
      </c>
      <c r="P147" s="197">
        <v>1600</v>
      </c>
      <c r="Q147" s="197">
        <v>0</v>
      </c>
      <c r="R147" s="172">
        <v>3446</v>
      </c>
      <c r="S147" s="173">
        <v>6335</v>
      </c>
      <c r="T147" s="173"/>
      <c r="U147" s="174">
        <v>370</v>
      </c>
      <c r="V147" s="174">
        <v>370</v>
      </c>
      <c r="W147" s="175">
        <v>0</v>
      </c>
      <c r="X147" s="175">
        <v>3076.15</v>
      </c>
      <c r="Y147" s="175">
        <v>3076.15</v>
      </c>
      <c r="Z147" s="175">
        <v>3076.15</v>
      </c>
      <c r="AA147" s="175">
        <v>3076.15</v>
      </c>
      <c r="AB147" s="175"/>
      <c r="AC147" s="175"/>
      <c r="AD147" s="175"/>
      <c r="AE147" s="175"/>
      <c r="AF147" s="175"/>
      <c r="AG147" s="175"/>
      <c r="AH147" s="175">
        <v>0</v>
      </c>
    </row>
    <row r="148" spans="1:35" s="151" customFormat="1" ht="15.75" customHeight="1">
      <c r="A148" s="262" t="s">
        <v>740</v>
      </c>
      <c r="B148" s="178" t="s">
        <v>553</v>
      </c>
      <c r="C148" s="254"/>
      <c r="D148" s="254"/>
      <c r="E148" s="134">
        <f t="shared" si="20"/>
        <v>13</v>
      </c>
      <c r="F148" s="232" t="s">
        <v>741</v>
      </c>
      <c r="G148" s="244">
        <v>0.15</v>
      </c>
      <c r="H148" s="160">
        <v>10</v>
      </c>
      <c r="I148" s="255"/>
      <c r="J148" s="160"/>
      <c r="K148" s="256">
        <v>3076.15</v>
      </c>
      <c r="L148" s="256"/>
      <c r="M148" s="257"/>
      <c r="N148" s="195">
        <f t="shared" si="19"/>
        <v>3076.15</v>
      </c>
      <c r="O148" s="196">
        <v>13310</v>
      </c>
      <c r="P148" s="171">
        <v>0</v>
      </c>
      <c r="Q148" s="171">
        <v>300</v>
      </c>
      <c r="R148" s="172" t="s">
        <v>488</v>
      </c>
      <c r="S148" s="173"/>
      <c r="T148" s="173"/>
      <c r="U148" s="174">
        <v>370</v>
      </c>
      <c r="V148" s="174">
        <v>370</v>
      </c>
      <c r="W148" s="175">
        <v>0</v>
      </c>
      <c r="X148" s="175">
        <v>3076.15</v>
      </c>
      <c r="Y148" s="175">
        <v>3076.15</v>
      </c>
      <c r="Z148" s="175">
        <v>3076.15</v>
      </c>
      <c r="AA148" s="175"/>
      <c r="AB148" s="175"/>
      <c r="AC148" s="175"/>
      <c r="AD148" s="175"/>
      <c r="AE148" s="175"/>
      <c r="AF148" s="175"/>
      <c r="AG148" s="175"/>
      <c r="AH148" s="175"/>
    </row>
    <row r="149" spans="1:35" s="151" customFormat="1">
      <c r="A149" s="537" t="s">
        <v>742</v>
      </c>
      <c r="B149" s="178" t="s">
        <v>553</v>
      </c>
      <c r="C149" s="263" t="s">
        <v>743</v>
      </c>
      <c r="D149" s="263"/>
      <c r="E149" s="134">
        <f t="shared" si="20"/>
        <v>14</v>
      </c>
      <c r="F149" s="232" t="s">
        <v>744</v>
      </c>
      <c r="G149" s="244"/>
      <c r="H149" s="160">
        <v>10</v>
      </c>
      <c r="I149" s="255"/>
      <c r="J149" s="160"/>
      <c r="K149" s="256">
        <v>3619</v>
      </c>
      <c r="L149" s="256">
        <v>2105</v>
      </c>
      <c r="M149" s="257"/>
      <c r="N149" s="195">
        <f t="shared" si="19"/>
        <v>5724</v>
      </c>
      <c r="O149" s="196">
        <v>13347</v>
      </c>
      <c r="P149" s="197">
        <v>1600</v>
      </c>
      <c r="Q149" s="197">
        <v>300</v>
      </c>
      <c r="R149" s="172">
        <v>2767</v>
      </c>
      <c r="S149" s="173">
        <v>6335</v>
      </c>
      <c r="T149" s="173"/>
      <c r="U149" s="174">
        <v>370</v>
      </c>
      <c r="V149" s="174"/>
      <c r="W149" s="175">
        <v>0</v>
      </c>
      <c r="X149" s="176">
        <v>5724</v>
      </c>
      <c r="Y149" s="176">
        <v>5724</v>
      </c>
      <c r="Z149" s="175"/>
      <c r="AA149" s="176"/>
      <c r="AB149" s="176"/>
      <c r="AC149" s="176"/>
      <c r="AD149" s="176"/>
      <c r="AE149" s="176"/>
      <c r="AF149" s="176"/>
      <c r="AG149" s="176"/>
      <c r="AH149" s="175">
        <v>0</v>
      </c>
    </row>
    <row r="150" spans="1:35" s="151" customFormat="1">
      <c r="A150" s="538" t="s">
        <v>228</v>
      </c>
      <c r="B150" s="134" t="s">
        <v>553</v>
      </c>
      <c r="C150" s="263" t="s">
        <v>745</v>
      </c>
      <c r="D150" s="263"/>
      <c r="E150" s="134">
        <f t="shared" si="20"/>
        <v>15</v>
      </c>
      <c r="F150" s="232" t="s">
        <v>746</v>
      </c>
      <c r="G150" s="244"/>
      <c r="H150" s="160">
        <v>10</v>
      </c>
      <c r="I150" s="255"/>
      <c r="J150" s="160"/>
      <c r="K150" s="256">
        <v>3619</v>
      </c>
      <c r="L150" s="256">
        <v>2105</v>
      </c>
      <c r="M150" s="247"/>
      <c r="N150" s="195">
        <f t="shared" si="19"/>
        <v>5724</v>
      </c>
      <c r="O150" s="196">
        <v>13218</v>
      </c>
      <c r="P150" s="197">
        <v>1600</v>
      </c>
      <c r="Q150" s="197">
        <v>300</v>
      </c>
      <c r="R150" s="172">
        <v>2763</v>
      </c>
      <c r="S150" s="173">
        <v>6335</v>
      </c>
      <c r="T150" s="173"/>
      <c r="U150" s="174">
        <v>370</v>
      </c>
      <c r="V150" s="174">
        <v>370</v>
      </c>
      <c r="W150" s="175">
        <v>0</v>
      </c>
      <c r="X150" s="175">
        <v>5724</v>
      </c>
      <c r="Y150" s="175">
        <v>5724</v>
      </c>
      <c r="Z150" s="175">
        <v>5724</v>
      </c>
      <c r="AA150" s="175"/>
      <c r="AB150" s="175"/>
      <c r="AC150" s="175"/>
      <c r="AD150" s="175"/>
      <c r="AE150" s="175"/>
      <c r="AF150" s="175"/>
      <c r="AG150" s="175"/>
      <c r="AH150" s="175">
        <v>0</v>
      </c>
    </row>
    <row r="151" spans="1:35" s="151" customFormat="1">
      <c r="A151" s="538" t="s">
        <v>747</v>
      </c>
      <c r="B151" s="134" t="s">
        <v>553</v>
      </c>
      <c r="C151" s="263" t="s">
        <v>748</v>
      </c>
      <c r="D151" s="263"/>
      <c r="E151" s="134">
        <f t="shared" si="20"/>
        <v>16</v>
      </c>
      <c r="F151" s="232" t="s">
        <v>749</v>
      </c>
      <c r="G151" s="244">
        <v>0.1</v>
      </c>
      <c r="H151" s="160">
        <v>10</v>
      </c>
      <c r="I151" s="255"/>
      <c r="J151" s="160"/>
      <c r="K151" s="256">
        <v>3257.1</v>
      </c>
      <c r="L151" s="256">
        <v>2105</v>
      </c>
      <c r="M151" s="257"/>
      <c r="N151" s="195">
        <f t="shared" si="19"/>
        <v>5362.1</v>
      </c>
      <c r="O151" s="196">
        <v>13384</v>
      </c>
      <c r="P151" s="197">
        <v>1600</v>
      </c>
      <c r="Q151" s="197">
        <v>300</v>
      </c>
      <c r="R151" s="172" t="s">
        <v>488</v>
      </c>
      <c r="S151" s="173"/>
      <c r="T151" s="173"/>
      <c r="U151" s="174">
        <v>370</v>
      </c>
      <c r="V151" s="174"/>
      <c r="W151" s="175">
        <v>0</v>
      </c>
      <c r="X151" s="176">
        <f>4178.22+1183.88</f>
        <v>5362.1</v>
      </c>
      <c r="Y151" s="201">
        <v>5362.1</v>
      </c>
      <c r="Z151" s="176"/>
      <c r="AA151" s="176"/>
      <c r="AB151" s="176"/>
      <c r="AC151" s="176"/>
      <c r="AD151" s="176"/>
      <c r="AE151" s="176"/>
      <c r="AF151" s="176"/>
      <c r="AG151" s="175"/>
      <c r="AH151" s="175">
        <v>0</v>
      </c>
    </row>
    <row r="152" spans="1:35" s="151" customFormat="1">
      <c r="A152" s="536" t="s">
        <v>750</v>
      </c>
      <c r="B152" s="134" t="s">
        <v>553</v>
      </c>
      <c r="C152" s="263" t="s">
        <v>451</v>
      </c>
      <c r="D152" s="263"/>
      <c r="E152" s="134">
        <f t="shared" si="20"/>
        <v>17</v>
      </c>
      <c r="F152" s="232" t="s">
        <v>751</v>
      </c>
      <c r="G152" s="244"/>
      <c r="H152" s="160">
        <v>10</v>
      </c>
      <c r="I152" s="255"/>
      <c r="J152" s="160"/>
      <c r="K152" s="256">
        <v>3619</v>
      </c>
      <c r="L152" s="256">
        <v>2105</v>
      </c>
      <c r="M152" s="257"/>
      <c r="N152" s="195">
        <f t="shared" si="19"/>
        <v>5724</v>
      </c>
      <c r="O152" s="196">
        <v>13446</v>
      </c>
      <c r="P152" s="197">
        <v>2400</v>
      </c>
      <c r="Q152" s="197">
        <v>300</v>
      </c>
      <c r="R152" s="172">
        <v>3413</v>
      </c>
      <c r="S152" s="173">
        <v>6335</v>
      </c>
      <c r="T152" s="173"/>
      <c r="U152" s="174">
        <v>370</v>
      </c>
      <c r="V152" s="174">
        <v>370</v>
      </c>
      <c r="W152" s="175">
        <v>0</v>
      </c>
      <c r="X152" s="176">
        <v>5724</v>
      </c>
      <c r="Y152" s="176">
        <v>5724</v>
      </c>
      <c r="Z152" s="176">
        <v>5724</v>
      </c>
      <c r="AA152" s="176"/>
      <c r="AB152" s="176"/>
      <c r="AC152" s="176"/>
      <c r="AD152" s="175"/>
      <c r="AE152" s="175"/>
      <c r="AF152" s="176"/>
      <c r="AG152" s="175"/>
      <c r="AH152" s="175">
        <v>0</v>
      </c>
    </row>
    <row r="153" spans="1:35" s="151" customFormat="1">
      <c r="A153" s="263" t="s">
        <v>752</v>
      </c>
      <c r="B153" s="134" t="s">
        <v>553</v>
      </c>
      <c r="C153" s="263" t="s">
        <v>406</v>
      </c>
      <c r="D153" s="263"/>
      <c r="E153" s="134">
        <f t="shared" si="20"/>
        <v>18</v>
      </c>
      <c r="F153" s="232" t="s">
        <v>753</v>
      </c>
      <c r="G153" s="244">
        <v>0.1</v>
      </c>
      <c r="H153" s="160">
        <v>10</v>
      </c>
      <c r="I153" s="255"/>
      <c r="J153" s="160"/>
      <c r="K153" s="256">
        <v>3257.1</v>
      </c>
      <c r="L153" s="256"/>
      <c r="M153" s="257"/>
      <c r="N153" s="195">
        <f t="shared" si="19"/>
        <v>3257.1</v>
      </c>
      <c r="O153" s="196">
        <v>13507</v>
      </c>
      <c r="P153" s="197">
        <v>2400</v>
      </c>
      <c r="Q153" s="197">
        <v>300</v>
      </c>
      <c r="R153" s="172">
        <v>3065</v>
      </c>
      <c r="S153" s="173">
        <v>6335</v>
      </c>
      <c r="T153" s="173" t="s">
        <v>754</v>
      </c>
      <c r="U153" s="174">
        <v>370</v>
      </c>
      <c r="V153" s="174">
        <v>370</v>
      </c>
      <c r="W153" s="175">
        <v>0</v>
      </c>
      <c r="X153" s="201">
        <v>3257.1</v>
      </c>
      <c r="Y153" s="201">
        <v>3257.1</v>
      </c>
      <c r="Z153" s="201">
        <v>3257.1</v>
      </c>
      <c r="AA153" s="176"/>
      <c r="AB153" s="176"/>
      <c r="AC153" s="176"/>
      <c r="AD153" s="176"/>
      <c r="AE153" s="201"/>
      <c r="AF153" s="201"/>
      <c r="AG153" s="201"/>
      <c r="AH153" s="175">
        <v>0</v>
      </c>
    </row>
    <row r="154" spans="1:35" s="151" customFormat="1">
      <c r="A154" s="538" t="s">
        <v>755</v>
      </c>
      <c r="B154" s="134" t="s">
        <v>553</v>
      </c>
      <c r="C154" s="263" t="s">
        <v>756</v>
      </c>
      <c r="D154" s="263"/>
      <c r="E154" s="134">
        <f t="shared" si="20"/>
        <v>19</v>
      </c>
      <c r="F154" s="232" t="s">
        <v>757</v>
      </c>
      <c r="G154" s="244">
        <v>0.2</v>
      </c>
      <c r="H154" s="160">
        <v>10</v>
      </c>
      <c r="I154" s="255"/>
      <c r="J154" s="160"/>
      <c r="K154" s="256">
        <v>2895.2</v>
      </c>
      <c r="L154" s="256">
        <v>1475</v>
      </c>
      <c r="M154" s="257"/>
      <c r="N154" s="195">
        <f t="shared" si="19"/>
        <v>4370.2</v>
      </c>
      <c r="O154" s="196">
        <v>13644</v>
      </c>
      <c r="P154" s="197">
        <v>2400</v>
      </c>
      <c r="Q154" s="197">
        <v>300</v>
      </c>
      <c r="R154" s="172">
        <v>2964</v>
      </c>
      <c r="S154" s="173">
        <v>6335</v>
      </c>
      <c r="T154" s="173"/>
      <c r="U154" s="267">
        <v>0</v>
      </c>
      <c r="V154" s="267">
        <v>0</v>
      </c>
      <c r="W154" s="175">
        <v>0</v>
      </c>
      <c r="X154" s="175">
        <v>4370.2</v>
      </c>
      <c r="Y154" s="175">
        <v>4370.2</v>
      </c>
      <c r="Z154" s="175"/>
      <c r="AA154" s="175"/>
      <c r="AB154" s="175"/>
      <c r="AC154" s="175"/>
      <c r="AD154" s="175"/>
      <c r="AE154" s="176"/>
      <c r="AF154" s="176"/>
      <c r="AG154" s="175"/>
      <c r="AH154" s="175">
        <v>0</v>
      </c>
    </row>
    <row r="155" spans="1:35" s="151" customFormat="1">
      <c r="A155" s="538" t="s">
        <v>758</v>
      </c>
      <c r="B155" s="134" t="s">
        <v>553</v>
      </c>
      <c r="C155" s="263" t="s">
        <v>390</v>
      </c>
      <c r="D155" s="263"/>
      <c r="E155" s="134">
        <f t="shared" si="20"/>
        <v>20</v>
      </c>
      <c r="F155" s="232" t="s">
        <v>759</v>
      </c>
      <c r="G155" s="244">
        <v>0.15</v>
      </c>
      <c r="H155" s="160">
        <v>10</v>
      </c>
      <c r="I155" s="255"/>
      <c r="J155" s="160"/>
      <c r="K155" s="256">
        <v>3076.15</v>
      </c>
      <c r="L155" s="256">
        <v>1260</v>
      </c>
      <c r="M155" s="257"/>
      <c r="N155" s="195">
        <f t="shared" si="19"/>
        <v>4336.1499999999996</v>
      </c>
      <c r="O155" s="196">
        <v>13342</v>
      </c>
      <c r="P155" s="197">
        <v>1600</v>
      </c>
      <c r="Q155" s="197">
        <v>300</v>
      </c>
      <c r="R155" s="172">
        <v>3064</v>
      </c>
      <c r="S155" s="173">
        <v>6335</v>
      </c>
      <c r="T155" s="173"/>
      <c r="U155" s="174"/>
      <c r="V155" s="174"/>
      <c r="W155" s="175">
        <v>0</v>
      </c>
      <c r="X155" s="198">
        <v>4336.1499999999996</v>
      </c>
      <c r="Y155" s="198">
        <v>4336.1499999999996</v>
      </c>
      <c r="Z155" s="198">
        <v>4336.1499999999996</v>
      </c>
      <c r="AA155" s="175"/>
      <c r="AB155" s="216"/>
      <c r="AC155" s="175"/>
      <c r="AD155" s="175"/>
      <c r="AE155" s="216"/>
      <c r="AF155" s="216"/>
      <c r="AG155" s="175"/>
      <c r="AH155" s="175">
        <v>0</v>
      </c>
    </row>
    <row r="156" spans="1:35" s="151" customFormat="1">
      <c r="A156" s="263" t="s">
        <v>760</v>
      </c>
      <c r="B156" s="134" t="s">
        <v>553</v>
      </c>
      <c r="C156" s="263"/>
      <c r="D156" s="263"/>
      <c r="E156" s="134">
        <f t="shared" si="20"/>
        <v>21</v>
      </c>
      <c r="F156" s="232" t="s">
        <v>761</v>
      </c>
      <c r="G156" s="244"/>
      <c r="H156" s="160">
        <v>10</v>
      </c>
      <c r="I156" s="255"/>
      <c r="J156" s="160"/>
      <c r="K156" s="256">
        <v>3619</v>
      </c>
      <c r="L156" s="256"/>
      <c r="M156" s="257"/>
      <c r="N156" s="195">
        <f t="shared" si="19"/>
        <v>3619</v>
      </c>
      <c r="O156" s="196">
        <v>13398</v>
      </c>
      <c r="P156" s="197">
        <v>1600</v>
      </c>
      <c r="Q156" s="197">
        <v>300</v>
      </c>
      <c r="R156" s="172">
        <v>3158</v>
      </c>
      <c r="S156" s="173">
        <v>6335</v>
      </c>
      <c r="T156" s="173"/>
      <c r="U156" s="174">
        <v>370</v>
      </c>
      <c r="V156" s="174">
        <v>370</v>
      </c>
      <c r="W156" s="175">
        <v>0</v>
      </c>
      <c r="X156" s="175">
        <v>3619</v>
      </c>
      <c r="Y156" s="157">
        <v>3619</v>
      </c>
      <c r="Z156" s="201">
        <v>3619</v>
      </c>
      <c r="AA156" s="176"/>
      <c r="AB156" s="176"/>
      <c r="AC156" s="176"/>
      <c r="AD156" s="176"/>
      <c r="AE156" s="216"/>
      <c r="AF156" s="176"/>
      <c r="AG156" s="175"/>
      <c r="AH156" s="175">
        <v>0</v>
      </c>
    </row>
    <row r="157" spans="1:35" s="151" customFormat="1">
      <c r="A157" s="263"/>
      <c r="B157" s="263"/>
      <c r="C157" s="263"/>
      <c r="D157" s="263"/>
      <c r="E157" s="263"/>
      <c r="F157" s="232"/>
      <c r="G157" s="244"/>
      <c r="H157" s="160"/>
      <c r="I157" s="255"/>
      <c r="J157" s="160"/>
      <c r="K157" s="256"/>
      <c r="L157" s="256"/>
      <c r="M157" s="257"/>
      <c r="N157" s="195"/>
      <c r="O157" s="196"/>
      <c r="P157" s="258"/>
      <c r="Q157" s="258"/>
      <c r="R157" s="259"/>
      <c r="S157" s="173"/>
      <c r="T157" s="260"/>
      <c r="U157" s="261"/>
      <c r="V157" s="261"/>
      <c r="W157" s="175"/>
      <c r="X157" s="175"/>
      <c r="Y157" s="175"/>
      <c r="Z157" s="175"/>
      <c r="AA157" s="175"/>
      <c r="AB157" s="175"/>
      <c r="AC157" s="175"/>
      <c r="AD157" s="175"/>
      <c r="AE157" s="175"/>
      <c r="AF157" s="175"/>
      <c r="AG157" s="175"/>
      <c r="AH157" s="175"/>
    </row>
    <row r="158" spans="1:35" s="151" customFormat="1">
      <c r="A158" s="263"/>
      <c r="B158" s="263"/>
      <c r="C158" s="263"/>
      <c r="D158" s="263"/>
      <c r="E158" s="263"/>
      <c r="F158" s="232"/>
      <c r="G158" s="244"/>
      <c r="H158" s="160"/>
      <c r="I158" s="255"/>
      <c r="J158" s="160"/>
      <c r="K158" s="256"/>
      <c r="L158" s="256"/>
      <c r="M158" s="257"/>
      <c r="N158" s="195"/>
      <c r="O158" s="196"/>
      <c r="P158" s="258"/>
      <c r="Q158" s="258"/>
      <c r="R158" s="259"/>
      <c r="S158" s="173"/>
      <c r="T158" s="260"/>
      <c r="U158" s="261"/>
      <c r="V158" s="261"/>
      <c r="W158" s="175"/>
      <c r="X158" s="175"/>
      <c r="Y158" s="175"/>
      <c r="Z158" s="175"/>
      <c r="AA158" s="175"/>
      <c r="AB158" s="175"/>
      <c r="AC158" s="175"/>
      <c r="AD158" s="175"/>
      <c r="AE158" s="175"/>
      <c r="AF158" s="175"/>
      <c r="AG158" s="175"/>
      <c r="AH158" s="175"/>
    </row>
    <row r="159" spans="1:35" s="151" customFormat="1">
      <c r="A159" s="134"/>
      <c r="B159" s="134"/>
      <c r="C159" s="134"/>
      <c r="D159" s="134"/>
      <c r="E159" s="134"/>
      <c r="F159" s="232"/>
      <c r="G159" s="244"/>
      <c r="H159" s="160"/>
      <c r="I159" s="255"/>
      <c r="J159" s="160"/>
      <c r="K159" s="193"/>
      <c r="L159" s="193"/>
      <c r="M159" s="247"/>
      <c r="N159" s="195">
        <f>+J159+K159+L159</f>
        <v>0</v>
      </c>
      <c r="O159" s="196"/>
      <c r="P159" s="258"/>
      <c r="Q159" s="258"/>
      <c r="R159" s="259"/>
      <c r="S159" s="260"/>
      <c r="T159" s="260"/>
      <c r="U159" s="261"/>
      <c r="V159" s="261"/>
      <c r="W159" s="175"/>
      <c r="X159" s="175"/>
      <c r="Y159" s="175"/>
      <c r="Z159" s="175"/>
      <c r="AA159" s="175"/>
      <c r="AB159" s="175"/>
      <c r="AC159" s="175"/>
      <c r="AD159" s="175"/>
      <c r="AE159" s="175"/>
      <c r="AF159" s="175"/>
      <c r="AG159" s="175"/>
      <c r="AH159" s="175"/>
    </row>
    <row r="160" spans="1:35" s="151" customFormat="1" ht="45">
      <c r="A160" s="187" t="s">
        <v>762</v>
      </c>
      <c r="B160" s="133"/>
      <c r="C160" s="135" t="s">
        <v>339</v>
      </c>
      <c r="D160" s="135"/>
      <c r="E160" s="134"/>
      <c r="F160" s="232"/>
      <c r="G160" s="134" t="s">
        <v>426</v>
      </c>
      <c r="H160" s="270" t="s">
        <v>427</v>
      </c>
      <c r="I160" s="271"/>
      <c r="J160" s="235" t="s">
        <v>429</v>
      </c>
      <c r="K160" s="236" t="s">
        <v>441</v>
      </c>
      <c r="L160" s="237"/>
      <c r="M160" s="238" t="s">
        <v>431</v>
      </c>
      <c r="N160" s="239" t="s">
        <v>432</v>
      </c>
      <c r="O160" s="144"/>
      <c r="P160" s="145"/>
      <c r="Q160" s="145"/>
      <c r="R160" s="240"/>
      <c r="S160" s="241"/>
      <c r="T160" s="241"/>
      <c r="U160" s="242"/>
      <c r="V160" s="242"/>
      <c r="W160" s="150" t="s">
        <v>437</v>
      </c>
      <c r="X160" s="150" t="s">
        <v>438</v>
      </c>
      <c r="Y160" s="150" t="s">
        <v>2</v>
      </c>
      <c r="Z160" s="150" t="s">
        <v>4</v>
      </c>
      <c r="AA160" s="150" t="s">
        <v>5</v>
      </c>
      <c r="AB160" s="150" t="s">
        <v>6</v>
      </c>
      <c r="AC160" s="150" t="s">
        <v>7</v>
      </c>
      <c r="AD160" s="150" t="s">
        <v>8</v>
      </c>
      <c r="AE160" s="150" t="s">
        <v>9</v>
      </c>
      <c r="AF160" s="150" t="s">
        <v>10</v>
      </c>
      <c r="AG160" s="150" t="s">
        <v>340</v>
      </c>
      <c r="AH160" s="150" t="s">
        <v>439</v>
      </c>
      <c r="AI160" s="272"/>
    </row>
    <row r="161" spans="1:1019" s="151" customFormat="1">
      <c r="A161" s="540" t="s">
        <v>763</v>
      </c>
      <c r="B161" s="178" t="s">
        <v>516</v>
      </c>
      <c r="C161" s="273" t="s">
        <v>764</v>
      </c>
      <c r="D161" s="273"/>
      <c r="E161" s="274">
        <f t="shared" ref="E161:E183" si="21">+E160+1</f>
        <v>1</v>
      </c>
      <c r="F161" s="275" t="s">
        <v>765</v>
      </c>
      <c r="G161" s="178">
        <v>0.1</v>
      </c>
      <c r="H161" s="160">
        <v>10</v>
      </c>
      <c r="I161" s="160"/>
      <c r="J161" s="160"/>
      <c r="K161" s="162">
        <v>3405.6</v>
      </c>
      <c r="L161" s="162">
        <v>1070</v>
      </c>
      <c r="M161" s="185"/>
      <c r="N161" s="195">
        <f t="shared" ref="N161:N183" si="22">+J161+K161+L161+M161</f>
        <v>4475.6000000000004</v>
      </c>
      <c r="O161" s="196">
        <v>13612</v>
      </c>
      <c r="P161" s="171">
        <v>2000</v>
      </c>
      <c r="Q161" s="171">
        <v>300</v>
      </c>
      <c r="R161" s="172">
        <v>3416</v>
      </c>
      <c r="S161" s="173">
        <v>6213</v>
      </c>
      <c r="T161" s="173"/>
      <c r="U161" s="174">
        <v>370</v>
      </c>
      <c r="V161" s="174">
        <v>370</v>
      </c>
      <c r="W161" s="175">
        <v>0</v>
      </c>
      <c r="X161" s="175">
        <v>4475.6000000000004</v>
      </c>
      <c r="Y161" s="201">
        <v>4699.38</v>
      </c>
      <c r="Z161" s="201">
        <v>4475</v>
      </c>
      <c r="AA161" s="289"/>
      <c r="AB161" s="289"/>
      <c r="AC161" s="289"/>
      <c r="AD161" s="289"/>
      <c r="AE161" s="289"/>
      <c r="AF161" s="290"/>
      <c r="AG161" s="290"/>
      <c r="AH161" s="291">
        <v>0</v>
      </c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</row>
    <row r="162" spans="1:1019" s="151" customFormat="1">
      <c r="A162" s="273" t="s">
        <v>240</v>
      </c>
      <c r="B162" s="178" t="s">
        <v>516</v>
      </c>
      <c r="C162" s="273"/>
      <c r="D162" s="273"/>
      <c r="E162" s="274">
        <f t="shared" si="21"/>
        <v>2</v>
      </c>
      <c r="F162" s="275" t="s">
        <v>766</v>
      </c>
      <c r="G162" s="178"/>
      <c r="H162" s="160">
        <v>11</v>
      </c>
      <c r="I162" s="160"/>
      <c r="J162" s="160">
        <v>3440</v>
      </c>
      <c r="K162" s="162"/>
      <c r="L162" s="162"/>
      <c r="M162" s="185"/>
      <c r="N162" s="195">
        <f t="shared" si="22"/>
        <v>3440</v>
      </c>
      <c r="O162" s="196">
        <v>13254</v>
      </c>
      <c r="P162" s="171">
        <v>1600</v>
      </c>
      <c r="Q162" s="171">
        <v>300</v>
      </c>
      <c r="R162" s="172">
        <v>2853</v>
      </c>
      <c r="S162" s="173">
        <v>6213</v>
      </c>
      <c r="T162" s="173"/>
      <c r="U162" s="174">
        <v>370</v>
      </c>
      <c r="V162" s="174">
        <v>370</v>
      </c>
      <c r="W162" s="175">
        <v>3440</v>
      </c>
      <c r="X162" s="176">
        <v>3440</v>
      </c>
      <c r="Y162" s="176">
        <v>3440</v>
      </c>
      <c r="Z162" s="176">
        <v>3440</v>
      </c>
      <c r="AA162" s="176"/>
      <c r="AB162" s="176"/>
      <c r="AC162" s="176"/>
      <c r="AD162" s="176"/>
      <c r="AE162" s="176"/>
      <c r="AF162" s="176"/>
      <c r="AG162" s="176"/>
      <c r="AH162" s="175">
        <v>0</v>
      </c>
      <c r="AME162"/>
    </row>
    <row r="163" spans="1:1019">
      <c r="A163" s="273" t="s">
        <v>767</v>
      </c>
      <c r="B163" s="178" t="s">
        <v>516</v>
      </c>
      <c r="C163" s="273"/>
      <c r="D163" s="273"/>
      <c r="E163" s="274">
        <f t="shared" si="21"/>
        <v>3</v>
      </c>
      <c r="F163" s="277" t="s">
        <v>768</v>
      </c>
      <c r="G163" s="178">
        <v>0.25</v>
      </c>
      <c r="H163" s="160">
        <v>10</v>
      </c>
      <c r="I163" s="160"/>
      <c r="J163" s="160"/>
      <c r="K163" s="162">
        <v>2838</v>
      </c>
      <c r="L163" s="162"/>
      <c r="M163" s="185"/>
      <c r="N163" s="195">
        <f t="shared" si="22"/>
        <v>2838</v>
      </c>
      <c r="O163" s="196">
        <v>13686</v>
      </c>
      <c r="P163" s="171">
        <v>2400</v>
      </c>
      <c r="Q163" s="171">
        <v>300</v>
      </c>
      <c r="R163" s="172">
        <v>3414</v>
      </c>
      <c r="S163" s="173">
        <v>6213</v>
      </c>
      <c r="T163" s="173"/>
      <c r="U163" s="174"/>
      <c r="V163" s="174"/>
      <c r="W163" s="175">
        <v>0</v>
      </c>
      <c r="X163" s="201">
        <v>2838</v>
      </c>
      <c r="Y163" s="176">
        <v>2838</v>
      </c>
      <c r="Z163" s="175"/>
      <c r="AA163" s="176"/>
      <c r="AB163" s="175"/>
      <c r="AC163" s="176"/>
      <c r="AD163" s="176"/>
      <c r="AE163" s="176"/>
      <c r="AF163" s="176"/>
      <c r="AG163" s="175"/>
      <c r="AH163" s="175">
        <v>0</v>
      </c>
      <c r="AME163" s="151"/>
    </row>
    <row r="164" spans="1:1019" s="151" customFormat="1">
      <c r="A164" s="541" t="s">
        <v>769</v>
      </c>
      <c r="B164" s="178" t="s">
        <v>516</v>
      </c>
      <c r="C164" s="278" t="s">
        <v>420</v>
      </c>
      <c r="D164" s="278"/>
      <c r="E164" s="274">
        <f t="shared" si="21"/>
        <v>4</v>
      </c>
      <c r="F164" s="279" t="s">
        <v>770</v>
      </c>
      <c r="G164" s="281">
        <v>0.15</v>
      </c>
      <c r="H164" s="282">
        <v>10</v>
      </c>
      <c r="I164" s="160"/>
      <c r="J164" s="160"/>
      <c r="K164" s="162">
        <v>3216.4</v>
      </c>
      <c r="L164" s="162">
        <v>1710</v>
      </c>
      <c r="M164" s="185"/>
      <c r="N164" s="195">
        <f t="shared" si="22"/>
        <v>4926.3999999999996</v>
      </c>
      <c r="O164" s="196">
        <v>13582</v>
      </c>
      <c r="P164" s="171">
        <v>1600</v>
      </c>
      <c r="Q164" s="171">
        <v>300</v>
      </c>
      <c r="R164" s="172" t="s">
        <v>488</v>
      </c>
      <c r="S164" s="173">
        <v>6213</v>
      </c>
      <c r="T164" s="173"/>
      <c r="U164" s="267"/>
      <c r="V164" s="174"/>
      <c r="W164" s="175">
        <v>0</v>
      </c>
      <c r="X164" s="201">
        <v>4926.3999999999996</v>
      </c>
      <c r="Y164" s="201">
        <v>4926.3999999999996</v>
      </c>
      <c r="Z164" s="176">
        <v>4926</v>
      </c>
      <c r="AA164" s="175"/>
      <c r="AB164" s="198"/>
      <c r="AC164" s="198"/>
      <c r="AD164" s="198"/>
      <c r="AE164" s="198"/>
      <c r="AF164" s="175"/>
      <c r="AG164" s="175"/>
      <c r="AH164" s="175">
        <v>0</v>
      </c>
    </row>
    <row r="165" spans="1:1019" s="151" customFormat="1">
      <c r="A165" s="278" t="s">
        <v>771</v>
      </c>
      <c r="B165" s="178" t="s">
        <v>516</v>
      </c>
      <c r="C165" s="278"/>
      <c r="D165" s="278"/>
      <c r="E165" s="274">
        <f t="shared" si="21"/>
        <v>5</v>
      </c>
      <c r="F165" s="280" t="s">
        <v>772</v>
      </c>
      <c r="G165" s="281"/>
      <c r="H165" s="282">
        <v>10</v>
      </c>
      <c r="I165" s="160"/>
      <c r="J165" s="160"/>
      <c r="K165" s="162">
        <v>3216.4</v>
      </c>
      <c r="L165" s="162"/>
      <c r="M165" s="185"/>
      <c r="N165" s="195">
        <f t="shared" si="22"/>
        <v>3216.4</v>
      </c>
      <c r="O165" s="196">
        <v>13823</v>
      </c>
      <c r="P165" s="171">
        <v>2880</v>
      </c>
      <c r="Q165" s="171">
        <v>300</v>
      </c>
      <c r="R165" s="172">
        <v>2991</v>
      </c>
      <c r="S165" s="173">
        <v>6213</v>
      </c>
      <c r="T165" s="173"/>
      <c r="U165" s="174">
        <v>370</v>
      </c>
      <c r="V165" s="174"/>
      <c r="W165" s="175">
        <v>0</v>
      </c>
      <c r="X165" s="201">
        <v>320</v>
      </c>
      <c r="Y165" s="176">
        <v>3216.4</v>
      </c>
      <c r="Z165" s="176">
        <v>3216.4</v>
      </c>
      <c r="AA165" s="176"/>
      <c r="AB165" s="176"/>
      <c r="AC165" s="176"/>
      <c r="AD165" s="176"/>
      <c r="AE165" s="176"/>
      <c r="AF165" s="176"/>
      <c r="AG165" s="175"/>
      <c r="AH165" s="175">
        <v>0</v>
      </c>
    </row>
    <row r="166" spans="1:1019" s="151" customFormat="1">
      <c r="A166" s="278" t="s">
        <v>773</v>
      </c>
      <c r="B166" s="286" t="s">
        <v>516</v>
      </c>
      <c r="C166" s="278"/>
      <c r="D166" s="278"/>
      <c r="E166" s="274">
        <f t="shared" si="21"/>
        <v>6</v>
      </c>
      <c r="F166" s="280" t="s">
        <v>774</v>
      </c>
      <c r="G166" s="281">
        <v>0.15</v>
      </c>
      <c r="H166" s="282">
        <v>11</v>
      </c>
      <c r="I166" s="160"/>
      <c r="J166" s="160">
        <v>2924</v>
      </c>
      <c r="K166" s="162"/>
      <c r="L166" s="162"/>
      <c r="M166" s="185"/>
      <c r="N166" s="195">
        <f t="shared" si="22"/>
        <v>2924</v>
      </c>
      <c r="O166" s="196">
        <v>13427</v>
      </c>
      <c r="P166" s="171">
        <v>0</v>
      </c>
      <c r="Q166" s="171">
        <v>300</v>
      </c>
      <c r="R166" s="172">
        <v>3159</v>
      </c>
      <c r="S166" s="173">
        <v>6213</v>
      </c>
      <c r="T166" s="173"/>
      <c r="U166" s="174">
        <v>370</v>
      </c>
      <c r="V166" s="174"/>
      <c r="W166" s="175">
        <v>2924</v>
      </c>
      <c r="X166" s="201">
        <v>2924</v>
      </c>
      <c r="Y166" s="201">
        <v>2924</v>
      </c>
      <c r="Z166" s="175"/>
      <c r="AA166" s="175"/>
      <c r="AB166" s="175"/>
      <c r="AC166" s="175"/>
      <c r="AD166" s="175"/>
      <c r="AE166" s="175"/>
      <c r="AF166" s="175"/>
      <c r="AG166" s="175"/>
      <c r="AH166" s="175"/>
    </row>
    <row r="167" spans="1:1019" s="151" customFormat="1">
      <c r="A167" s="273" t="s">
        <v>241</v>
      </c>
      <c r="B167" s="178" t="s">
        <v>516</v>
      </c>
      <c r="C167" s="273"/>
      <c r="D167" s="273"/>
      <c r="E167" s="274">
        <f t="shared" si="21"/>
        <v>7</v>
      </c>
      <c r="F167" s="277" t="s">
        <v>775</v>
      </c>
      <c r="G167" s="178">
        <v>0.1</v>
      </c>
      <c r="H167" s="160">
        <v>11</v>
      </c>
      <c r="I167" s="160"/>
      <c r="J167" s="160">
        <v>3096</v>
      </c>
      <c r="K167" s="162"/>
      <c r="L167" s="162"/>
      <c r="M167" s="185"/>
      <c r="N167" s="195">
        <f t="shared" si="22"/>
        <v>3096</v>
      </c>
      <c r="O167" s="196">
        <v>13385</v>
      </c>
      <c r="P167" s="171">
        <v>1600</v>
      </c>
      <c r="Q167" s="171">
        <v>300</v>
      </c>
      <c r="R167" s="172">
        <v>2850</v>
      </c>
      <c r="S167" s="173">
        <v>6213</v>
      </c>
      <c r="T167" s="173"/>
      <c r="U167" s="174"/>
      <c r="V167" s="174"/>
      <c r="W167" s="175">
        <v>3096</v>
      </c>
      <c r="X167" s="157"/>
      <c r="Y167" s="175"/>
      <c r="Z167" s="175"/>
      <c r="AA167" s="157"/>
      <c r="AB167" s="157"/>
      <c r="AC167" s="157"/>
      <c r="AD167" s="157"/>
      <c r="AE167" s="157"/>
      <c r="AF167" s="157"/>
      <c r="AG167" s="157"/>
      <c r="AH167" s="157">
        <v>0</v>
      </c>
    </row>
    <row r="168" spans="1:1019" s="151" customFormat="1">
      <c r="A168" s="541" t="s">
        <v>776</v>
      </c>
      <c r="B168" s="286" t="s">
        <v>516</v>
      </c>
      <c r="C168" s="278" t="s">
        <v>392</v>
      </c>
      <c r="D168" s="278"/>
      <c r="E168" s="274">
        <f t="shared" si="21"/>
        <v>8</v>
      </c>
      <c r="F168" s="280" t="s">
        <v>777</v>
      </c>
      <c r="G168" s="281">
        <v>0.1</v>
      </c>
      <c r="H168" s="282">
        <v>10</v>
      </c>
      <c r="I168" s="160"/>
      <c r="J168" s="160"/>
      <c r="K168" s="162">
        <v>3405.6</v>
      </c>
      <c r="L168" s="162">
        <v>2000</v>
      </c>
      <c r="M168" s="185"/>
      <c r="N168" s="195">
        <f t="shared" si="22"/>
        <v>5405.6</v>
      </c>
      <c r="O168" s="196">
        <v>13512</v>
      </c>
      <c r="P168" s="171">
        <v>0</v>
      </c>
      <c r="Q168" s="171">
        <v>300</v>
      </c>
      <c r="R168" s="172">
        <v>3015</v>
      </c>
      <c r="S168" s="173">
        <v>6213</v>
      </c>
      <c r="T168" s="173"/>
      <c r="U168" s="174">
        <v>370</v>
      </c>
      <c r="V168" s="174">
        <v>370</v>
      </c>
      <c r="W168" s="175">
        <v>0</v>
      </c>
      <c r="X168" s="201">
        <v>5510.6</v>
      </c>
      <c r="Y168" s="201">
        <v>5405.6</v>
      </c>
      <c r="Z168" s="175">
        <v>5405.6</v>
      </c>
      <c r="AA168" s="175"/>
      <c r="AB168" s="175"/>
      <c r="AC168" s="175"/>
      <c r="AD168" s="175"/>
      <c r="AE168" s="175"/>
      <c r="AF168" s="175"/>
      <c r="AG168" s="175"/>
      <c r="AH168" s="175"/>
    </row>
    <row r="169" spans="1:1019" s="151" customFormat="1">
      <c r="A169" s="278" t="s">
        <v>242</v>
      </c>
      <c r="B169" s="178" t="s">
        <v>516</v>
      </c>
      <c r="C169" s="278"/>
      <c r="D169" s="278"/>
      <c r="E169" s="274">
        <f t="shared" si="21"/>
        <v>9</v>
      </c>
      <c r="F169" s="280" t="s">
        <v>778</v>
      </c>
      <c r="G169" s="178">
        <v>0.1</v>
      </c>
      <c r="H169" s="160">
        <v>10</v>
      </c>
      <c r="I169" s="160"/>
      <c r="J169" s="160"/>
      <c r="K169" s="225">
        <v>3405.6</v>
      </c>
      <c r="L169" s="225"/>
      <c r="M169" s="226"/>
      <c r="N169" s="195">
        <f t="shared" si="22"/>
        <v>3405.6</v>
      </c>
      <c r="O169" s="196">
        <v>13143</v>
      </c>
      <c r="P169" s="171">
        <v>1600</v>
      </c>
      <c r="Q169" s="171">
        <v>300</v>
      </c>
      <c r="R169" s="172">
        <v>2784</v>
      </c>
      <c r="S169" s="173">
        <v>6213</v>
      </c>
      <c r="T169" s="173"/>
      <c r="U169" s="174">
        <v>370</v>
      </c>
      <c r="V169" s="174">
        <v>370</v>
      </c>
      <c r="W169" s="175">
        <v>0</v>
      </c>
      <c r="X169" s="250">
        <v>3405.6</v>
      </c>
      <c r="Y169" s="250">
        <v>3405.6</v>
      </c>
      <c r="Z169" s="198">
        <v>3405.6</v>
      </c>
      <c r="AA169" s="292"/>
      <c r="AB169" s="203"/>
      <c r="AC169" s="203"/>
      <c r="AD169" s="203"/>
      <c r="AE169" s="203"/>
      <c r="AF169" s="203"/>
      <c r="AG169" s="157"/>
      <c r="AH169" s="157">
        <v>0</v>
      </c>
    </row>
    <row r="170" spans="1:1019" s="151" customFormat="1">
      <c r="A170" s="541" t="s">
        <v>779</v>
      </c>
      <c r="B170" s="286" t="s">
        <v>516</v>
      </c>
      <c r="C170" s="278" t="s">
        <v>420</v>
      </c>
      <c r="D170" s="278"/>
      <c r="E170" s="274">
        <f t="shared" si="21"/>
        <v>10</v>
      </c>
      <c r="F170" s="280" t="s">
        <v>780</v>
      </c>
      <c r="G170" s="281"/>
      <c r="H170" s="282">
        <v>10</v>
      </c>
      <c r="I170" s="160"/>
      <c r="J170" s="160"/>
      <c r="K170" s="162">
        <v>3784</v>
      </c>
      <c r="L170" s="162">
        <v>1800</v>
      </c>
      <c r="M170" s="185"/>
      <c r="N170" s="195">
        <f t="shared" si="22"/>
        <v>5584</v>
      </c>
      <c r="O170" s="196">
        <v>13394</v>
      </c>
      <c r="P170" s="171">
        <v>0</v>
      </c>
      <c r="Q170" s="171">
        <v>300</v>
      </c>
      <c r="R170" s="172">
        <v>2954</v>
      </c>
      <c r="S170" s="173">
        <v>6213</v>
      </c>
      <c r="T170" s="173"/>
      <c r="U170" s="174">
        <v>370</v>
      </c>
      <c r="V170" s="174">
        <v>370</v>
      </c>
      <c r="W170" s="175">
        <v>0</v>
      </c>
      <c r="X170" s="176">
        <f>3784+1800</f>
        <v>5584</v>
      </c>
      <c r="Y170" s="176">
        <f>3784+1800</f>
        <v>5584</v>
      </c>
      <c r="Z170" s="183">
        <v>5584</v>
      </c>
      <c r="AA170" s="175"/>
      <c r="AB170" s="175"/>
      <c r="AC170" s="175"/>
      <c r="AD170" s="175"/>
      <c r="AE170" s="175"/>
      <c r="AF170" s="175"/>
      <c r="AG170" s="175"/>
      <c r="AH170" s="175"/>
    </row>
    <row r="171" spans="1:1019" s="151" customFormat="1">
      <c r="A171" s="540" t="s">
        <v>781</v>
      </c>
      <c r="B171" s="178" t="s">
        <v>516</v>
      </c>
      <c r="C171" s="273" t="s">
        <v>782</v>
      </c>
      <c r="D171" s="273"/>
      <c r="E171" s="274">
        <f t="shared" si="21"/>
        <v>11</v>
      </c>
      <c r="F171" s="277" t="s">
        <v>783</v>
      </c>
      <c r="G171" s="178">
        <v>0.1</v>
      </c>
      <c r="H171" s="160">
        <v>10</v>
      </c>
      <c r="I171" s="160"/>
      <c r="J171" s="160"/>
      <c r="K171" s="162">
        <v>3405.6</v>
      </c>
      <c r="L171" s="162">
        <v>2105</v>
      </c>
      <c r="M171" s="185"/>
      <c r="N171" s="195">
        <f t="shared" si="22"/>
        <v>5510.6</v>
      </c>
      <c r="O171" s="196">
        <v>13456</v>
      </c>
      <c r="P171" s="171">
        <v>1600</v>
      </c>
      <c r="Q171" s="171">
        <v>300</v>
      </c>
      <c r="R171" s="172" t="s">
        <v>784</v>
      </c>
      <c r="S171" s="173">
        <f>2000+2000</f>
        <v>4000</v>
      </c>
      <c r="T171" s="173" t="s">
        <v>785</v>
      </c>
      <c r="U171" s="174">
        <v>370</v>
      </c>
      <c r="V171" s="174">
        <v>370</v>
      </c>
      <c r="W171" s="175">
        <v>0</v>
      </c>
      <c r="X171" s="198">
        <v>5510.6</v>
      </c>
      <c r="Y171" s="198">
        <v>5510.6</v>
      </c>
      <c r="Z171" s="216">
        <v>5510.6</v>
      </c>
      <c r="AA171" s="157"/>
      <c r="AB171" s="180"/>
      <c r="AC171" s="180"/>
      <c r="AD171" s="180"/>
      <c r="AE171" s="180"/>
      <c r="AF171" s="180"/>
      <c r="AG171" s="157"/>
      <c r="AH171" s="157">
        <v>0</v>
      </c>
    </row>
    <row r="172" spans="1:1019" s="151" customFormat="1">
      <c r="A172" s="541" t="s">
        <v>247</v>
      </c>
      <c r="B172" s="286" t="s">
        <v>516</v>
      </c>
      <c r="C172" s="278" t="s">
        <v>786</v>
      </c>
      <c r="D172" s="278"/>
      <c r="E172" s="274">
        <f t="shared" si="21"/>
        <v>12</v>
      </c>
      <c r="F172" s="280" t="s">
        <v>787</v>
      </c>
      <c r="G172" s="281">
        <v>0.15</v>
      </c>
      <c r="H172" s="282">
        <v>11</v>
      </c>
      <c r="I172" s="160"/>
      <c r="J172" s="160">
        <v>2924</v>
      </c>
      <c r="K172" s="162"/>
      <c r="L172" s="162">
        <v>2000</v>
      </c>
      <c r="M172" s="185"/>
      <c r="N172" s="195">
        <f t="shared" si="22"/>
        <v>4924</v>
      </c>
      <c r="O172" s="196">
        <v>13175</v>
      </c>
      <c r="P172" s="171">
        <v>0</v>
      </c>
      <c r="Q172" s="171">
        <v>300</v>
      </c>
      <c r="R172" s="172">
        <v>2679</v>
      </c>
      <c r="S172" s="173">
        <v>6213</v>
      </c>
      <c r="T172" s="173"/>
      <c r="U172" s="174">
        <v>370</v>
      </c>
      <c r="V172" s="174">
        <v>370</v>
      </c>
      <c r="W172" s="175">
        <v>2924</v>
      </c>
      <c r="X172" s="201">
        <f>2924+2000</f>
        <v>4924</v>
      </c>
      <c r="Y172" s="201">
        <f>2924+2000</f>
        <v>4924</v>
      </c>
      <c r="Z172" s="157">
        <f>2924+2000</f>
        <v>4924</v>
      </c>
      <c r="AA172" s="175">
        <v>2000</v>
      </c>
      <c r="AB172" s="175"/>
      <c r="AC172" s="175"/>
      <c r="AD172" s="175"/>
      <c r="AE172" s="175"/>
      <c r="AF172" s="175"/>
      <c r="AG172" s="175"/>
      <c r="AH172" s="175">
        <v>0</v>
      </c>
    </row>
    <row r="173" spans="1:1019" s="151" customFormat="1">
      <c r="A173" s="278" t="s">
        <v>243</v>
      </c>
      <c r="B173" s="178" t="s">
        <v>516</v>
      </c>
      <c r="C173" s="278"/>
      <c r="D173" s="278"/>
      <c r="E173" s="274">
        <f t="shared" si="21"/>
        <v>13</v>
      </c>
      <c r="F173" s="280" t="s">
        <v>788</v>
      </c>
      <c r="G173" s="178">
        <v>0.15</v>
      </c>
      <c r="H173" s="160">
        <v>10</v>
      </c>
      <c r="I173" s="160"/>
      <c r="J173" s="160"/>
      <c r="K173" s="225">
        <v>3216.4</v>
      </c>
      <c r="L173" s="225"/>
      <c r="M173" s="226"/>
      <c r="N173" s="195">
        <f t="shared" si="22"/>
        <v>3216.4</v>
      </c>
      <c r="O173" s="196">
        <v>13268</v>
      </c>
      <c r="P173" s="171">
        <v>1600</v>
      </c>
      <c r="Q173" s="171">
        <v>300</v>
      </c>
      <c r="R173" s="172">
        <v>2798</v>
      </c>
      <c r="S173" s="173">
        <v>5948</v>
      </c>
      <c r="T173" s="173" t="s">
        <v>244</v>
      </c>
      <c r="U173" s="174">
        <v>370</v>
      </c>
      <c r="V173" s="174">
        <v>370</v>
      </c>
      <c r="W173" s="175">
        <v>0</v>
      </c>
      <c r="X173" s="175">
        <v>3216.4</v>
      </c>
      <c r="Y173" s="175">
        <v>3216.4</v>
      </c>
      <c r="Z173" s="175">
        <v>3216.4</v>
      </c>
      <c r="AA173" s="157">
        <v>3216.4</v>
      </c>
      <c r="AB173" s="157"/>
      <c r="AC173" s="157"/>
      <c r="AD173" s="157"/>
      <c r="AE173" s="157"/>
      <c r="AF173" s="157"/>
      <c r="AG173" s="157"/>
      <c r="AH173" s="157">
        <v>0</v>
      </c>
    </row>
    <row r="174" spans="1:1019" s="151" customFormat="1">
      <c r="A174" s="278" t="s">
        <v>789</v>
      </c>
      <c r="B174" s="286" t="s">
        <v>516</v>
      </c>
      <c r="C174" s="278"/>
      <c r="D174" s="278"/>
      <c r="E174" s="274">
        <f t="shared" si="21"/>
        <v>14</v>
      </c>
      <c r="F174" s="280" t="s">
        <v>790</v>
      </c>
      <c r="G174" s="281">
        <v>0.25</v>
      </c>
      <c r="H174" s="282">
        <v>11</v>
      </c>
      <c r="I174" s="160"/>
      <c r="J174" s="160">
        <v>2580</v>
      </c>
      <c r="K174" s="178"/>
      <c r="L174" s="178"/>
      <c r="M174" s="185"/>
      <c r="N174" s="195">
        <f t="shared" si="22"/>
        <v>2580</v>
      </c>
      <c r="O174" s="196"/>
      <c r="P174" s="171">
        <v>0</v>
      </c>
      <c r="Q174" s="171">
        <v>300</v>
      </c>
      <c r="R174" s="172">
        <v>2887</v>
      </c>
      <c r="S174" s="173">
        <v>6213</v>
      </c>
      <c r="T174" s="173"/>
      <c r="U174" s="174">
        <v>370</v>
      </c>
      <c r="V174" s="174" t="s">
        <v>791</v>
      </c>
      <c r="W174" s="175">
        <v>2580</v>
      </c>
      <c r="X174" s="201">
        <v>2580</v>
      </c>
      <c r="Y174" s="201">
        <v>2580</v>
      </c>
      <c r="Z174" s="175"/>
      <c r="AA174" s="175"/>
      <c r="AB174" s="175"/>
      <c r="AC174" s="175"/>
      <c r="AD174" s="175"/>
      <c r="AE174" s="175"/>
      <c r="AF174" s="175"/>
      <c r="AG174" s="175"/>
      <c r="AH174" s="175"/>
    </row>
    <row r="175" spans="1:1019" s="151" customFormat="1">
      <c r="A175" s="541" t="s">
        <v>245</v>
      </c>
      <c r="B175" s="178" t="s">
        <v>516</v>
      </c>
      <c r="C175" s="278" t="s">
        <v>390</v>
      </c>
      <c r="D175" s="278"/>
      <c r="E175" s="274">
        <f t="shared" si="21"/>
        <v>15</v>
      </c>
      <c r="F175" s="280" t="s">
        <v>792</v>
      </c>
      <c r="G175" s="281"/>
      <c r="H175" s="282">
        <v>10</v>
      </c>
      <c r="I175" s="160"/>
      <c r="J175" s="160"/>
      <c r="K175" s="162">
        <v>3784</v>
      </c>
      <c r="L175" s="162">
        <v>1800</v>
      </c>
      <c r="M175" s="185"/>
      <c r="N175" s="195">
        <f t="shared" si="22"/>
        <v>5584</v>
      </c>
      <c r="O175" s="196">
        <v>13435</v>
      </c>
      <c r="P175" s="171">
        <v>1600</v>
      </c>
      <c r="Q175" s="171">
        <v>300</v>
      </c>
      <c r="R175" s="172">
        <v>2848</v>
      </c>
      <c r="S175" s="173">
        <v>6213</v>
      </c>
      <c r="T175" s="173"/>
      <c r="U175" s="174">
        <v>370</v>
      </c>
      <c r="V175" s="174">
        <v>370</v>
      </c>
      <c r="W175" s="175">
        <v>0</v>
      </c>
      <c r="X175" s="250">
        <v>5584</v>
      </c>
      <c r="Y175" s="250">
        <v>5584</v>
      </c>
      <c r="Z175" s="250">
        <v>5584</v>
      </c>
      <c r="AA175" s="203"/>
      <c r="AB175" s="203"/>
      <c r="AC175" s="203"/>
      <c r="AD175" s="203"/>
      <c r="AE175" s="203"/>
      <c r="AF175" s="203"/>
      <c r="AG175" s="203"/>
      <c r="AH175" s="157">
        <v>0</v>
      </c>
    </row>
    <row r="176" spans="1:1019" s="151" customFormat="1">
      <c r="A176" s="273" t="s">
        <v>793</v>
      </c>
      <c r="B176" s="178" t="s">
        <v>516</v>
      </c>
      <c r="C176" s="273"/>
      <c r="D176" s="273"/>
      <c r="E176" s="274">
        <f t="shared" si="21"/>
        <v>16</v>
      </c>
      <c r="F176" s="277" t="s">
        <v>794</v>
      </c>
      <c r="G176" s="178">
        <v>0.15</v>
      </c>
      <c r="H176" s="160">
        <v>10</v>
      </c>
      <c r="I176" s="160"/>
      <c r="J176" s="160"/>
      <c r="K176" s="162">
        <v>3216.4</v>
      </c>
      <c r="L176" s="162"/>
      <c r="M176" s="185"/>
      <c r="N176" s="195">
        <f t="shared" si="22"/>
        <v>3216.4</v>
      </c>
      <c r="O176" s="196">
        <v>13675</v>
      </c>
      <c r="P176" s="171"/>
      <c r="Q176" s="171">
        <v>300</v>
      </c>
      <c r="R176" s="172">
        <v>3044</v>
      </c>
      <c r="S176" s="173">
        <v>5285</v>
      </c>
      <c r="T176" s="173"/>
      <c r="U176" s="267">
        <v>0</v>
      </c>
      <c r="V176" s="267">
        <v>0</v>
      </c>
      <c r="W176" s="175">
        <v>0</v>
      </c>
      <c r="X176" s="201">
        <v>3216.4</v>
      </c>
      <c r="Y176" s="175">
        <v>823.87</v>
      </c>
      <c r="Z176" s="175"/>
      <c r="AA176" s="157"/>
      <c r="AB176" s="157"/>
      <c r="AC176" s="157"/>
      <c r="AD176" s="157"/>
      <c r="AE176" s="157"/>
      <c r="AF176" s="157"/>
      <c r="AG176" s="157"/>
      <c r="AH176" s="157">
        <v>0</v>
      </c>
    </row>
    <row r="177" spans="1:34" s="151" customFormat="1">
      <c r="A177" s="541" t="s">
        <v>795</v>
      </c>
      <c r="B177" s="286" t="s">
        <v>516</v>
      </c>
      <c r="C177" s="278" t="s">
        <v>420</v>
      </c>
      <c r="D177" s="278"/>
      <c r="E177" s="274">
        <f t="shared" si="21"/>
        <v>17</v>
      </c>
      <c r="F177" s="280" t="s">
        <v>796</v>
      </c>
      <c r="G177" s="281">
        <v>0.15</v>
      </c>
      <c r="H177" s="282">
        <v>10</v>
      </c>
      <c r="I177" s="160"/>
      <c r="J177" s="160">
        <v>2924</v>
      </c>
      <c r="K177" s="178"/>
      <c r="L177" s="178">
        <v>1710</v>
      </c>
      <c r="M177" s="185"/>
      <c r="N177" s="195">
        <f t="shared" si="22"/>
        <v>4634</v>
      </c>
      <c r="O177" s="196">
        <v>13727</v>
      </c>
      <c r="P177" s="171">
        <v>0</v>
      </c>
      <c r="Q177" s="171">
        <v>300</v>
      </c>
      <c r="R177" s="172">
        <v>2992</v>
      </c>
      <c r="S177" s="173">
        <v>6213</v>
      </c>
      <c r="T177" s="173"/>
      <c r="U177" s="174">
        <v>370</v>
      </c>
      <c r="V177" s="174"/>
      <c r="W177" s="175">
        <v>2924</v>
      </c>
      <c r="X177" s="201">
        <f>1710+2924</f>
        <v>4634</v>
      </c>
      <c r="Y177" s="201">
        <f>1710+2924</f>
        <v>4634</v>
      </c>
      <c r="Z177" s="175">
        <v>1710</v>
      </c>
      <c r="AA177" s="175"/>
      <c r="AB177" s="175"/>
      <c r="AC177" s="175"/>
      <c r="AD177" s="175"/>
      <c r="AE177" s="175"/>
      <c r="AF177" s="175"/>
      <c r="AG177" s="175"/>
      <c r="AH177" s="175"/>
    </row>
    <row r="178" spans="1:34" s="151" customFormat="1">
      <c r="A178" s="544" t="s">
        <v>797</v>
      </c>
      <c r="B178" s="178" t="s">
        <v>516</v>
      </c>
      <c r="C178" s="273" t="s">
        <v>798</v>
      </c>
      <c r="D178" s="273"/>
      <c r="E178" s="274">
        <f t="shared" si="21"/>
        <v>18</v>
      </c>
      <c r="F178" s="277" t="s">
        <v>799</v>
      </c>
      <c r="G178" s="178">
        <v>0.1</v>
      </c>
      <c r="H178" s="160">
        <v>10</v>
      </c>
      <c r="I178" s="160"/>
      <c r="J178" s="160"/>
      <c r="K178" s="162">
        <v>3405.6</v>
      </c>
      <c r="L178" s="162">
        <v>2105</v>
      </c>
      <c r="M178" s="163"/>
      <c r="N178" s="195">
        <f t="shared" si="22"/>
        <v>5510.6</v>
      </c>
      <c r="O178" s="196">
        <v>13487</v>
      </c>
      <c r="P178" s="171">
        <v>1600</v>
      </c>
      <c r="Q178" s="171">
        <v>300</v>
      </c>
      <c r="R178" s="172" t="s">
        <v>800</v>
      </c>
      <c r="S178" s="173">
        <v>6213</v>
      </c>
      <c r="T178" s="173"/>
      <c r="U178" s="174">
        <v>370</v>
      </c>
      <c r="V178" s="174">
        <v>370</v>
      </c>
      <c r="W178" s="175">
        <v>0</v>
      </c>
      <c r="X178" s="198">
        <v>5510.6</v>
      </c>
      <c r="Y178" s="198">
        <v>5510.6</v>
      </c>
      <c r="Z178" s="198">
        <v>5510.6</v>
      </c>
      <c r="AA178" s="292"/>
      <c r="AB178" s="203"/>
      <c r="AC178" s="203"/>
      <c r="AD178" s="203"/>
      <c r="AE178" s="203"/>
      <c r="AF178" s="203"/>
      <c r="AG178" s="157"/>
      <c r="AH178" s="157">
        <v>0</v>
      </c>
    </row>
    <row r="179" spans="1:34" s="151" customFormat="1">
      <c r="A179" s="540" t="s">
        <v>801</v>
      </c>
      <c r="B179" s="178" t="s">
        <v>802</v>
      </c>
      <c r="C179" s="273" t="s">
        <v>390</v>
      </c>
      <c r="D179" s="273"/>
      <c r="E179" s="274">
        <f t="shared" si="21"/>
        <v>19</v>
      </c>
      <c r="F179" s="277" t="s">
        <v>803</v>
      </c>
      <c r="G179" s="178"/>
      <c r="H179" s="160">
        <v>10</v>
      </c>
      <c r="I179" s="160"/>
      <c r="J179" s="160"/>
      <c r="K179" s="162">
        <v>3784</v>
      </c>
      <c r="L179" s="162">
        <v>1800</v>
      </c>
      <c r="M179" s="163"/>
      <c r="N179" s="195">
        <f t="shared" si="22"/>
        <v>5584</v>
      </c>
      <c r="O179" s="196">
        <v>13308</v>
      </c>
      <c r="P179" s="171">
        <v>1600</v>
      </c>
      <c r="Q179" s="171">
        <v>300</v>
      </c>
      <c r="R179" s="172">
        <v>3003</v>
      </c>
      <c r="S179" s="173">
        <v>6213</v>
      </c>
      <c r="T179" s="173"/>
      <c r="U179" s="267">
        <v>0</v>
      </c>
      <c r="V179" s="267">
        <v>0</v>
      </c>
      <c r="W179" s="175">
        <v>0</v>
      </c>
      <c r="X179" s="201">
        <v>5863</v>
      </c>
      <c r="Y179" s="201">
        <v>5584</v>
      </c>
      <c r="Z179" s="157">
        <v>5584</v>
      </c>
      <c r="AA179" s="157"/>
      <c r="AB179" s="157"/>
      <c r="AC179" s="157"/>
      <c r="AD179" s="157"/>
      <c r="AE179" s="157"/>
      <c r="AF179" s="157"/>
      <c r="AG179" s="157"/>
      <c r="AH179" s="157">
        <v>0</v>
      </c>
    </row>
    <row r="180" spans="1:34" s="151" customFormat="1">
      <c r="A180" s="543" t="s">
        <v>804</v>
      </c>
      <c r="B180" s="178" t="s">
        <v>516</v>
      </c>
      <c r="C180" s="169"/>
      <c r="D180" s="273"/>
      <c r="E180" s="274">
        <f t="shared" si="21"/>
        <v>20</v>
      </c>
      <c r="F180" s="277" t="s">
        <v>805</v>
      </c>
      <c r="G180" s="285">
        <v>0.15</v>
      </c>
      <c r="H180" s="208">
        <v>10</v>
      </c>
      <c r="I180" s="160"/>
      <c r="J180" s="160"/>
      <c r="K180" s="162">
        <v>3216.4</v>
      </c>
      <c r="L180" s="162">
        <v>2000</v>
      </c>
      <c r="M180" s="185"/>
      <c r="N180" s="195">
        <f t="shared" si="22"/>
        <v>5216.3999999999996</v>
      </c>
      <c r="O180" s="217">
        <v>13779</v>
      </c>
      <c r="P180" s="218">
        <v>2400</v>
      </c>
      <c r="Q180" s="218">
        <v>300</v>
      </c>
      <c r="R180" s="219">
        <v>3481</v>
      </c>
      <c r="S180" s="220">
        <v>6213</v>
      </c>
      <c r="T180" s="220"/>
      <c r="U180" s="221"/>
      <c r="V180" s="221"/>
      <c r="W180" s="175">
        <v>0</v>
      </c>
      <c r="X180" s="175"/>
      <c r="Y180" s="175"/>
      <c r="Z180" s="157"/>
      <c r="AA180" s="157"/>
      <c r="AB180" s="157"/>
      <c r="AC180" s="157"/>
      <c r="AD180" s="157"/>
      <c r="AE180" s="157"/>
      <c r="AF180" s="157"/>
      <c r="AG180" s="157"/>
      <c r="AH180" s="157">
        <v>0</v>
      </c>
    </row>
    <row r="181" spans="1:34" s="151" customFormat="1">
      <c r="A181" s="273" t="s">
        <v>246</v>
      </c>
      <c r="B181" s="178" t="s">
        <v>516</v>
      </c>
      <c r="C181" s="169"/>
      <c r="D181" s="273"/>
      <c r="E181" s="274">
        <f t="shared" si="21"/>
        <v>21</v>
      </c>
      <c r="F181" s="277" t="s">
        <v>806</v>
      </c>
      <c r="G181" s="285">
        <v>0.1</v>
      </c>
      <c r="H181" s="208">
        <v>10</v>
      </c>
      <c r="I181" s="160"/>
      <c r="J181" s="160"/>
      <c r="K181" s="162">
        <v>3405.6</v>
      </c>
      <c r="L181" s="162"/>
      <c r="M181" s="185"/>
      <c r="N181" s="195">
        <f t="shared" si="22"/>
        <v>3405.6</v>
      </c>
      <c r="O181" s="217">
        <v>13802</v>
      </c>
      <c r="P181" s="218">
        <v>1600</v>
      </c>
      <c r="Q181" s="218">
        <v>300</v>
      </c>
      <c r="R181" s="219">
        <v>2805</v>
      </c>
      <c r="S181" s="220">
        <v>6213</v>
      </c>
      <c r="T181" s="220"/>
      <c r="U181" s="221">
        <v>370</v>
      </c>
      <c r="V181" s="221">
        <v>370</v>
      </c>
      <c r="W181" s="175">
        <v>0</v>
      </c>
      <c r="X181" s="176">
        <v>3405.6</v>
      </c>
      <c r="Y181" s="176">
        <v>3405.6</v>
      </c>
      <c r="Z181" s="183">
        <v>3405.6</v>
      </c>
      <c r="AA181" s="183"/>
      <c r="AB181" s="183"/>
      <c r="AC181" s="183"/>
      <c r="AD181" s="183"/>
      <c r="AE181" s="183"/>
      <c r="AF181" s="183"/>
      <c r="AG181" s="157"/>
      <c r="AH181" s="157">
        <v>0</v>
      </c>
    </row>
    <row r="182" spans="1:34" s="151" customFormat="1">
      <c r="A182" s="273" t="s">
        <v>807</v>
      </c>
      <c r="B182" s="178" t="s">
        <v>516</v>
      </c>
      <c r="C182" s="273"/>
      <c r="D182" s="273"/>
      <c r="E182" s="274">
        <f t="shared" si="21"/>
        <v>22</v>
      </c>
      <c r="F182" s="277" t="s">
        <v>808</v>
      </c>
      <c r="G182" s="178">
        <v>0.2</v>
      </c>
      <c r="H182" s="160">
        <v>10</v>
      </c>
      <c r="I182" s="160"/>
      <c r="J182" s="160"/>
      <c r="K182" s="162">
        <v>3027.2</v>
      </c>
      <c r="L182" s="162"/>
      <c r="M182" s="185"/>
      <c r="N182" s="195">
        <f t="shared" si="22"/>
        <v>3027.2</v>
      </c>
      <c r="O182" s="196">
        <v>13765</v>
      </c>
      <c r="P182" s="171">
        <v>2400</v>
      </c>
      <c r="Q182" s="171">
        <v>300</v>
      </c>
      <c r="R182" s="172">
        <v>3420</v>
      </c>
      <c r="S182" s="173">
        <v>6213</v>
      </c>
      <c r="T182" s="173"/>
      <c r="U182" s="174"/>
      <c r="V182" s="174"/>
      <c r="W182" s="175">
        <v>0</v>
      </c>
      <c r="X182" s="175">
        <v>3027.2</v>
      </c>
      <c r="Y182" s="175">
        <v>3027.2</v>
      </c>
      <c r="Z182" s="157"/>
      <c r="AA182" s="157"/>
      <c r="AB182" s="157"/>
      <c r="AC182" s="157"/>
      <c r="AD182" s="157"/>
      <c r="AE182" s="157"/>
      <c r="AF182" s="157"/>
      <c r="AG182" s="157"/>
      <c r="AH182" s="157">
        <v>0</v>
      </c>
    </row>
    <row r="183" spans="1:34" s="151" customFormat="1">
      <c r="A183" s="273" t="s">
        <v>239</v>
      </c>
      <c r="B183" s="178" t="s">
        <v>516</v>
      </c>
      <c r="C183" s="273"/>
      <c r="D183" s="273"/>
      <c r="E183" s="274">
        <f t="shared" si="21"/>
        <v>23</v>
      </c>
      <c r="F183" s="277" t="s">
        <v>809</v>
      </c>
      <c r="G183" s="178">
        <v>0.1</v>
      </c>
      <c r="H183" s="160">
        <v>10</v>
      </c>
      <c r="I183" s="160"/>
      <c r="J183" s="160"/>
      <c r="K183" s="162">
        <v>3405.6</v>
      </c>
      <c r="L183" s="162"/>
      <c r="M183" s="185"/>
      <c r="N183" s="195">
        <f t="shared" si="22"/>
        <v>3405.6</v>
      </c>
      <c r="O183" s="196">
        <v>13486</v>
      </c>
      <c r="P183" s="171">
        <v>1600</v>
      </c>
      <c r="Q183" s="171">
        <v>300</v>
      </c>
      <c r="R183" s="172">
        <v>2876</v>
      </c>
      <c r="S183" s="173">
        <v>6213</v>
      </c>
      <c r="T183" s="173"/>
      <c r="U183" s="174"/>
      <c r="V183" s="174"/>
      <c r="W183" s="175">
        <v>0</v>
      </c>
      <c r="X183" s="175">
        <v>3405.6</v>
      </c>
      <c r="Y183" s="176">
        <v>782.5</v>
      </c>
      <c r="Z183" s="176">
        <f>3405.6+1565</f>
        <v>4970.6000000000004</v>
      </c>
      <c r="AA183" s="175"/>
      <c r="AB183" s="175"/>
      <c r="AC183" s="176"/>
      <c r="AD183" s="176"/>
      <c r="AE183" s="176"/>
      <c r="AF183" s="175"/>
      <c r="AG183" s="175"/>
      <c r="AH183" s="175">
        <v>0</v>
      </c>
    </row>
    <row r="184" spans="1:34" s="151" customFormat="1">
      <c r="A184" s="278"/>
      <c r="B184" s="286"/>
      <c r="C184" s="278"/>
      <c r="D184" s="278"/>
      <c r="E184" s="278"/>
      <c r="F184" s="280"/>
      <c r="G184" s="281"/>
      <c r="H184" s="282"/>
      <c r="I184" s="160"/>
      <c r="J184" s="160"/>
      <c r="K184" s="178"/>
      <c r="L184" s="178"/>
      <c r="M184" s="185"/>
      <c r="N184" s="195"/>
      <c r="O184" s="196"/>
      <c r="P184" s="171"/>
      <c r="Q184" s="171"/>
      <c r="R184" s="172"/>
      <c r="S184" s="173"/>
      <c r="T184" s="173"/>
      <c r="U184" s="174"/>
      <c r="V184" s="174"/>
      <c r="W184" s="175"/>
      <c r="X184" s="201"/>
      <c r="Y184" s="250"/>
      <c r="Z184" s="175"/>
      <c r="AA184" s="175"/>
      <c r="AB184" s="175"/>
      <c r="AC184" s="175"/>
      <c r="AD184" s="175"/>
      <c r="AE184" s="175"/>
      <c r="AF184" s="175"/>
      <c r="AG184" s="175"/>
      <c r="AH184" s="175"/>
    </row>
    <row r="185" spans="1:34" s="151" customFormat="1">
      <c r="A185" s="278"/>
      <c r="B185" s="286"/>
      <c r="C185" s="278"/>
      <c r="D185" s="278"/>
      <c r="E185" s="278"/>
      <c r="F185" s="280"/>
      <c r="G185" s="281"/>
      <c r="H185" s="282"/>
      <c r="I185" s="160"/>
      <c r="J185" s="160"/>
      <c r="K185" s="178"/>
      <c r="L185" s="178"/>
      <c r="M185" s="185"/>
      <c r="N185" s="195"/>
      <c r="O185" s="196"/>
      <c r="P185" s="171"/>
      <c r="Q185" s="171"/>
      <c r="R185" s="172"/>
      <c r="S185" s="173"/>
      <c r="T185" s="173"/>
      <c r="U185" s="174"/>
      <c r="V185" s="174"/>
      <c r="W185" s="175"/>
      <c r="X185" s="201"/>
      <c r="Y185" s="250"/>
      <c r="Z185" s="175"/>
      <c r="AA185" s="175"/>
      <c r="AB185" s="175"/>
      <c r="AC185" s="175"/>
      <c r="AD185" s="175"/>
      <c r="AE185" s="175"/>
      <c r="AF185" s="175"/>
      <c r="AG185" s="175"/>
      <c r="AH185" s="175"/>
    </row>
    <row r="186" spans="1:34" s="151" customFormat="1">
      <c r="A186" s="187" t="s">
        <v>810</v>
      </c>
      <c r="B186" s="286"/>
      <c r="C186" s="278"/>
      <c r="D186" s="278"/>
      <c r="E186" s="278"/>
      <c r="F186" s="280"/>
      <c r="G186" s="281"/>
      <c r="H186" s="282"/>
      <c r="I186" s="160"/>
      <c r="J186" s="160"/>
      <c r="K186" s="178"/>
      <c r="L186" s="178"/>
      <c r="M186" s="185"/>
      <c r="N186" s="195"/>
      <c r="O186" s="196"/>
      <c r="P186" s="171"/>
      <c r="Q186" s="171"/>
      <c r="R186" s="172"/>
      <c r="S186" s="173"/>
      <c r="T186" s="173"/>
      <c r="U186" s="174"/>
      <c r="V186" s="174"/>
      <c r="W186" s="175"/>
      <c r="X186" s="201"/>
      <c r="Y186" s="250"/>
      <c r="Z186" s="175"/>
      <c r="AA186" s="175"/>
      <c r="AB186" s="175"/>
      <c r="AC186" s="175"/>
      <c r="AD186" s="175"/>
      <c r="AE186" s="175"/>
      <c r="AF186" s="175"/>
      <c r="AG186" s="175"/>
      <c r="AH186" s="175"/>
    </row>
    <row r="187" spans="1:34" s="151" customFormat="1">
      <c r="A187" s="540" t="s">
        <v>811</v>
      </c>
      <c r="B187" s="178" t="s">
        <v>553</v>
      </c>
      <c r="C187" s="273" t="s">
        <v>812</v>
      </c>
      <c r="D187" s="273"/>
      <c r="E187" s="274">
        <v>1</v>
      </c>
      <c r="F187" s="277" t="s">
        <v>813</v>
      </c>
      <c r="G187" s="178">
        <v>0.1</v>
      </c>
      <c r="H187" s="160">
        <v>11</v>
      </c>
      <c r="I187" s="160"/>
      <c r="J187" s="160"/>
      <c r="K187" s="162">
        <v>3405.6</v>
      </c>
      <c r="L187" s="162">
        <v>2105</v>
      </c>
      <c r="M187" s="185"/>
      <c r="N187" s="195">
        <f t="shared" ref="N187:N207" si="23">+J187+K187+L187+M187</f>
        <v>5510.6</v>
      </c>
      <c r="O187" s="196">
        <v>13453</v>
      </c>
      <c r="P187" s="171">
        <v>1600</v>
      </c>
      <c r="Q187" s="171">
        <v>300</v>
      </c>
      <c r="R187" s="172">
        <v>3086</v>
      </c>
      <c r="S187" s="173">
        <v>6213</v>
      </c>
      <c r="T187" s="173"/>
      <c r="U187" s="174">
        <v>370</v>
      </c>
      <c r="V187" s="174">
        <v>370</v>
      </c>
      <c r="W187" s="175">
        <v>0</v>
      </c>
      <c r="X187" s="563">
        <v>5510.6</v>
      </c>
      <c r="Y187" s="198">
        <v>5510.6</v>
      </c>
      <c r="Z187" s="198">
        <v>5510.6</v>
      </c>
      <c r="AA187" s="175"/>
      <c r="AB187" s="216"/>
      <c r="AC187" s="216"/>
      <c r="AD187" s="216"/>
      <c r="AE187" s="216"/>
      <c r="AF187" s="216"/>
      <c r="AG187" s="175"/>
      <c r="AH187" s="175">
        <v>0</v>
      </c>
    </row>
    <row r="188" spans="1:34" s="151" customFormat="1">
      <c r="A188" s="273" t="s">
        <v>814</v>
      </c>
      <c r="B188" s="178" t="s">
        <v>553</v>
      </c>
      <c r="C188" s="273"/>
      <c r="D188" s="273"/>
      <c r="E188" s="274">
        <f t="shared" ref="E188:E208" si="24">+E187+1</f>
        <v>2</v>
      </c>
      <c r="F188" s="277" t="s">
        <v>815</v>
      </c>
      <c r="G188" s="178"/>
      <c r="H188" s="160">
        <v>10</v>
      </c>
      <c r="I188" s="160"/>
      <c r="J188" s="160"/>
      <c r="K188" s="162">
        <v>3784</v>
      </c>
      <c r="L188" s="225"/>
      <c r="M188" s="178"/>
      <c r="N188" s="195">
        <f t="shared" si="23"/>
        <v>3784</v>
      </c>
      <c r="O188" s="276">
        <v>13603</v>
      </c>
      <c r="P188" s="197">
        <v>1600</v>
      </c>
      <c r="Q188" s="197">
        <v>300</v>
      </c>
      <c r="R188" s="172">
        <v>3243</v>
      </c>
      <c r="S188" s="173">
        <f>3000+3213</f>
        <v>6213</v>
      </c>
      <c r="T188" s="173"/>
      <c r="U188" s="174"/>
      <c r="V188" s="174"/>
      <c r="W188" s="157">
        <v>0</v>
      </c>
      <c r="X188" s="579">
        <v>3784</v>
      </c>
      <c r="Y188" s="295">
        <v>3784</v>
      </c>
      <c r="Z188" s="183"/>
      <c r="AA188" s="176"/>
      <c r="AB188" s="176"/>
      <c r="AC188" s="176"/>
      <c r="AD188" s="176"/>
      <c r="AE188" s="176"/>
      <c r="AF188" s="176"/>
      <c r="AG188" s="175"/>
      <c r="AH188" s="175"/>
    </row>
    <row r="189" spans="1:34" s="151" customFormat="1">
      <c r="A189" s="273" t="s">
        <v>230</v>
      </c>
      <c r="B189" s="178" t="s">
        <v>553</v>
      </c>
      <c r="C189" s="273"/>
      <c r="D189" s="273"/>
      <c r="E189" s="274">
        <f t="shared" si="24"/>
        <v>3</v>
      </c>
      <c r="F189" s="277" t="s">
        <v>816</v>
      </c>
      <c r="G189" s="178">
        <v>0.15</v>
      </c>
      <c r="H189" s="160">
        <v>10</v>
      </c>
      <c r="I189" s="160"/>
      <c r="J189" s="160"/>
      <c r="K189" s="162">
        <v>3216.4</v>
      </c>
      <c r="L189" s="162"/>
      <c r="M189" s="185"/>
      <c r="N189" s="195">
        <f t="shared" si="23"/>
        <v>3216.4</v>
      </c>
      <c r="O189" s="196">
        <v>13689</v>
      </c>
      <c r="P189" s="171">
        <f>1300+300</f>
        <v>1600</v>
      </c>
      <c r="Q189" s="171">
        <v>300</v>
      </c>
      <c r="R189" s="172" t="s">
        <v>817</v>
      </c>
      <c r="S189" s="173">
        <f>213+4000+2000</f>
        <v>6213</v>
      </c>
      <c r="T189" s="173"/>
      <c r="U189" s="174">
        <v>370</v>
      </c>
      <c r="V189" s="174">
        <v>370</v>
      </c>
      <c r="W189" s="175">
        <v>0</v>
      </c>
      <c r="X189" s="175">
        <v>3216.4</v>
      </c>
      <c r="Y189" s="201">
        <v>3216.4</v>
      </c>
      <c r="Z189" s="201">
        <f>2669.5+546.9</f>
        <v>3216.4</v>
      </c>
      <c r="AA189" s="201"/>
      <c r="AB189" s="183"/>
      <c r="AC189" s="183"/>
      <c r="AD189" s="176"/>
      <c r="AE189" s="176"/>
      <c r="AF189" s="176"/>
      <c r="AG189" s="175"/>
      <c r="AH189" s="175">
        <v>0</v>
      </c>
    </row>
    <row r="190" spans="1:34" s="151" customFormat="1">
      <c r="A190" s="278" t="s">
        <v>818</v>
      </c>
      <c r="B190" s="178" t="s">
        <v>553</v>
      </c>
      <c r="C190" s="278" t="s">
        <v>819</v>
      </c>
      <c r="D190" s="278"/>
      <c r="E190" s="274">
        <f t="shared" si="24"/>
        <v>4</v>
      </c>
      <c r="F190" s="280" t="s">
        <v>820</v>
      </c>
      <c r="G190" s="281">
        <v>0.15</v>
      </c>
      <c r="H190" s="282">
        <v>10</v>
      </c>
      <c r="I190" s="160"/>
      <c r="J190" s="160"/>
      <c r="K190" s="162">
        <v>3216.4</v>
      </c>
      <c r="L190" s="162"/>
      <c r="M190" s="185"/>
      <c r="N190" s="195">
        <f t="shared" si="23"/>
        <v>3216.4</v>
      </c>
      <c r="O190" s="196">
        <v>13868</v>
      </c>
      <c r="P190" s="171"/>
      <c r="Q190" s="171">
        <v>300</v>
      </c>
      <c r="R190" s="172">
        <v>3427</v>
      </c>
      <c r="S190" s="173">
        <v>6213</v>
      </c>
      <c r="T190" s="173"/>
      <c r="U190" s="267">
        <v>0</v>
      </c>
      <c r="V190" s="267">
        <v>0</v>
      </c>
      <c r="W190" s="175"/>
      <c r="X190" s="201"/>
      <c r="Y190" s="250"/>
      <c r="Z190" s="175"/>
      <c r="AA190" s="157"/>
      <c r="AB190" s="157"/>
      <c r="AC190" s="157"/>
      <c r="AD190" s="157"/>
      <c r="AE190" s="157"/>
      <c r="AF190" s="157"/>
      <c r="AG190" s="157"/>
      <c r="AH190" s="157">
        <v>0</v>
      </c>
    </row>
    <row r="191" spans="1:34" s="151" customFormat="1">
      <c r="A191" s="278" t="s">
        <v>821</v>
      </c>
      <c r="B191" s="178" t="s">
        <v>553</v>
      </c>
      <c r="C191" s="278"/>
      <c r="D191" s="278"/>
      <c r="E191" s="274">
        <f t="shared" si="24"/>
        <v>5</v>
      </c>
      <c r="F191" s="280" t="s">
        <v>822</v>
      </c>
      <c r="G191" s="178">
        <v>0.17</v>
      </c>
      <c r="H191" s="160">
        <v>10</v>
      </c>
      <c r="I191" s="160"/>
      <c r="J191" s="160"/>
      <c r="K191" s="225">
        <v>2879.28</v>
      </c>
      <c r="L191" s="225"/>
      <c r="M191" s="226"/>
      <c r="N191" s="195">
        <f t="shared" si="23"/>
        <v>2879.28</v>
      </c>
      <c r="O191" s="196">
        <v>13106</v>
      </c>
      <c r="P191" s="171">
        <v>1600</v>
      </c>
      <c r="Q191" s="171">
        <v>300</v>
      </c>
      <c r="R191" s="172">
        <v>2890</v>
      </c>
      <c r="S191" s="173">
        <v>6213</v>
      </c>
      <c r="T191" s="173"/>
      <c r="U191" s="174"/>
      <c r="V191" s="174"/>
      <c r="W191" s="175">
        <v>2879.28</v>
      </c>
      <c r="X191" s="175">
        <v>2879.28</v>
      </c>
      <c r="Y191" s="175">
        <v>2879.28</v>
      </c>
      <c r="Z191" s="175">
        <v>2879.28</v>
      </c>
      <c r="AA191" s="175">
        <v>2879.28</v>
      </c>
      <c r="AB191" s="175">
        <v>2879.28</v>
      </c>
      <c r="AC191" s="175">
        <v>2879.28</v>
      </c>
      <c r="AD191" s="175">
        <v>2879.28</v>
      </c>
      <c r="AE191" s="175">
        <v>2879.28</v>
      </c>
      <c r="AF191" s="175">
        <v>2879.28</v>
      </c>
      <c r="AG191" s="175">
        <v>2879.28</v>
      </c>
      <c r="AH191" s="175">
        <v>0</v>
      </c>
    </row>
    <row r="192" spans="1:34" s="151" customFormat="1">
      <c r="A192" s="541" t="s">
        <v>823</v>
      </c>
      <c r="B192" s="178" t="s">
        <v>553</v>
      </c>
      <c r="C192" s="278" t="s">
        <v>420</v>
      </c>
      <c r="D192" s="278"/>
      <c r="E192" s="274">
        <f t="shared" si="24"/>
        <v>6</v>
      </c>
      <c r="F192" s="280" t="s">
        <v>824</v>
      </c>
      <c r="G192" s="281">
        <v>0.15</v>
      </c>
      <c r="H192" s="282">
        <v>10</v>
      </c>
      <c r="I192" s="160"/>
      <c r="J192" s="160"/>
      <c r="K192" s="162">
        <v>3216.4</v>
      </c>
      <c r="L192" s="162">
        <v>1710</v>
      </c>
      <c r="M192" s="185"/>
      <c r="N192" s="195">
        <f t="shared" si="23"/>
        <v>4926.3999999999996</v>
      </c>
      <c r="O192" s="196">
        <v>13518</v>
      </c>
      <c r="P192" s="171">
        <v>1600</v>
      </c>
      <c r="Q192" s="171">
        <v>300</v>
      </c>
      <c r="R192" s="172" t="s">
        <v>825</v>
      </c>
      <c r="S192" s="173">
        <f>3758+2435</f>
        <v>6193</v>
      </c>
      <c r="T192" s="173"/>
      <c r="U192" s="267">
        <v>0</v>
      </c>
      <c r="V192" s="267">
        <v>0</v>
      </c>
      <c r="W192" s="175">
        <v>0</v>
      </c>
      <c r="X192" s="201">
        <f>3076.15+1710+140.25</f>
        <v>4926.3999999999996</v>
      </c>
      <c r="Y192" s="201">
        <v>4926.3999999999996</v>
      </c>
      <c r="Z192" s="175">
        <v>4926.3999999999996</v>
      </c>
      <c r="AA192" s="175"/>
      <c r="AB192" s="175"/>
      <c r="AC192" s="175"/>
      <c r="AD192" s="175"/>
      <c r="AE192" s="175"/>
      <c r="AF192" s="175"/>
      <c r="AG192" s="175"/>
      <c r="AH192" s="175">
        <v>0</v>
      </c>
    </row>
    <row r="193" spans="1:34" s="151" customFormat="1">
      <c r="A193" s="278" t="s">
        <v>826</v>
      </c>
      <c r="B193" s="178" t="s">
        <v>553</v>
      </c>
      <c r="C193" s="278"/>
      <c r="D193" s="278"/>
      <c r="E193" s="274">
        <f t="shared" si="24"/>
        <v>7</v>
      </c>
      <c r="F193" s="280" t="s">
        <v>766</v>
      </c>
      <c r="G193" s="178"/>
      <c r="H193" s="160">
        <v>10</v>
      </c>
      <c r="I193" s="160"/>
      <c r="J193" s="160"/>
      <c r="K193" s="225">
        <v>756</v>
      </c>
      <c r="L193" s="225"/>
      <c r="M193" s="226"/>
      <c r="N193" s="195">
        <f t="shared" si="23"/>
        <v>756</v>
      </c>
      <c r="O193" s="196">
        <v>13327</v>
      </c>
      <c r="P193" s="171">
        <v>1600</v>
      </c>
      <c r="Q193" s="171">
        <v>300</v>
      </c>
      <c r="R193" s="172">
        <v>3239</v>
      </c>
      <c r="S193" s="173">
        <v>2000</v>
      </c>
      <c r="T193" s="173" t="s">
        <v>827</v>
      </c>
      <c r="U193" s="174"/>
      <c r="V193" s="174"/>
      <c r="W193" s="175">
        <v>0</v>
      </c>
      <c r="X193" s="198">
        <v>756</v>
      </c>
      <c r="Y193" s="198">
        <v>756</v>
      </c>
      <c r="Z193" s="198">
        <v>756</v>
      </c>
      <c r="AA193" s="175"/>
      <c r="AB193" s="175"/>
      <c r="AC193" s="175"/>
      <c r="AD193" s="175"/>
      <c r="AE193" s="175"/>
      <c r="AF193" s="175"/>
      <c r="AG193" s="175"/>
      <c r="AH193" s="175"/>
    </row>
    <row r="194" spans="1:34" s="151" customFormat="1">
      <c r="A194" s="278" t="s">
        <v>828</v>
      </c>
      <c r="B194" s="178" t="s">
        <v>553</v>
      </c>
      <c r="C194" s="278"/>
      <c r="D194" s="278"/>
      <c r="E194" s="274">
        <f t="shared" si="24"/>
        <v>8</v>
      </c>
      <c r="F194" s="280" t="s">
        <v>829</v>
      </c>
      <c r="G194" s="281"/>
      <c r="H194" s="282">
        <v>10</v>
      </c>
      <c r="I194" s="160"/>
      <c r="J194" s="160"/>
      <c r="K194" s="162">
        <v>3376.4</v>
      </c>
      <c r="L194" s="204"/>
      <c r="M194" s="185"/>
      <c r="N194" s="195">
        <f t="shared" si="23"/>
        <v>3376.4</v>
      </c>
      <c r="O194" s="196">
        <v>13629</v>
      </c>
      <c r="P194" s="171">
        <v>0</v>
      </c>
      <c r="Q194" s="171">
        <v>300</v>
      </c>
      <c r="R194" s="172" t="s">
        <v>800</v>
      </c>
      <c r="S194" s="173"/>
      <c r="T194" s="173" t="s">
        <v>830</v>
      </c>
      <c r="U194" s="174"/>
      <c r="V194" s="174"/>
      <c r="W194" s="175">
        <v>0</v>
      </c>
      <c r="X194" s="198">
        <v>3376.4</v>
      </c>
      <c r="Y194" s="198">
        <v>3376.4</v>
      </c>
      <c r="Z194" s="198">
        <v>3376.4</v>
      </c>
      <c r="AA194" s="198"/>
      <c r="AB194" s="198"/>
      <c r="AC194" s="198"/>
      <c r="AD194" s="198"/>
      <c r="AE194" s="198"/>
      <c r="AF194" s="198"/>
      <c r="AG194" s="198"/>
      <c r="AH194" s="175">
        <v>0</v>
      </c>
    </row>
    <row r="195" spans="1:34" s="151" customFormat="1">
      <c r="A195" s="273" t="s">
        <v>831</v>
      </c>
      <c r="B195" s="178" t="s">
        <v>553</v>
      </c>
      <c r="C195" s="273"/>
      <c r="D195" s="273"/>
      <c r="E195" s="274">
        <f t="shared" si="24"/>
        <v>9</v>
      </c>
      <c r="F195" s="277" t="s">
        <v>832</v>
      </c>
      <c r="G195" s="178">
        <v>0.25</v>
      </c>
      <c r="H195" s="160">
        <v>10</v>
      </c>
      <c r="I195" s="160"/>
      <c r="J195" s="160"/>
      <c r="K195" s="162">
        <v>2838</v>
      </c>
      <c r="L195" s="162"/>
      <c r="M195" s="185"/>
      <c r="N195" s="195">
        <f t="shared" si="23"/>
        <v>2838</v>
      </c>
      <c r="O195" s="196">
        <v>13686</v>
      </c>
      <c r="P195" s="171">
        <v>2400</v>
      </c>
      <c r="Q195" s="171">
        <v>300</v>
      </c>
      <c r="R195" s="172">
        <v>3414</v>
      </c>
      <c r="S195" s="173">
        <v>6213</v>
      </c>
      <c r="T195" s="173"/>
      <c r="U195" s="174"/>
      <c r="V195" s="174"/>
      <c r="W195" s="175">
        <v>0</v>
      </c>
      <c r="X195" s="201">
        <v>2838</v>
      </c>
      <c r="Y195" s="176">
        <v>2838</v>
      </c>
      <c r="Z195" s="175"/>
      <c r="AA195" s="183"/>
      <c r="AB195" s="157"/>
      <c r="AC195" s="183"/>
      <c r="AD195" s="183"/>
      <c r="AE195" s="183"/>
      <c r="AF195" s="183"/>
      <c r="AG195" s="157"/>
      <c r="AH195" s="157">
        <v>0</v>
      </c>
    </row>
    <row r="196" spans="1:34" s="151" customFormat="1">
      <c r="A196" s="541" t="s">
        <v>833</v>
      </c>
      <c r="B196" s="178" t="s">
        <v>553</v>
      </c>
      <c r="C196" s="293" t="s">
        <v>834</v>
      </c>
      <c r="D196" s="278"/>
      <c r="E196" s="274">
        <f t="shared" si="24"/>
        <v>10</v>
      </c>
      <c r="F196" s="280" t="s">
        <v>835</v>
      </c>
      <c r="G196" s="287">
        <v>0.1</v>
      </c>
      <c r="H196" s="288">
        <v>10</v>
      </c>
      <c r="I196" s="160"/>
      <c r="J196" s="160"/>
      <c r="K196" s="162">
        <v>3405.6</v>
      </c>
      <c r="L196" s="162">
        <v>2105</v>
      </c>
      <c r="M196" s="185"/>
      <c r="N196" s="195">
        <f t="shared" si="23"/>
        <v>5510.6</v>
      </c>
      <c r="O196" s="196"/>
      <c r="P196" s="171"/>
      <c r="Q196" s="171"/>
      <c r="R196" s="172"/>
      <c r="S196" s="173"/>
      <c r="T196" s="173"/>
      <c r="U196" s="174"/>
      <c r="V196" s="174"/>
      <c r="W196" s="175"/>
      <c r="X196" s="201"/>
      <c r="Y196" s="201"/>
      <c r="Z196" s="175"/>
      <c r="AA196" s="175"/>
      <c r="AB196" s="175"/>
      <c r="AC196" s="175"/>
      <c r="AD196" s="175"/>
      <c r="AE196" s="175"/>
      <c r="AF196" s="175"/>
      <c r="AG196" s="175"/>
      <c r="AH196" s="175">
        <v>0</v>
      </c>
    </row>
    <row r="197" spans="1:34" s="151" customFormat="1">
      <c r="A197" s="542" t="s">
        <v>836</v>
      </c>
      <c r="B197" s="178" t="s">
        <v>553</v>
      </c>
      <c r="C197" s="507" t="s">
        <v>837</v>
      </c>
      <c r="D197" s="283"/>
      <c r="E197" s="274">
        <f t="shared" si="24"/>
        <v>11</v>
      </c>
      <c r="F197" s="280" t="s">
        <v>838</v>
      </c>
      <c r="G197" s="285">
        <v>0.15</v>
      </c>
      <c r="H197" s="208">
        <v>10</v>
      </c>
      <c r="I197" s="160"/>
      <c r="J197" s="160"/>
      <c r="K197" s="225">
        <v>3216.4</v>
      </c>
      <c r="L197" s="225">
        <v>2000</v>
      </c>
      <c r="M197" s="226"/>
      <c r="N197" s="195">
        <f t="shared" si="23"/>
        <v>5216.3999999999996</v>
      </c>
      <c r="O197" s="196">
        <v>13291</v>
      </c>
      <c r="P197" s="171">
        <v>1600</v>
      </c>
      <c r="Q197" s="171">
        <v>300</v>
      </c>
      <c r="R197" s="172">
        <v>2944</v>
      </c>
      <c r="S197" s="173">
        <v>6213</v>
      </c>
      <c r="T197" s="173"/>
      <c r="U197" s="174">
        <v>370</v>
      </c>
      <c r="V197" s="174"/>
      <c r="W197" s="175">
        <v>0</v>
      </c>
      <c r="X197" s="250">
        <v>5216.3999999999996</v>
      </c>
      <c r="Y197" s="250">
        <v>5216.3999999999996</v>
      </c>
      <c r="Z197" s="198">
        <v>5216.3999999999996</v>
      </c>
      <c r="AA197" s="250"/>
      <c r="AB197" s="198"/>
      <c r="AC197" s="198"/>
      <c r="AD197" s="198"/>
      <c r="AE197" s="198"/>
      <c r="AF197" s="198"/>
      <c r="AG197" s="175"/>
      <c r="AH197" s="175">
        <v>0</v>
      </c>
    </row>
    <row r="198" spans="1:34" s="151" customFormat="1">
      <c r="A198" s="540" t="s">
        <v>232</v>
      </c>
      <c r="B198" s="178" t="s">
        <v>553</v>
      </c>
      <c r="C198" s="169" t="s">
        <v>357</v>
      </c>
      <c r="D198" s="273"/>
      <c r="E198" s="274">
        <f t="shared" si="24"/>
        <v>12</v>
      </c>
      <c r="F198" s="277" t="s">
        <v>839</v>
      </c>
      <c r="G198" s="285">
        <v>15</v>
      </c>
      <c r="H198" s="208">
        <v>10</v>
      </c>
      <c r="I198" s="160"/>
      <c r="J198" s="160"/>
      <c r="K198" s="162">
        <v>3216.4</v>
      </c>
      <c r="L198" s="294">
        <v>1475</v>
      </c>
      <c r="M198" s="502"/>
      <c r="N198" s="195">
        <f t="shared" si="23"/>
        <v>4691.3999999999996</v>
      </c>
      <c r="O198" s="196">
        <v>13724</v>
      </c>
      <c r="P198" s="171">
        <v>2400</v>
      </c>
      <c r="Q198" s="171">
        <v>300</v>
      </c>
      <c r="R198" s="172">
        <v>2752</v>
      </c>
      <c r="S198" s="173">
        <v>6335</v>
      </c>
      <c r="T198" s="173" t="s">
        <v>233</v>
      </c>
      <c r="U198" s="174">
        <v>370</v>
      </c>
      <c r="V198" s="174">
        <v>370</v>
      </c>
      <c r="W198" s="175">
        <v>0</v>
      </c>
      <c r="X198" s="201">
        <v>4691.3999999999996</v>
      </c>
      <c r="Y198" s="176">
        <v>4691.3999999999996</v>
      </c>
      <c r="Z198" s="176"/>
      <c r="AA198" s="176"/>
      <c r="AB198" s="176"/>
      <c r="AC198" s="176"/>
      <c r="AD198" s="176"/>
      <c r="AE198" s="176"/>
      <c r="AF198" s="176"/>
      <c r="AG198" s="175"/>
      <c r="AH198" s="175">
        <v>0</v>
      </c>
    </row>
    <row r="199" spans="1:34" s="151" customFormat="1">
      <c r="A199" s="540" t="s">
        <v>840</v>
      </c>
      <c r="B199" s="178" t="s">
        <v>553</v>
      </c>
      <c r="C199" s="169" t="s">
        <v>345</v>
      </c>
      <c r="D199" s="273"/>
      <c r="E199" s="274">
        <f t="shared" si="24"/>
        <v>13</v>
      </c>
      <c r="F199" s="277" t="s">
        <v>841</v>
      </c>
      <c r="G199" s="285">
        <v>0.15</v>
      </c>
      <c r="H199" s="208">
        <v>10</v>
      </c>
      <c r="I199" s="160"/>
      <c r="J199" s="160"/>
      <c r="K199" s="162">
        <v>3216.4</v>
      </c>
      <c r="L199" s="162">
        <v>1925</v>
      </c>
      <c r="M199" s="185"/>
      <c r="N199" s="195">
        <f t="shared" si="23"/>
        <v>5141.3999999999996</v>
      </c>
      <c r="O199" s="217"/>
      <c r="P199" s="218"/>
      <c r="Q199" s="218"/>
      <c r="R199" s="219">
        <v>2983</v>
      </c>
      <c r="S199" s="220">
        <v>6213</v>
      </c>
      <c r="T199" s="220"/>
      <c r="U199" s="221">
        <v>370</v>
      </c>
      <c r="V199" s="221">
        <v>370</v>
      </c>
      <c r="W199" s="175">
        <v>0</v>
      </c>
      <c r="X199" s="176">
        <v>5141.3999999999996</v>
      </c>
      <c r="Y199" s="176">
        <v>5141.3999999999996</v>
      </c>
      <c r="Z199" s="176">
        <v>5398.47</v>
      </c>
      <c r="AA199" s="176"/>
      <c r="AB199" s="176"/>
      <c r="AC199" s="176"/>
      <c r="AD199" s="176"/>
      <c r="AE199" s="176"/>
      <c r="AF199" s="176"/>
      <c r="AG199" s="176"/>
      <c r="AH199" s="175">
        <v>0</v>
      </c>
    </row>
    <row r="200" spans="1:34" s="151" customFormat="1">
      <c r="A200" s="540" t="s">
        <v>842</v>
      </c>
      <c r="B200" s="178" t="s">
        <v>553</v>
      </c>
      <c r="C200" s="169" t="s">
        <v>843</v>
      </c>
      <c r="D200" s="273"/>
      <c r="E200" s="274">
        <f t="shared" si="24"/>
        <v>14</v>
      </c>
      <c r="F200" s="277" t="s">
        <v>844</v>
      </c>
      <c r="G200" s="285">
        <v>0.1</v>
      </c>
      <c r="H200" s="208">
        <v>10</v>
      </c>
      <c r="I200" s="160"/>
      <c r="J200" s="160"/>
      <c r="K200" s="162">
        <v>3405.6</v>
      </c>
      <c r="L200" s="162">
        <v>2105</v>
      </c>
      <c r="M200" s="185"/>
      <c r="N200" s="195">
        <f t="shared" si="23"/>
        <v>5510.6</v>
      </c>
      <c r="O200" s="217">
        <v>13616</v>
      </c>
      <c r="P200" s="218">
        <v>2400</v>
      </c>
      <c r="Q200" s="218">
        <v>300</v>
      </c>
      <c r="R200" s="219">
        <v>3043</v>
      </c>
      <c r="S200" s="220">
        <v>3500</v>
      </c>
      <c r="T200" s="220" t="s">
        <v>845</v>
      </c>
      <c r="U200" s="221">
        <v>370</v>
      </c>
      <c r="V200" s="221">
        <v>370</v>
      </c>
      <c r="W200" s="175">
        <v>0</v>
      </c>
      <c r="X200" s="563">
        <v>5510.6</v>
      </c>
      <c r="Y200" s="198">
        <v>5510.6</v>
      </c>
      <c r="Z200" s="201">
        <f>2105+525</f>
        <v>2630</v>
      </c>
      <c r="AA200" s="201"/>
      <c r="AB200" s="201"/>
      <c r="AC200" s="201"/>
      <c r="AD200" s="176"/>
      <c r="AE200" s="175"/>
      <c r="AF200" s="176"/>
      <c r="AG200" s="175"/>
      <c r="AH200" s="175">
        <v>0</v>
      </c>
    </row>
    <row r="201" spans="1:34" s="151" customFormat="1">
      <c r="A201" s="273" t="s">
        <v>234</v>
      </c>
      <c r="B201" s="178" t="s">
        <v>553</v>
      </c>
      <c r="C201" s="169" t="s">
        <v>846</v>
      </c>
      <c r="D201" s="273"/>
      <c r="E201" s="274">
        <f t="shared" si="24"/>
        <v>15</v>
      </c>
      <c r="F201" s="277" t="s">
        <v>847</v>
      </c>
      <c r="G201" s="285">
        <v>0.15</v>
      </c>
      <c r="H201" s="208">
        <v>10</v>
      </c>
      <c r="I201" s="160"/>
      <c r="J201" s="160"/>
      <c r="K201" s="162">
        <v>3216.4</v>
      </c>
      <c r="L201" s="162"/>
      <c r="M201" s="185"/>
      <c r="N201" s="195">
        <f t="shared" si="23"/>
        <v>3216.4</v>
      </c>
      <c r="O201" s="217">
        <v>13214</v>
      </c>
      <c r="P201" s="218">
        <v>1600</v>
      </c>
      <c r="Q201" s="218">
        <v>300</v>
      </c>
      <c r="R201" s="219" t="s">
        <v>235</v>
      </c>
      <c r="S201" s="220">
        <f>3115+3098</f>
        <v>6213</v>
      </c>
      <c r="T201" s="220"/>
      <c r="U201" s="221">
        <v>370</v>
      </c>
      <c r="V201" s="221">
        <v>370</v>
      </c>
      <c r="W201" s="175">
        <v>0</v>
      </c>
      <c r="X201" s="175">
        <v>3216.4</v>
      </c>
      <c r="Y201" s="175">
        <v>3216.4</v>
      </c>
      <c r="Z201" s="175">
        <v>3216.4</v>
      </c>
      <c r="AA201" s="175"/>
      <c r="AB201" s="175"/>
      <c r="AC201" s="175"/>
      <c r="AD201" s="175"/>
      <c r="AE201" s="175"/>
      <c r="AF201" s="175"/>
      <c r="AG201" s="175"/>
      <c r="AH201" s="175">
        <v>0</v>
      </c>
    </row>
    <row r="202" spans="1:34" s="151" customFormat="1" ht="17.25" customHeight="1">
      <c r="A202" s="273" t="s">
        <v>236</v>
      </c>
      <c r="B202" s="178" t="s">
        <v>553</v>
      </c>
      <c r="C202" s="169"/>
      <c r="D202" s="273"/>
      <c r="E202" s="274">
        <f t="shared" si="24"/>
        <v>16</v>
      </c>
      <c r="F202" s="277" t="s">
        <v>848</v>
      </c>
      <c r="G202" s="285">
        <v>0.15</v>
      </c>
      <c r="H202" s="208">
        <v>10</v>
      </c>
      <c r="I202" s="160"/>
      <c r="J202" s="160"/>
      <c r="K202" s="162">
        <v>3216.4</v>
      </c>
      <c r="L202" s="162"/>
      <c r="M202" s="185"/>
      <c r="N202" s="195">
        <f>+J202+K202+L202+M202</f>
        <v>3216.4</v>
      </c>
      <c r="O202" s="217">
        <v>13496</v>
      </c>
      <c r="P202" s="218">
        <v>1600</v>
      </c>
      <c r="Q202" s="218">
        <v>300</v>
      </c>
      <c r="R202" s="219">
        <v>2873</v>
      </c>
      <c r="S202" s="220">
        <v>6213</v>
      </c>
      <c r="T202" s="220"/>
      <c r="U202" s="221">
        <v>370</v>
      </c>
      <c r="V202" s="221">
        <v>370</v>
      </c>
      <c r="W202" s="175">
        <v>0</v>
      </c>
      <c r="X202" s="175">
        <v>3216.4</v>
      </c>
      <c r="Y202" s="175">
        <v>3216.4</v>
      </c>
      <c r="Z202" s="175">
        <v>3216.4</v>
      </c>
      <c r="AA202" s="175">
        <v>3216</v>
      </c>
      <c r="AB202" s="175"/>
      <c r="AC202" s="175"/>
      <c r="AD202" s="175"/>
      <c r="AE202" s="175"/>
      <c r="AF202" s="175"/>
      <c r="AG202" s="175"/>
      <c r="AH202" s="175">
        <v>0</v>
      </c>
    </row>
    <row r="203" spans="1:34" s="151" customFormat="1">
      <c r="A203" s="540" t="s">
        <v>849</v>
      </c>
      <c r="B203" s="178" t="s">
        <v>553</v>
      </c>
      <c r="C203" s="169" t="s">
        <v>850</v>
      </c>
      <c r="D203" s="169"/>
      <c r="E203" s="274">
        <f t="shared" si="24"/>
        <v>17</v>
      </c>
      <c r="F203" s="277" t="s">
        <v>851</v>
      </c>
      <c r="G203" s="285">
        <v>0.2</v>
      </c>
      <c r="H203" s="208">
        <v>10</v>
      </c>
      <c r="I203" s="160"/>
      <c r="J203" s="160"/>
      <c r="K203" s="162">
        <v>3027.2</v>
      </c>
      <c r="L203" s="162">
        <v>2105</v>
      </c>
      <c r="M203" s="163"/>
      <c r="N203" s="195">
        <f t="shared" si="23"/>
        <v>5132.2</v>
      </c>
      <c r="O203" s="217">
        <v>13576</v>
      </c>
      <c r="P203" s="218">
        <v>1600</v>
      </c>
      <c r="Q203" s="218">
        <v>300</v>
      </c>
      <c r="R203" s="219">
        <v>2940</v>
      </c>
      <c r="S203" s="220">
        <v>6213</v>
      </c>
      <c r="T203" s="220"/>
      <c r="U203" s="221">
        <v>370</v>
      </c>
      <c r="V203" s="221">
        <v>370</v>
      </c>
      <c r="W203" s="175">
        <v>0</v>
      </c>
      <c r="X203" s="176">
        <v>5132.2</v>
      </c>
      <c r="Y203" s="176">
        <v>5132.2</v>
      </c>
      <c r="Z203" s="176">
        <v>5132.2</v>
      </c>
      <c r="AA203" s="176"/>
      <c r="AB203" s="176"/>
      <c r="AC203" s="201"/>
      <c r="AD203" s="175"/>
      <c r="AE203" s="176"/>
      <c r="AF203" s="176"/>
      <c r="AG203" s="157"/>
      <c r="AH203" s="175">
        <v>0</v>
      </c>
    </row>
    <row r="204" spans="1:34" s="151" customFormat="1">
      <c r="A204" s="540" t="s">
        <v>852</v>
      </c>
      <c r="B204" s="178" t="s">
        <v>553</v>
      </c>
      <c r="C204" s="169" t="s">
        <v>853</v>
      </c>
      <c r="D204" s="169"/>
      <c r="E204" s="274">
        <f t="shared" si="24"/>
        <v>18</v>
      </c>
      <c r="F204" s="277" t="s">
        <v>854</v>
      </c>
      <c r="G204" s="285">
        <v>0.1</v>
      </c>
      <c r="H204" s="208">
        <v>11</v>
      </c>
      <c r="I204" s="160"/>
      <c r="J204" s="160">
        <v>3096</v>
      </c>
      <c r="K204" s="162"/>
      <c r="L204" s="162">
        <v>1900</v>
      </c>
      <c r="M204" s="185"/>
      <c r="N204" s="195">
        <f t="shared" si="23"/>
        <v>4996</v>
      </c>
      <c r="O204" s="217">
        <v>13284</v>
      </c>
      <c r="P204" s="218">
        <f>628.5+971.5</f>
        <v>1600</v>
      </c>
      <c r="Q204" s="218">
        <v>300</v>
      </c>
      <c r="R204" s="219">
        <v>34383527</v>
      </c>
      <c r="S204" s="220">
        <f>1030+1500</f>
        <v>2530</v>
      </c>
      <c r="T204" s="220" t="s">
        <v>855</v>
      </c>
      <c r="U204" s="221">
        <f>304+66</f>
        <v>370</v>
      </c>
      <c r="V204" s="221">
        <v>370</v>
      </c>
      <c r="W204" s="201">
        <v>3100</v>
      </c>
      <c r="X204" s="201">
        <v>4996</v>
      </c>
      <c r="Y204" s="201">
        <v>4996</v>
      </c>
      <c r="Z204" s="176">
        <v>4996</v>
      </c>
      <c r="AA204" s="176">
        <v>1934</v>
      </c>
      <c r="AB204" s="176"/>
      <c r="AC204" s="176"/>
      <c r="AD204" s="176"/>
      <c r="AE204" s="176"/>
      <c r="AF204" s="176"/>
      <c r="AG204" s="175"/>
      <c r="AH204" s="175">
        <v>0</v>
      </c>
    </row>
    <row r="205" spans="1:34" s="151" customFormat="1">
      <c r="A205" s="273" t="s">
        <v>237</v>
      </c>
      <c r="B205" s="178" t="s">
        <v>553</v>
      </c>
      <c r="C205" s="169"/>
      <c r="D205" s="169"/>
      <c r="E205" s="274">
        <f t="shared" si="24"/>
        <v>19</v>
      </c>
      <c r="F205" s="277" t="s">
        <v>856</v>
      </c>
      <c r="G205" s="285">
        <v>0.15</v>
      </c>
      <c r="H205" s="208">
        <v>10</v>
      </c>
      <c r="I205" s="160"/>
      <c r="J205" s="160"/>
      <c r="K205" s="162">
        <v>3216.4</v>
      </c>
      <c r="L205" s="162"/>
      <c r="M205" s="185"/>
      <c r="N205" s="195">
        <f t="shared" si="23"/>
        <v>3216.4</v>
      </c>
      <c r="O205" s="217">
        <v>13568</v>
      </c>
      <c r="P205" s="218">
        <f>2100+300</f>
        <v>2400</v>
      </c>
      <c r="Q205" s="218">
        <v>300</v>
      </c>
      <c r="R205" s="219" t="s">
        <v>456</v>
      </c>
      <c r="S205" s="220">
        <f>1600+2615</f>
        <v>4215</v>
      </c>
      <c r="T205" s="220" t="s">
        <v>857</v>
      </c>
      <c r="U205" s="584">
        <v>0</v>
      </c>
      <c r="V205" s="584">
        <v>0</v>
      </c>
      <c r="W205" s="201">
        <v>0</v>
      </c>
      <c r="X205" s="175">
        <v>3216.4</v>
      </c>
      <c r="Y205" s="175">
        <v>3216.4</v>
      </c>
      <c r="Z205" s="201">
        <v>3376.8</v>
      </c>
      <c r="AA205" s="176"/>
      <c r="AB205" s="176"/>
      <c r="AC205" s="175"/>
      <c r="AD205" s="175"/>
      <c r="AE205" s="175"/>
      <c r="AF205" s="175"/>
      <c r="AG205" s="175"/>
      <c r="AH205" s="175">
        <v>0</v>
      </c>
    </row>
    <row r="206" spans="1:34" s="151" customFormat="1">
      <c r="A206" s="278" t="s">
        <v>858</v>
      </c>
      <c r="B206" s="178" t="s">
        <v>553</v>
      </c>
      <c r="C206" s="293" t="s">
        <v>859</v>
      </c>
      <c r="D206" s="293"/>
      <c r="E206" s="274">
        <f t="shared" si="24"/>
        <v>20</v>
      </c>
      <c r="F206" s="280" t="s">
        <v>860</v>
      </c>
      <c r="G206" s="287">
        <v>0.15</v>
      </c>
      <c r="H206" s="288">
        <v>10</v>
      </c>
      <c r="I206" s="160"/>
      <c r="J206" s="160"/>
      <c r="K206" s="162">
        <v>3216.4</v>
      </c>
      <c r="L206" s="162"/>
      <c r="M206" s="185"/>
      <c r="N206" s="195">
        <f t="shared" si="23"/>
        <v>3216.4</v>
      </c>
      <c r="O206" s="217">
        <v>13468</v>
      </c>
      <c r="P206" s="218">
        <v>1600</v>
      </c>
      <c r="Q206" s="218">
        <v>300</v>
      </c>
      <c r="R206" s="219">
        <v>3051</v>
      </c>
      <c r="S206" s="220">
        <v>6213</v>
      </c>
      <c r="T206" s="220"/>
      <c r="U206" s="221">
        <v>370</v>
      </c>
      <c r="V206" s="221">
        <v>370</v>
      </c>
      <c r="W206" s="175">
        <v>0</v>
      </c>
      <c r="X206" s="284">
        <v>3216.4</v>
      </c>
      <c r="Y206" s="201">
        <v>3216.4</v>
      </c>
      <c r="Z206" s="198">
        <v>3216.4</v>
      </c>
      <c r="AA206" s="216"/>
      <c r="AB206" s="216"/>
      <c r="AC206" s="175"/>
      <c r="AD206" s="175"/>
      <c r="AE206" s="216"/>
      <c r="AF206" s="216"/>
      <c r="AG206" s="175"/>
      <c r="AH206" s="175">
        <v>0</v>
      </c>
    </row>
    <row r="207" spans="1:34" s="151" customFormat="1">
      <c r="A207" s="273" t="s">
        <v>861</v>
      </c>
      <c r="B207" s="178" t="s">
        <v>553</v>
      </c>
      <c r="C207" s="169"/>
      <c r="D207" s="169"/>
      <c r="E207" s="274">
        <f t="shared" si="24"/>
        <v>21</v>
      </c>
      <c r="F207" s="277" t="s">
        <v>862</v>
      </c>
      <c r="G207" s="285">
        <v>0.1</v>
      </c>
      <c r="H207" s="208">
        <v>10</v>
      </c>
      <c r="I207" s="160"/>
      <c r="J207" s="160"/>
      <c r="K207" s="162">
        <v>3405.6</v>
      </c>
      <c r="L207" s="162"/>
      <c r="M207" s="185"/>
      <c r="N207" s="195">
        <f t="shared" si="23"/>
        <v>3405.6</v>
      </c>
      <c r="O207" s="217">
        <v>13471</v>
      </c>
      <c r="P207" s="218">
        <f>1300+300</f>
        <v>1600</v>
      </c>
      <c r="Q207" s="218">
        <v>300</v>
      </c>
      <c r="R207" s="219">
        <v>3418</v>
      </c>
      <c r="S207" s="220">
        <v>6213</v>
      </c>
      <c r="T207" s="220"/>
      <c r="U207" s="584">
        <v>0</v>
      </c>
      <c r="V207" s="584">
        <v>0</v>
      </c>
      <c r="W207" s="175">
        <v>0</v>
      </c>
      <c r="X207" s="176">
        <v>3575.88</v>
      </c>
      <c r="Y207" s="176">
        <v>3575.88</v>
      </c>
      <c r="Z207" s="176">
        <v>3405.6</v>
      </c>
      <c r="AA207" s="176"/>
      <c r="AB207" s="176"/>
      <c r="AC207" s="176"/>
      <c r="AD207" s="176"/>
      <c r="AE207" s="176"/>
      <c r="AF207" s="176"/>
      <c r="AG207" s="175"/>
      <c r="AH207" s="175">
        <v>0</v>
      </c>
    </row>
    <row r="208" spans="1:34" s="151" customFormat="1">
      <c r="A208" s="273" t="s">
        <v>863</v>
      </c>
      <c r="B208" s="178" t="s">
        <v>553</v>
      </c>
      <c r="C208" s="169"/>
      <c r="D208" s="169"/>
      <c r="E208" s="274">
        <f t="shared" si="24"/>
        <v>22</v>
      </c>
      <c r="F208" s="277" t="s">
        <v>864</v>
      </c>
      <c r="G208" s="285"/>
      <c r="H208" s="208">
        <v>10</v>
      </c>
      <c r="I208" s="160"/>
      <c r="J208" s="160"/>
      <c r="K208" s="162">
        <f>3784+170</f>
        <v>3954</v>
      </c>
      <c r="L208" s="162"/>
      <c r="M208" s="185"/>
      <c r="N208" s="195">
        <f>+J208+K208+L208+M208</f>
        <v>3954</v>
      </c>
      <c r="O208" s="217">
        <v>13642</v>
      </c>
      <c r="P208" s="218">
        <v>700</v>
      </c>
      <c r="Q208" s="218">
        <v>300</v>
      </c>
      <c r="R208" s="219">
        <v>3036</v>
      </c>
      <c r="S208" s="220">
        <v>6213</v>
      </c>
      <c r="T208" s="220"/>
      <c r="U208" s="221">
        <v>370</v>
      </c>
      <c r="V208" s="221">
        <v>370</v>
      </c>
      <c r="W208" s="175">
        <v>0</v>
      </c>
      <c r="X208" s="176">
        <v>4151.7</v>
      </c>
      <c r="Y208" s="176">
        <v>4151.7</v>
      </c>
      <c r="Z208" s="176">
        <v>4151.7</v>
      </c>
      <c r="AA208" s="176">
        <v>4151.7</v>
      </c>
      <c r="AB208" s="175"/>
      <c r="AC208" s="175"/>
      <c r="AD208" s="176"/>
      <c r="AE208" s="175"/>
      <c r="AF208" s="201"/>
      <c r="AG208" s="176"/>
      <c r="AH208" s="175">
        <v>0</v>
      </c>
    </row>
    <row r="209" spans="1:1018" s="151" customFormat="1">
      <c r="A209" s="278"/>
      <c r="B209" s="286"/>
      <c r="C209" s="293"/>
      <c r="D209" s="293"/>
      <c r="E209" s="293"/>
      <c r="F209" s="280"/>
      <c r="G209" s="287"/>
      <c r="H209" s="288"/>
      <c r="I209" s="160"/>
      <c r="J209" s="160"/>
      <c r="K209" s="178"/>
      <c r="L209" s="178"/>
      <c r="M209" s="185"/>
      <c r="N209" s="223"/>
      <c r="O209" s="217"/>
      <c r="P209" s="218"/>
      <c r="Q209" s="218"/>
      <c r="R209" s="219"/>
      <c r="S209" s="220"/>
      <c r="T209" s="220"/>
      <c r="U209" s="221"/>
      <c r="V209" s="221"/>
      <c r="W209" s="175"/>
      <c r="X209" s="250"/>
      <c r="Y209" s="250"/>
      <c r="Z209" s="175"/>
      <c r="AA209" s="175"/>
      <c r="AB209" s="175"/>
      <c r="AC209" s="175"/>
      <c r="AD209" s="175"/>
      <c r="AE209" s="175"/>
      <c r="AF209" s="175"/>
      <c r="AG209" s="175"/>
      <c r="AH209" s="175"/>
    </row>
    <row r="210" spans="1:1018" s="151" customFormat="1">
      <c r="A210" s="278"/>
      <c r="B210" s="286"/>
      <c r="C210" s="293"/>
      <c r="D210" s="293"/>
      <c r="E210" s="293"/>
      <c r="F210" s="280"/>
      <c r="G210" s="287"/>
      <c r="H210" s="288"/>
      <c r="I210" s="160"/>
      <c r="J210" s="160"/>
      <c r="K210" s="178"/>
      <c r="L210" s="178"/>
      <c r="M210" s="185"/>
      <c r="N210" s="223"/>
      <c r="O210" s="217"/>
      <c r="P210" s="218"/>
      <c r="Q210" s="218"/>
      <c r="R210" s="219"/>
      <c r="S210" s="220"/>
      <c r="T210" s="220"/>
      <c r="U210" s="221"/>
      <c r="V210" s="221"/>
      <c r="W210" s="175"/>
      <c r="X210" s="250"/>
      <c r="Y210" s="250"/>
      <c r="Z210" s="175"/>
      <c r="AA210" s="175"/>
      <c r="AB210" s="175"/>
      <c r="AC210" s="175"/>
      <c r="AD210" s="175"/>
      <c r="AE210" s="175"/>
      <c r="AF210" s="175"/>
      <c r="AG210" s="175"/>
      <c r="AH210" s="175"/>
    </row>
    <row r="211" spans="1:1018" s="151" customFormat="1">
      <c r="A211" s="274"/>
      <c r="B211" s="178"/>
      <c r="C211" s="178"/>
      <c r="D211" s="178"/>
      <c r="E211" s="178"/>
      <c r="F211" s="277"/>
      <c r="G211" s="178">
        <f>SUM(G161:G200)</f>
        <v>19.02</v>
      </c>
      <c r="H211" s="160"/>
      <c r="I211" s="160"/>
      <c r="J211" s="160"/>
      <c r="K211" s="204"/>
      <c r="L211" s="204"/>
      <c r="M211" s="185"/>
      <c r="N211" s="223">
        <f>SUM(N161:N201)</f>
        <v>154916.67999999996</v>
      </c>
      <c r="O211" s="217"/>
      <c r="P211" s="228"/>
      <c r="Q211" s="228"/>
      <c r="R211" s="229"/>
      <c r="S211" s="230"/>
      <c r="T211" s="230"/>
      <c r="U211" s="231"/>
      <c r="V211" s="231"/>
      <c r="W211" s="175"/>
      <c r="X211" s="175"/>
      <c r="Y211" s="175"/>
      <c r="Z211" s="175"/>
      <c r="AA211" s="175"/>
      <c r="AB211" s="175"/>
      <c r="AC211" s="175"/>
      <c r="AD211" s="175"/>
      <c r="AE211" s="175"/>
      <c r="AF211" s="175"/>
      <c r="AG211" s="175"/>
      <c r="AH211" s="175"/>
    </row>
    <row r="212" spans="1:1018" s="151" customFormat="1">
      <c r="A212" s="296"/>
      <c r="B212" s="296"/>
      <c r="C212" s="296"/>
      <c r="D212" s="296"/>
      <c r="E212" s="296"/>
      <c r="F212" s="297"/>
      <c r="G212" s="296"/>
      <c r="H212" s="245"/>
      <c r="I212" s="245"/>
      <c r="J212" s="245"/>
      <c r="K212" s="296"/>
      <c r="L212" s="296"/>
      <c r="M212" s="298"/>
      <c r="N212" s="222"/>
      <c r="O212" s="217"/>
      <c r="P212" s="228"/>
      <c r="Q212" s="228"/>
      <c r="R212" s="229"/>
      <c r="S212" s="230"/>
      <c r="T212" s="230"/>
      <c r="U212" s="231"/>
      <c r="V212" s="231"/>
      <c r="W212" s="175"/>
      <c r="X212" s="175"/>
      <c r="Y212" s="175"/>
      <c r="Z212" s="175"/>
      <c r="AA212" s="175"/>
      <c r="AB212" s="175"/>
      <c r="AC212" s="175"/>
      <c r="AD212" s="175"/>
      <c r="AE212" s="175"/>
      <c r="AF212" s="175"/>
      <c r="AG212" s="175"/>
      <c r="AH212" s="175"/>
    </row>
    <row r="213" spans="1:1018">
      <c r="N213" s="222"/>
      <c r="O213" s="217"/>
      <c r="P213" s="228"/>
      <c r="Q213" s="228"/>
      <c r="R213" s="229"/>
      <c r="S213" s="230"/>
      <c r="T213" s="230"/>
      <c r="U213" s="231"/>
      <c r="V213" s="231"/>
      <c r="W213" s="175"/>
      <c r="X213" s="175"/>
      <c r="Y213" s="175"/>
      <c r="Z213" s="175"/>
      <c r="AA213" s="175"/>
      <c r="AB213" s="175"/>
      <c r="AC213" s="175"/>
      <c r="AD213" s="175"/>
      <c r="AE213" s="175"/>
      <c r="AF213" s="175"/>
      <c r="AG213" s="175"/>
      <c r="AH213" s="175"/>
    </row>
    <row r="214" spans="1:1018">
      <c r="N214" s="222">
        <f>+K214+L214+M214</f>
        <v>0</v>
      </c>
      <c r="O214" s="217"/>
      <c r="P214" s="228"/>
      <c r="Q214" s="228"/>
      <c r="R214" s="229"/>
      <c r="S214" s="230"/>
      <c r="T214" s="230"/>
      <c r="U214" s="231"/>
      <c r="V214" s="231"/>
      <c r="W214" s="175"/>
      <c r="X214" s="175"/>
      <c r="Y214" s="175"/>
      <c r="Z214" s="175"/>
      <c r="AA214" s="175"/>
      <c r="AB214" s="175"/>
      <c r="AC214" s="175"/>
      <c r="AD214" s="175"/>
      <c r="AE214" s="175"/>
      <c r="AF214" s="175"/>
      <c r="AG214" s="175"/>
      <c r="AH214" s="175"/>
    </row>
    <row r="215" spans="1:1018" s="151" customFormat="1" ht="45">
      <c r="A215" s="134" t="s">
        <v>865</v>
      </c>
      <c r="B215" s="133"/>
      <c r="C215" s="135" t="s">
        <v>339</v>
      </c>
      <c r="D215" s="298"/>
      <c r="F215" s="134"/>
      <c r="G215" s="134" t="s">
        <v>426</v>
      </c>
      <c r="H215" s="299" t="s">
        <v>427</v>
      </c>
      <c r="I215" s="300"/>
      <c r="J215" s="235" t="s">
        <v>429</v>
      </c>
      <c r="K215" s="236" t="s">
        <v>441</v>
      </c>
      <c r="L215" s="237"/>
      <c r="M215" s="238" t="s">
        <v>431</v>
      </c>
      <c r="N215" s="239" t="s">
        <v>432</v>
      </c>
      <c r="O215" s="144"/>
      <c r="P215" s="145"/>
      <c r="Q215" s="145"/>
      <c r="R215" s="240"/>
      <c r="S215" s="241"/>
      <c r="T215" s="241"/>
      <c r="U215" s="242"/>
      <c r="V215" s="242"/>
      <c r="W215" s="150" t="s">
        <v>437</v>
      </c>
      <c r="X215" s="150" t="s">
        <v>438</v>
      </c>
      <c r="Y215" s="150" t="s">
        <v>2</v>
      </c>
      <c r="Z215" s="150" t="s">
        <v>4</v>
      </c>
      <c r="AA215" s="150" t="s">
        <v>5</v>
      </c>
      <c r="AB215" s="150" t="s">
        <v>6</v>
      </c>
      <c r="AC215" s="150" t="s">
        <v>7</v>
      </c>
      <c r="AD215" s="150" t="s">
        <v>8</v>
      </c>
      <c r="AE215" s="150" t="s">
        <v>9</v>
      </c>
      <c r="AF215" s="150" t="s">
        <v>10</v>
      </c>
      <c r="AG215" s="150" t="s">
        <v>340</v>
      </c>
      <c r="AH215" s="150" t="s">
        <v>439</v>
      </c>
    </row>
    <row r="216" spans="1:1018">
      <c r="A216" s="293" t="s">
        <v>866</v>
      </c>
      <c r="B216" s="178" t="s">
        <v>516</v>
      </c>
      <c r="C216" s="293" t="s">
        <v>372</v>
      </c>
      <c r="D216" s="293"/>
      <c r="E216" s="286">
        <f t="shared" ref="E216:E236" si="25">+E215+1</f>
        <v>1</v>
      </c>
      <c r="F216" s="280" t="s">
        <v>867</v>
      </c>
      <c r="G216" s="263">
        <v>0.15</v>
      </c>
      <c r="H216" s="263">
        <v>10</v>
      </c>
      <c r="I216" s="263"/>
      <c r="J216" s="263"/>
      <c r="K216" s="302">
        <v>3216.4</v>
      </c>
      <c r="L216" s="302"/>
      <c r="M216" s="302"/>
      <c r="N216" s="195">
        <f t="shared" ref="N216:N236" si="26">+J216+K216+L216</f>
        <v>3216.4</v>
      </c>
      <c r="O216" s="303">
        <v>13303</v>
      </c>
      <c r="P216" s="304">
        <f>1300+300</f>
        <v>1600</v>
      </c>
      <c r="Q216" s="304">
        <v>300</v>
      </c>
      <c r="R216" s="305">
        <v>3000</v>
      </c>
      <c r="S216" s="306">
        <f>4268+170+265</f>
        <v>4703</v>
      </c>
      <c r="T216" s="306" t="s">
        <v>868</v>
      </c>
      <c r="U216" s="9"/>
      <c r="V216" s="9"/>
      <c r="W216" s="291">
        <v>0</v>
      </c>
      <c r="X216" s="290">
        <v>3216.4</v>
      </c>
      <c r="Y216" s="290">
        <v>3216.4</v>
      </c>
      <c r="Z216" s="290"/>
      <c r="AA216" s="290"/>
      <c r="AB216" s="290"/>
      <c r="AC216" s="290"/>
      <c r="AD216" s="290"/>
      <c r="AE216" s="290"/>
      <c r="AF216" s="290"/>
      <c r="AG216" s="291"/>
      <c r="AH216" s="291">
        <v>0</v>
      </c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</row>
    <row r="217" spans="1:1018">
      <c r="A217" s="4" t="s">
        <v>869</v>
      </c>
      <c r="B217" s="178" t="s">
        <v>516</v>
      </c>
      <c r="C217" s="4"/>
      <c r="D217" s="4"/>
      <c r="E217" s="286">
        <f t="shared" si="25"/>
        <v>2</v>
      </c>
      <c r="F217" s="277" t="s">
        <v>870</v>
      </c>
      <c r="G217" s="301">
        <v>0.2</v>
      </c>
      <c r="H217" s="263">
        <v>10</v>
      </c>
      <c r="I217" s="263"/>
      <c r="J217" s="263"/>
      <c r="K217" s="302">
        <v>3027.2</v>
      </c>
      <c r="L217" s="302"/>
      <c r="M217" s="263"/>
      <c r="N217" s="195">
        <f t="shared" si="26"/>
        <v>3027.2</v>
      </c>
      <c r="O217" s="303">
        <v>13277</v>
      </c>
      <c r="P217" s="304">
        <v>1600</v>
      </c>
      <c r="Q217" s="304">
        <v>300</v>
      </c>
      <c r="R217" s="305">
        <v>2984</v>
      </c>
      <c r="S217" s="306">
        <v>6213</v>
      </c>
      <c r="T217" s="306"/>
      <c r="U217" s="9"/>
      <c r="V217" s="9"/>
      <c r="W217" s="291">
        <v>0</v>
      </c>
      <c r="X217" s="291">
        <v>2815.3</v>
      </c>
      <c r="Y217" s="291">
        <v>2815.3</v>
      </c>
      <c r="Z217" s="291">
        <v>2815.3</v>
      </c>
      <c r="AA217" s="291">
        <v>2815.3</v>
      </c>
      <c r="AB217" s="291">
        <v>2815.3</v>
      </c>
      <c r="AC217" s="291"/>
      <c r="AD217" s="291"/>
      <c r="AE217" s="291"/>
      <c r="AF217" s="291"/>
      <c r="AG217" s="291"/>
      <c r="AH217" s="291">
        <v>0</v>
      </c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</row>
    <row r="218" spans="1:1018">
      <c r="A218" s="545" t="s">
        <v>252</v>
      </c>
      <c r="B218" s="178" t="s">
        <v>516</v>
      </c>
      <c r="C218" s="293" t="s">
        <v>871</v>
      </c>
      <c r="D218" s="293"/>
      <c r="E218" s="286">
        <f t="shared" si="25"/>
        <v>3</v>
      </c>
      <c r="F218" s="280" t="s">
        <v>872</v>
      </c>
      <c r="G218" s="301"/>
      <c r="H218" s="263">
        <v>10</v>
      </c>
      <c r="I218" s="263"/>
      <c r="J218" s="263"/>
      <c r="K218" s="310">
        <v>3784</v>
      </c>
      <c r="L218" s="310">
        <v>2105</v>
      </c>
      <c r="M218" s="302"/>
      <c r="N218" s="195">
        <f t="shared" si="26"/>
        <v>5889</v>
      </c>
      <c r="O218" s="303">
        <v>13425</v>
      </c>
      <c r="P218" s="304">
        <v>1600</v>
      </c>
      <c r="Q218" s="304">
        <v>300</v>
      </c>
      <c r="R218" s="305">
        <v>2739</v>
      </c>
      <c r="S218" s="306">
        <v>6213</v>
      </c>
      <c r="T218" s="306"/>
      <c r="U218" s="9">
        <v>370</v>
      </c>
      <c r="V218" s="9">
        <v>370</v>
      </c>
      <c r="W218" s="291">
        <v>0</v>
      </c>
      <c r="X218" s="291">
        <f>3784+2105</f>
        <v>5889</v>
      </c>
      <c r="Y218" s="289">
        <v>5889</v>
      </c>
      <c r="Z218" s="289">
        <v>5889</v>
      </c>
      <c r="AA218" s="290">
        <v>5889</v>
      </c>
      <c r="AB218" s="291"/>
      <c r="AC218" s="291"/>
      <c r="AD218" s="291"/>
      <c r="AE218" s="291"/>
      <c r="AF218" s="307"/>
      <c r="AG218" s="291"/>
      <c r="AH218" s="291">
        <v>0</v>
      </c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</row>
    <row r="219" spans="1:1018">
      <c r="A219" s="293" t="s">
        <v>253</v>
      </c>
      <c r="B219" s="178" t="s">
        <v>516</v>
      </c>
      <c r="C219" s="293"/>
      <c r="D219" s="293"/>
      <c r="E219" s="286">
        <f t="shared" si="25"/>
        <v>4</v>
      </c>
      <c r="F219" s="280" t="s">
        <v>873</v>
      </c>
      <c r="G219" s="301">
        <v>0.2</v>
      </c>
      <c r="H219" s="263">
        <v>10</v>
      </c>
      <c r="I219" s="263"/>
      <c r="J219" s="263"/>
      <c r="K219" s="302">
        <v>3027.2</v>
      </c>
      <c r="L219" s="302"/>
      <c r="M219" s="302"/>
      <c r="N219" s="195">
        <f t="shared" si="26"/>
        <v>3027.2</v>
      </c>
      <c r="O219" s="303">
        <v>13142</v>
      </c>
      <c r="P219" s="304">
        <v>1600</v>
      </c>
      <c r="Q219" s="304">
        <v>300</v>
      </c>
      <c r="R219" s="305">
        <v>2785</v>
      </c>
      <c r="S219" s="306">
        <v>6213</v>
      </c>
      <c r="T219" s="306"/>
      <c r="U219" s="9">
        <v>370</v>
      </c>
      <c r="V219" s="585">
        <v>0</v>
      </c>
      <c r="W219" s="291">
        <v>0</v>
      </c>
      <c r="X219" s="316">
        <v>3027.2</v>
      </c>
      <c r="Y219" s="316">
        <v>3027.2</v>
      </c>
      <c r="Z219" s="315">
        <v>3027.2</v>
      </c>
      <c r="AA219" s="315"/>
      <c r="AB219" s="315"/>
      <c r="AC219" s="315"/>
      <c r="AD219" s="315"/>
      <c r="AE219" s="315"/>
      <c r="AF219" s="315"/>
      <c r="AG219" s="291"/>
      <c r="AH219" s="291">
        <v>0</v>
      </c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</row>
    <row r="220" spans="1:1018">
      <c r="A220" s="545" t="s">
        <v>254</v>
      </c>
      <c r="B220" s="178" t="s">
        <v>516</v>
      </c>
      <c r="C220" s="293" t="s">
        <v>359</v>
      </c>
      <c r="D220" s="293"/>
      <c r="E220" s="286">
        <f t="shared" si="25"/>
        <v>5</v>
      </c>
      <c r="F220" s="280" t="s">
        <v>874</v>
      </c>
      <c r="G220" s="263"/>
      <c r="H220" s="263">
        <v>10</v>
      </c>
      <c r="I220" s="263"/>
      <c r="J220" s="263"/>
      <c r="K220" s="302">
        <v>3784</v>
      </c>
      <c r="L220" s="302">
        <v>1800</v>
      </c>
      <c r="M220" s="302"/>
      <c r="N220" s="195">
        <f t="shared" si="26"/>
        <v>5584</v>
      </c>
      <c r="O220" s="303">
        <v>13326</v>
      </c>
      <c r="P220" s="304">
        <v>1600</v>
      </c>
      <c r="Q220" s="304">
        <v>300</v>
      </c>
      <c r="R220" s="305">
        <v>2757</v>
      </c>
      <c r="S220" s="306">
        <v>6213</v>
      </c>
      <c r="T220" s="306"/>
      <c r="U220" s="585">
        <v>0</v>
      </c>
      <c r="V220" s="585">
        <v>0</v>
      </c>
      <c r="W220" s="291">
        <v>0</v>
      </c>
      <c r="X220" s="291">
        <v>5584</v>
      </c>
      <c r="Y220" s="289">
        <v>5584</v>
      </c>
      <c r="Z220" s="443">
        <v>5884</v>
      </c>
      <c r="AA220" s="289"/>
      <c r="AB220" s="289"/>
      <c r="AC220" s="291"/>
      <c r="AD220" s="289"/>
      <c r="AE220" s="289"/>
      <c r="AF220" s="289"/>
      <c r="AG220" s="291"/>
      <c r="AH220" s="291">
        <v>0</v>
      </c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</row>
    <row r="221" spans="1:1018">
      <c r="A221" s="545" t="s">
        <v>875</v>
      </c>
      <c r="B221" s="178" t="s">
        <v>516</v>
      </c>
      <c r="C221" s="293" t="s">
        <v>359</v>
      </c>
      <c r="D221" s="293"/>
      <c r="E221" s="286">
        <f t="shared" si="25"/>
        <v>6</v>
      </c>
      <c r="F221" s="280" t="s">
        <v>876</v>
      </c>
      <c r="G221" s="263">
        <v>0.15</v>
      </c>
      <c r="H221" s="263">
        <v>10</v>
      </c>
      <c r="I221" s="263"/>
      <c r="J221" s="263"/>
      <c r="K221" s="302">
        <v>3216.4</v>
      </c>
      <c r="L221" s="302">
        <v>1710</v>
      </c>
      <c r="M221" s="302"/>
      <c r="N221" s="195">
        <f t="shared" si="26"/>
        <v>4926.3999999999996</v>
      </c>
      <c r="O221" s="303">
        <v>13317</v>
      </c>
      <c r="P221" s="304">
        <v>1600</v>
      </c>
      <c r="Q221" s="304">
        <v>300</v>
      </c>
      <c r="R221" s="305">
        <v>3020</v>
      </c>
      <c r="S221" s="306">
        <v>6213</v>
      </c>
      <c r="T221" s="306"/>
      <c r="U221" s="9">
        <v>370</v>
      </c>
      <c r="V221" s="9">
        <v>370</v>
      </c>
      <c r="W221" s="291">
        <v>0</v>
      </c>
      <c r="X221" s="291">
        <v>4926.3999999999996</v>
      </c>
      <c r="Y221" s="291">
        <v>4926.3999999999996</v>
      </c>
      <c r="Z221" s="291">
        <v>4926.3999999999996</v>
      </c>
      <c r="AA221" s="291"/>
      <c r="AB221" s="291"/>
      <c r="AC221" s="291"/>
      <c r="AD221" s="291"/>
      <c r="AE221" s="291"/>
      <c r="AF221" s="291"/>
      <c r="AG221" s="291"/>
      <c r="AH221" s="291">
        <v>0</v>
      </c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</row>
    <row r="222" spans="1:1018">
      <c r="A222" s="530" t="s">
        <v>877</v>
      </c>
      <c r="B222" s="178" t="s">
        <v>516</v>
      </c>
      <c r="C222" s="282" t="s">
        <v>878</v>
      </c>
      <c r="D222" s="282"/>
      <c r="E222" s="286">
        <f t="shared" si="25"/>
        <v>7</v>
      </c>
      <c r="F222" s="277" t="s">
        <v>879</v>
      </c>
      <c r="G222" s="301">
        <v>0.1</v>
      </c>
      <c r="H222" s="263">
        <v>11</v>
      </c>
      <c r="I222" s="263"/>
      <c r="J222" s="263">
        <v>3096</v>
      </c>
      <c r="K222" s="302"/>
      <c r="L222" s="302">
        <v>2105</v>
      </c>
      <c r="M222" s="263"/>
      <c r="N222" s="195">
        <f t="shared" si="26"/>
        <v>5201</v>
      </c>
      <c r="O222" s="303">
        <v>13531</v>
      </c>
      <c r="P222" s="304">
        <v>2400</v>
      </c>
      <c r="Q222" s="304">
        <v>300</v>
      </c>
      <c r="R222" s="324" t="s">
        <v>488</v>
      </c>
      <c r="S222" s="306">
        <v>6213</v>
      </c>
      <c r="T222" s="306"/>
      <c r="U222" s="9">
        <v>370</v>
      </c>
      <c r="V222" s="9">
        <v>370</v>
      </c>
      <c r="W222" s="291">
        <v>3096</v>
      </c>
      <c r="X222" s="289">
        <v>5201</v>
      </c>
      <c r="Y222" s="289">
        <v>5201</v>
      </c>
      <c r="Z222" s="290">
        <v>5201</v>
      </c>
      <c r="AA222" s="290"/>
      <c r="AB222" s="290"/>
      <c r="AC222" s="290"/>
      <c r="AD222" s="290"/>
      <c r="AE222" s="290"/>
      <c r="AF222" s="290"/>
      <c r="AG222" s="291"/>
      <c r="AH222" s="291">
        <v>0</v>
      </c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</row>
    <row r="223" spans="1:1018">
      <c r="A223" s="293" t="s">
        <v>255</v>
      </c>
      <c r="B223" s="178" t="s">
        <v>516</v>
      </c>
      <c r="C223" s="311"/>
      <c r="D223" s="311"/>
      <c r="E223" s="286">
        <f t="shared" si="25"/>
        <v>8</v>
      </c>
      <c r="F223" s="312" t="s">
        <v>880</v>
      </c>
      <c r="G223" s="313">
        <v>0.15</v>
      </c>
      <c r="H223" s="206">
        <v>10</v>
      </c>
      <c r="I223" s="206"/>
      <c r="J223" s="206"/>
      <c r="K223" s="314">
        <v>3216.4</v>
      </c>
      <c r="L223" s="314"/>
      <c r="M223" s="314"/>
      <c r="N223" s="195">
        <f t="shared" si="26"/>
        <v>3216.4</v>
      </c>
      <c r="O223" s="303">
        <v>13161</v>
      </c>
      <c r="P223" s="304">
        <v>1600</v>
      </c>
      <c r="Q223" s="304">
        <v>300</v>
      </c>
      <c r="R223" s="305">
        <v>2629</v>
      </c>
      <c r="S223" s="306">
        <v>6213</v>
      </c>
      <c r="T223" s="306"/>
      <c r="U223" s="9">
        <v>370</v>
      </c>
      <c r="V223" s="9">
        <v>370</v>
      </c>
      <c r="W223" s="291">
        <v>0</v>
      </c>
      <c r="X223" s="291">
        <v>3216.4</v>
      </c>
      <c r="Y223" s="290">
        <v>3216.4</v>
      </c>
      <c r="Z223" s="291"/>
      <c r="AA223" s="290"/>
      <c r="AB223" s="290"/>
      <c r="AC223" s="291"/>
      <c r="AD223" s="290"/>
      <c r="AE223" s="290"/>
      <c r="AF223" s="290"/>
      <c r="AG223" s="290"/>
      <c r="AH223" s="291">
        <v>0</v>
      </c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</row>
    <row r="224" spans="1:1018">
      <c r="A224" s="293" t="s">
        <v>250</v>
      </c>
      <c r="B224" s="178" t="s">
        <v>516</v>
      </c>
      <c r="C224" s="293"/>
      <c r="D224" s="293"/>
      <c r="E224" s="286">
        <f t="shared" si="25"/>
        <v>9</v>
      </c>
      <c r="F224" s="280" t="s">
        <v>881</v>
      </c>
      <c r="G224" s="281">
        <v>0.15</v>
      </c>
      <c r="H224" s="282">
        <v>10</v>
      </c>
      <c r="I224" s="282"/>
      <c r="J224" s="282"/>
      <c r="K224" s="175">
        <v>3216.4</v>
      </c>
      <c r="L224" s="175"/>
      <c r="M224" s="175"/>
      <c r="N224" s="195">
        <f t="shared" si="26"/>
        <v>3216.4</v>
      </c>
      <c r="O224" s="303">
        <v>13367</v>
      </c>
      <c r="P224" s="304">
        <v>1600</v>
      </c>
      <c r="Q224" s="304">
        <v>300</v>
      </c>
      <c r="R224" s="305">
        <v>2815</v>
      </c>
      <c r="S224" s="306">
        <v>6213</v>
      </c>
      <c r="T224" s="306"/>
      <c r="U224" s="9">
        <v>370</v>
      </c>
      <c r="V224" s="9"/>
      <c r="W224" s="291">
        <v>0</v>
      </c>
      <c r="X224" s="290">
        <v>3216.4</v>
      </c>
      <c r="Y224" s="290">
        <v>3216.4</v>
      </c>
      <c r="Z224" s="291"/>
      <c r="AA224" s="291"/>
      <c r="AB224" s="291"/>
      <c r="AC224" s="291"/>
      <c r="AD224" s="291"/>
      <c r="AE224" s="291"/>
      <c r="AF224" s="291"/>
      <c r="AG224" s="291"/>
      <c r="AH224" s="175">
        <v>0</v>
      </c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</row>
    <row r="225" spans="1:1018" ht="15.75" customHeight="1">
      <c r="A225" s="545" t="s">
        <v>882</v>
      </c>
      <c r="B225" s="178" t="s">
        <v>516</v>
      </c>
      <c r="C225" s="293" t="s">
        <v>756</v>
      </c>
      <c r="D225" s="293"/>
      <c r="E225" s="286">
        <f t="shared" si="25"/>
        <v>10</v>
      </c>
      <c r="F225" s="277" t="s">
        <v>883</v>
      </c>
      <c r="G225" s="281">
        <v>0.2</v>
      </c>
      <c r="H225" s="282">
        <v>10</v>
      </c>
      <c r="I225" s="282"/>
      <c r="J225" s="282"/>
      <c r="K225" s="175">
        <v>3027.2</v>
      </c>
      <c r="L225" s="175">
        <v>1475</v>
      </c>
      <c r="M225" s="282"/>
      <c r="N225" s="195">
        <f t="shared" si="26"/>
        <v>4502.2</v>
      </c>
      <c r="O225" s="303">
        <v>13644</v>
      </c>
      <c r="P225" s="304">
        <v>2400</v>
      </c>
      <c r="Q225" s="304">
        <v>300</v>
      </c>
      <c r="R225" s="305">
        <v>2964</v>
      </c>
      <c r="S225" s="306">
        <v>6213</v>
      </c>
      <c r="T225" s="306"/>
      <c r="U225" s="585">
        <v>0</v>
      </c>
      <c r="V225" s="585">
        <v>0</v>
      </c>
      <c r="W225" s="291">
        <v>0</v>
      </c>
      <c r="X225" s="291">
        <v>4502.2</v>
      </c>
      <c r="Y225" s="291">
        <v>4502.2</v>
      </c>
      <c r="Z225" s="291"/>
      <c r="AA225" s="291"/>
      <c r="AB225" s="291"/>
      <c r="AC225" s="291"/>
      <c r="AD225" s="291"/>
      <c r="AE225" s="290"/>
      <c r="AF225" s="290"/>
      <c r="AG225" s="291"/>
      <c r="AH225" s="291">
        <v>0</v>
      </c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</row>
    <row r="226" spans="1:1018">
      <c r="A226" s="545" t="s">
        <v>884</v>
      </c>
      <c r="B226" s="178" t="s">
        <v>516</v>
      </c>
      <c r="C226" s="293" t="s">
        <v>885</v>
      </c>
      <c r="D226" s="293"/>
      <c r="E226" s="286">
        <f t="shared" si="25"/>
        <v>11</v>
      </c>
      <c r="F226" s="280" t="s">
        <v>886</v>
      </c>
      <c r="G226" s="281">
        <v>0.1</v>
      </c>
      <c r="H226" s="282">
        <v>10</v>
      </c>
      <c r="I226" s="282"/>
      <c r="J226" s="282"/>
      <c r="K226" s="175">
        <v>3405.6</v>
      </c>
      <c r="L226" s="175">
        <v>2105</v>
      </c>
      <c r="M226" s="161"/>
      <c r="N226" s="195">
        <f t="shared" si="26"/>
        <v>5510.6</v>
      </c>
      <c r="O226" s="303">
        <v>13726</v>
      </c>
      <c r="P226" s="304">
        <v>2400</v>
      </c>
      <c r="Q226" s="304">
        <v>300</v>
      </c>
      <c r="R226" s="305">
        <v>3057</v>
      </c>
      <c r="S226" s="306">
        <v>6213</v>
      </c>
      <c r="T226" s="306"/>
      <c r="U226" s="9">
        <v>370</v>
      </c>
      <c r="V226" s="9">
        <v>370</v>
      </c>
      <c r="W226" s="291">
        <v>0</v>
      </c>
      <c r="X226" s="289">
        <v>5510.6</v>
      </c>
      <c r="Y226" s="289">
        <v>5510.6</v>
      </c>
      <c r="Z226" s="289">
        <v>5510.6</v>
      </c>
      <c r="AA226" s="289"/>
      <c r="AB226" s="291"/>
      <c r="AC226" s="291"/>
      <c r="AD226" s="290"/>
      <c r="AE226" s="290"/>
      <c r="AF226" s="290"/>
      <c r="AG226" s="290"/>
      <c r="AH226" s="291">
        <v>0</v>
      </c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</row>
    <row r="227" spans="1:1018">
      <c r="A227" s="4" t="s">
        <v>256</v>
      </c>
      <c r="B227" s="178" t="s">
        <v>516</v>
      </c>
      <c r="C227" s="4"/>
      <c r="D227" s="4"/>
      <c r="E227" s="286">
        <f t="shared" si="25"/>
        <v>12</v>
      </c>
      <c r="F227" s="277" t="s">
        <v>887</v>
      </c>
      <c r="G227" s="281">
        <v>0.15</v>
      </c>
      <c r="H227" s="282">
        <v>10</v>
      </c>
      <c r="I227" s="282"/>
      <c r="J227" s="282"/>
      <c r="K227" s="175">
        <v>3216.4</v>
      </c>
      <c r="L227" s="175"/>
      <c r="M227" s="282"/>
      <c r="N227" s="195">
        <f t="shared" si="26"/>
        <v>3216.4</v>
      </c>
      <c r="O227" s="303">
        <v>13246</v>
      </c>
      <c r="P227" s="304">
        <v>1600</v>
      </c>
      <c r="Q227" s="304">
        <v>300</v>
      </c>
      <c r="R227" s="305">
        <v>2746</v>
      </c>
      <c r="S227" s="306">
        <v>6213</v>
      </c>
      <c r="T227" s="306"/>
      <c r="U227" s="9"/>
      <c r="V227" s="9"/>
      <c r="W227" s="291">
        <v>0</v>
      </c>
      <c r="X227" s="291">
        <v>3216.4</v>
      </c>
      <c r="Y227" s="291">
        <v>3216.4</v>
      </c>
      <c r="Z227" s="291">
        <v>3216.4</v>
      </c>
      <c r="AA227" s="291">
        <v>3216.4</v>
      </c>
      <c r="AB227" s="291"/>
      <c r="AC227" s="291"/>
      <c r="AD227" s="291"/>
      <c r="AE227" s="291"/>
      <c r="AF227" s="291"/>
      <c r="AG227" s="291"/>
      <c r="AH227" s="291">
        <v>0</v>
      </c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</row>
    <row r="228" spans="1:1018">
      <c r="A228" s="530" t="s">
        <v>888</v>
      </c>
      <c r="B228" s="178" t="s">
        <v>516</v>
      </c>
      <c r="C228" s="282" t="s">
        <v>889</v>
      </c>
      <c r="D228" s="282"/>
      <c r="E228" s="286">
        <f t="shared" si="25"/>
        <v>13</v>
      </c>
      <c r="F228" s="277" t="s">
        <v>890</v>
      </c>
      <c r="G228" s="281">
        <v>0.1</v>
      </c>
      <c r="H228" s="282">
        <v>10</v>
      </c>
      <c r="I228" s="282"/>
      <c r="J228" s="282"/>
      <c r="K228" s="175">
        <v>3405.6</v>
      </c>
      <c r="L228" s="175">
        <v>2105</v>
      </c>
      <c r="M228" s="282"/>
      <c r="N228" s="195">
        <f t="shared" si="26"/>
        <v>5510.6</v>
      </c>
      <c r="O228" s="303">
        <v>13346</v>
      </c>
      <c r="P228" s="304">
        <v>1600</v>
      </c>
      <c r="Q228" s="304">
        <v>300</v>
      </c>
      <c r="R228" s="305">
        <v>2911</v>
      </c>
      <c r="S228" s="306">
        <v>6213</v>
      </c>
      <c r="T228" s="306"/>
      <c r="U228" s="9"/>
      <c r="V228" s="9"/>
      <c r="W228" s="291">
        <v>0</v>
      </c>
      <c r="X228" s="289">
        <v>5510.6</v>
      </c>
      <c r="Y228" s="290">
        <v>5510.6</v>
      </c>
      <c r="Z228" s="290">
        <v>5510</v>
      </c>
      <c r="AA228" s="290"/>
      <c r="AB228" s="290"/>
      <c r="AC228" s="290"/>
      <c r="AD228" s="290"/>
      <c r="AE228" s="290"/>
      <c r="AF228" s="290"/>
      <c r="AG228" s="290"/>
      <c r="AH228" s="291">
        <v>0</v>
      </c>
      <c r="AI228" s="325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</row>
    <row r="229" spans="1:1018">
      <c r="A229" s="545" t="s">
        <v>257</v>
      </c>
      <c r="B229" s="178" t="s">
        <v>516</v>
      </c>
      <c r="C229" s="293" t="s">
        <v>891</v>
      </c>
      <c r="D229" s="293"/>
      <c r="E229" s="286">
        <f t="shared" si="25"/>
        <v>14</v>
      </c>
      <c r="F229" s="280" t="s">
        <v>892</v>
      </c>
      <c r="G229" s="282">
        <v>0.15</v>
      </c>
      <c r="H229" s="282">
        <v>10</v>
      </c>
      <c r="I229" s="282"/>
      <c r="J229" s="282"/>
      <c r="K229" s="175">
        <v>3216.4</v>
      </c>
      <c r="L229" s="175">
        <v>2000</v>
      </c>
      <c r="M229" s="175"/>
      <c r="N229" s="195">
        <f t="shared" si="26"/>
        <v>5216.3999999999996</v>
      </c>
      <c r="O229" s="303">
        <v>13205</v>
      </c>
      <c r="P229" s="304">
        <v>1600</v>
      </c>
      <c r="Q229" s="304">
        <v>300</v>
      </c>
      <c r="R229" s="305">
        <v>2792</v>
      </c>
      <c r="S229" s="306">
        <v>6213</v>
      </c>
      <c r="T229" s="306"/>
      <c r="U229" s="9">
        <v>370</v>
      </c>
      <c r="V229" s="9"/>
      <c r="W229" s="291">
        <v>0</v>
      </c>
      <c r="X229" s="291">
        <f>2991.25+2000</f>
        <v>4991.25</v>
      </c>
      <c r="Y229" s="291">
        <f t="shared" ref="Y229:AC229" si="27">2991.25+2000</f>
        <v>4991.25</v>
      </c>
      <c r="Z229" s="291">
        <f t="shared" si="27"/>
        <v>4991.25</v>
      </c>
      <c r="AA229" s="291">
        <f t="shared" si="27"/>
        <v>4991.25</v>
      </c>
      <c r="AB229" s="291">
        <f t="shared" si="27"/>
        <v>4991.25</v>
      </c>
      <c r="AC229" s="291">
        <f t="shared" si="27"/>
        <v>4991.25</v>
      </c>
      <c r="AD229" s="291">
        <v>2991.25</v>
      </c>
      <c r="AE229" s="291">
        <v>2991.25</v>
      </c>
      <c r="AF229" s="291">
        <v>2991.25</v>
      </c>
      <c r="AG229" s="291">
        <v>2991.25</v>
      </c>
      <c r="AH229" s="291">
        <v>0</v>
      </c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</row>
    <row r="230" spans="1:1018">
      <c r="A230" s="545" t="s">
        <v>893</v>
      </c>
      <c r="B230" s="178" t="s">
        <v>516</v>
      </c>
      <c r="C230" s="293" t="s">
        <v>894</v>
      </c>
      <c r="D230" s="293"/>
      <c r="E230" s="286">
        <f t="shared" si="25"/>
        <v>15</v>
      </c>
      <c r="F230" s="280" t="s">
        <v>895</v>
      </c>
      <c r="G230" s="281">
        <v>0.22</v>
      </c>
      <c r="H230" s="282">
        <v>10</v>
      </c>
      <c r="I230" s="282"/>
      <c r="J230" s="282"/>
      <c r="K230" s="157">
        <v>2991.25</v>
      </c>
      <c r="L230" s="157">
        <v>2000</v>
      </c>
      <c r="M230" s="175"/>
      <c r="N230" s="195">
        <f t="shared" si="26"/>
        <v>4991.25</v>
      </c>
      <c r="O230" s="303">
        <v>13313</v>
      </c>
      <c r="P230" s="304">
        <v>1600</v>
      </c>
      <c r="Q230" s="304">
        <v>300</v>
      </c>
      <c r="R230" s="305">
        <v>3471</v>
      </c>
      <c r="S230" s="306">
        <v>6213</v>
      </c>
      <c r="T230" s="306"/>
      <c r="U230" s="9">
        <v>370</v>
      </c>
      <c r="V230" s="9"/>
      <c r="W230" s="291">
        <v>0</v>
      </c>
      <c r="X230" s="326">
        <f>2991.25+2100</f>
        <v>5091.25</v>
      </c>
      <c r="Y230" s="326">
        <v>2991.25</v>
      </c>
      <c r="Z230" s="326">
        <v>2991.25</v>
      </c>
      <c r="AA230" s="326">
        <v>2991.25</v>
      </c>
      <c r="AB230" s="326">
        <v>2991.25</v>
      </c>
      <c r="AC230" s="326">
        <v>2991.25</v>
      </c>
      <c r="AD230" s="326">
        <v>2991.25</v>
      </c>
      <c r="AE230" s="326">
        <v>2991.25</v>
      </c>
      <c r="AF230" s="326">
        <v>2991.25</v>
      </c>
      <c r="AG230" s="326">
        <v>2991.25</v>
      </c>
      <c r="AH230" s="291">
        <v>0</v>
      </c>
      <c r="AI230" t="s">
        <v>896</v>
      </c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</row>
    <row r="231" spans="1:1018">
      <c r="A231" s="545" t="s">
        <v>258</v>
      </c>
      <c r="B231" s="178" t="s">
        <v>516</v>
      </c>
      <c r="C231" s="293" t="s">
        <v>451</v>
      </c>
      <c r="D231" s="293"/>
      <c r="E231" s="286">
        <f t="shared" si="25"/>
        <v>16</v>
      </c>
      <c r="F231" s="280" t="s">
        <v>897</v>
      </c>
      <c r="G231" s="281">
        <v>0.1</v>
      </c>
      <c r="H231" s="282">
        <v>10</v>
      </c>
      <c r="I231" s="282"/>
      <c r="J231" s="282"/>
      <c r="K231" s="175">
        <v>3405.6</v>
      </c>
      <c r="L231" s="175">
        <v>2105</v>
      </c>
      <c r="M231" s="175"/>
      <c r="N231" s="195">
        <f t="shared" si="26"/>
        <v>5510.6</v>
      </c>
      <c r="O231" s="303">
        <v>13392</v>
      </c>
      <c r="P231" s="304">
        <v>1600</v>
      </c>
      <c r="Q231" s="304">
        <v>300</v>
      </c>
      <c r="R231" s="305">
        <v>2849</v>
      </c>
      <c r="S231" s="306">
        <v>6213</v>
      </c>
      <c r="T231" s="306"/>
      <c r="U231" s="9">
        <v>370</v>
      </c>
      <c r="V231" s="9">
        <v>370</v>
      </c>
      <c r="W231" s="291">
        <v>0</v>
      </c>
      <c r="X231" s="315">
        <v>5510.6</v>
      </c>
      <c r="Y231" s="316">
        <v>5510.6</v>
      </c>
      <c r="Z231" s="315">
        <v>5510.6</v>
      </c>
      <c r="AA231" s="315"/>
      <c r="AB231" s="315"/>
      <c r="AC231" s="315"/>
      <c r="AD231" s="315"/>
      <c r="AE231" s="315"/>
      <c r="AF231" s="315"/>
      <c r="AG231" s="291"/>
      <c r="AH231" s="291">
        <v>0</v>
      </c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</row>
    <row r="232" spans="1:1018">
      <c r="A232" s="545" t="s">
        <v>898</v>
      </c>
      <c r="B232" s="178" t="s">
        <v>516</v>
      </c>
      <c r="C232" s="311" t="s">
        <v>378</v>
      </c>
      <c r="D232" s="311"/>
      <c r="E232" s="286">
        <f t="shared" si="25"/>
        <v>17</v>
      </c>
      <c r="F232" s="318" t="s">
        <v>899</v>
      </c>
      <c r="G232" s="319">
        <v>0.15</v>
      </c>
      <c r="H232" s="320">
        <v>10</v>
      </c>
      <c r="I232" s="320"/>
      <c r="J232" s="320"/>
      <c r="K232" s="321">
        <v>3216.4</v>
      </c>
      <c r="L232" s="321">
        <v>375</v>
      </c>
      <c r="M232" s="320"/>
      <c r="N232" s="195">
        <f t="shared" si="26"/>
        <v>3591.4</v>
      </c>
      <c r="O232" s="303">
        <v>13742</v>
      </c>
      <c r="P232" s="304">
        <v>2400</v>
      </c>
      <c r="Q232" s="304">
        <v>300</v>
      </c>
      <c r="R232" s="305">
        <v>3060</v>
      </c>
      <c r="S232" s="306">
        <v>6213</v>
      </c>
      <c r="T232" s="306"/>
      <c r="U232" s="9">
        <v>370</v>
      </c>
      <c r="V232" s="9"/>
      <c r="W232" s="291">
        <v>0</v>
      </c>
      <c r="X232" s="291">
        <v>3770.97</v>
      </c>
      <c r="Y232" s="291">
        <v>3591.4</v>
      </c>
      <c r="Z232" s="291"/>
      <c r="AA232" s="289"/>
      <c r="AB232" s="291"/>
      <c r="AC232" s="291"/>
      <c r="AD232" s="291"/>
      <c r="AE232" s="291"/>
      <c r="AF232" s="291"/>
      <c r="AG232" s="291"/>
      <c r="AH232" s="291">
        <v>0</v>
      </c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</row>
    <row r="233" spans="1:1018">
      <c r="A233" s="50" t="s">
        <v>900</v>
      </c>
      <c r="B233" s="178" t="s">
        <v>516</v>
      </c>
      <c r="C233" s="4" t="s">
        <v>901</v>
      </c>
      <c r="D233" s="4"/>
      <c r="E233" s="286">
        <f t="shared" si="25"/>
        <v>18</v>
      </c>
      <c r="F233" s="277" t="s">
        <v>902</v>
      </c>
      <c r="G233" s="281">
        <v>0.1</v>
      </c>
      <c r="H233" s="282">
        <v>10</v>
      </c>
      <c r="I233" s="282"/>
      <c r="J233" s="282"/>
      <c r="K233" s="175">
        <v>3405.6</v>
      </c>
      <c r="L233" s="175">
        <v>2105</v>
      </c>
      <c r="M233" s="282"/>
      <c r="N233" s="195">
        <f t="shared" si="26"/>
        <v>5510.6</v>
      </c>
      <c r="O233" s="303">
        <v>13623</v>
      </c>
      <c r="P233" s="304">
        <v>2400</v>
      </c>
      <c r="Q233" s="304">
        <v>300</v>
      </c>
      <c r="R233" s="305">
        <v>2958</v>
      </c>
      <c r="S233" s="306">
        <v>6213</v>
      </c>
      <c r="T233" s="306"/>
      <c r="U233" s="585">
        <v>0</v>
      </c>
      <c r="V233" s="585">
        <v>0</v>
      </c>
      <c r="W233" s="291">
        <v>0</v>
      </c>
      <c r="X233" s="290">
        <f>5321.4+189.2</f>
        <v>5510.5999999999995</v>
      </c>
      <c r="Y233" s="290">
        <v>5510.6</v>
      </c>
      <c r="Z233" s="290"/>
      <c r="AA233" s="290"/>
      <c r="AB233" s="290"/>
      <c r="AC233" s="290"/>
      <c r="AD233" s="290"/>
      <c r="AE233" s="290"/>
      <c r="AF233" s="290"/>
      <c r="AG233" s="328"/>
      <c r="AH233" s="291">
        <v>0</v>
      </c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</row>
    <row r="234" spans="1:1018">
      <c r="A234" s="545" t="s">
        <v>903</v>
      </c>
      <c r="B234" s="178" t="s">
        <v>516</v>
      </c>
      <c r="C234" s="293" t="s">
        <v>904</v>
      </c>
      <c r="D234" s="293"/>
      <c r="E234" s="286">
        <f t="shared" si="25"/>
        <v>19</v>
      </c>
      <c r="F234" s="280" t="s">
        <v>905</v>
      </c>
      <c r="G234" s="281"/>
      <c r="H234" s="282">
        <v>10</v>
      </c>
      <c r="I234" s="282"/>
      <c r="J234" s="282"/>
      <c r="K234" s="157">
        <v>3784</v>
      </c>
      <c r="L234" s="157">
        <v>1525</v>
      </c>
      <c r="M234" s="157"/>
      <c r="N234" s="195">
        <f t="shared" si="26"/>
        <v>5309</v>
      </c>
      <c r="O234" s="303">
        <v>13408</v>
      </c>
      <c r="P234" s="304">
        <v>1600</v>
      </c>
      <c r="Q234" s="304">
        <v>300</v>
      </c>
      <c r="R234" s="305">
        <v>2952</v>
      </c>
      <c r="S234" s="306">
        <v>6213</v>
      </c>
      <c r="T234" s="306"/>
      <c r="U234" s="9">
        <v>370</v>
      </c>
      <c r="V234" s="9">
        <f>210+90</f>
        <v>300</v>
      </c>
      <c r="W234" s="291">
        <v>0</v>
      </c>
      <c r="X234" s="316">
        <v>5309</v>
      </c>
      <c r="Y234" s="316">
        <v>5309</v>
      </c>
      <c r="Z234" s="315">
        <v>5309</v>
      </c>
      <c r="AA234" s="315"/>
      <c r="AB234" s="315"/>
      <c r="AC234" s="315"/>
      <c r="AD234" s="315"/>
      <c r="AE234" s="315"/>
      <c r="AF234" s="291"/>
      <c r="AG234" s="291"/>
      <c r="AH234" s="291">
        <v>0</v>
      </c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</row>
    <row r="235" spans="1:1018">
      <c r="A235" s="293" t="s">
        <v>259</v>
      </c>
      <c r="B235" s="178" t="s">
        <v>516</v>
      </c>
      <c r="C235" s="293"/>
      <c r="D235" s="293"/>
      <c r="E235" s="286">
        <f t="shared" si="25"/>
        <v>20</v>
      </c>
      <c r="F235" s="280" t="s">
        <v>906</v>
      </c>
      <c r="G235" s="282"/>
      <c r="H235" s="282">
        <v>10</v>
      </c>
      <c r="I235" s="282"/>
      <c r="J235" s="282"/>
      <c r="K235" s="175">
        <v>3784</v>
      </c>
      <c r="L235" s="175"/>
      <c r="M235" s="175"/>
      <c r="N235" s="195">
        <f t="shared" si="26"/>
        <v>3784</v>
      </c>
      <c r="O235" s="303">
        <v>13547</v>
      </c>
      <c r="P235" s="304">
        <v>2400</v>
      </c>
      <c r="Q235" s="304">
        <v>300</v>
      </c>
      <c r="R235" s="305">
        <v>2622</v>
      </c>
      <c r="S235" s="306">
        <v>6213</v>
      </c>
      <c r="T235" s="306"/>
      <c r="U235" s="9">
        <v>370</v>
      </c>
      <c r="V235" s="9">
        <v>370</v>
      </c>
      <c r="W235" s="291">
        <v>0</v>
      </c>
      <c r="X235" s="291">
        <v>3784</v>
      </c>
      <c r="Y235" s="291">
        <v>3784</v>
      </c>
      <c r="Z235" s="289">
        <v>3784</v>
      </c>
      <c r="AA235" s="291"/>
      <c r="AB235" s="291"/>
      <c r="AC235" s="289"/>
      <c r="AD235" s="289"/>
      <c r="AE235" s="289"/>
      <c r="AF235" s="289"/>
      <c r="AG235" s="289"/>
      <c r="AH235" s="291">
        <v>0</v>
      </c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</row>
    <row r="236" spans="1:1018">
      <c r="A236" s="293" t="s">
        <v>907</v>
      </c>
      <c r="B236" s="178" t="s">
        <v>516</v>
      </c>
      <c r="C236" s="293"/>
      <c r="D236" s="293"/>
      <c r="E236" s="286">
        <f t="shared" si="25"/>
        <v>21</v>
      </c>
      <c r="F236" s="280" t="s">
        <v>908</v>
      </c>
      <c r="G236" s="281">
        <v>0.1</v>
      </c>
      <c r="H236" s="282">
        <v>10</v>
      </c>
      <c r="I236" s="282"/>
      <c r="J236" s="282"/>
      <c r="K236" s="175">
        <v>3405.6</v>
      </c>
      <c r="L236" s="175"/>
      <c r="M236" s="175"/>
      <c r="N236" s="195">
        <f t="shared" si="26"/>
        <v>3405.6</v>
      </c>
      <c r="O236" s="303">
        <v>13307</v>
      </c>
      <c r="P236" s="304">
        <v>1600</v>
      </c>
      <c r="Q236" s="304">
        <v>300</v>
      </c>
      <c r="R236" s="305">
        <v>2933</v>
      </c>
      <c r="S236" s="306">
        <v>6213</v>
      </c>
      <c r="T236" s="306"/>
      <c r="U236" s="9">
        <v>370</v>
      </c>
      <c r="V236" s="9">
        <v>370</v>
      </c>
      <c r="W236" s="291">
        <v>0</v>
      </c>
      <c r="X236" s="291">
        <v>3405.6</v>
      </c>
      <c r="Y236" s="291">
        <v>3405.6</v>
      </c>
      <c r="Z236" s="291">
        <v>3405.6</v>
      </c>
      <c r="AA236" s="291">
        <v>3235.32</v>
      </c>
      <c r="AB236" s="291">
        <v>3235.32</v>
      </c>
      <c r="AC236" s="291">
        <v>3235.32</v>
      </c>
      <c r="AD236" s="291">
        <v>3235.32</v>
      </c>
      <c r="AE236" s="291">
        <v>3235.32</v>
      </c>
      <c r="AF236" s="291">
        <v>3235.32</v>
      </c>
      <c r="AG236" s="291">
        <v>3235.32</v>
      </c>
      <c r="AH236" s="291">
        <v>0</v>
      </c>
      <c r="AI236" s="10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</row>
    <row r="237" spans="1:1018">
      <c r="A237" s="293"/>
      <c r="B237" s="178"/>
      <c r="C237" s="293"/>
      <c r="D237" s="293"/>
      <c r="E237" s="286"/>
      <c r="F237" s="280"/>
      <c r="G237" s="281"/>
      <c r="H237" s="282"/>
      <c r="I237" s="282"/>
      <c r="J237" s="282"/>
      <c r="K237" s="175"/>
      <c r="L237" s="175"/>
      <c r="M237" s="175"/>
      <c r="N237" s="195"/>
      <c r="O237" s="303"/>
      <c r="P237" s="304"/>
      <c r="Q237" s="304"/>
      <c r="R237" s="305"/>
      <c r="S237" s="306"/>
      <c r="T237" s="306"/>
      <c r="U237" s="9"/>
      <c r="V237" s="9"/>
      <c r="W237" s="291"/>
      <c r="X237" s="291"/>
      <c r="Y237" s="291"/>
      <c r="Z237" s="291"/>
      <c r="AA237" s="291"/>
      <c r="AB237" s="291"/>
      <c r="AC237" s="291"/>
      <c r="AD237" s="291"/>
      <c r="AE237" s="291"/>
      <c r="AF237" s="291"/>
      <c r="AG237" s="291"/>
      <c r="AH237" s="291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</row>
    <row r="238" spans="1:1018">
      <c r="A238" s="293"/>
      <c r="B238" s="178"/>
      <c r="C238" s="293"/>
      <c r="D238" s="293"/>
      <c r="E238" s="286"/>
      <c r="F238" s="280"/>
      <c r="G238" s="281"/>
      <c r="H238" s="282"/>
      <c r="I238" s="282"/>
      <c r="J238" s="282"/>
      <c r="K238" s="175"/>
      <c r="L238" s="175"/>
      <c r="M238" s="175"/>
      <c r="N238" s="195"/>
      <c r="O238" s="303"/>
      <c r="P238" s="304"/>
      <c r="Q238" s="304"/>
      <c r="R238" s="305"/>
      <c r="S238" s="306"/>
      <c r="T238" s="306"/>
      <c r="U238" s="9"/>
      <c r="V238" s="9"/>
      <c r="W238" s="291"/>
      <c r="X238" s="291"/>
      <c r="Y238" s="291"/>
      <c r="Z238" s="291"/>
      <c r="AA238" s="291"/>
      <c r="AB238" s="291"/>
      <c r="AC238" s="291"/>
      <c r="AD238" s="291"/>
      <c r="AE238" s="291"/>
      <c r="AF238" s="291"/>
      <c r="AG238" s="291"/>
      <c r="AH238" s="291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</row>
    <row r="239" spans="1:1018">
      <c r="A239" s="293"/>
      <c r="B239" s="178"/>
      <c r="C239" s="293"/>
      <c r="D239" s="293"/>
      <c r="E239" s="286"/>
      <c r="F239" s="280"/>
      <c r="G239" s="281"/>
      <c r="H239" s="282"/>
      <c r="I239" s="282"/>
      <c r="J239" s="282"/>
      <c r="K239" s="175"/>
      <c r="L239" s="175"/>
      <c r="M239" s="175"/>
      <c r="N239" s="195"/>
      <c r="O239" s="303"/>
      <c r="P239" s="304"/>
      <c r="Q239" s="304"/>
      <c r="R239" s="305"/>
      <c r="S239" s="306"/>
      <c r="T239" s="306"/>
      <c r="U239" s="9"/>
      <c r="V239" s="9"/>
      <c r="W239" s="291"/>
      <c r="X239" s="291"/>
      <c r="Y239" s="291"/>
      <c r="Z239" s="291"/>
      <c r="AA239" s="291"/>
      <c r="AB239" s="291"/>
      <c r="AC239" s="291"/>
      <c r="AD239" s="291"/>
      <c r="AE239" s="291"/>
      <c r="AF239" s="291"/>
      <c r="AG239" s="291"/>
      <c r="AH239" s="291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</row>
    <row r="240" spans="1:1018">
      <c r="A240" s="134" t="s">
        <v>909</v>
      </c>
      <c r="B240" s="178"/>
      <c r="C240" s="293"/>
      <c r="D240" s="293"/>
      <c r="E240" s="286"/>
      <c r="F240" s="280"/>
      <c r="G240" s="281"/>
      <c r="H240" s="282"/>
      <c r="I240" s="282"/>
      <c r="J240" s="282"/>
      <c r="K240" s="175"/>
      <c r="L240" s="175"/>
      <c r="M240" s="175"/>
      <c r="N240" s="195"/>
      <c r="O240" s="303"/>
      <c r="P240" s="304"/>
      <c r="Q240" s="304"/>
      <c r="R240" s="305"/>
      <c r="S240" s="306"/>
      <c r="T240" s="306"/>
      <c r="U240" s="9"/>
      <c r="V240" s="9"/>
      <c r="W240" s="291"/>
      <c r="X240" s="291"/>
      <c r="Y240" s="291"/>
      <c r="Z240" s="291"/>
      <c r="AA240" s="291"/>
      <c r="AB240" s="291"/>
      <c r="AC240" s="291"/>
      <c r="AD240" s="291"/>
      <c r="AE240" s="291"/>
      <c r="AF240" s="291"/>
      <c r="AG240" s="291"/>
      <c r="AH240" s="291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</row>
    <row r="241" spans="1:1018">
      <c r="A241" s="545" t="s">
        <v>910</v>
      </c>
      <c r="B241" s="178" t="s">
        <v>553</v>
      </c>
      <c r="C241" s="293" t="s">
        <v>410</v>
      </c>
      <c r="D241" s="293"/>
      <c r="E241" s="286">
        <v>1</v>
      </c>
      <c r="F241" s="280" t="s">
        <v>911</v>
      </c>
      <c r="G241" s="281">
        <v>0.22</v>
      </c>
      <c r="H241" s="282">
        <v>10</v>
      </c>
      <c r="I241" s="282"/>
      <c r="J241" s="282"/>
      <c r="K241" s="175">
        <v>2991.25</v>
      </c>
      <c r="L241" s="175">
        <v>2000</v>
      </c>
      <c r="M241" s="175"/>
      <c r="N241" s="195">
        <f t="shared" ref="N241:N263" si="28">+J241+K241+L241</f>
        <v>4991.25</v>
      </c>
      <c r="O241" s="303">
        <v>13335</v>
      </c>
      <c r="P241" s="304">
        <v>1600</v>
      </c>
      <c r="Q241" s="304">
        <v>300</v>
      </c>
      <c r="R241" s="305">
        <v>3206</v>
      </c>
      <c r="S241" s="306">
        <v>6213</v>
      </c>
      <c r="T241" s="306"/>
      <c r="U241" s="9">
        <v>370</v>
      </c>
      <c r="V241" s="9">
        <v>370</v>
      </c>
      <c r="W241" s="291">
        <v>0</v>
      </c>
      <c r="X241" s="291">
        <f>2991.25+2000</f>
        <v>4991.25</v>
      </c>
      <c r="Y241" s="291">
        <f>2991.25+300+2000</f>
        <v>5291.25</v>
      </c>
      <c r="Z241" s="291">
        <f>2991.25+2000</f>
        <v>4991.25</v>
      </c>
      <c r="AA241" s="291">
        <v>2991.25</v>
      </c>
      <c r="AB241" s="291">
        <v>2991.25</v>
      </c>
      <c r="AC241" s="291">
        <v>2991.25</v>
      </c>
      <c r="AD241" s="291">
        <v>2991.25</v>
      </c>
      <c r="AE241" s="291">
        <v>2991.25</v>
      </c>
      <c r="AF241" s="291">
        <v>2991.25</v>
      </c>
      <c r="AG241" s="291">
        <v>2991.25</v>
      </c>
      <c r="AH241" s="175">
        <v>0</v>
      </c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</row>
    <row r="242" spans="1:1018">
      <c r="A242" s="530" t="s">
        <v>912</v>
      </c>
      <c r="B242" s="178" t="s">
        <v>553</v>
      </c>
      <c r="C242" s="282" t="s">
        <v>913</v>
      </c>
      <c r="D242" s="282"/>
      <c r="E242" s="286">
        <f t="shared" ref="E242:E262" si="29">+E241+1</f>
        <v>2</v>
      </c>
      <c r="F242" s="277" t="s">
        <v>914</v>
      </c>
      <c r="G242" s="281"/>
      <c r="H242" s="282">
        <v>10</v>
      </c>
      <c r="I242" s="282"/>
      <c r="J242" s="282"/>
      <c r="K242" s="175">
        <v>3784</v>
      </c>
      <c r="L242" s="175">
        <v>2105</v>
      </c>
      <c r="M242" s="282"/>
      <c r="N242" s="195">
        <f t="shared" si="28"/>
        <v>5889</v>
      </c>
      <c r="O242" s="303">
        <v>13803</v>
      </c>
      <c r="P242" s="304">
        <v>1600</v>
      </c>
      <c r="Q242" s="304">
        <v>300</v>
      </c>
      <c r="R242" s="305">
        <v>3247</v>
      </c>
      <c r="S242" s="306">
        <v>6213</v>
      </c>
      <c r="T242" s="306"/>
      <c r="U242" s="9">
        <v>370</v>
      </c>
      <c r="V242" s="9">
        <v>370</v>
      </c>
      <c r="W242" s="291">
        <v>0</v>
      </c>
      <c r="X242" s="561">
        <v>5889</v>
      </c>
      <c r="Y242" s="315">
        <v>5889</v>
      </c>
      <c r="Z242" s="307">
        <v>5889</v>
      </c>
      <c r="AA242" s="307"/>
      <c r="AB242" s="307"/>
      <c r="AC242" s="307"/>
      <c r="AD242" s="307"/>
      <c r="AE242" s="307"/>
      <c r="AF242" s="307"/>
      <c r="AG242" s="291"/>
      <c r="AH242" s="175">
        <v>0</v>
      </c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</row>
    <row r="243" spans="1:1018">
      <c r="A243" s="530" t="s">
        <v>915</v>
      </c>
      <c r="B243" s="178" t="s">
        <v>553</v>
      </c>
      <c r="C243" s="282" t="s">
        <v>916</v>
      </c>
      <c r="D243" s="282"/>
      <c r="E243" s="286">
        <f t="shared" si="29"/>
        <v>3</v>
      </c>
      <c r="F243" s="277" t="s">
        <v>917</v>
      </c>
      <c r="G243" s="281" t="s">
        <v>918</v>
      </c>
      <c r="H243" s="282">
        <v>10</v>
      </c>
      <c r="I243" s="282"/>
      <c r="J243" s="282"/>
      <c r="K243" s="175">
        <v>3405.6</v>
      </c>
      <c r="L243" s="175">
        <v>2105</v>
      </c>
      <c r="M243" s="282"/>
      <c r="N243" s="195">
        <f t="shared" si="28"/>
        <v>5510.6</v>
      </c>
      <c r="O243" s="303">
        <v>13613</v>
      </c>
      <c r="P243" s="304">
        <v>2400</v>
      </c>
      <c r="Q243" s="304">
        <v>300</v>
      </c>
      <c r="R243" s="305">
        <v>3021</v>
      </c>
      <c r="S243" s="306">
        <v>6213</v>
      </c>
      <c r="T243" s="306" t="s">
        <v>919</v>
      </c>
      <c r="U243" s="9">
        <v>370</v>
      </c>
      <c r="V243" s="9">
        <v>370</v>
      </c>
      <c r="W243" s="291">
        <v>0</v>
      </c>
      <c r="X243" s="291">
        <v>5510.6</v>
      </c>
      <c r="Y243" s="291">
        <v>5510.6</v>
      </c>
      <c r="Z243" s="291">
        <v>5510.6</v>
      </c>
      <c r="AA243" s="291"/>
      <c r="AB243" s="291"/>
      <c r="AC243" s="291"/>
      <c r="AD243" s="291"/>
      <c r="AE243" s="291"/>
      <c r="AF243" s="291"/>
      <c r="AG243" s="291"/>
      <c r="AH243" s="175">
        <v>0</v>
      </c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</row>
    <row r="244" spans="1:1018">
      <c r="A244" s="545" t="s">
        <v>920</v>
      </c>
      <c r="B244" s="178" t="s">
        <v>553</v>
      </c>
      <c r="C244" s="293" t="s">
        <v>885</v>
      </c>
      <c r="D244" s="293"/>
      <c r="E244" s="286">
        <f t="shared" si="29"/>
        <v>4</v>
      </c>
      <c r="F244" s="280" t="s">
        <v>921</v>
      </c>
      <c r="G244" s="282">
        <v>0.15</v>
      </c>
      <c r="H244" s="282">
        <v>10</v>
      </c>
      <c r="I244" s="282"/>
      <c r="J244" s="282"/>
      <c r="K244" s="175">
        <v>3216.4</v>
      </c>
      <c r="L244" s="175">
        <v>2105</v>
      </c>
      <c r="M244" s="175"/>
      <c r="N244" s="195">
        <f t="shared" si="28"/>
        <v>5321.4</v>
      </c>
      <c r="O244" s="303">
        <v>13502</v>
      </c>
      <c r="P244" s="304">
        <v>1600</v>
      </c>
      <c r="Q244" s="304">
        <v>300</v>
      </c>
      <c r="R244" s="305" t="s">
        <v>922</v>
      </c>
      <c r="S244" s="306">
        <f>98+6115</f>
        <v>6213</v>
      </c>
      <c r="T244" s="306"/>
      <c r="U244" s="9">
        <v>370</v>
      </c>
      <c r="V244" s="9"/>
      <c r="W244" s="291">
        <v>0</v>
      </c>
      <c r="X244" s="291">
        <v>5216.3999999999996</v>
      </c>
      <c r="Y244" s="290">
        <v>5321.4</v>
      </c>
      <c r="Z244" s="290">
        <v>5321.4</v>
      </c>
      <c r="AA244" s="289"/>
      <c r="AB244" s="289"/>
      <c r="AC244" s="290"/>
      <c r="AD244" s="291"/>
      <c r="AE244" s="291"/>
      <c r="AF244" s="291"/>
      <c r="AG244" s="291"/>
      <c r="AH244" s="175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</row>
    <row r="245" spans="1:1018">
      <c r="A245" s="545" t="s">
        <v>923</v>
      </c>
      <c r="B245" s="178" t="s">
        <v>553</v>
      </c>
      <c r="C245" s="293" t="s">
        <v>924</v>
      </c>
      <c r="D245" s="293"/>
      <c r="E245" s="286">
        <f t="shared" si="29"/>
        <v>5</v>
      </c>
      <c r="F245" s="280" t="s">
        <v>925</v>
      </c>
      <c r="G245" s="282"/>
      <c r="H245" s="282">
        <v>10</v>
      </c>
      <c r="I245" s="282"/>
      <c r="J245" s="282"/>
      <c r="K245" s="175">
        <v>3784</v>
      </c>
      <c r="L245" s="175">
        <v>2105</v>
      </c>
      <c r="M245" s="175"/>
      <c r="N245" s="195">
        <f>+J245+K245+L245</f>
        <v>5889</v>
      </c>
      <c r="O245" s="303">
        <v>13550</v>
      </c>
      <c r="P245" s="304">
        <v>2400</v>
      </c>
      <c r="Q245" s="304">
        <v>300</v>
      </c>
      <c r="R245" s="305">
        <v>3075</v>
      </c>
      <c r="S245" s="306">
        <v>6213</v>
      </c>
      <c r="T245" s="306"/>
      <c r="U245" s="9">
        <v>370</v>
      </c>
      <c r="V245" s="9">
        <v>26</v>
      </c>
      <c r="W245" s="308">
        <v>0</v>
      </c>
      <c r="X245" s="290">
        <v>5545</v>
      </c>
      <c r="Y245" s="290">
        <v>5889</v>
      </c>
      <c r="Z245" s="176">
        <v>5889</v>
      </c>
      <c r="AA245" s="309"/>
      <c r="AB245" s="290"/>
      <c r="AC245" s="290"/>
      <c r="AD245" s="290"/>
      <c r="AE245" s="290"/>
      <c r="AF245" s="290"/>
      <c r="AG245" s="290"/>
      <c r="AH245" s="175">
        <v>0</v>
      </c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</row>
    <row r="246" spans="1:1018">
      <c r="A246" s="545" t="s">
        <v>926</v>
      </c>
      <c r="B246" s="178" t="s">
        <v>553</v>
      </c>
      <c r="C246" s="293" t="s">
        <v>420</v>
      </c>
      <c r="D246" s="293"/>
      <c r="E246" s="286">
        <f t="shared" si="29"/>
        <v>6</v>
      </c>
      <c r="F246" s="280" t="s">
        <v>927</v>
      </c>
      <c r="G246" s="281">
        <v>0.1</v>
      </c>
      <c r="H246" s="282">
        <v>10</v>
      </c>
      <c r="I246" s="282"/>
      <c r="J246" s="282"/>
      <c r="K246" s="157">
        <v>3405.6</v>
      </c>
      <c r="L246" s="157">
        <v>1800</v>
      </c>
      <c r="M246" s="175"/>
      <c r="N246" s="195">
        <f t="shared" si="28"/>
        <v>5205.6000000000004</v>
      </c>
      <c r="O246" s="303">
        <v>13315</v>
      </c>
      <c r="P246" s="304">
        <v>1600</v>
      </c>
      <c r="Q246" s="304">
        <v>300</v>
      </c>
      <c r="R246" s="305">
        <v>3425</v>
      </c>
      <c r="S246" s="306">
        <v>6213</v>
      </c>
      <c r="T246" s="306"/>
      <c r="U246" s="9">
        <v>370</v>
      </c>
      <c r="V246" s="9">
        <v>370</v>
      </c>
      <c r="W246" s="291">
        <v>0</v>
      </c>
      <c r="X246" s="291">
        <v>5205.6000000000004</v>
      </c>
      <c r="Y246" s="291">
        <v>5465.88</v>
      </c>
      <c r="Z246" s="291">
        <v>5205.6000000000004</v>
      </c>
      <c r="AA246" s="291"/>
      <c r="AB246" s="291"/>
      <c r="AC246" s="291"/>
      <c r="AD246" s="291"/>
      <c r="AE246" s="291"/>
      <c r="AF246" s="291"/>
      <c r="AG246" s="291"/>
      <c r="AH246" s="175">
        <v>0</v>
      </c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</row>
    <row r="247" spans="1:1018">
      <c r="A247" s="293" t="s">
        <v>928</v>
      </c>
      <c r="B247" s="178" t="s">
        <v>553</v>
      </c>
      <c r="C247" s="293"/>
      <c r="D247" s="293"/>
      <c r="E247" s="286">
        <f t="shared" si="29"/>
        <v>7</v>
      </c>
      <c r="F247" s="280" t="s">
        <v>929</v>
      </c>
      <c r="G247" s="282"/>
      <c r="H247" s="282">
        <v>10</v>
      </c>
      <c r="I247" s="282"/>
      <c r="J247" s="282"/>
      <c r="K247" s="175">
        <v>3784</v>
      </c>
      <c r="L247" s="175"/>
      <c r="M247" s="175"/>
      <c r="N247" s="195">
        <f t="shared" si="28"/>
        <v>3784</v>
      </c>
      <c r="O247" s="303">
        <v>13647</v>
      </c>
      <c r="P247" s="304">
        <v>1600</v>
      </c>
      <c r="Q247" s="304">
        <v>300</v>
      </c>
      <c r="R247" s="305">
        <v>3240</v>
      </c>
      <c r="S247" s="306">
        <v>6213</v>
      </c>
      <c r="T247" s="306"/>
      <c r="U247" s="9">
        <v>370</v>
      </c>
      <c r="V247" s="9">
        <v>370</v>
      </c>
      <c r="W247" s="291">
        <v>0</v>
      </c>
      <c r="X247" s="291">
        <v>3784</v>
      </c>
      <c r="Y247" s="291">
        <v>3784</v>
      </c>
      <c r="Z247" s="291">
        <v>3784</v>
      </c>
      <c r="AA247" s="291"/>
      <c r="AB247" s="291"/>
      <c r="AC247" s="291"/>
      <c r="AD247" s="291"/>
      <c r="AE247" s="291"/>
      <c r="AF247" s="291"/>
      <c r="AG247" s="291"/>
      <c r="AH247" s="291">
        <v>0</v>
      </c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</row>
    <row r="248" spans="1:1018">
      <c r="A248" s="282" t="s">
        <v>930</v>
      </c>
      <c r="B248" s="178" t="s">
        <v>553</v>
      </c>
      <c r="C248" s="282"/>
      <c r="D248" s="282"/>
      <c r="E248" s="286">
        <f t="shared" si="29"/>
        <v>8</v>
      </c>
      <c r="F248" s="277" t="s">
        <v>931</v>
      </c>
      <c r="G248" s="281">
        <v>0.15</v>
      </c>
      <c r="H248" s="282">
        <v>10</v>
      </c>
      <c r="I248" s="282"/>
      <c r="J248" s="282"/>
      <c r="K248" s="175">
        <v>3216.4</v>
      </c>
      <c r="L248" s="175"/>
      <c r="M248" s="282"/>
      <c r="N248" s="195">
        <f t="shared" si="28"/>
        <v>3216.4</v>
      </c>
      <c r="O248" s="303">
        <v>13227</v>
      </c>
      <c r="P248" s="304">
        <v>1600</v>
      </c>
      <c r="Q248" s="304">
        <v>300</v>
      </c>
      <c r="R248" s="305">
        <v>3046</v>
      </c>
      <c r="S248" s="306">
        <v>6213</v>
      </c>
      <c r="T248" s="306"/>
      <c r="U248" s="9">
        <v>370</v>
      </c>
      <c r="V248" s="9">
        <v>370</v>
      </c>
      <c r="W248" s="291">
        <v>0</v>
      </c>
      <c r="X248" s="561">
        <v>3216.4</v>
      </c>
      <c r="Y248" s="315">
        <v>3216.4</v>
      </c>
      <c r="Z248" s="315">
        <v>3216.4</v>
      </c>
      <c r="AA248" s="290"/>
      <c r="AB248" s="290"/>
      <c r="AC248" s="307"/>
      <c r="AD248" s="289"/>
      <c r="AE248" s="289"/>
      <c r="AF248" s="307"/>
      <c r="AG248" s="291"/>
      <c r="AH248" s="175">
        <v>0</v>
      </c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</row>
    <row r="249" spans="1:1018">
      <c r="A249" s="545" t="s">
        <v>932</v>
      </c>
      <c r="B249" s="178" t="s">
        <v>553</v>
      </c>
      <c r="C249" s="293" t="s">
        <v>355</v>
      </c>
      <c r="D249" s="293"/>
      <c r="E249" s="286">
        <f t="shared" si="29"/>
        <v>9</v>
      </c>
      <c r="F249" s="280" t="s">
        <v>933</v>
      </c>
      <c r="G249" s="281">
        <v>0.1</v>
      </c>
      <c r="H249" s="282">
        <v>10</v>
      </c>
      <c r="I249" s="282"/>
      <c r="J249" s="282"/>
      <c r="K249" s="175">
        <v>3405.6</v>
      </c>
      <c r="L249" s="175">
        <v>2000</v>
      </c>
      <c r="M249" s="175"/>
      <c r="N249" s="195">
        <f t="shared" si="28"/>
        <v>5405.6</v>
      </c>
      <c r="O249" s="303">
        <v>13199</v>
      </c>
      <c r="P249" s="304">
        <v>1600</v>
      </c>
      <c r="Q249" s="304">
        <v>300</v>
      </c>
      <c r="R249" s="305">
        <v>3015</v>
      </c>
      <c r="S249" s="306">
        <v>6213</v>
      </c>
      <c r="T249" s="306"/>
      <c r="U249" s="9">
        <v>370</v>
      </c>
      <c r="V249" s="9">
        <v>370</v>
      </c>
      <c r="W249" s="291">
        <v>0</v>
      </c>
      <c r="X249" s="291">
        <v>5510.6</v>
      </c>
      <c r="Y249" s="291">
        <v>5405.6</v>
      </c>
      <c r="Z249" s="291">
        <v>5405.6</v>
      </c>
      <c r="AA249" s="291"/>
      <c r="AB249" s="291"/>
      <c r="AC249" s="291"/>
      <c r="AD249" s="291"/>
      <c r="AE249" s="291"/>
      <c r="AF249" s="291"/>
      <c r="AG249" s="291"/>
      <c r="AH249" s="175">
        <v>0</v>
      </c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</row>
    <row r="250" spans="1:1018">
      <c r="A250" s="293" t="s">
        <v>934</v>
      </c>
      <c r="B250" s="178" t="s">
        <v>553</v>
      </c>
      <c r="C250" s="293"/>
      <c r="D250" s="293"/>
      <c r="E250" s="286">
        <f t="shared" si="29"/>
        <v>10</v>
      </c>
      <c r="F250" s="280" t="s">
        <v>935</v>
      </c>
      <c r="G250" s="281">
        <v>0.1</v>
      </c>
      <c r="H250" s="282">
        <v>10</v>
      </c>
      <c r="I250" s="282"/>
      <c r="J250" s="175"/>
      <c r="K250" s="175">
        <v>3405.6</v>
      </c>
      <c r="L250" s="175"/>
      <c r="M250" s="175"/>
      <c r="N250" s="195">
        <f t="shared" si="28"/>
        <v>3405.6</v>
      </c>
      <c r="O250" s="303">
        <v>13584</v>
      </c>
      <c r="P250" s="304">
        <v>2400</v>
      </c>
      <c r="Q250" s="304">
        <v>300</v>
      </c>
      <c r="R250" s="305">
        <v>3074</v>
      </c>
      <c r="S250" s="306">
        <v>6213</v>
      </c>
      <c r="T250" s="306"/>
      <c r="U250" s="9">
        <v>370</v>
      </c>
      <c r="V250" s="9">
        <v>370</v>
      </c>
      <c r="W250" s="315">
        <v>0</v>
      </c>
      <c r="X250" s="289">
        <v>3405.6</v>
      </c>
      <c r="Y250" s="316">
        <v>3405.6</v>
      </c>
      <c r="Z250" s="316">
        <v>3405.6</v>
      </c>
      <c r="AA250" s="315">
        <v>370</v>
      </c>
      <c r="AB250" s="315"/>
      <c r="AC250" s="315"/>
      <c r="AD250" s="315"/>
      <c r="AE250" s="315"/>
      <c r="AF250" s="315"/>
      <c r="AG250" s="289"/>
      <c r="AH250" s="175">
        <v>0</v>
      </c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</row>
    <row r="251" spans="1:1018">
      <c r="A251" s="545" t="s">
        <v>936</v>
      </c>
      <c r="B251" s="178" t="s">
        <v>553</v>
      </c>
      <c r="C251" s="293" t="s">
        <v>378</v>
      </c>
      <c r="D251" s="293"/>
      <c r="E251" s="286">
        <f t="shared" si="29"/>
        <v>11</v>
      </c>
      <c r="F251" s="280" t="s">
        <v>937</v>
      </c>
      <c r="G251" s="281">
        <v>0.2</v>
      </c>
      <c r="H251" s="282">
        <v>10</v>
      </c>
      <c r="I251" s="282"/>
      <c r="J251" s="282"/>
      <c r="K251" s="175">
        <v>3027.2</v>
      </c>
      <c r="L251" s="175">
        <v>375</v>
      </c>
      <c r="M251" s="282"/>
      <c r="N251" s="195">
        <f t="shared" si="28"/>
        <v>3402.2</v>
      </c>
      <c r="O251" s="303">
        <v>13419</v>
      </c>
      <c r="P251" s="304">
        <v>1600</v>
      </c>
      <c r="Q251" s="304">
        <v>300</v>
      </c>
      <c r="R251" s="305">
        <v>3496</v>
      </c>
      <c r="S251" s="306">
        <v>6213</v>
      </c>
      <c r="T251" s="306"/>
      <c r="U251" s="9"/>
      <c r="V251" s="9"/>
      <c r="W251" s="291">
        <v>0</v>
      </c>
      <c r="X251" s="291">
        <v>3572.31</v>
      </c>
      <c r="Y251" s="291">
        <v>3402.2</v>
      </c>
      <c r="Z251" s="291"/>
      <c r="AA251" s="289"/>
      <c r="AB251" s="291"/>
      <c r="AC251" s="291"/>
      <c r="AD251" s="307"/>
      <c r="AE251" s="307"/>
      <c r="AF251" s="307"/>
      <c r="AG251" s="291"/>
      <c r="AH251" s="175">
        <v>0</v>
      </c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</row>
    <row r="252" spans="1:1018">
      <c r="A252" s="293" t="s">
        <v>938</v>
      </c>
      <c r="B252" s="178" t="s">
        <v>553</v>
      </c>
      <c r="C252" s="293"/>
      <c r="D252" s="293"/>
      <c r="E252" s="286">
        <f t="shared" si="29"/>
        <v>12</v>
      </c>
      <c r="F252" s="280" t="s">
        <v>939</v>
      </c>
      <c r="G252" s="281">
        <v>0.15</v>
      </c>
      <c r="H252" s="282">
        <v>10</v>
      </c>
      <c r="I252" s="282"/>
      <c r="J252" s="282"/>
      <c r="K252" s="175">
        <v>3216.4</v>
      </c>
      <c r="L252" s="175"/>
      <c r="M252" s="175"/>
      <c r="N252" s="195">
        <f t="shared" si="28"/>
        <v>3216.4</v>
      </c>
      <c r="O252" s="303">
        <v>13495</v>
      </c>
      <c r="P252" s="304">
        <v>1600</v>
      </c>
      <c r="Q252" s="304">
        <v>300</v>
      </c>
      <c r="R252" s="305">
        <v>2923</v>
      </c>
      <c r="S252" s="306">
        <v>6213</v>
      </c>
      <c r="T252" s="306"/>
      <c r="U252" s="9">
        <v>370</v>
      </c>
      <c r="V252" s="9">
        <v>370</v>
      </c>
      <c r="W252" s="291">
        <v>0</v>
      </c>
      <c r="X252" s="291">
        <v>3216.4</v>
      </c>
      <c r="Y252" s="291">
        <v>3216.4</v>
      </c>
      <c r="Z252" s="291">
        <v>3216.4</v>
      </c>
      <c r="AA252" s="291">
        <v>3216.4</v>
      </c>
      <c r="AB252" s="291"/>
      <c r="AC252" s="291"/>
      <c r="AD252" s="291"/>
      <c r="AE252" s="291"/>
      <c r="AF252" s="291"/>
      <c r="AG252" s="291"/>
      <c r="AH252" s="175">
        <v>0</v>
      </c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</row>
    <row r="253" spans="1:1018">
      <c r="A253" s="293" t="s">
        <v>248</v>
      </c>
      <c r="B253" s="178" t="s">
        <v>553</v>
      </c>
      <c r="C253" s="293"/>
      <c r="D253" s="293"/>
      <c r="E253" s="286">
        <f t="shared" si="29"/>
        <v>13</v>
      </c>
      <c r="F253" s="280" t="s">
        <v>940</v>
      </c>
      <c r="G253" s="281">
        <v>0.2</v>
      </c>
      <c r="H253" s="282">
        <v>10</v>
      </c>
      <c r="I253" s="282"/>
      <c r="J253" s="282"/>
      <c r="K253" s="175">
        <v>3027.2</v>
      </c>
      <c r="L253" s="175"/>
      <c r="M253" s="175"/>
      <c r="N253" s="195">
        <f t="shared" si="28"/>
        <v>3027.2</v>
      </c>
      <c r="O253" s="303">
        <v>13614</v>
      </c>
      <c r="P253" s="304">
        <v>2400</v>
      </c>
      <c r="Q253" s="304">
        <v>300</v>
      </c>
      <c r="R253" s="305">
        <v>2817</v>
      </c>
      <c r="S253" s="306">
        <v>6213</v>
      </c>
      <c r="T253" s="306" t="s">
        <v>941</v>
      </c>
      <c r="U253" s="9">
        <v>370</v>
      </c>
      <c r="V253" s="9">
        <v>370</v>
      </c>
      <c r="W253" s="291">
        <v>0</v>
      </c>
      <c r="X253" s="291">
        <v>3216.4</v>
      </c>
      <c r="Y253" s="291">
        <v>3027.2</v>
      </c>
      <c r="Z253" s="291">
        <v>3027.2</v>
      </c>
      <c r="AA253" s="291"/>
      <c r="AB253" s="291"/>
      <c r="AC253" s="291"/>
      <c r="AD253" s="291"/>
      <c r="AE253" s="291"/>
      <c r="AF253" s="291"/>
      <c r="AG253" s="291"/>
      <c r="AH253" s="175">
        <v>0</v>
      </c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</row>
    <row r="254" spans="1:1018">
      <c r="A254" s="50" t="s">
        <v>249</v>
      </c>
      <c r="B254" s="178" t="s">
        <v>553</v>
      </c>
      <c r="C254" s="4" t="s">
        <v>420</v>
      </c>
      <c r="D254" s="4"/>
      <c r="E254" s="286">
        <f t="shared" si="29"/>
        <v>14</v>
      </c>
      <c r="F254" s="277" t="s">
        <v>942</v>
      </c>
      <c r="G254" s="281">
        <v>0.1</v>
      </c>
      <c r="H254" s="282">
        <v>11</v>
      </c>
      <c r="I254" s="282"/>
      <c r="J254" s="282">
        <v>2924</v>
      </c>
      <c r="K254" s="175"/>
      <c r="L254" s="175">
        <v>1710</v>
      </c>
      <c r="M254" s="282"/>
      <c r="N254" s="195">
        <f t="shared" si="28"/>
        <v>4634</v>
      </c>
      <c r="O254" s="303">
        <v>13195</v>
      </c>
      <c r="P254" s="304">
        <v>1600</v>
      </c>
      <c r="Q254" s="304">
        <v>300</v>
      </c>
      <c r="R254" s="305">
        <v>2651</v>
      </c>
      <c r="S254" s="306">
        <v>6213</v>
      </c>
      <c r="T254" s="306"/>
      <c r="U254" s="9">
        <v>370</v>
      </c>
      <c r="V254" s="9">
        <v>370</v>
      </c>
      <c r="W254" s="291">
        <v>2924</v>
      </c>
      <c r="X254" s="291">
        <v>4634</v>
      </c>
      <c r="Y254" s="291">
        <v>4634</v>
      </c>
      <c r="Z254" s="291">
        <f>90+4544</f>
        <v>4634</v>
      </c>
      <c r="AA254" s="291"/>
      <c r="AB254" s="291"/>
      <c r="AC254" s="291"/>
      <c r="AD254" s="291"/>
      <c r="AE254" s="291"/>
      <c r="AF254" s="291"/>
      <c r="AG254" s="291"/>
      <c r="AH254" s="291">
        <v>0</v>
      </c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</row>
    <row r="255" spans="1:1018">
      <c r="A255" s="293" t="s">
        <v>251</v>
      </c>
      <c r="B255" s="178" t="s">
        <v>553</v>
      </c>
      <c r="C255" s="293"/>
      <c r="D255" s="293"/>
      <c r="E255" s="286">
        <f t="shared" si="29"/>
        <v>15</v>
      </c>
      <c r="F255" s="280" t="s">
        <v>943</v>
      </c>
      <c r="G255" s="281">
        <v>0.1</v>
      </c>
      <c r="H255" s="282">
        <v>10</v>
      </c>
      <c r="I255" s="282"/>
      <c r="J255" s="282"/>
      <c r="K255" s="175">
        <v>3405.6</v>
      </c>
      <c r="L255" s="175"/>
      <c r="M255" s="175"/>
      <c r="N255" s="195">
        <f t="shared" si="28"/>
        <v>3405.6</v>
      </c>
      <c r="O255" s="303">
        <v>13281</v>
      </c>
      <c r="P255" s="304">
        <v>1600</v>
      </c>
      <c r="Q255" s="304">
        <v>300</v>
      </c>
      <c r="R255" s="305">
        <v>2832</v>
      </c>
      <c r="S255" s="306">
        <v>6213</v>
      </c>
      <c r="T255" s="306"/>
      <c r="U255" s="9">
        <v>370</v>
      </c>
      <c r="V255" s="9">
        <v>370</v>
      </c>
      <c r="W255" s="291">
        <v>0</v>
      </c>
      <c r="X255" s="291">
        <v>3405.6</v>
      </c>
      <c r="Y255" s="291">
        <v>3405.6</v>
      </c>
      <c r="Z255" s="291">
        <v>3405</v>
      </c>
      <c r="AA255" s="291">
        <v>3405.6</v>
      </c>
      <c r="AB255" s="291">
        <v>3405.6</v>
      </c>
      <c r="AC255" s="291">
        <v>3405.6</v>
      </c>
      <c r="AD255" s="291"/>
      <c r="AE255" s="291"/>
      <c r="AF255" s="291"/>
      <c r="AG255" s="291"/>
      <c r="AH255" s="175">
        <v>0</v>
      </c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</row>
    <row r="256" spans="1:1018">
      <c r="A256" s="545" t="s">
        <v>944</v>
      </c>
      <c r="B256" s="178" t="s">
        <v>553</v>
      </c>
      <c r="C256" s="293" t="s">
        <v>347</v>
      </c>
      <c r="D256" s="293"/>
      <c r="E256" s="286">
        <f t="shared" si="29"/>
        <v>16</v>
      </c>
      <c r="F256" s="280" t="s">
        <v>945</v>
      </c>
      <c r="G256" s="282">
        <v>0.1</v>
      </c>
      <c r="H256" s="282">
        <v>10</v>
      </c>
      <c r="I256" s="282"/>
      <c r="J256" s="282"/>
      <c r="K256" s="175">
        <v>3405.6</v>
      </c>
      <c r="L256" s="175">
        <v>2105</v>
      </c>
      <c r="M256" s="175"/>
      <c r="N256" s="195">
        <f t="shared" si="28"/>
        <v>5510.6</v>
      </c>
      <c r="O256" s="303">
        <v>13349</v>
      </c>
      <c r="P256" s="304">
        <v>1600</v>
      </c>
      <c r="Q256" s="304">
        <v>300</v>
      </c>
      <c r="R256" s="305">
        <v>3085</v>
      </c>
      <c r="S256" s="306">
        <v>6213</v>
      </c>
      <c r="T256" s="306"/>
      <c r="U256" s="9">
        <v>370</v>
      </c>
      <c r="V256" s="9">
        <v>370</v>
      </c>
      <c r="W256" s="291">
        <v>0</v>
      </c>
      <c r="X256" s="291">
        <v>5510.6</v>
      </c>
      <c r="Y256" s="307">
        <v>5510.6</v>
      </c>
      <c r="Z256" s="289">
        <v>5786.13</v>
      </c>
      <c r="AA256" s="307"/>
      <c r="AB256" s="307"/>
      <c r="AC256" s="307"/>
      <c r="AD256" s="289"/>
      <c r="AE256" s="307"/>
      <c r="AF256" s="307"/>
      <c r="AG256" s="291"/>
      <c r="AH256" s="175">
        <v>0</v>
      </c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</row>
    <row r="257" spans="1:1018" ht="13.5" customHeight="1">
      <c r="A257" s="50" t="s">
        <v>946</v>
      </c>
      <c r="B257" s="178" t="s">
        <v>553</v>
      </c>
      <c r="C257" s="4" t="s">
        <v>420</v>
      </c>
      <c r="D257" s="4"/>
      <c r="E257" s="286">
        <f t="shared" si="29"/>
        <v>17</v>
      </c>
      <c r="F257" s="277" t="s">
        <v>947</v>
      </c>
      <c r="G257" s="281"/>
      <c r="H257" s="282">
        <v>10</v>
      </c>
      <c r="I257" s="282"/>
      <c r="J257" s="282"/>
      <c r="K257" s="175">
        <v>3784</v>
      </c>
      <c r="L257" s="175">
        <v>1800</v>
      </c>
      <c r="M257" s="282"/>
      <c r="N257" s="195">
        <f t="shared" si="28"/>
        <v>5584</v>
      </c>
      <c r="O257" s="303">
        <v>13497</v>
      </c>
      <c r="P257" s="304">
        <v>1600</v>
      </c>
      <c r="Q257" s="304">
        <v>300</v>
      </c>
      <c r="R257" s="305">
        <v>3191</v>
      </c>
      <c r="S257" s="306">
        <v>6213</v>
      </c>
      <c r="T257" s="306"/>
      <c r="U257" s="9"/>
      <c r="V257" s="9"/>
      <c r="W257" s="291">
        <v>0</v>
      </c>
      <c r="X257" s="290">
        <v>5584</v>
      </c>
      <c r="Y257" s="290">
        <v>5584</v>
      </c>
      <c r="Z257" s="290"/>
      <c r="AA257" s="290"/>
      <c r="AB257" s="290"/>
      <c r="AC257" s="290"/>
      <c r="AD257" s="290"/>
      <c r="AE257" s="290"/>
      <c r="AF257" s="290"/>
      <c r="AG257" s="290"/>
      <c r="AH257" s="291">
        <v>0</v>
      </c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</row>
    <row r="258" spans="1:1018">
      <c r="A258" s="50" t="s">
        <v>948</v>
      </c>
      <c r="B258" s="178" t="s">
        <v>553</v>
      </c>
      <c r="C258" s="4" t="s">
        <v>949</v>
      </c>
      <c r="D258" s="4"/>
      <c r="E258" s="286">
        <f t="shared" si="29"/>
        <v>18</v>
      </c>
      <c r="F258" s="277" t="s">
        <v>950</v>
      </c>
      <c r="G258" s="281"/>
      <c r="H258" s="282">
        <v>10</v>
      </c>
      <c r="I258" s="282"/>
      <c r="J258" s="282"/>
      <c r="K258" s="175">
        <v>3784</v>
      </c>
      <c r="L258" s="175">
        <v>2105</v>
      </c>
      <c r="M258" s="282"/>
      <c r="N258" s="195">
        <f t="shared" si="28"/>
        <v>5889</v>
      </c>
      <c r="O258" s="303">
        <v>13370</v>
      </c>
      <c r="P258" s="304">
        <v>1600</v>
      </c>
      <c r="Q258" s="304">
        <v>300</v>
      </c>
      <c r="R258" s="305">
        <v>3245</v>
      </c>
      <c r="S258" s="306">
        <v>3000</v>
      </c>
      <c r="T258" s="306" t="s">
        <v>951</v>
      </c>
      <c r="U258" s="9">
        <v>370</v>
      </c>
      <c r="V258" s="9">
        <v>370</v>
      </c>
      <c r="W258" s="291">
        <v>0</v>
      </c>
      <c r="X258" s="561">
        <v>3784</v>
      </c>
      <c r="Y258" s="315">
        <v>3784</v>
      </c>
      <c r="Z258" s="289">
        <v>3973.2</v>
      </c>
      <c r="AA258" s="322"/>
      <c r="AB258" s="323"/>
      <c r="AC258" s="323"/>
      <c r="AD258" s="323"/>
      <c r="AE258" s="323"/>
      <c r="AF258" s="323"/>
      <c r="AG258" s="100"/>
      <c r="AH258" s="100" t="s">
        <v>952</v>
      </c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</row>
    <row r="259" spans="1:1018">
      <c r="A259" s="546" t="s">
        <v>953</v>
      </c>
      <c r="B259" s="285" t="s">
        <v>553</v>
      </c>
      <c r="C259" s="335" t="s">
        <v>420</v>
      </c>
      <c r="D259" s="335"/>
      <c r="E259" s="286">
        <f t="shared" si="29"/>
        <v>19</v>
      </c>
      <c r="F259" s="280" t="s">
        <v>954</v>
      </c>
      <c r="G259" s="281"/>
      <c r="H259" s="282">
        <v>10</v>
      </c>
      <c r="I259" s="282"/>
      <c r="J259" s="282"/>
      <c r="K259" s="157">
        <v>3784</v>
      </c>
      <c r="L259" s="157">
        <v>1800</v>
      </c>
      <c r="M259" s="175"/>
      <c r="N259" s="223">
        <f t="shared" si="28"/>
        <v>5584</v>
      </c>
      <c r="O259" s="303">
        <v>13371</v>
      </c>
      <c r="P259" s="304">
        <v>1600</v>
      </c>
      <c r="Q259" s="304">
        <v>300</v>
      </c>
      <c r="R259" s="305" t="s">
        <v>800</v>
      </c>
      <c r="S259" s="306">
        <v>6213</v>
      </c>
      <c r="T259" s="306"/>
      <c r="U259" s="9">
        <v>370</v>
      </c>
      <c r="V259" s="9">
        <v>370</v>
      </c>
      <c r="W259" s="291">
        <v>0</v>
      </c>
      <c r="X259" s="291">
        <v>5584</v>
      </c>
      <c r="Y259" s="290">
        <v>5584</v>
      </c>
      <c r="Z259" s="291">
        <v>5863.2</v>
      </c>
      <c r="AA259" s="289"/>
      <c r="AB259" s="289"/>
      <c r="AC259" s="289"/>
      <c r="AD259" s="290"/>
      <c r="AE259" s="291"/>
      <c r="AF259" s="291"/>
      <c r="AG259" s="290"/>
      <c r="AH259" s="175">
        <v>0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</row>
    <row r="260" spans="1:1018">
      <c r="A260" s="282" t="s">
        <v>955</v>
      </c>
      <c r="B260" s="178" t="s">
        <v>553</v>
      </c>
      <c r="C260" s="282"/>
      <c r="D260" s="282"/>
      <c r="E260" s="286">
        <f t="shared" si="29"/>
        <v>20</v>
      </c>
      <c r="F260" s="277" t="s">
        <v>956</v>
      </c>
      <c r="G260" s="281">
        <v>0.2</v>
      </c>
      <c r="H260" s="282">
        <v>10</v>
      </c>
      <c r="I260" s="282"/>
      <c r="J260" s="282"/>
      <c r="K260" s="175">
        <v>3027.2</v>
      </c>
      <c r="L260" s="175"/>
      <c r="M260" s="282"/>
      <c r="N260" s="223">
        <f t="shared" si="28"/>
        <v>3027.2</v>
      </c>
      <c r="O260" s="303">
        <v>13765</v>
      </c>
      <c r="P260" s="304">
        <v>2400</v>
      </c>
      <c r="Q260" s="304">
        <v>300</v>
      </c>
      <c r="R260" s="305">
        <v>3420</v>
      </c>
      <c r="S260" s="306">
        <v>6213</v>
      </c>
      <c r="T260" s="306"/>
      <c r="U260" s="9"/>
      <c r="V260" s="9"/>
      <c r="W260" s="291">
        <v>0</v>
      </c>
      <c r="X260" s="291">
        <v>3027.2</v>
      </c>
      <c r="Y260" s="291">
        <v>3027.2</v>
      </c>
      <c r="Z260" s="291"/>
      <c r="AA260" s="291"/>
      <c r="AB260" s="291"/>
      <c r="AC260" s="291"/>
      <c r="AD260" s="291"/>
      <c r="AE260" s="291"/>
      <c r="AF260" s="291"/>
      <c r="AG260" s="291"/>
      <c r="AH260" s="175">
        <v>0</v>
      </c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</row>
    <row r="261" spans="1:1018">
      <c r="A261" s="545" t="s">
        <v>957</v>
      </c>
      <c r="B261" s="178" t="s">
        <v>553</v>
      </c>
      <c r="C261" s="293" t="s">
        <v>850</v>
      </c>
      <c r="D261" s="293"/>
      <c r="E261" s="286">
        <f t="shared" si="29"/>
        <v>21</v>
      </c>
      <c r="F261" s="280" t="s">
        <v>958</v>
      </c>
      <c r="G261" s="281"/>
      <c r="H261" s="282">
        <v>10</v>
      </c>
      <c r="I261" s="175"/>
      <c r="J261" s="175"/>
      <c r="K261" s="175">
        <v>3784</v>
      </c>
      <c r="L261" s="175">
        <v>2105</v>
      </c>
      <c r="M261" s="175"/>
      <c r="N261" s="223">
        <f t="shared" si="28"/>
        <v>5889</v>
      </c>
      <c r="O261" s="303">
        <v>13696</v>
      </c>
      <c r="P261" s="304">
        <v>2400</v>
      </c>
      <c r="Q261" s="304">
        <v>300</v>
      </c>
      <c r="R261" s="305">
        <v>3433</v>
      </c>
      <c r="S261" s="306">
        <v>6213</v>
      </c>
      <c r="T261" s="306"/>
      <c r="U261" s="9">
        <v>370</v>
      </c>
      <c r="V261" s="9"/>
      <c r="W261" s="291">
        <v>0</v>
      </c>
      <c r="X261" s="291">
        <v>5889</v>
      </c>
      <c r="Y261" s="291">
        <v>6183.45</v>
      </c>
      <c r="Z261" s="290"/>
      <c r="AA261" s="290"/>
      <c r="AB261" s="291"/>
      <c r="AC261" s="291"/>
      <c r="AD261" s="291"/>
      <c r="AE261" s="291"/>
      <c r="AF261" s="291"/>
      <c r="AG261" s="291"/>
      <c r="AH261" s="175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</row>
    <row r="262" spans="1:1018">
      <c r="A262" s="293" t="s">
        <v>959</v>
      </c>
      <c r="B262" s="178" t="s">
        <v>553</v>
      </c>
      <c r="C262" s="293"/>
      <c r="D262" s="293"/>
      <c r="E262" s="286">
        <f t="shared" si="29"/>
        <v>22</v>
      </c>
      <c r="F262" s="280" t="s">
        <v>960</v>
      </c>
      <c r="G262" s="281">
        <v>0.1</v>
      </c>
      <c r="H262" s="282">
        <v>10</v>
      </c>
      <c r="I262" s="282"/>
      <c r="J262" s="282"/>
      <c r="K262" s="175">
        <v>3405.6</v>
      </c>
      <c r="L262" s="175"/>
      <c r="M262" s="175"/>
      <c r="N262" s="223">
        <f t="shared" si="28"/>
        <v>3405.6</v>
      </c>
      <c r="O262" s="303">
        <v>13185</v>
      </c>
      <c r="P262" s="304">
        <v>1600</v>
      </c>
      <c r="Q262" s="304">
        <v>300</v>
      </c>
      <c r="R262" s="305">
        <v>3096</v>
      </c>
      <c r="S262" s="306">
        <v>6213</v>
      </c>
      <c r="T262" s="306"/>
      <c r="U262" s="9">
        <v>370</v>
      </c>
      <c r="V262" s="9"/>
      <c r="W262" s="291">
        <v>0</v>
      </c>
      <c r="X262" s="291">
        <v>3405.6</v>
      </c>
      <c r="Y262" s="290">
        <v>3405.6</v>
      </c>
      <c r="Z262" s="289"/>
      <c r="AA262" s="290"/>
      <c r="AB262" s="290"/>
      <c r="AC262" s="290"/>
      <c r="AD262" s="290"/>
      <c r="AE262" s="290"/>
      <c r="AF262" s="290"/>
      <c r="AG262" s="289"/>
      <c r="AH262" s="175">
        <v>0</v>
      </c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</row>
    <row r="263" spans="1:1018">
      <c r="A263" s="4"/>
      <c r="B263" s="4"/>
      <c r="C263" s="4"/>
      <c r="D263" s="4"/>
      <c r="E263" s="293"/>
      <c r="F263" s="277"/>
      <c r="G263" s="281"/>
      <c r="H263" s="282"/>
      <c r="I263" s="282"/>
      <c r="J263" s="282"/>
      <c r="K263" s="175"/>
      <c r="L263" s="175"/>
      <c r="M263" s="282"/>
      <c r="N263" s="223">
        <f t="shared" si="28"/>
        <v>0</v>
      </c>
      <c r="O263" s="303"/>
      <c r="P263" s="304"/>
      <c r="Q263" s="304"/>
      <c r="R263" s="305"/>
      <c r="S263" s="306"/>
      <c r="T263" s="306"/>
      <c r="U263" s="9"/>
      <c r="V263" s="9"/>
      <c r="W263" s="291"/>
      <c r="X263" s="291"/>
      <c r="Y263" s="291"/>
      <c r="Z263" s="291"/>
      <c r="AA263" s="291"/>
      <c r="AB263" s="291"/>
      <c r="AC263" s="291"/>
      <c r="AD263" s="291"/>
      <c r="AE263" s="291"/>
      <c r="AF263" s="291"/>
      <c r="AG263" s="291"/>
      <c r="AH263" s="291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</row>
    <row r="264" spans="1:1018">
      <c r="A264" s="282"/>
      <c r="B264" s="282"/>
      <c r="C264" s="282"/>
      <c r="D264" s="282"/>
      <c r="E264" s="282"/>
      <c r="F264" s="277"/>
      <c r="G264" s="281"/>
      <c r="H264" s="282"/>
      <c r="I264" s="282"/>
      <c r="J264" s="282"/>
      <c r="K264" s="175"/>
      <c r="L264" s="175"/>
      <c r="M264" s="282"/>
      <c r="N264" s="223"/>
      <c r="O264" s="303"/>
      <c r="P264" s="21"/>
      <c r="Q264" s="21"/>
      <c r="R264" s="329"/>
      <c r="S264" s="330"/>
      <c r="T264" s="330"/>
      <c r="U264" s="6"/>
      <c r="V264" s="6"/>
      <c r="W264" s="291"/>
      <c r="X264" s="291"/>
      <c r="Y264" s="291"/>
      <c r="Z264" s="291"/>
      <c r="AA264" s="291"/>
      <c r="AB264" s="291"/>
      <c r="AC264" s="291"/>
      <c r="AD264" s="291"/>
      <c r="AE264" s="291"/>
      <c r="AF264" s="291"/>
      <c r="AG264" s="291"/>
      <c r="AH264" s="291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</row>
    <row r="265" spans="1:1018">
      <c r="A265" s="282"/>
      <c r="B265" s="282"/>
      <c r="C265" s="282"/>
      <c r="D265" s="282"/>
      <c r="E265" s="282"/>
      <c r="F265" s="277"/>
      <c r="G265" s="282">
        <f>SUM(G216:G264)</f>
        <v>4.4400000000000004</v>
      </c>
      <c r="H265" s="282"/>
      <c r="I265" s="282"/>
      <c r="J265" s="282"/>
      <c r="K265" s="331"/>
      <c r="L265" s="331"/>
      <c r="M265" s="282"/>
      <c r="N265" s="223"/>
      <c r="O265" s="196"/>
      <c r="P265" s="258"/>
      <c r="Q265" s="258"/>
      <c r="R265" s="259"/>
      <c r="S265" s="260"/>
      <c r="T265" s="260"/>
      <c r="U265" s="261"/>
      <c r="V265" s="261"/>
      <c r="W265" s="175"/>
      <c r="X265" s="175"/>
      <c r="Y265" s="175"/>
      <c r="Z265" s="175"/>
      <c r="AA265" s="175"/>
      <c r="AB265" s="175"/>
      <c r="AC265" s="175"/>
      <c r="AD265" s="175"/>
      <c r="AE265" s="175"/>
      <c r="AF265" s="175"/>
      <c r="AG265" s="175"/>
      <c r="AH265" s="175"/>
    </row>
    <row r="266" spans="1:1018" s="151" customFormat="1" ht="45">
      <c r="A266" s="134" t="s">
        <v>176</v>
      </c>
      <c r="B266" s="332"/>
      <c r="C266" s="135" t="s">
        <v>339</v>
      </c>
      <c r="D266" s="333"/>
      <c r="E266" s="332"/>
      <c r="F266" s="334" t="s">
        <v>961</v>
      </c>
      <c r="G266" s="187" t="s">
        <v>426</v>
      </c>
      <c r="H266" s="270" t="s">
        <v>427</v>
      </c>
      <c r="I266" s="271"/>
      <c r="J266" s="235" t="s">
        <v>429</v>
      </c>
      <c r="K266" s="236" t="s">
        <v>441</v>
      </c>
      <c r="L266" s="237"/>
      <c r="M266" s="238" t="s">
        <v>431</v>
      </c>
      <c r="N266" s="239" t="s">
        <v>432</v>
      </c>
      <c r="O266" s="144"/>
      <c r="P266" s="145"/>
      <c r="Q266" s="145"/>
      <c r="R266" s="240"/>
      <c r="S266" s="241"/>
      <c r="T266" s="241"/>
      <c r="U266" s="242"/>
      <c r="V266" s="242"/>
      <c r="W266" s="150" t="s">
        <v>437</v>
      </c>
      <c r="X266" s="150" t="s">
        <v>438</v>
      </c>
      <c r="Y266" s="150" t="s">
        <v>2</v>
      </c>
      <c r="Z266" s="150" t="s">
        <v>4</v>
      </c>
      <c r="AA266" s="150" t="s">
        <v>5</v>
      </c>
      <c r="AB266" s="150" t="s">
        <v>6</v>
      </c>
      <c r="AC266" s="150" t="s">
        <v>7</v>
      </c>
      <c r="AD266" s="150" t="s">
        <v>8</v>
      </c>
      <c r="AE266" s="150" t="s">
        <v>9</v>
      </c>
      <c r="AF266" s="150" t="s">
        <v>10</v>
      </c>
      <c r="AG266" s="150" t="s">
        <v>340</v>
      </c>
      <c r="AH266" s="150" t="s">
        <v>439</v>
      </c>
    </row>
    <row r="267" spans="1:1018">
      <c r="A267" s="546" t="s">
        <v>962</v>
      </c>
      <c r="B267" s="335" t="s">
        <v>516</v>
      </c>
      <c r="C267" s="335" t="s">
        <v>359</v>
      </c>
      <c r="D267" s="335"/>
      <c r="E267" s="336">
        <f>1+E266</f>
        <v>1</v>
      </c>
      <c r="F267" s="337" t="s">
        <v>963</v>
      </c>
      <c r="G267" s="301">
        <v>0.15</v>
      </c>
      <c r="H267" s="263">
        <v>10</v>
      </c>
      <c r="I267" s="263"/>
      <c r="J267" s="263"/>
      <c r="K267" s="310">
        <v>3216.4</v>
      </c>
      <c r="L267" s="310">
        <v>1710</v>
      </c>
      <c r="M267" s="310"/>
      <c r="N267" s="195">
        <f t="shared" ref="N267:N286" si="30">+J267+K267+L267</f>
        <v>4926.3999999999996</v>
      </c>
      <c r="O267" s="338">
        <v>13432</v>
      </c>
      <c r="P267" s="339">
        <v>1600</v>
      </c>
      <c r="Q267" s="339">
        <v>300</v>
      </c>
      <c r="R267" s="305">
        <v>3194</v>
      </c>
      <c r="S267" s="306">
        <v>6213</v>
      </c>
      <c r="T267" s="306" t="s">
        <v>964</v>
      </c>
      <c r="U267" s="9">
        <v>370</v>
      </c>
      <c r="V267" s="9"/>
      <c r="W267" s="308">
        <v>0</v>
      </c>
      <c r="X267" s="354">
        <v>5172.72</v>
      </c>
      <c r="Y267" s="308">
        <v>4926.3999999999996</v>
      </c>
      <c r="Z267" s="308"/>
      <c r="AA267" s="340"/>
      <c r="AB267" s="340"/>
      <c r="AC267" s="340"/>
      <c r="AD267" s="340"/>
      <c r="AE267" s="340"/>
      <c r="AF267" s="340"/>
      <c r="AG267" s="308"/>
      <c r="AH267" s="308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</row>
    <row r="268" spans="1:1018">
      <c r="A268" s="545" t="s">
        <v>965</v>
      </c>
      <c r="B268" s="293" t="s">
        <v>516</v>
      </c>
      <c r="C268" s="293" t="s">
        <v>359</v>
      </c>
      <c r="D268" s="293"/>
      <c r="E268" s="286">
        <f t="shared" ref="E268:E286" si="31">+E267+1</f>
        <v>2</v>
      </c>
      <c r="F268" s="280" t="s">
        <v>966</v>
      </c>
      <c r="G268" s="282">
        <v>0.1</v>
      </c>
      <c r="H268" s="282">
        <v>10</v>
      </c>
      <c r="I268" s="282"/>
      <c r="J268" s="282"/>
      <c r="K268" s="157">
        <v>3405.6</v>
      </c>
      <c r="L268" s="157">
        <v>1800</v>
      </c>
      <c r="M268" s="175"/>
      <c r="N268" s="195">
        <f t="shared" si="30"/>
        <v>5205.6000000000004</v>
      </c>
      <c r="O268" s="303">
        <v>13290</v>
      </c>
      <c r="P268" s="339">
        <v>1600</v>
      </c>
      <c r="Q268" s="339">
        <v>300</v>
      </c>
      <c r="R268" s="305">
        <v>2937</v>
      </c>
      <c r="S268" s="306">
        <v>6213</v>
      </c>
      <c r="T268" s="306"/>
      <c r="U268" s="9">
        <v>370</v>
      </c>
      <c r="V268" s="9">
        <v>370</v>
      </c>
      <c r="W268" s="291">
        <v>0</v>
      </c>
      <c r="X268" s="316">
        <v>5205.6000000000004</v>
      </c>
      <c r="Y268" s="316">
        <v>5205.6000000000004</v>
      </c>
      <c r="Z268" s="315">
        <v>5205.6000000000004</v>
      </c>
      <c r="AA268" s="315"/>
      <c r="AB268" s="315"/>
      <c r="AC268" s="315"/>
      <c r="AD268" s="315"/>
      <c r="AE268" s="315"/>
      <c r="AF268" s="315"/>
      <c r="AG268" s="291"/>
      <c r="AH268" s="291">
        <v>0</v>
      </c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</row>
    <row r="269" spans="1:1018">
      <c r="A269" s="282" t="s">
        <v>967</v>
      </c>
      <c r="B269" s="335" t="s">
        <v>516</v>
      </c>
      <c r="C269" s="293"/>
      <c r="D269" s="293"/>
      <c r="E269" s="286">
        <f t="shared" si="31"/>
        <v>3</v>
      </c>
      <c r="F269" s="277" t="s">
        <v>968</v>
      </c>
      <c r="G269" s="301">
        <v>0.15</v>
      </c>
      <c r="H269" s="263">
        <v>10</v>
      </c>
      <c r="I269" s="263"/>
      <c r="J269" s="263"/>
      <c r="K269" s="310">
        <v>3216.4</v>
      </c>
      <c r="L269" s="310"/>
      <c r="M269" s="302"/>
      <c r="N269" s="195">
        <f t="shared" si="30"/>
        <v>3216.4</v>
      </c>
      <c r="O269" s="303">
        <v>13515</v>
      </c>
      <c r="P269" s="339">
        <v>1600</v>
      </c>
      <c r="Q269" s="339">
        <v>300</v>
      </c>
      <c r="R269" s="305">
        <v>2924</v>
      </c>
      <c r="S269" s="306">
        <v>6213</v>
      </c>
      <c r="T269" s="306"/>
      <c r="U269" s="9">
        <v>370</v>
      </c>
      <c r="V269" s="9"/>
      <c r="W269" s="291">
        <v>0</v>
      </c>
      <c r="X269" s="291">
        <v>3216.4</v>
      </c>
      <c r="Y269" s="315">
        <v>3216.4</v>
      </c>
      <c r="Z269" s="289">
        <v>3216.4</v>
      </c>
      <c r="AA269" s="291"/>
      <c r="AB269" s="289"/>
      <c r="AC269" s="289"/>
      <c r="AD269" s="291"/>
      <c r="AE269" s="291"/>
      <c r="AF269" s="291"/>
      <c r="AG269" s="291"/>
      <c r="AH269" s="291">
        <v>0</v>
      </c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</row>
    <row r="270" spans="1:1018">
      <c r="A270" s="545" t="s">
        <v>260</v>
      </c>
      <c r="B270" s="293" t="s">
        <v>516</v>
      </c>
      <c r="C270" s="293" t="s">
        <v>420</v>
      </c>
      <c r="D270" s="293"/>
      <c r="E270" s="286">
        <f t="shared" si="31"/>
        <v>4</v>
      </c>
      <c r="F270" s="280" t="s">
        <v>969</v>
      </c>
      <c r="G270" s="301"/>
      <c r="H270" s="263">
        <v>10</v>
      </c>
      <c r="I270" s="263"/>
      <c r="J270" s="263">
        <v>3440</v>
      </c>
      <c r="K270" s="302"/>
      <c r="L270" s="302">
        <v>1800</v>
      </c>
      <c r="M270" s="302"/>
      <c r="N270" s="195">
        <f t="shared" si="30"/>
        <v>5240</v>
      </c>
      <c r="O270" s="303">
        <v>13581</v>
      </c>
      <c r="P270" s="339">
        <v>1600</v>
      </c>
      <c r="Q270" s="339">
        <v>300</v>
      </c>
      <c r="R270" s="305">
        <v>2658</v>
      </c>
      <c r="S270" s="306">
        <v>6213</v>
      </c>
      <c r="T270" s="306"/>
      <c r="U270" s="9">
        <v>370</v>
      </c>
      <c r="V270" s="9"/>
      <c r="W270" s="291">
        <v>0</v>
      </c>
      <c r="X270" s="291">
        <v>3096</v>
      </c>
      <c r="Y270" s="289">
        <v>5240</v>
      </c>
      <c r="Z270" s="290">
        <v>5240</v>
      </c>
      <c r="AA270" s="289">
        <f>3268+1800</f>
        <v>5068</v>
      </c>
      <c r="AB270" s="289">
        <v>3268</v>
      </c>
      <c r="AC270" s="289">
        <v>3268</v>
      </c>
      <c r="AD270" s="289">
        <v>3268</v>
      </c>
      <c r="AE270" s="289">
        <v>3268</v>
      </c>
      <c r="AF270" s="290"/>
      <c r="AG270" s="290"/>
      <c r="AH270" s="291">
        <v>0</v>
      </c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</row>
    <row r="271" spans="1:1018">
      <c r="A271" s="545" t="s">
        <v>970</v>
      </c>
      <c r="B271" s="335" t="s">
        <v>516</v>
      </c>
      <c r="C271" s="293" t="s">
        <v>971</v>
      </c>
      <c r="D271" s="293"/>
      <c r="E271" s="286">
        <f t="shared" si="31"/>
        <v>5</v>
      </c>
      <c r="F271" s="280" t="s">
        <v>972</v>
      </c>
      <c r="G271" s="301">
        <v>0.15</v>
      </c>
      <c r="H271" s="263">
        <v>10</v>
      </c>
      <c r="I271" s="263"/>
      <c r="J271" s="263"/>
      <c r="K271" s="310">
        <v>3216.4</v>
      </c>
      <c r="L271" s="310">
        <v>2000</v>
      </c>
      <c r="M271" s="302"/>
      <c r="N271" s="195">
        <f t="shared" si="30"/>
        <v>5216.3999999999996</v>
      </c>
      <c r="O271" s="303">
        <v>13426</v>
      </c>
      <c r="P271" s="339">
        <v>1600</v>
      </c>
      <c r="Q271" s="339">
        <v>300</v>
      </c>
      <c r="R271" s="305">
        <v>2960</v>
      </c>
      <c r="S271" s="306">
        <v>6213</v>
      </c>
      <c r="T271" s="306"/>
      <c r="U271" s="9">
        <v>370</v>
      </c>
      <c r="V271" s="9"/>
      <c r="W271" s="291">
        <v>0</v>
      </c>
      <c r="X271" s="289">
        <v>5216.3999999999996</v>
      </c>
      <c r="Y271" s="289">
        <v>5216.3999999999996</v>
      </c>
      <c r="Z271" s="291"/>
      <c r="AA271" s="291"/>
      <c r="AB271" s="291"/>
      <c r="AC271" s="291"/>
      <c r="AD271" s="291"/>
      <c r="AE271" s="291"/>
      <c r="AF271" s="291"/>
      <c r="AG271" s="291"/>
      <c r="AH271" s="291">
        <v>0</v>
      </c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</row>
    <row r="272" spans="1:1018">
      <c r="A272" s="545" t="s">
        <v>973</v>
      </c>
      <c r="B272" s="293" t="s">
        <v>516</v>
      </c>
      <c r="C272" s="293" t="s">
        <v>359</v>
      </c>
      <c r="D272" s="293"/>
      <c r="E272" s="286">
        <f t="shared" si="31"/>
        <v>6</v>
      </c>
      <c r="F272" s="280" t="s">
        <v>974</v>
      </c>
      <c r="G272" s="301"/>
      <c r="H272" s="263">
        <v>10</v>
      </c>
      <c r="I272" s="263"/>
      <c r="J272" s="263"/>
      <c r="K272" s="310">
        <v>3784</v>
      </c>
      <c r="L272" s="310">
        <v>1800</v>
      </c>
      <c r="M272" s="302"/>
      <c r="N272" s="195">
        <f t="shared" si="30"/>
        <v>5584</v>
      </c>
      <c r="O272" s="303">
        <v>13232</v>
      </c>
      <c r="P272" s="339">
        <v>1600</v>
      </c>
      <c r="Q272" s="339">
        <v>300</v>
      </c>
      <c r="R272" s="305">
        <v>3047</v>
      </c>
      <c r="S272" s="306">
        <v>6213</v>
      </c>
      <c r="T272" s="306"/>
      <c r="U272" s="9">
        <v>370</v>
      </c>
      <c r="V272" s="9"/>
      <c r="W272" s="291">
        <v>0</v>
      </c>
      <c r="X272" s="291">
        <v>5584</v>
      </c>
      <c r="Y272" s="291">
        <f>5584-378.4</f>
        <v>5205.6000000000004</v>
      </c>
      <c r="Z272" s="291">
        <v>5584</v>
      </c>
      <c r="AA272" s="291"/>
      <c r="AB272" s="291"/>
      <c r="AC272" s="291"/>
      <c r="AD272" s="291"/>
      <c r="AE272" s="291"/>
      <c r="AF272" s="291"/>
      <c r="AG272" s="291"/>
      <c r="AH272" s="291">
        <v>0</v>
      </c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</row>
    <row r="273" spans="1:1018">
      <c r="A273" s="293" t="s">
        <v>975</v>
      </c>
      <c r="B273" s="335" t="s">
        <v>516</v>
      </c>
      <c r="C273" s="293"/>
      <c r="D273" s="293"/>
      <c r="E273" s="286">
        <f t="shared" si="31"/>
        <v>7</v>
      </c>
      <c r="F273" s="337" t="s">
        <v>976</v>
      </c>
      <c r="G273" s="287"/>
      <c r="H273" s="288">
        <v>10</v>
      </c>
      <c r="I273" s="288"/>
      <c r="J273" s="288"/>
      <c r="K273" s="192">
        <v>3784</v>
      </c>
      <c r="L273" s="192"/>
      <c r="M273" s="343"/>
      <c r="N273" s="195">
        <f t="shared" si="30"/>
        <v>3784</v>
      </c>
      <c r="O273" s="303">
        <v>13538</v>
      </c>
      <c r="P273" s="339">
        <v>2400</v>
      </c>
      <c r="Q273" s="339">
        <v>300</v>
      </c>
      <c r="R273" s="305">
        <v>3177</v>
      </c>
      <c r="S273" s="306">
        <v>6213</v>
      </c>
      <c r="T273" s="306"/>
      <c r="U273" s="9">
        <v>370</v>
      </c>
      <c r="V273" s="9">
        <v>370</v>
      </c>
      <c r="W273" s="291">
        <v>0</v>
      </c>
      <c r="X273" s="291">
        <v>3784</v>
      </c>
      <c r="Y273" s="291">
        <v>3784</v>
      </c>
      <c r="Z273" s="291">
        <v>3784</v>
      </c>
      <c r="AA273" s="289"/>
      <c r="AB273" s="289"/>
      <c r="AC273" s="291"/>
      <c r="AD273" s="291"/>
      <c r="AE273" s="291"/>
      <c r="AF273" s="291"/>
      <c r="AG273" s="291"/>
      <c r="AH273" s="291">
        <v>0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</row>
    <row r="274" spans="1:1018">
      <c r="A274" s="530" t="s">
        <v>262</v>
      </c>
      <c r="B274" s="293" t="s">
        <v>516</v>
      </c>
      <c r="C274" s="282" t="s">
        <v>977</v>
      </c>
      <c r="D274" s="282"/>
      <c r="E274" s="286">
        <f t="shared" si="31"/>
        <v>8</v>
      </c>
      <c r="F274" s="277" t="s">
        <v>978</v>
      </c>
      <c r="G274" s="301"/>
      <c r="H274" s="263">
        <v>10</v>
      </c>
      <c r="I274" s="263"/>
      <c r="J274" s="263"/>
      <c r="K274" s="310">
        <v>3784</v>
      </c>
      <c r="L274" s="302">
        <v>1525</v>
      </c>
      <c r="M274" s="263"/>
      <c r="N274" s="195">
        <f t="shared" si="30"/>
        <v>5309</v>
      </c>
      <c r="O274" s="303">
        <v>13564</v>
      </c>
      <c r="P274" s="339">
        <v>2400</v>
      </c>
      <c r="Q274" s="339">
        <v>300</v>
      </c>
      <c r="R274" s="305">
        <v>2641</v>
      </c>
      <c r="S274" s="306">
        <v>6213</v>
      </c>
      <c r="T274" s="306"/>
      <c r="U274" s="585">
        <v>370</v>
      </c>
      <c r="V274" s="585">
        <v>370</v>
      </c>
      <c r="W274" s="291">
        <v>0</v>
      </c>
      <c r="X274" s="289">
        <v>5309</v>
      </c>
      <c r="Y274" s="290">
        <v>5574.45</v>
      </c>
      <c r="Z274" s="290">
        <f>185.55+370+5018.9</f>
        <v>5574.45</v>
      </c>
      <c r="AA274" s="290"/>
      <c r="AB274" s="290"/>
      <c r="AC274" s="290"/>
      <c r="AD274" s="290"/>
      <c r="AE274" s="290"/>
      <c r="AF274" s="290"/>
      <c r="AG274" s="290"/>
      <c r="AH274" s="291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</row>
    <row r="275" spans="1:1018">
      <c r="A275" s="530" t="s">
        <v>979</v>
      </c>
      <c r="B275" s="335" t="s">
        <v>516</v>
      </c>
      <c r="C275" s="293" t="s">
        <v>980</v>
      </c>
      <c r="D275" s="293"/>
      <c r="E275" s="286">
        <f t="shared" si="31"/>
        <v>9</v>
      </c>
      <c r="F275" s="277" t="s">
        <v>981</v>
      </c>
      <c r="G275" s="301">
        <v>0.15</v>
      </c>
      <c r="H275" s="263">
        <v>10</v>
      </c>
      <c r="I275" s="263"/>
      <c r="J275" s="263"/>
      <c r="K275" s="310">
        <v>3216.4</v>
      </c>
      <c r="L275" s="310">
        <v>1475</v>
      </c>
      <c r="M275" s="263"/>
      <c r="N275" s="195">
        <f t="shared" si="30"/>
        <v>4691.3999999999996</v>
      </c>
      <c r="O275" s="303">
        <v>13785</v>
      </c>
      <c r="P275" s="339"/>
      <c r="Q275" s="339">
        <v>300</v>
      </c>
      <c r="R275" s="305">
        <v>3466</v>
      </c>
      <c r="S275" s="306"/>
      <c r="T275" s="306" t="s">
        <v>982</v>
      </c>
      <c r="U275" s="9">
        <v>370</v>
      </c>
      <c r="V275" s="9"/>
      <c r="W275" s="291"/>
      <c r="X275" s="290" t="s">
        <v>983</v>
      </c>
      <c r="Y275" s="291"/>
      <c r="Z275" s="291"/>
      <c r="AA275" s="291"/>
      <c r="AB275" s="291"/>
      <c r="AC275" s="291"/>
      <c r="AD275" s="291"/>
      <c r="AE275" s="291"/>
      <c r="AF275" s="291"/>
      <c r="AG275" s="291"/>
      <c r="AH275" s="291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</row>
    <row r="276" spans="1:1018" ht="14.25" customHeight="1">
      <c r="A276" s="545" t="s">
        <v>984</v>
      </c>
      <c r="B276" s="293" t="s">
        <v>516</v>
      </c>
      <c r="C276" s="293" t="s">
        <v>985</v>
      </c>
      <c r="D276" s="293"/>
      <c r="E276" s="286">
        <f t="shared" si="31"/>
        <v>10</v>
      </c>
      <c r="F276" s="280" t="s">
        <v>986</v>
      </c>
      <c r="G276" s="301">
        <v>0.15</v>
      </c>
      <c r="H276" s="263">
        <v>10</v>
      </c>
      <c r="I276" s="263"/>
      <c r="J276" s="263"/>
      <c r="K276" s="302">
        <v>3216.4</v>
      </c>
      <c r="L276" s="302">
        <v>2000</v>
      </c>
      <c r="M276" s="302"/>
      <c r="N276" s="195">
        <f t="shared" si="30"/>
        <v>5216.3999999999996</v>
      </c>
      <c r="O276" s="303">
        <v>13688</v>
      </c>
      <c r="P276" s="339">
        <v>2400</v>
      </c>
      <c r="Q276" s="339">
        <v>300</v>
      </c>
      <c r="R276" s="305">
        <v>2894</v>
      </c>
      <c r="S276" s="306">
        <v>6213</v>
      </c>
      <c r="T276" s="306"/>
      <c r="U276" s="9">
        <v>370</v>
      </c>
      <c r="V276" s="9">
        <v>370</v>
      </c>
      <c r="W276" s="291">
        <v>0</v>
      </c>
      <c r="X276" s="291">
        <v>5216.3999999999996</v>
      </c>
      <c r="Y276" s="307">
        <v>5216.3999999999996</v>
      </c>
      <c r="Z276" s="307">
        <v>5216.3999999999996</v>
      </c>
      <c r="AA276" s="307"/>
      <c r="AB276" s="307"/>
      <c r="AC276" s="307"/>
      <c r="AD276" s="307"/>
      <c r="AE276" s="307"/>
      <c r="AF276" s="307"/>
      <c r="AG276" s="291"/>
      <c r="AH276" s="291">
        <v>0</v>
      </c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</row>
    <row r="277" spans="1:1018">
      <c r="A277" s="530" t="s">
        <v>987</v>
      </c>
      <c r="B277" s="335" t="s">
        <v>516</v>
      </c>
      <c r="C277" s="282" t="s">
        <v>988</v>
      </c>
      <c r="D277" s="282"/>
      <c r="E277" s="286">
        <f t="shared" si="31"/>
        <v>11</v>
      </c>
      <c r="F277" s="277" t="s">
        <v>989</v>
      </c>
      <c r="G277" s="301">
        <v>0.1</v>
      </c>
      <c r="H277" s="263">
        <v>10</v>
      </c>
      <c r="I277" s="263"/>
      <c r="J277" s="263"/>
      <c r="K277" s="310">
        <v>3405.6</v>
      </c>
      <c r="L277" s="301">
        <v>2105</v>
      </c>
      <c r="M277" s="263"/>
      <c r="N277" s="195">
        <f t="shared" si="30"/>
        <v>5510.6</v>
      </c>
      <c r="O277" s="303">
        <v>13287</v>
      </c>
      <c r="P277" s="339">
        <v>1600</v>
      </c>
      <c r="Q277" s="339">
        <v>300</v>
      </c>
      <c r="R277" s="305">
        <v>3176</v>
      </c>
      <c r="S277" s="306">
        <v>6213</v>
      </c>
      <c r="T277" s="306"/>
      <c r="U277" s="9">
        <v>370</v>
      </c>
      <c r="V277" s="9"/>
      <c r="W277" s="291">
        <v>0</v>
      </c>
      <c r="X277" s="290">
        <v>5510.6</v>
      </c>
      <c r="Y277" s="290">
        <v>5510.6</v>
      </c>
      <c r="Z277" s="290"/>
      <c r="AA277" s="290"/>
      <c r="AB277" s="309"/>
      <c r="AC277" s="291"/>
      <c r="AD277" s="291"/>
      <c r="AE277" s="291"/>
      <c r="AF277" s="291"/>
      <c r="AG277" s="291"/>
      <c r="AH277" s="291">
        <v>0</v>
      </c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</row>
    <row r="278" spans="1:1018">
      <c r="A278" s="530" t="s">
        <v>990</v>
      </c>
      <c r="B278" s="293" t="s">
        <v>516</v>
      </c>
      <c r="C278" s="293" t="s">
        <v>991</v>
      </c>
      <c r="D278" s="293"/>
      <c r="E278" s="286">
        <f t="shared" si="31"/>
        <v>12</v>
      </c>
      <c r="F278" s="277" t="s">
        <v>992</v>
      </c>
      <c r="G278" s="301"/>
      <c r="H278" s="263">
        <v>10</v>
      </c>
      <c r="I278" s="263"/>
      <c r="J278" s="263"/>
      <c r="K278" s="310">
        <v>3784</v>
      </c>
      <c r="L278" s="310">
        <v>2105</v>
      </c>
      <c r="M278" s="263"/>
      <c r="N278" s="195">
        <f t="shared" si="30"/>
        <v>5889</v>
      </c>
      <c r="O278" s="303">
        <v>13669</v>
      </c>
      <c r="P278" s="339">
        <v>2400</v>
      </c>
      <c r="Q278" s="339">
        <v>300</v>
      </c>
      <c r="R278" s="305">
        <v>3419</v>
      </c>
      <c r="S278" s="306">
        <v>6213</v>
      </c>
      <c r="T278" s="306"/>
      <c r="U278" s="9">
        <v>370</v>
      </c>
      <c r="V278" s="9">
        <v>370</v>
      </c>
      <c r="W278" s="291">
        <v>0</v>
      </c>
      <c r="X278" s="291">
        <v>5889</v>
      </c>
      <c r="Y278" s="291">
        <v>5889</v>
      </c>
      <c r="Z278" s="315">
        <v>5889</v>
      </c>
      <c r="AA278" s="291"/>
      <c r="AB278" s="291"/>
      <c r="AC278" s="291"/>
      <c r="AD278" s="291"/>
      <c r="AE278" s="291"/>
      <c r="AF278" s="291"/>
      <c r="AG278" s="291"/>
      <c r="AH278" s="291">
        <v>0</v>
      </c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</row>
    <row r="279" spans="1:1018">
      <c r="A279" s="545" t="s">
        <v>993</v>
      </c>
      <c r="B279" s="335" t="s">
        <v>516</v>
      </c>
      <c r="C279" s="293" t="s">
        <v>846</v>
      </c>
      <c r="D279" s="293"/>
      <c r="E279" s="286">
        <f t="shared" si="31"/>
        <v>13</v>
      </c>
      <c r="F279" s="280" t="s">
        <v>994</v>
      </c>
      <c r="G279" s="301">
        <v>0.2</v>
      </c>
      <c r="H279" s="263">
        <v>10</v>
      </c>
      <c r="I279" s="263"/>
      <c r="J279" s="263"/>
      <c r="K279" s="310">
        <v>3027.2</v>
      </c>
      <c r="L279" s="310">
        <v>2000</v>
      </c>
      <c r="M279" s="302"/>
      <c r="N279" s="195">
        <f t="shared" si="30"/>
        <v>5027.2</v>
      </c>
      <c r="O279" s="303">
        <v>13452</v>
      </c>
      <c r="P279" s="339">
        <v>1600</v>
      </c>
      <c r="Q279" s="339">
        <v>300</v>
      </c>
      <c r="R279" s="305">
        <v>2966</v>
      </c>
      <c r="S279" s="306">
        <v>6213</v>
      </c>
      <c r="T279" s="306"/>
      <c r="U279" s="9">
        <v>370</v>
      </c>
      <c r="V279" s="9">
        <v>370</v>
      </c>
      <c r="W279" s="291">
        <v>0</v>
      </c>
      <c r="X279" s="315">
        <v>5027.2</v>
      </c>
      <c r="Y279" s="315">
        <v>5027.2</v>
      </c>
      <c r="Z279" s="315">
        <v>5027.2</v>
      </c>
      <c r="AA279" s="290"/>
      <c r="AB279" s="290"/>
      <c r="AC279" s="290"/>
      <c r="AD279" s="290"/>
      <c r="AE279" s="290"/>
      <c r="AF279" s="307"/>
      <c r="AG279" s="307"/>
      <c r="AH279" s="291">
        <v>0</v>
      </c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</row>
    <row r="280" spans="1:1018">
      <c r="A280" s="50" t="s">
        <v>995</v>
      </c>
      <c r="B280" s="293" t="s">
        <v>516</v>
      </c>
      <c r="C280" s="4" t="s">
        <v>726</v>
      </c>
      <c r="D280" s="4"/>
      <c r="E280" s="286">
        <f t="shared" si="31"/>
        <v>14</v>
      </c>
      <c r="F280" s="277" t="s">
        <v>996</v>
      </c>
      <c r="G280" s="301">
        <v>0.1</v>
      </c>
      <c r="H280" s="263">
        <v>10</v>
      </c>
      <c r="I280" s="263"/>
      <c r="J280" s="263"/>
      <c r="K280" s="302">
        <v>3405.6</v>
      </c>
      <c r="L280" s="302">
        <v>2105</v>
      </c>
      <c r="M280" s="263"/>
      <c r="N280" s="195">
        <f t="shared" si="30"/>
        <v>5510.6</v>
      </c>
      <c r="O280" s="303">
        <v>13481</v>
      </c>
      <c r="P280" s="339">
        <v>1600</v>
      </c>
      <c r="Q280" s="339">
        <v>300</v>
      </c>
      <c r="R280" s="305">
        <v>2955</v>
      </c>
      <c r="S280" s="306">
        <v>6213</v>
      </c>
      <c r="T280" s="306"/>
      <c r="U280" s="9">
        <v>370</v>
      </c>
      <c r="V280" s="9">
        <v>370</v>
      </c>
      <c r="W280" s="291">
        <v>0</v>
      </c>
      <c r="X280" s="315">
        <v>5510.6</v>
      </c>
      <c r="Y280" s="315">
        <v>5510.6</v>
      </c>
      <c r="Z280" s="315">
        <v>5510.6</v>
      </c>
      <c r="AA280" s="290"/>
      <c r="AB280" s="290"/>
      <c r="AC280" s="290"/>
      <c r="AD280" s="290"/>
      <c r="AE280" s="290"/>
      <c r="AF280" s="290"/>
      <c r="AG280" s="290"/>
      <c r="AH280" s="291">
        <v>0</v>
      </c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</row>
    <row r="281" spans="1:1018">
      <c r="A281" s="293" t="s">
        <v>997</v>
      </c>
      <c r="B281" s="335" t="s">
        <v>516</v>
      </c>
      <c r="C281" s="293"/>
      <c r="D281" s="293"/>
      <c r="E281" s="286">
        <f t="shared" si="31"/>
        <v>15</v>
      </c>
      <c r="F281" s="337" t="s">
        <v>998</v>
      </c>
      <c r="G281" s="287">
        <v>0.17</v>
      </c>
      <c r="H281" s="288">
        <v>11</v>
      </c>
      <c r="I281" s="288"/>
      <c r="J281" s="288"/>
      <c r="K281" s="192">
        <v>3167.2</v>
      </c>
      <c r="L281" s="192"/>
      <c r="M281" s="343"/>
      <c r="N281" s="195">
        <f t="shared" si="30"/>
        <v>3167.2</v>
      </c>
      <c r="O281" s="303">
        <v>13562</v>
      </c>
      <c r="P281" s="339">
        <v>1600</v>
      </c>
      <c r="Q281" s="339">
        <v>300</v>
      </c>
      <c r="R281" s="305">
        <v>2886</v>
      </c>
      <c r="S281" s="306">
        <v>6213</v>
      </c>
      <c r="T281" s="306"/>
      <c r="U281" s="9">
        <v>370</v>
      </c>
      <c r="V281" s="9"/>
      <c r="W281" s="291">
        <v>0</v>
      </c>
      <c r="X281" s="291">
        <v>3167.2</v>
      </c>
      <c r="Y281" s="291">
        <v>3167.2</v>
      </c>
      <c r="Z281" s="291">
        <v>3167.2</v>
      </c>
      <c r="AA281" s="291">
        <v>3167.2</v>
      </c>
      <c r="AB281" s="291">
        <v>3167.2</v>
      </c>
      <c r="AC281" s="291">
        <v>3167.2</v>
      </c>
      <c r="AD281" s="291">
        <v>3167.2</v>
      </c>
      <c r="AE281" s="291">
        <v>3167.2</v>
      </c>
      <c r="AF281" s="291">
        <v>3167.2</v>
      </c>
      <c r="AG281" s="291">
        <v>3167.2</v>
      </c>
      <c r="AH281" s="291">
        <v>0</v>
      </c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</row>
    <row r="282" spans="1:1018">
      <c r="A282" s="293" t="s">
        <v>999</v>
      </c>
      <c r="B282" s="335" t="s">
        <v>516</v>
      </c>
      <c r="C282" s="335"/>
      <c r="D282" s="335"/>
      <c r="E282" s="286">
        <f t="shared" si="31"/>
        <v>16</v>
      </c>
      <c r="F282" s="341" t="s">
        <v>1000</v>
      </c>
      <c r="G282" s="287">
        <v>0.25</v>
      </c>
      <c r="H282" s="288"/>
      <c r="I282" s="288"/>
      <c r="J282" s="288"/>
      <c r="K282" s="192">
        <v>3027.2</v>
      </c>
      <c r="L282" s="192"/>
      <c r="M282" s="288"/>
      <c r="N282" s="195">
        <f t="shared" si="30"/>
        <v>3027.2</v>
      </c>
      <c r="O282" s="303">
        <v>13863</v>
      </c>
      <c r="P282" s="339"/>
      <c r="Q282" s="339">
        <v>300</v>
      </c>
      <c r="R282" s="305">
        <v>3505</v>
      </c>
      <c r="S282" s="306">
        <v>6213</v>
      </c>
      <c r="T282" s="306"/>
      <c r="U282" s="520">
        <v>370</v>
      </c>
      <c r="V282" s="9">
        <v>370</v>
      </c>
      <c r="W282" s="520" t="s">
        <v>1001</v>
      </c>
      <c r="X282" s="291"/>
      <c r="Y282" s="290"/>
      <c r="Z282" s="291"/>
      <c r="AA282" s="291"/>
      <c r="AB282" s="291"/>
      <c r="AC282" s="291"/>
      <c r="AD282" s="291"/>
      <c r="AE282" s="291"/>
      <c r="AF282" s="291"/>
      <c r="AG282" s="291"/>
      <c r="AH282" s="291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</row>
    <row r="283" spans="1:1018">
      <c r="A283" s="545" t="s">
        <v>1002</v>
      </c>
      <c r="B283" s="293" t="s">
        <v>516</v>
      </c>
      <c r="C283" s="335" t="s">
        <v>1003</v>
      </c>
      <c r="D283" s="335"/>
      <c r="E283" s="286">
        <f t="shared" si="31"/>
        <v>17</v>
      </c>
      <c r="F283" s="341" t="s">
        <v>1004</v>
      </c>
      <c r="G283" s="287"/>
      <c r="H283" s="288">
        <v>10</v>
      </c>
      <c r="I283" s="288"/>
      <c r="J283" s="288"/>
      <c r="K283" s="192">
        <v>3784</v>
      </c>
      <c r="L283" s="192">
        <v>2225</v>
      </c>
      <c r="M283" s="288"/>
      <c r="N283" s="195">
        <f t="shared" si="30"/>
        <v>6009</v>
      </c>
      <c r="O283" s="303">
        <v>13598</v>
      </c>
      <c r="P283" s="339">
        <v>2400</v>
      </c>
      <c r="Q283" s="339">
        <v>300</v>
      </c>
      <c r="R283" s="305">
        <v>2975</v>
      </c>
      <c r="S283" s="306">
        <v>6213</v>
      </c>
      <c r="T283" s="306"/>
      <c r="U283" s="9">
        <v>370</v>
      </c>
      <c r="V283" s="9">
        <v>370</v>
      </c>
      <c r="W283" s="291">
        <v>0</v>
      </c>
      <c r="X283" s="291">
        <v>6009</v>
      </c>
      <c r="Y283" s="291">
        <f>5630+370</f>
        <v>6000</v>
      </c>
      <c r="Z283" s="291">
        <v>6327.95</v>
      </c>
      <c r="AA283" s="291"/>
      <c r="AB283" s="291"/>
      <c r="AC283" s="291"/>
      <c r="AD283" s="291"/>
      <c r="AE283" s="289"/>
      <c r="AF283" s="291"/>
      <c r="AG283" s="291"/>
      <c r="AH283" s="291">
        <v>0</v>
      </c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</row>
    <row r="284" spans="1:1018">
      <c r="A284" s="530" t="s">
        <v>1005</v>
      </c>
      <c r="B284" s="293" t="s">
        <v>516</v>
      </c>
      <c r="C284" s="282" t="s">
        <v>1006</v>
      </c>
      <c r="D284" s="282"/>
      <c r="E284" s="286">
        <f t="shared" si="31"/>
        <v>18</v>
      </c>
      <c r="F284" s="277" t="s">
        <v>1007</v>
      </c>
      <c r="G284" s="281"/>
      <c r="H284" s="282">
        <v>10</v>
      </c>
      <c r="I284" s="282"/>
      <c r="J284" s="282">
        <v>3440</v>
      </c>
      <c r="K284" s="175"/>
      <c r="L284" s="175">
        <v>2105</v>
      </c>
      <c r="M284" s="282"/>
      <c r="N284" s="195">
        <f t="shared" si="30"/>
        <v>5545</v>
      </c>
      <c r="O284" s="303">
        <v>13343</v>
      </c>
      <c r="P284" s="339">
        <v>1600</v>
      </c>
      <c r="Q284" s="339">
        <v>300</v>
      </c>
      <c r="R284" s="305">
        <v>2988</v>
      </c>
      <c r="S284" s="306">
        <v>6213</v>
      </c>
      <c r="T284" s="306"/>
      <c r="U284" s="9">
        <v>370</v>
      </c>
      <c r="V284" s="9">
        <v>370</v>
      </c>
      <c r="W284" s="289">
        <v>3440</v>
      </c>
      <c r="X284" s="290">
        <v>5823</v>
      </c>
      <c r="Y284" s="315">
        <v>5545</v>
      </c>
      <c r="Z284" s="315">
        <v>5822.25</v>
      </c>
      <c r="AA284" s="289"/>
      <c r="AB284" s="315"/>
      <c r="AC284" s="315"/>
      <c r="AD284" s="315"/>
      <c r="AE284" s="315"/>
      <c r="AF284" s="289"/>
      <c r="AG284" s="291"/>
      <c r="AH284" s="291">
        <v>0</v>
      </c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</row>
    <row r="285" spans="1:1018">
      <c r="A285" s="545" t="s">
        <v>267</v>
      </c>
      <c r="B285" s="293" t="s">
        <v>516</v>
      </c>
      <c r="C285" s="293" t="s">
        <v>359</v>
      </c>
      <c r="D285" s="293"/>
      <c r="E285" s="286">
        <f t="shared" si="31"/>
        <v>19</v>
      </c>
      <c r="F285" s="337" t="s">
        <v>1008</v>
      </c>
      <c r="G285" s="287">
        <v>0.1</v>
      </c>
      <c r="H285" s="288">
        <v>11</v>
      </c>
      <c r="I285" s="288"/>
      <c r="J285" s="288">
        <v>3096</v>
      </c>
      <c r="K285" s="343"/>
      <c r="L285" s="343">
        <v>1800</v>
      </c>
      <c r="M285" s="343"/>
      <c r="N285" s="195">
        <f t="shared" si="30"/>
        <v>4896</v>
      </c>
      <c r="O285" s="303">
        <v>13586</v>
      </c>
      <c r="P285" s="339">
        <v>2400</v>
      </c>
      <c r="Q285" s="339">
        <v>300</v>
      </c>
      <c r="R285" s="305">
        <v>2663</v>
      </c>
      <c r="S285" s="306">
        <v>6213</v>
      </c>
      <c r="T285" s="306"/>
      <c r="U285" s="9">
        <v>370</v>
      </c>
      <c r="V285" s="9">
        <v>370</v>
      </c>
      <c r="W285" s="291">
        <v>3096</v>
      </c>
      <c r="X285" s="315">
        <v>4896</v>
      </c>
      <c r="Y285" s="315">
        <v>4896</v>
      </c>
      <c r="Z285" s="291">
        <v>4896</v>
      </c>
      <c r="AA285" s="291"/>
      <c r="AB285" s="291"/>
      <c r="AC285" s="291"/>
      <c r="AD285" s="291"/>
      <c r="AE285" s="291"/>
      <c r="AF285" s="291"/>
      <c r="AG285" s="291"/>
      <c r="AH285" s="291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</row>
    <row r="286" spans="1:1018">
      <c r="A286" s="293" t="s">
        <v>1009</v>
      </c>
      <c r="B286" s="293"/>
      <c r="C286" s="293"/>
      <c r="D286" s="293"/>
      <c r="E286" s="286">
        <f t="shared" si="31"/>
        <v>20</v>
      </c>
      <c r="F286" s="337"/>
      <c r="G286" s="287"/>
      <c r="H286" s="288">
        <v>11</v>
      </c>
      <c r="I286" s="288"/>
      <c r="J286" s="288">
        <v>3440</v>
      </c>
      <c r="K286" s="343"/>
      <c r="L286" s="343">
        <v>2105</v>
      </c>
      <c r="M286" s="343"/>
      <c r="N286" s="195">
        <f t="shared" si="30"/>
        <v>5545</v>
      </c>
      <c r="O286" s="303">
        <v>14106</v>
      </c>
      <c r="P286" s="339"/>
      <c r="Q286" s="339">
        <v>300</v>
      </c>
      <c r="R286" s="305">
        <v>3523</v>
      </c>
      <c r="S286" s="306">
        <v>6213</v>
      </c>
      <c r="T286" s="306"/>
      <c r="U286" s="9"/>
      <c r="V286" s="9"/>
      <c r="W286" s="291">
        <v>0</v>
      </c>
      <c r="X286" s="291">
        <v>0</v>
      </c>
      <c r="Y286" s="291">
        <v>3755.75</v>
      </c>
      <c r="Z286" s="315">
        <v>5545</v>
      </c>
      <c r="AA286" s="291"/>
      <c r="AB286" s="291"/>
      <c r="AC286" s="291"/>
      <c r="AD286" s="291"/>
      <c r="AE286" s="291"/>
      <c r="AF286" s="291"/>
      <c r="AG286" s="291"/>
      <c r="AH286" s="291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</row>
    <row r="287" spans="1:1018">
      <c r="A287" s="293"/>
      <c r="B287" s="293"/>
      <c r="C287" s="293"/>
      <c r="D287" s="293"/>
      <c r="E287" s="286"/>
      <c r="F287" s="337"/>
      <c r="G287" s="287"/>
      <c r="H287" s="288"/>
      <c r="I287" s="288"/>
      <c r="J287" s="288"/>
      <c r="K287" s="343"/>
      <c r="L287" s="343"/>
      <c r="M287" s="343"/>
      <c r="N287" s="195"/>
      <c r="O287" s="303"/>
      <c r="P287" s="339"/>
      <c r="Q287" s="339"/>
      <c r="R287" s="305"/>
      <c r="S287" s="306"/>
      <c r="T287" s="306"/>
      <c r="U287" s="9"/>
      <c r="V287" s="9"/>
      <c r="W287" s="291"/>
      <c r="X287" s="291"/>
      <c r="Y287" s="291"/>
      <c r="Z287" s="291"/>
      <c r="AA287" s="291"/>
      <c r="AB287" s="291"/>
      <c r="AC287" s="291"/>
      <c r="AD287" s="291"/>
      <c r="AE287" s="291"/>
      <c r="AF287" s="291"/>
      <c r="AG287" s="291"/>
      <c r="AH287" s="291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</row>
    <row r="288" spans="1:1018">
      <c r="A288" s="293"/>
      <c r="B288" s="293"/>
      <c r="C288" s="293"/>
      <c r="D288" s="293"/>
      <c r="E288" s="286"/>
      <c r="F288" s="337"/>
      <c r="G288" s="287"/>
      <c r="H288" s="288"/>
      <c r="I288" s="288"/>
      <c r="J288" s="288"/>
      <c r="K288" s="343"/>
      <c r="L288" s="343"/>
      <c r="M288" s="343"/>
      <c r="N288" s="195"/>
      <c r="O288" s="303"/>
      <c r="P288" s="339"/>
      <c r="Q288" s="339"/>
      <c r="R288" s="305"/>
      <c r="S288" s="306"/>
      <c r="T288" s="306"/>
      <c r="U288" s="9"/>
      <c r="V288" s="9"/>
      <c r="W288" s="291"/>
      <c r="X288" s="291"/>
      <c r="Y288" s="291"/>
      <c r="Z288" s="291"/>
      <c r="AA288" s="291"/>
      <c r="AB288" s="291"/>
      <c r="AC288" s="291"/>
      <c r="AD288" s="291"/>
      <c r="AE288" s="291"/>
      <c r="AF288" s="291"/>
      <c r="AG288" s="291"/>
      <c r="AH288" s="291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</row>
    <row r="289" spans="1:1018">
      <c r="A289" s="293"/>
      <c r="B289" s="293"/>
      <c r="C289" s="293"/>
      <c r="D289" s="293"/>
      <c r="E289" s="286"/>
      <c r="F289" s="337"/>
      <c r="G289" s="287"/>
      <c r="H289" s="288"/>
      <c r="I289" s="288"/>
      <c r="J289" s="288"/>
      <c r="K289" s="343"/>
      <c r="L289" s="343"/>
      <c r="M289" s="343"/>
      <c r="N289" s="195"/>
      <c r="O289" s="303"/>
      <c r="P289" s="339"/>
      <c r="Q289" s="339"/>
      <c r="R289" s="305"/>
      <c r="S289" s="306"/>
      <c r="T289" s="306"/>
      <c r="U289" s="9"/>
      <c r="V289" s="9"/>
      <c r="W289" s="291"/>
      <c r="X289" s="291"/>
      <c r="Y289" s="291"/>
      <c r="Z289" s="291"/>
      <c r="AA289" s="291"/>
      <c r="AB289" s="291"/>
      <c r="AC289" s="291"/>
      <c r="AD289" s="291"/>
      <c r="AE289" s="291"/>
      <c r="AF289" s="291"/>
      <c r="AG289" s="291"/>
      <c r="AH289" s="291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</row>
    <row r="290" spans="1:1018">
      <c r="A290" s="545" t="s">
        <v>1010</v>
      </c>
      <c r="B290" s="293" t="s">
        <v>553</v>
      </c>
      <c r="C290" s="293"/>
      <c r="D290" s="293"/>
      <c r="E290" s="286">
        <f t="shared" ref="E290:E310" si="32">+E289+1</f>
        <v>1</v>
      </c>
      <c r="F290" s="280" t="s">
        <v>1011</v>
      </c>
      <c r="G290" s="281">
        <v>0.15</v>
      </c>
      <c r="H290" s="282">
        <v>10</v>
      </c>
      <c r="I290" s="282"/>
      <c r="J290" s="282"/>
      <c r="K290" s="157">
        <v>3216.4</v>
      </c>
      <c r="L290" s="157">
        <v>2000</v>
      </c>
      <c r="M290" s="175"/>
      <c r="N290" s="195">
        <f t="shared" ref="N290:N298" si="33">+J290+K290+L290</f>
        <v>5216.3999999999996</v>
      </c>
      <c r="O290" s="303">
        <v>13779</v>
      </c>
      <c r="P290" s="339">
        <v>2400</v>
      </c>
      <c r="Q290" s="339">
        <v>300</v>
      </c>
      <c r="R290" s="305">
        <v>3481</v>
      </c>
      <c r="S290" s="306">
        <v>6213</v>
      </c>
      <c r="T290" s="306"/>
      <c r="U290" s="9">
        <v>370</v>
      </c>
      <c r="V290" s="9"/>
      <c r="W290" s="291">
        <v>0</v>
      </c>
      <c r="X290" s="291"/>
      <c r="Y290" s="291"/>
      <c r="Z290" s="291"/>
      <c r="AA290" s="291"/>
      <c r="AB290" s="291"/>
      <c r="AC290" s="291"/>
      <c r="AD290" s="291"/>
      <c r="AE290" s="291"/>
      <c r="AF290" s="291"/>
      <c r="AG290" s="291"/>
      <c r="AH290" s="291">
        <v>0</v>
      </c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</row>
    <row r="291" spans="1:1018">
      <c r="A291" s="293" t="s">
        <v>261</v>
      </c>
      <c r="B291" s="293" t="s">
        <v>553</v>
      </c>
      <c r="C291" s="293"/>
      <c r="D291" s="293"/>
      <c r="E291" s="286">
        <f t="shared" si="32"/>
        <v>2</v>
      </c>
      <c r="F291" s="280" t="s">
        <v>1012</v>
      </c>
      <c r="G291" s="281">
        <v>0.1</v>
      </c>
      <c r="H291" s="282">
        <v>10</v>
      </c>
      <c r="I291" s="282"/>
      <c r="J291" s="282"/>
      <c r="K291" s="157">
        <v>3405.6</v>
      </c>
      <c r="L291" s="157"/>
      <c r="M291" s="175"/>
      <c r="N291" s="195">
        <f t="shared" si="33"/>
        <v>3405.6</v>
      </c>
      <c r="O291" s="303">
        <v>13220</v>
      </c>
      <c r="P291" s="339">
        <v>1600</v>
      </c>
      <c r="Q291" s="339">
        <v>300</v>
      </c>
      <c r="R291" s="305">
        <v>2623</v>
      </c>
      <c r="S291" s="306">
        <v>6213</v>
      </c>
      <c r="T291" s="306"/>
      <c r="U291" s="9">
        <v>370</v>
      </c>
      <c r="V291" s="9">
        <v>370</v>
      </c>
      <c r="W291" s="291">
        <v>0</v>
      </c>
      <c r="X291" s="291">
        <f>320+3085.6</f>
        <v>3405.6</v>
      </c>
      <c r="Y291" s="291">
        <v>3405.6</v>
      </c>
      <c r="Z291" s="291">
        <v>3405.6</v>
      </c>
      <c r="AA291" s="291"/>
      <c r="AB291" s="291"/>
      <c r="AC291" s="291"/>
      <c r="AD291" s="291"/>
      <c r="AE291" s="291"/>
      <c r="AF291" s="291"/>
      <c r="AG291" s="291"/>
      <c r="AH291" s="291">
        <v>0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</row>
    <row r="292" spans="1:1018">
      <c r="A292" s="545" t="s">
        <v>1013</v>
      </c>
      <c r="B292" s="293" t="s">
        <v>553</v>
      </c>
      <c r="C292" s="293" t="s">
        <v>1014</v>
      </c>
      <c r="D292" s="293"/>
      <c r="E292" s="286">
        <f t="shared" si="32"/>
        <v>3</v>
      </c>
      <c r="F292" s="503" t="s">
        <v>1015</v>
      </c>
      <c r="G292" s="287"/>
      <c r="H292" s="288">
        <v>10</v>
      </c>
      <c r="I292" s="288"/>
      <c r="J292" s="288"/>
      <c r="K292" s="192">
        <v>3784</v>
      </c>
      <c r="L292" s="192">
        <v>2105</v>
      </c>
      <c r="M292" s="343"/>
      <c r="N292" s="195">
        <f t="shared" si="33"/>
        <v>5889</v>
      </c>
      <c r="O292" s="303">
        <v>13573</v>
      </c>
      <c r="P292" s="339">
        <v>2400</v>
      </c>
      <c r="Q292" s="339">
        <v>300</v>
      </c>
      <c r="R292" s="305">
        <v>3467</v>
      </c>
      <c r="S292" s="306">
        <v>6213</v>
      </c>
      <c r="T292" s="306"/>
      <c r="U292" s="9">
        <v>370</v>
      </c>
      <c r="V292" s="9">
        <v>370</v>
      </c>
      <c r="W292" s="291">
        <v>0</v>
      </c>
      <c r="X292" s="290">
        <v>5889</v>
      </c>
      <c r="Y292" s="290">
        <f>5889+294.45</f>
        <v>6183.45</v>
      </c>
      <c r="Z292" s="290">
        <v>6183.45</v>
      </c>
      <c r="AA292" s="290"/>
      <c r="AB292" s="290"/>
      <c r="AC292" s="290"/>
      <c r="AD292" s="290"/>
      <c r="AE292" s="290"/>
      <c r="AF292" s="290"/>
      <c r="AG292" s="291"/>
      <c r="AH292" s="291">
        <v>0</v>
      </c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</row>
    <row r="293" spans="1:1018">
      <c r="A293" s="545" t="s">
        <v>268</v>
      </c>
      <c r="B293" s="293" t="s">
        <v>553</v>
      </c>
      <c r="C293" s="293" t="s">
        <v>451</v>
      </c>
      <c r="D293" s="293"/>
      <c r="E293" s="286">
        <f t="shared" si="32"/>
        <v>4</v>
      </c>
      <c r="F293" s="337" t="s">
        <v>1016</v>
      </c>
      <c r="G293" s="287"/>
      <c r="H293" s="288">
        <v>11</v>
      </c>
      <c r="I293" s="288"/>
      <c r="J293" s="288">
        <v>3440</v>
      </c>
      <c r="K293" s="192"/>
      <c r="L293" s="192">
        <v>2105</v>
      </c>
      <c r="M293" s="343"/>
      <c r="N293" s="195">
        <f t="shared" si="33"/>
        <v>5545</v>
      </c>
      <c r="O293" s="303">
        <v>13269</v>
      </c>
      <c r="P293" s="339">
        <v>0</v>
      </c>
      <c r="Q293" s="339">
        <v>300</v>
      </c>
      <c r="R293" s="305">
        <v>2738</v>
      </c>
      <c r="S293" s="306">
        <v>6213</v>
      </c>
      <c r="T293" s="306" t="s">
        <v>265</v>
      </c>
      <c r="U293" s="585">
        <v>370</v>
      </c>
      <c r="V293" s="585">
        <v>370</v>
      </c>
      <c r="W293" s="291">
        <v>3440</v>
      </c>
      <c r="X293" s="291">
        <f>3440+2000+105</f>
        <v>5545</v>
      </c>
      <c r="Y293" s="290">
        <v>5545</v>
      </c>
      <c r="Z293" s="290">
        <v>5545</v>
      </c>
      <c r="AA293" s="290">
        <f>85+85+5375</f>
        <v>5545</v>
      </c>
      <c r="AB293" s="290">
        <v>625</v>
      </c>
      <c r="AC293" s="290"/>
      <c r="AD293" s="290"/>
      <c r="AE293" s="290"/>
      <c r="AF293" s="290"/>
      <c r="AG293" s="309"/>
      <c r="AH293" s="308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</row>
    <row r="294" spans="1:1018">
      <c r="A294" s="545" t="s">
        <v>1017</v>
      </c>
      <c r="B294" s="293" t="s">
        <v>553</v>
      </c>
      <c r="C294" s="293" t="s">
        <v>359</v>
      </c>
      <c r="D294" s="293"/>
      <c r="E294" s="286">
        <f t="shared" si="32"/>
        <v>5</v>
      </c>
      <c r="F294" s="341" t="s">
        <v>1018</v>
      </c>
      <c r="G294" s="287"/>
      <c r="H294" s="288">
        <v>10</v>
      </c>
      <c r="I294" s="288"/>
      <c r="J294" s="288"/>
      <c r="K294" s="192">
        <v>3784</v>
      </c>
      <c r="L294" s="192">
        <v>1800</v>
      </c>
      <c r="M294" s="288"/>
      <c r="N294" s="195">
        <f t="shared" si="33"/>
        <v>5584</v>
      </c>
      <c r="O294" s="303">
        <v>13530</v>
      </c>
      <c r="P294" s="339">
        <v>2400</v>
      </c>
      <c r="Q294" s="339">
        <v>300</v>
      </c>
      <c r="R294" s="305">
        <v>3091</v>
      </c>
      <c r="S294" s="306">
        <v>6213</v>
      </c>
      <c r="T294" s="306"/>
      <c r="U294" s="9">
        <v>370</v>
      </c>
      <c r="V294" s="9"/>
      <c r="W294" s="291">
        <v>0</v>
      </c>
      <c r="X294" s="290">
        <v>5584</v>
      </c>
      <c r="Y294" s="290">
        <f>100+5484</f>
        <v>5584</v>
      </c>
      <c r="Z294" s="290">
        <v>5584</v>
      </c>
      <c r="AA294" s="290"/>
      <c r="AB294" s="290"/>
      <c r="AC294" s="290"/>
      <c r="AD294" s="290"/>
      <c r="AE294" s="290"/>
      <c r="AF294" s="290"/>
      <c r="AG294" s="291"/>
      <c r="AH294" s="291">
        <v>0</v>
      </c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</row>
    <row r="295" spans="1:1018">
      <c r="A295" s="293" t="s">
        <v>1019</v>
      </c>
      <c r="B295" s="293" t="s">
        <v>553</v>
      </c>
      <c r="C295" s="293"/>
      <c r="D295" s="293"/>
      <c r="E295" s="286">
        <f t="shared" si="32"/>
        <v>6</v>
      </c>
      <c r="F295" s="337" t="s">
        <v>1020</v>
      </c>
      <c r="G295" s="287">
        <v>0.1</v>
      </c>
      <c r="H295" s="288">
        <v>10</v>
      </c>
      <c r="I295" s="288"/>
      <c r="J295" s="288"/>
      <c r="K295" s="192">
        <v>3405.6</v>
      </c>
      <c r="L295" s="192"/>
      <c r="M295" s="343"/>
      <c r="N295" s="195">
        <f t="shared" si="33"/>
        <v>3405.6</v>
      </c>
      <c r="O295" s="303">
        <v>13753</v>
      </c>
      <c r="P295" s="339">
        <v>0</v>
      </c>
      <c r="Q295" s="339">
        <v>300</v>
      </c>
      <c r="R295" s="305">
        <v>3042</v>
      </c>
      <c r="S295" s="306">
        <v>6213</v>
      </c>
      <c r="T295" s="306"/>
      <c r="U295" s="9">
        <v>370</v>
      </c>
      <c r="V295" s="9">
        <v>370</v>
      </c>
      <c r="W295" s="291">
        <v>0</v>
      </c>
      <c r="X295" s="291">
        <v>3405.6</v>
      </c>
      <c r="Y295" s="315">
        <v>3405.6</v>
      </c>
      <c r="Z295" s="315">
        <v>3405.6</v>
      </c>
      <c r="AA295" s="290"/>
      <c r="AB295" s="290"/>
      <c r="AC295" s="290"/>
      <c r="AD295" s="290"/>
      <c r="AE295" s="290"/>
      <c r="AF295" s="290"/>
      <c r="AG295" s="309"/>
      <c r="AH295" s="308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</row>
    <row r="296" spans="1:1018">
      <c r="A296" s="545" t="s">
        <v>263</v>
      </c>
      <c r="B296" s="293" t="s">
        <v>553</v>
      </c>
      <c r="C296" s="293" t="s">
        <v>1021</v>
      </c>
      <c r="D296" s="293"/>
      <c r="E296" s="286">
        <f t="shared" si="32"/>
        <v>7</v>
      </c>
      <c r="F296" s="337" t="s">
        <v>1022</v>
      </c>
      <c r="G296" s="287">
        <v>0.17</v>
      </c>
      <c r="H296" s="288">
        <v>10</v>
      </c>
      <c r="I296" s="288"/>
      <c r="J296" s="288"/>
      <c r="K296" s="192">
        <v>3167.2</v>
      </c>
      <c r="L296" s="192">
        <v>1475</v>
      </c>
      <c r="M296" s="343"/>
      <c r="N296" s="195">
        <f t="shared" si="33"/>
        <v>4642.2</v>
      </c>
      <c r="O296" s="303">
        <v>13379</v>
      </c>
      <c r="P296" s="339">
        <v>1600</v>
      </c>
      <c r="Q296" s="339">
        <v>300</v>
      </c>
      <c r="R296" s="305">
        <v>2700</v>
      </c>
      <c r="S296" s="306">
        <v>6213</v>
      </c>
      <c r="T296" s="306"/>
      <c r="U296" s="585">
        <v>0</v>
      </c>
      <c r="V296" s="585">
        <v>0</v>
      </c>
      <c r="W296" s="291">
        <v>0</v>
      </c>
      <c r="X296" s="291">
        <f>3167.2+1475</f>
        <v>4642.2</v>
      </c>
      <c r="Y296" s="291">
        <f>3167.2+1475</f>
        <v>4642.2</v>
      </c>
      <c r="Z296" s="291">
        <f>3167.2+1475</f>
        <v>4642.2</v>
      </c>
      <c r="AA296" s="291">
        <f>3167.2+1475</f>
        <v>4642.2</v>
      </c>
      <c r="AB296" s="291">
        <v>3167.2</v>
      </c>
      <c r="AC296" s="291">
        <v>3167.2</v>
      </c>
      <c r="AD296" s="291">
        <v>3167.2</v>
      </c>
      <c r="AE296" s="291">
        <v>3167.2</v>
      </c>
      <c r="AF296" s="291">
        <v>3167.2</v>
      </c>
      <c r="AG296" s="291">
        <v>3167.2</v>
      </c>
      <c r="AH296" s="291">
        <v>0</v>
      </c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</row>
    <row r="297" spans="1:1018">
      <c r="A297" s="530" t="s">
        <v>1023</v>
      </c>
      <c r="B297" s="293" t="s">
        <v>553</v>
      </c>
      <c r="C297" s="335" t="s">
        <v>901</v>
      </c>
      <c r="D297" s="335"/>
      <c r="E297" s="286">
        <f t="shared" si="32"/>
        <v>8</v>
      </c>
      <c r="F297" s="341" t="s">
        <v>1024</v>
      </c>
      <c r="G297" s="287">
        <v>0.1</v>
      </c>
      <c r="H297" s="288">
        <v>10</v>
      </c>
      <c r="I297" s="288"/>
      <c r="J297" s="288"/>
      <c r="K297" s="192">
        <v>3405.6</v>
      </c>
      <c r="L297" s="192">
        <v>2105</v>
      </c>
      <c r="M297" s="288"/>
      <c r="N297" s="195">
        <f t="shared" si="33"/>
        <v>5510.6</v>
      </c>
      <c r="O297" s="303">
        <v>13309</v>
      </c>
      <c r="P297" s="339">
        <v>1600</v>
      </c>
      <c r="Q297" s="339">
        <v>300</v>
      </c>
      <c r="R297" s="305">
        <v>2959</v>
      </c>
      <c r="S297" s="306">
        <v>6213</v>
      </c>
      <c r="T297" s="306"/>
      <c r="U297" s="9">
        <v>370</v>
      </c>
      <c r="V297" s="9">
        <v>370</v>
      </c>
      <c r="W297" s="291">
        <v>0</v>
      </c>
      <c r="X297" s="289">
        <v>5510.6</v>
      </c>
      <c r="Y297" s="289">
        <v>5510.6</v>
      </c>
      <c r="Z297" s="290">
        <v>5510.6</v>
      </c>
      <c r="AA297" s="290"/>
      <c r="AB297" s="290"/>
      <c r="AC297" s="291"/>
      <c r="AD297" s="290"/>
      <c r="AE297" s="290"/>
      <c r="AF297" s="290"/>
      <c r="AG297" s="291"/>
      <c r="AH297" s="291">
        <v>0</v>
      </c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</row>
    <row r="298" spans="1:1018">
      <c r="A298" s="282" t="s">
        <v>1025</v>
      </c>
      <c r="B298" s="293" t="s">
        <v>553</v>
      </c>
      <c r="C298" s="335"/>
      <c r="D298" s="335"/>
      <c r="E298" s="286">
        <f t="shared" si="32"/>
        <v>9</v>
      </c>
      <c r="F298" s="341" t="s">
        <v>1026</v>
      </c>
      <c r="G298" s="287"/>
      <c r="H298" s="288">
        <v>10</v>
      </c>
      <c r="I298" s="288"/>
      <c r="J298" s="288"/>
      <c r="K298" s="192">
        <v>3784</v>
      </c>
      <c r="L298" s="192"/>
      <c r="M298" s="343"/>
      <c r="N298" s="195">
        <f t="shared" si="33"/>
        <v>3784</v>
      </c>
      <c r="O298" s="303">
        <v>13583</v>
      </c>
      <c r="P298" s="339">
        <v>2400</v>
      </c>
      <c r="Q298" s="339">
        <v>300</v>
      </c>
      <c r="R298" s="305">
        <v>3076</v>
      </c>
      <c r="S298" s="306">
        <v>6213</v>
      </c>
      <c r="T298" s="306"/>
      <c r="U298" s="9">
        <v>370</v>
      </c>
      <c r="V298" s="9">
        <v>370</v>
      </c>
      <c r="W298" s="291">
        <v>0</v>
      </c>
      <c r="X298" s="290">
        <v>3784</v>
      </c>
      <c r="Y298" s="290">
        <v>3784</v>
      </c>
      <c r="Z298" s="290">
        <v>3784</v>
      </c>
      <c r="AA298" s="290">
        <v>370</v>
      </c>
      <c r="AB298" s="290"/>
      <c r="AC298" s="290"/>
      <c r="AD298" s="290"/>
      <c r="AE298" s="290"/>
      <c r="AF298" s="290"/>
      <c r="AG298" s="290"/>
      <c r="AH298" s="291">
        <v>0</v>
      </c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</row>
    <row r="299" spans="1:1018">
      <c r="A299" s="293" t="s">
        <v>1027</v>
      </c>
      <c r="B299" s="293" t="s">
        <v>553</v>
      </c>
      <c r="C299" s="335"/>
      <c r="D299" s="335"/>
      <c r="E299" s="286">
        <f t="shared" si="32"/>
        <v>10</v>
      </c>
      <c r="F299" s="341" t="s">
        <v>1028</v>
      </c>
      <c r="G299" s="287">
        <v>0.25</v>
      </c>
      <c r="H299" s="288">
        <v>10</v>
      </c>
      <c r="I299" s="288"/>
      <c r="J299" s="288"/>
      <c r="K299" s="343"/>
      <c r="L299" s="287"/>
      <c r="M299" s="288"/>
      <c r="N299" s="252">
        <f>+K299+L299+M299</f>
        <v>0</v>
      </c>
      <c r="O299" s="303">
        <v>13863</v>
      </c>
      <c r="P299" s="339"/>
      <c r="Q299" s="339">
        <v>300</v>
      </c>
      <c r="R299" s="305">
        <v>3505</v>
      </c>
      <c r="S299" s="306">
        <v>6213</v>
      </c>
      <c r="T299" s="344"/>
      <c r="U299" s="345">
        <v>370</v>
      </c>
      <c r="V299" s="345">
        <v>370</v>
      </c>
      <c r="W299" s="291"/>
      <c r="X299" s="291"/>
      <c r="Y299" s="290"/>
      <c r="Z299" s="291"/>
      <c r="AA299" s="291"/>
      <c r="AB299" s="291"/>
      <c r="AC299" s="291"/>
      <c r="AD299" s="291"/>
      <c r="AE299" s="291"/>
      <c r="AF299" s="291"/>
      <c r="AG299" s="291"/>
      <c r="AH299" s="291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</row>
    <row r="300" spans="1:1018">
      <c r="A300" s="545" t="s">
        <v>1029</v>
      </c>
      <c r="B300" s="293" t="s">
        <v>553</v>
      </c>
      <c r="C300" s="335" t="s">
        <v>359</v>
      </c>
      <c r="D300" s="335"/>
      <c r="E300" s="286">
        <f t="shared" si="32"/>
        <v>11</v>
      </c>
      <c r="F300" s="337" t="s">
        <v>1030</v>
      </c>
      <c r="G300" s="287"/>
      <c r="H300" s="288">
        <v>10</v>
      </c>
      <c r="I300" s="288"/>
      <c r="J300" s="288"/>
      <c r="K300" s="192">
        <v>3784</v>
      </c>
      <c r="L300" s="192">
        <v>1800</v>
      </c>
      <c r="M300" s="343"/>
      <c r="N300" s="252">
        <f t="shared" ref="N300:N310" si="34">+J300+K300+L300</f>
        <v>5584</v>
      </c>
      <c r="O300" s="303">
        <v>13241</v>
      </c>
      <c r="P300" s="339">
        <v>1600</v>
      </c>
      <c r="Q300" s="339">
        <v>300</v>
      </c>
      <c r="R300" s="305">
        <v>3081</v>
      </c>
      <c r="S300" s="306">
        <v>6213</v>
      </c>
      <c r="T300" s="306"/>
      <c r="U300" s="9">
        <v>370</v>
      </c>
      <c r="V300" s="9"/>
      <c r="W300" s="291">
        <v>0</v>
      </c>
      <c r="X300" s="289">
        <v>5863.2</v>
      </c>
      <c r="Y300" s="289">
        <v>5863.2</v>
      </c>
      <c r="Z300" s="307"/>
      <c r="AA300" s="307"/>
      <c r="AB300" s="307"/>
      <c r="AC300" s="307"/>
      <c r="AD300" s="291"/>
      <c r="AE300" s="291"/>
      <c r="AF300" s="291"/>
      <c r="AG300" s="291"/>
      <c r="AH300" s="291">
        <v>0</v>
      </c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</row>
    <row r="301" spans="1:1018">
      <c r="A301" s="282" t="s">
        <v>1031</v>
      </c>
      <c r="B301" s="293" t="s">
        <v>553</v>
      </c>
      <c r="C301" s="288" t="s">
        <v>1032</v>
      </c>
      <c r="D301" s="288"/>
      <c r="E301" s="286">
        <f t="shared" si="32"/>
        <v>12</v>
      </c>
      <c r="F301" s="341" t="s">
        <v>1033</v>
      </c>
      <c r="G301" s="287">
        <v>0.2</v>
      </c>
      <c r="H301" s="288">
        <v>10</v>
      </c>
      <c r="I301" s="288"/>
      <c r="J301" s="288"/>
      <c r="K301" s="192">
        <v>3027.2</v>
      </c>
      <c r="L301" s="343"/>
      <c r="M301" s="288"/>
      <c r="N301" s="252">
        <f t="shared" si="34"/>
        <v>3027.2</v>
      </c>
      <c r="O301" s="303">
        <v>13510</v>
      </c>
      <c r="P301" s="339">
        <v>1600</v>
      </c>
      <c r="Q301" s="339">
        <v>300</v>
      </c>
      <c r="R301" s="305">
        <v>3472</v>
      </c>
      <c r="S301" s="306">
        <v>6213</v>
      </c>
      <c r="T301" s="306"/>
      <c r="U301" s="585">
        <v>0</v>
      </c>
      <c r="V301" s="585">
        <v>0</v>
      </c>
      <c r="W301" s="291">
        <v>0</v>
      </c>
      <c r="X301" s="290">
        <v>3027.2</v>
      </c>
      <c r="Y301" s="290"/>
      <c r="Z301" s="290"/>
      <c r="AA301" s="176"/>
      <c r="AB301" s="290"/>
      <c r="AC301" s="290"/>
      <c r="AD301" s="290"/>
      <c r="AE301" s="290"/>
      <c r="AF301" s="291"/>
      <c r="AG301" s="291"/>
      <c r="AH301" s="291">
        <v>0</v>
      </c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</row>
    <row r="302" spans="1:1018">
      <c r="A302" s="293" t="s">
        <v>1034</v>
      </c>
      <c r="B302" s="293" t="s">
        <v>553</v>
      </c>
      <c r="C302" s="293"/>
      <c r="D302" s="293"/>
      <c r="E302" s="286">
        <f t="shared" si="32"/>
        <v>13</v>
      </c>
      <c r="F302" s="280" t="s">
        <v>1035</v>
      </c>
      <c r="G302" s="281">
        <v>0.15</v>
      </c>
      <c r="H302" s="282">
        <v>12</v>
      </c>
      <c r="I302" s="282"/>
      <c r="J302" s="282"/>
      <c r="K302" s="157">
        <v>2680.33</v>
      </c>
      <c r="L302" s="157"/>
      <c r="M302" s="175"/>
      <c r="N302" s="223">
        <f t="shared" si="34"/>
        <v>2680.33</v>
      </c>
      <c r="O302" s="303">
        <v>13796</v>
      </c>
      <c r="P302" s="339">
        <v>2400</v>
      </c>
      <c r="Q302" s="339">
        <v>300</v>
      </c>
      <c r="R302" s="305">
        <v>2907</v>
      </c>
      <c r="S302" s="306">
        <v>6213</v>
      </c>
      <c r="T302" s="306"/>
      <c r="U302" s="585">
        <v>0</v>
      </c>
      <c r="V302" s="585">
        <v>0</v>
      </c>
      <c r="W302" s="291">
        <v>2680.33</v>
      </c>
      <c r="X302" s="291">
        <v>2680.33</v>
      </c>
      <c r="Y302" s="291">
        <v>2814.34</v>
      </c>
      <c r="Z302" s="291">
        <v>2680.33</v>
      </c>
      <c r="AA302" s="291"/>
      <c r="AB302" s="291"/>
      <c r="AC302" s="291"/>
      <c r="AD302" s="291"/>
      <c r="AE302" s="291"/>
      <c r="AF302" s="291"/>
      <c r="AG302" s="291"/>
      <c r="AH302" s="34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</row>
    <row r="303" spans="1:1018">
      <c r="A303" s="530" t="s">
        <v>264</v>
      </c>
      <c r="B303" s="293" t="s">
        <v>553</v>
      </c>
      <c r="C303" s="335" t="s">
        <v>359</v>
      </c>
      <c r="D303" s="335"/>
      <c r="E303" s="286">
        <f t="shared" si="32"/>
        <v>14</v>
      </c>
      <c r="F303" s="341" t="s">
        <v>1036</v>
      </c>
      <c r="G303" s="287">
        <f>0.15+0.05</f>
        <v>0.2</v>
      </c>
      <c r="H303" s="288">
        <v>10</v>
      </c>
      <c r="I303" s="288"/>
      <c r="J303" s="288"/>
      <c r="K303" s="192">
        <v>3216.4</v>
      </c>
      <c r="L303" s="192">
        <v>1710</v>
      </c>
      <c r="M303" s="288"/>
      <c r="N303" s="223">
        <f t="shared" si="34"/>
        <v>4926.3999999999996</v>
      </c>
      <c r="O303" s="303">
        <v>13709</v>
      </c>
      <c r="P303" s="339">
        <v>2400</v>
      </c>
      <c r="Q303" s="339">
        <v>0</v>
      </c>
      <c r="R303" s="305">
        <v>2742</v>
      </c>
      <c r="S303" s="306">
        <v>6213</v>
      </c>
      <c r="T303" s="306" t="s">
        <v>265</v>
      </c>
      <c r="U303" s="9"/>
      <c r="V303" s="9"/>
      <c r="W303" s="291">
        <v>0</v>
      </c>
      <c r="X303" s="291">
        <f>3055.58+1710</f>
        <v>4765.58</v>
      </c>
      <c r="Y303" s="291">
        <v>3055.58</v>
      </c>
      <c r="Z303" s="291">
        <v>3055.58</v>
      </c>
      <c r="AA303" s="291">
        <v>3055.58</v>
      </c>
      <c r="AB303" s="291">
        <v>3055.58</v>
      </c>
      <c r="AC303" s="291"/>
      <c r="AD303" s="291"/>
      <c r="AE303" s="291"/>
      <c r="AF303" s="291"/>
      <c r="AG303" s="291"/>
      <c r="AH303" s="291">
        <v>0</v>
      </c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</row>
    <row r="304" spans="1:1018">
      <c r="A304" s="293" t="s">
        <v>1037</v>
      </c>
      <c r="B304" s="293" t="s">
        <v>553</v>
      </c>
      <c r="C304" s="293"/>
      <c r="D304" s="293"/>
      <c r="E304" s="286">
        <f t="shared" si="32"/>
        <v>15</v>
      </c>
      <c r="F304" s="277" t="s">
        <v>1038</v>
      </c>
      <c r="G304" s="301">
        <v>0.1</v>
      </c>
      <c r="H304" s="263">
        <v>10</v>
      </c>
      <c r="I304" s="263"/>
      <c r="J304" s="263"/>
      <c r="K304" s="310"/>
      <c r="L304" s="310"/>
      <c r="M304" s="263"/>
      <c r="N304" s="195">
        <f t="shared" si="34"/>
        <v>0</v>
      </c>
      <c r="O304" s="303"/>
      <c r="P304" s="339"/>
      <c r="Q304" s="339"/>
      <c r="R304" s="305">
        <v>3477</v>
      </c>
      <c r="S304" s="306">
        <v>6213</v>
      </c>
      <c r="T304" s="306"/>
      <c r="U304" s="9"/>
      <c r="V304" s="9"/>
      <c r="W304" s="291"/>
      <c r="X304" s="291"/>
      <c r="Y304" s="291"/>
      <c r="Z304" s="291"/>
      <c r="AA304" s="291"/>
      <c r="AB304" s="291"/>
      <c r="AC304" s="291"/>
      <c r="AD304" s="291"/>
      <c r="AE304" s="291"/>
      <c r="AF304" s="291"/>
      <c r="AG304" s="291"/>
      <c r="AH304" s="291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</row>
    <row r="305" spans="1:1018">
      <c r="A305" s="545" t="s">
        <v>266</v>
      </c>
      <c r="B305" s="293" t="s">
        <v>553</v>
      </c>
      <c r="C305" s="293" t="s">
        <v>378</v>
      </c>
      <c r="D305" s="293"/>
      <c r="E305" s="286">
        <f t="shared" si="32"/>
        <v>16</v>
      </c>
      <c r="F305" s="280" t="s">
        <v>1039</v>
      </c>
      <c r="G305" s="301"/>
      <c r="H305" s="263">
        <v>10</v>
      </c>
      <c r="I305" s="263"/>
      <c r="J305" s="263"/>
      <c r="K305" s="310">
        <v>3784</v>
      </c>
      <c r="L305" s="310">
        <v>375</v>
      </c>
      <c r="M305" s="302"/>
      <c r="N305" s="195">
        <f t="shared" si="34"/>
        <v>4159</v>
      </c>
      <c r="O305" s="303">
        <v>13300</v>
      </c>
      <c r="P305" s="339">
        <v>1600</v>
      </c>
      <c r="Q305" s="339">
        <v>300</v>
      </c>
      <c r="R305" s="305">
        <v>2845</v>
      </c>
      <c r="S305" s="306">
        <v>6213</v>
      </c>
      <c r="T305" s="306"/>
      <c r="U305" s="585"/>
      <c r="V305" s="585"/>
      <c r="W305" s="291">
        <v>0</v>
      </c>
      <c r="X305" s="291">
        <v>4159</v>
      </c>
      <c r="Y305" s="291">
        <v>4159</v>
      </c>
      <c r="Z305" s="291">
        <v>4159</v>
      </c>
      <c r="AA305" s="291" t="s">
        <v>1040</v>
      </c>
      <c r="AB305" s="291"/>
      <c r="AC305" s="291"/>
      <c r="AD305" s="291"/>
      <c r="AE305" s="291"/>
      <c r="AF305" s="291"/>
      <c r="AG305" s="291"/>
      <c r="AH305" s="291">
        <v>0</v>
      </c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</row>
    <row r="306" spans="1:1018">
      <c r="A306" s="545" t="s">
        <v>1041</v>
      </c>
      <c r="B306" s="293" t="s">
        <v>553</v>
      </c>
      <c r="C306" s="293" t="s">
        <v>1042</v>
      </c>
      <c r="D306" s="293"/>
      <c r="E306" s="286">
        <f t="shared" si="32"/>
        <v>17</v>
      </c>
      <c r="F306" s="280" t="s">
        <v>1043</v>
      </c>
      <c r="G306" s="281">
        <v>0.15</v>
      </c>
      <c r="H306" s="282">
        <v>10</v>
      </c>
      <c r="I306" s="282"/>
      <c r="J306" s="282"/>
      <c r="K306" s="157">
        <v>3216.4</v>
      </c>
      <c r="L306" s="157">
        <v>1805</v>
      </c>
      <c r="M306" s="175"/>
      <c r="N306" s="195">
        <f t="shared" si="34"/>
        <v>5021.3999999999996</v>
      </c>
      <c r="O306" s="303">
        <v>13306</v>
      </c>
      <c r="P306" s="339">
        <v>1600</v>
      </c>
      <c r="Q306" s="339">
        <v>300</v>
      </c>
      <c r="R306" s="305">
        <v>3077</v>
      </c>
      <c r="S306" s="306">
        <v>6213</v>
      </c>
      <c r="T306" s="306"/>
      <c r="U306" s="9">
        <v>370</v>
      </c>
      <c r="V306" s="9">
        <v>370</v>
      </c>
      <c r="W306" s="291">
        <v>0</v>
      </c>
      <c r="X306" s="441">
        <v>5021.3999999999996</v>
      </c>
      <c r="Y306" s="290">
        <v>5021.3999999999996</v>
      </c>
      <c r="Z306" s="290">
        <v>5021.3999999999996</v>
      </c>
      <c r="AA306" s="290"/>
      <c r="AB306" s="290"/>
      <c r="AC306" s="290"/>
      <c r="AD306" s="290"/>
      <c r="AE306" s="290"/>
      <c r="AF306" s="290"/>
      <c r="AG306" s="290"/>
      <c r="AH306" s="291">
        <v>0</v>
      </c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</row>
    <row r="307" spans="1:1018">
      <c r="A307" s="282" t="s">
        <v>1044</v>
      </c>
      <c r="B307" s="293" t="s">
        <v>553</v>
      </c>
      <c r="C307" s="293"/>
      <c r="D307" s="293"/>
      <c r="E307" s="286">
        <f t="shared" si="32"/>
        <v>18</v>
      </c>
      <c r="F307" s="277" t="s">
        <v>1045</v>
      </c>
      <c r="G307" s="281">
        <v>0.1</v>
      </c>
      <c r="H307" s="282">
        <v>10</v>
      </c>
      <c r="I307" s="282"/>
      <c r="J307" s="282"/>
      <c r="K307" s="157">
        <v>3405.6</v>
      </c>
      <c r="L307" s="157"/>
      <c r="M307" s="282"/>
      <c r="N307" s="195">
        <f t="shared" si="34"/>
        <v>3405.6</v>
      </c>
      <c r="O307" s="303">
        <v>13361</v>
      </c>
      <c r="P307" s="339">
        <v>1600</v>
      </c>
      <c r="Q307" s="339">
        <v>300</v>
      </c>
      <c r="R307" s="305" t="s">
        <v>488</v>
      </c>
      <c r="S307" s="306"/>
      <c r="T307" s="306" t="s">
        <v>1046</v>
      </c>
      <c r="U307" s="9">
        <v>370</v>
      </c>
      <c r="V307" s="9"/>
      <c r="W307" s="291">
        <v>0</v>
      </c>
      <c r="X307" s="289">
        <v>3405.6</v>
      </c>
      <c r="Y307" s="291">
        <v>3405.6</v>
      </c>
      <c r="Z307" s="290">
        <v>3406</v>
      </c>
      <c r="AA307" s="290"/>
      <c r="AB307" s="290"/>
      <c r="AC307" s="290"/>
      <c r="AD307" s="291"/>
      <c r="AE307" s="290"/>
      <c r="AF307" s="290"/>
      <c r="AG307" s="290"/>
      <c r="AH307" s="291">
        <v>0</v>
      </c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</row>
    <row r="308" spans="1:1018">
      <c r="A308" s="545" t="s">
        <v>1047</v>
      </c>
      <c r="B308" s="293" t="s">
        <v>553</v>
      </c>
      <c r="C308" s="335" t="s">
        <v>359</v>
      </c>
      <c r="D308" s="335"/>
      <c r="E308" s="286">
        <f t="shared" si="32"/>
        <v>19</v>
      </c>
      <c r="F308" s="337" t="s">
        <v>1048</v>
      </c>
      <c r="G308" s="287">
        <v>0.15</v>
      </c>
      <c r="H308" s="288">
        <v>10</v>
      </c>
      <c r="I308" s="288"/>
      <c r="J308" s="288"/>
      <c r="K308" s="343">
        <v>3216.4</v>
      </c>
      <c r="L308" s="343">
        <v>1710</v>
      </c>
      <c r="M308" s="343"/>
      <c r="N308" s="195">
        <f t="shared" si="34"/>
        <v>4926.3999999999996</v>
      </c>
      <c r="O308" s="303"/>
      <c r="P308" s="339"/>
      <c r="Q308" s="339"/>
      <c r="R308" s="305">
        <v>3088</v>
      </c>
      <c r="S308" s="306">
        <v>6213</v>
      </c>
      <c r="T308" s="306"/>
      <c r="U308" s="9">
        <v>370</v>
      </c>
      <c r="V308" s="9">
        <v>370</v>
      </c>
      <c r="W308" s="291">
        <v>0</v>
      </c>
      <c r="X308" s="290">
        <f>2894.76+1710</f>
        <v>4604.76</v>
      </c>
      <c r="Y308" s="290">
        <f>4926.4+1710</f>
        <v>6636.4</v>
      </c>
      <c r="Z308" s="291"/>
      <c r="AA308" s="291"/>
      <c r="AB308" s="291"/>
      <c r="AC308" s="291"/>
      <c r="AD308" s="290"/>
      <c r="AE308" s="290"/>
      <c r="AF308" s="290"/>
      <c r="AG308" s="291"/>
      <c r="AH308" s="291">
        <v>0</v>
      </c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</row>
    <row r="309" spans="1:1018">
      <c r="A309" s="293" t="s">
        <v>1049</v>
      </c>
      <c r="B309" s="293" t="s">
        <v>553</v>
      </c>
      <c r="C309" s="293"/>
      <c r="D309" s="293"/>
      <c r="E309" s="286">
        <f t="shared" si="32"/>
        <v>20</v>
      </c>
      <c r="F309" s="280" t="s">
        <v>1050</v>
      </c>
      <c r="G309" s="281">
        <v>0.15</v>
      </c>
      <c r="H309" s="282">
        <v>10</v>
      </c>
      <c r="I309" s="282"/>
      <c r="J309" s="282"/>
      <c r="K309" s="157">
        <v>3216.4</v>
      </c>
      <c r="L309" s="157"/>
      <c r="M309" s="175"/>
      <c r="N309" s="346">
        <f t="shared" si="34"/>
        <v>3216.4</v>
      </c>
      <c r="O309" s="508">
        <v>13416</v>
      </c>
      <c r="P309" s="348">
        <v>1600</v>
      </c>
      <c r="Q309" s="348">
        <v>300</v>
      </c>
      <c r="R309" s="349">
        <v>3166</v>
      </c>
      <c r="S309" s="344">
        <v>3000</v>
      </c>
      <c r="T309" s="344" t="s">
        <v>1051</v>
      </c>
      <c r="U309" s="345">
        <v>370</v>
      </c>
      <c r="V309" s="345"/>
      <c r="W309" s="308">
        <v>0</v>
      </c>
      <c r="X309" s="201">
        <v>3216.4</v>
      </c>
      <c r="Y309" s="309">
        <v>3216</v>
      </c>
      <c r="Z309" s="290">
        <v>3216</v>
      </c>
      <c r="AA309" s="290">
        <v>3216</v>
      </c>
      <c r="AB309" s="309"/>
      <c r="AC309" s="309"/>
      <c r="AD309" s="309"/>
      <c r="AE309" s="309"/>
      <c r="AF309" s="309"/>
      <c r="AG309" s="309"/>
      <c r="AH309" s="291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</row>
    <row r="310" spans="1:1018">
      <c r="A310" s="545" t="s">
        <v>1052</v>
      </c>
      <c r="B310" s="293" t="s">
        <v>553</v>
      </c>
      <c r="C310" s="293" t="s">
        <v>971</v>
      </c>
      <c r="D310" s="293"/>
      <c r="E310" s="286">
        <f t="shared" si="32"/>
        <v>21</v>
      </c>
      <c r="F310" s="280" t="s">
        <v>1053</v>
      </c>
      <c r="G310" s="281">
        <v>0.15</v>
      </c>
      <c r="H310" s="282">
        <v>10</v>
      </c>
      <c r="I310" s="282"/>
      <c r="J310" s="282"/>
      <c r="K310" s="157">
        <v>3216.4</v>
      </c>
      <c r="L310" s="157">
        <v>2000</v>
      </c>
      <c r="M310" s="175"/>
      <c r="N310" s="346">
        <f t="shared" si="34"/>
        <v>5216.3999999999996</v>
      </c>
      <c r="O310" s="347">
        <v>13162</v>
      </c>
      <c r="P310" s="348">
        <v>1600</v>
      </c>
      <c r="Q310" s="348">
        <v>300</v>
      </c>
      <c r="R310" s="349">
        <v>2918</v>
      </c>
      <c r="S310" s="344">
        <v>6213</v>
      </c>
      <c r="T310" s="344"/>
      <c r="U310" s="345">
        <v>370</v>
      </c>
      <c r="V310" s="345">
        <v>370</v>
      </c>
      <c r="W310" s="291">
        <v>0</v>
      </c>
      <c r="X310" s="291">
        <v>5216.3999999999996</v>
      </c>
      <c r="Y310" s="290">
        <v>5216.3999999999996</v>
      </c>
      <c r="Z310" s="290">
        <v>5216.3999999999996</v>
      </c>
      <c r="AA310" s="290"/>
      <c r="AB310" s="290"/>
      <c r="AC310" s="290"/>
      <c r="AD310" s="290"/>
      <c r="AE310" s="290"/>
      <c r="AF310" s="290"/>
      <c r="AG310" s="309"/>
      <c r="AH310" s="308">
        <v>0</v>
      </c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</row>
    <row r="311" spans="1:1018">
      <c r="A311" s="356"/>
      <c r="B311" s="356"/>
      <c r="C311" s="356"/>
      <c r="D311" s="356"/>
      <c r="E311" s="504"/>
      <c r="F311" s="448"/>
      <c r="G311" s="385"/>
      <c r="K311" s="439"/>
      <c r="L311" s="439"/>
      <c r="M311" s="413"/>
      <c r="N311" s="222"/>
      <c r="O311" s="347"/>
      <c r="P311" s="348"/>
      <c r="Q311" s="348"/>
      <c r="R311" s="349"/>
      <c r="S311" s="344"/>
      <c r="T311" s="344"/>
      <c r="U311" s="345"/>
      <c r="V311" s="345"/>
      <c r="W311" s="291"/>
      <c r="X311" s="291"/>
      <c r="Y311" s="291"/>
      <c r="Z311" s="290"/>
      <c r="AA311" s="290"/>
      <c r="AB311" s="290"/>
      <c r="AC311" s="290"/>
      <c r="AD311" s="290"/>
      <c r="AE311" s="290"/>
      <c r="AF311" s="290"/>
      <c r="AG311" s="309"/>
      <c r="AH311" s="308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</row>
    <row r="312" spans="1:1018">
      <c r="A312" s="356"/>
      <c r="B312" s="356"/>
      <c r="C312" s="356"/>
      <c r="D312" s="356"/>
      <c r="E312" s="504"/>
      <c r="F312" s="448"/>
      <c r="G312" s="385"/>
      <c r="K312" s="439"/>
      <c r="L312" s="439"/>
      <c r="M312" s="413"/>
      <c r="N312" s="222"/>
      <c r="O312" s="347"/>
      <c r="P312" s="348"/>
      <c r="Q312" s="348"/>
      <c r="R312" s="349"/>
      <c r="S312" s="344"/>
      <c r="T312" s="344"/>
      <c r="U312" s="345"/>
      <c r="V312" s="345"/>
      <c r="W312" s="291"/>
      <c r="X312" s="291"/>
      <c r="Y312" s="291"/>
      <c r="Z312" s="290"/>
      <c r="AA312" s="290"/>
      <c r="AB312" s="290"/>
      <c r="AC312" s="290"/>
      <c r="AD312" s="290"/>
      <c r="AE312" s="290"/>
      <c r="AF312" s="290"/>
      <c r="AG312" s="309"/>
      <c r="AH312" s="308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</row>
    <row r="313" spans="1:1018">
      <c r="N313" s="222"/>
      <c r="O313" s="217"/>
      <c r="P313" s="228"/>
      <c r="Q313" s="228"/>
      <c r="R313" s="229"/>
      <c r="S313" s="230"/>
      <c r="T313" s="230"/>
      <c r="U313" s="231"/>
      <c r="V313" s="231"/>
      <c r="W313" s="175"/>
      <c r="X313" s="175"/>
      <c r="Y313" s="175"/>
      <c r="Z313" s="175"/>
      <c r="AA313" s="175"/>
      <c r="AB313" s="175"/>
      <c r="AC313" s="175"/>
      <c r="AD313" s="175"/>
      <c r="AE313" s="175"/>
      <c r="AF313" s="175"/>
      <c r="AG313" s="175"/>
      <c r="AH313" s="175"/>
    </row>
    <row r="314" spans="1:1018" s="151" customFormat="1" ht="45">
      <c r="A314" s="134" t="s">
        <v>1054</v>
      </c>
      <c r="B314" s="134"/>
      <c r="C314" s="135" t="s">
        <v>339</v>
      </c>
      <c r="D314" s="135"/>
      <c r="E314" s="134"/>
      <c r="F314" s="232" t="s">
        <v>961</v>
      </c>
      <c r="G314" s="134" t="s">
        <v>426</v>
      </c>
      <c r="H314" s="299" t="s">
        <v>427</v>
      </c>
      <c r="I314" s="300"/>
      <c r="J314" s="235" t="s">
        <v>429</v>
      </c>
      <c r="K314" s="236" t="s">
        <v>441</v>
      </c>
      <c r="L314" s="237"/>
      <c r="M314" s="238" t="s">
        <v>431</v>
      </c>
      <c r="N314" s="239" t="s">
        <v>432</v>
      </c>
      <c r="O314" s="144"/>
      <c r="P314" s="145"/>
      <c r="Q314" s="145"/>
      <c r="R314" s="240"/>
      <c r="S314" s="241"/>
      <c r="T314" s="241"/>
      <c r="U314" s="242"/>
      <c r="V314" s="242"/>
      <c r="W314" s="150" t="s">
        <v>437</v>
      </c>
      <c r="X314" s="150" t="s">
        <v>438</v>
      </c>
      <c r="Y314" s="150" t="s">
        <v>2</v>
      </c>
      <c r="Z314" s="150" t="s">
        <v>4</v>
      </c>
      <c r="AA314" s="150" t="s">
        <v>5</v>
      </c>
      <c r="AB314" s="150" t="s">
        <v>6</v>
      </c>
      <c r="AC314" s="150" t="s">
        <v>7</v>
      </c>
      <c r="AD314" s="150" t="s">
        <v>8</v>
      </c>
      <c r="AE314" s="150" t="s">
        <v>9</v>
      </c>
      <c r="AF314" s="150" t="s">
        <v>10</v>
      </c>
      <c r="AG314" s="150" t="s">
        <v>340</v>
      </c>
      <c r="AH314" s="150" t="s">
        <v>439</v>
      </c>
    </row>
    <row r="315" spans="1:1018">
      <c r="A315" s="545" t="s">
        <v>1055</v>
      </c>
      <c r="B315" s="286" t="s">
        <v>516</v>
      </c>
      <c r="C315" s="293" t="s">
        <v>414</v>
      </c>
      <c r="D315" s="293"/>
      <c r="E315" s="178">
        <v>1</v>
      </c>
      <c r="F315" s="280"/>
      <c r="G315" s="301">
        <v>0.15</v>
      </c>
      <c r="H315" s="263">
        <v>11</v>
      </c>
      <c r="I315" s="263"/>
      <c r="J315" s="263">
        <v>3599.75</v>
      </c>
      <c r="K315" s="350"/>
      <c r="L315" s="350">
        <v>2000</v>
      </c>
      <c r="M315" s="350"/>
      <c r="N315" s="195">
        <f t="shared" ref="N315:N328" si="35">+J315+K315+L315</f>
        <v>5599.75</v>
      </c>
      <c r="O315" s="303" t="s">
        <v>1056</v>
      </c>
      <c r="P315" s="304">
        <f>1369+551</f>
        <v>1920</v>
      </c>
      <c r="Q315" s="304">
        <v>300</v>
      </c>
      <c r="R315" s="305">
        <v>3187</v>
      </c>
      <c r="S315" s="306">
        <v>5285</v>
      </c>
      <c r="T315" s="306"/>
      <c r="U315" s="9">
        <v>370</v>
      </c>
      <c r="V315" s="9"/>
      <c r="W315" s="291">
        <v>3599.75</v>
      </c>
      <c r="X315" s="289">
        <v>5599.75</v>
      </c>
      <c r="Y315" s="290">
        <v>5599.75</v>
      </c>
      <c r="Z315" s="290">
        <v>5599.75</v>
      </c>
      <c r="AA315" s="290">
        <v>5599.75</v>
      </c>
      <c r="AB315" s="290"/>
      <c r="AC315" s="290"/>
      <c r="AD315" s="290"/>
      <c r="AE315" s="290"/>
      <c r="AF315" s="290"/>
      <c r="AG315" s="291"/>
      <c r="AH315" s="291">
        <v>0</v>
      </c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</row>
    <row r="316" spans="1:1018">
      <c r="A316" s="293" t="s">
        <v>270</v>
      </c>
      <c r="B316" s="286" t="s">
        <v>516</v>
      </c>
      <c r="C316" s="293"/>
      <c r="D316" s="293"/>
      <c r="E316" s="178">
        <f t="shared" ref="E316:E333" si="36">+E315+1</f>
        <v>2</v>
      </c>
      <c r="F316" s="280" t="s">
        <v>1057</v>
      </c>
      <c r="G316" s="301">
        <v>0.1</v>
      </c>
      <c r="H316" s="263">
        <v>10</v>
      </c>
      <c r="I316" s="263"/>
      <c r="J316" s="263"/>
      <c r="K316" s="350">
        <v>4192.6499999999996</v>
      </c>
      <c r="L316" s="350"/>
      <c r="M316" s="350"/>
      <c r="N316" s="195">
        <f t="shared" si="35"/>
        <v>4192.6499999999996</v>
      </c>
      <c r="O316" s="303">
        <v>13109</v>
      </c>
      <c r="P316" s="304">
        <v>1920</v>
      </c>
      <c r="Q316" s="304">
        <v>300</v>
      </c>
      <c r="R316" s="305">
        <v>2778</v>
      </c>
      <c r="S316" s="306">
        <v>5285</v>
      </c>
      <c r="T316" s="306"/>
      <c r="U316" s="9">
        <v>370</v>
      </c>
      <c r="V316" s="9">
        <v>370</v>
      </c>
      <c r="W316" s="291">
        <v>0</v>
      </c>
      <c r="X316" s="291">
        <v>4192.6499999999996</v>
      </c>
      <c r="Y316" s="291">
        <v>4192.6499999999996</v>
      </c>
      <c r="Z316" s="291">
        <v>4192.6499999999996</v>
      </c>
      <c r="AA316" s="291">
        <v>4192.6499999999996</v>
      </c>
      <c r="AB316" s="291"/>
      <c r="AC316" s="291"/>
      <c r="AD316" s="291"/>
      <c r="AE316" s="291"/>
      <c r="AF316" s="291"/>
      <c r="AG316" s="291"/>
      <c r="AH316" s="45">
        <v>0</v>
      </c>
      <c r="AI316" s="32" t="s">
        <v>1058</v>
      </c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</row>
    <row r="317" spans="1:1018">
      <c r="A317" s="545" t="s">
        <v>271</v>
      </c>
      <c r="B317" s="286" t="s">
        <v>516</v>
      </c>
      <c r="C317" s="293" t="s">
        <v>891</v>
      </c>
      <c r="D317" s="293"/>
      <c r="E317" s="178">
        <f t="shared" si="36"/>
        <v>3</v>
      </c>
      <c r="F317" s="280" t="s">
        <v>1059</v>
      </c>
      <c r="G317" s="301">
        <v>0.15</v>
      </c>
      <c r="H317" s="263">
        <v>10</v>
      </c>
      <c r="I317" s="263"/>
      <c r="J317" s="263"/>
      <c r="K317" s="350">
        <v>3959.73</v>
      </c>
      <c r="L317" s="350">
        <v>2000</v>
      </c>
      <c r="M317" s="350"/>
      <c r="N317" s="195">
        <f t="shared" si="35"/>
        <v>5959.73</v>
      </c>
      <c r="O317" s="303">
        <v>13205</v>
      </c>
      <c r="P317" s="304">
        <v>1920</v>
      </c>
      <c r="Q317" s="304">
        <v>300</v>
      </c>
      <c r="R317" s="305">
        <v>2792</v>
      </c>
      <c r="S317" s="306">
        <v>5285</v>
      </c>
      <c r="T317" s="306"/>
      <c r="U317" s="9">
        <v>370</v>
      </c>
      <c r="V317" s="9"/>
      <c r="W317" s="291">
        <v>0</v>
      </c>
      <c r="X317" s="291">
        <f>3761.74+2000</f>
        <v>5761.74</v>
      </c>
      <c r="Y317" s="291">
        <f t="shared" ref="Y317:AC317" si="37">3761.74+2000</f>
        <v>5761.74</v>
      </c>
      <c r="Z317" s="291">
        <f t="shared" si="37"/>
        <v>5761.74</v>
      </c>
      <c r="AA317" s="291">
        <f t="shared" si="37"/>
        <v>5761.74</v>
      </c>
      <c r="AB317" s="291">
        <f t="shared" si="37"/>
        <v>5761.74</v>
      </c>
      <c r="AC317" s="291">
        <f t="shared" si="37"/>
        <v>5761.74</v>
      </c>
      <c r="AD317" s="291">
        <v>3761.74</v>
      </c>
      <c r="AE317" s="291">
        <v>3761.74</v>
      </c>
      <c r="AF317" s="291">
        <v>3761.74</v>
      </c>
      <c r="AG317" s="291">
        <v>3761.74</v>
      </c>
      <c r="AH317" s="291">
        <v>0</v>
      </c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</row>
    <row r="318" spans="1:1018">
      <c r="A318" s="293" t="s">
        <v>1060</v>
      </c>
      <c r="B318" s="286" t="s">
        <v>516</v>
      </c>
      <c r="C318" s="293"/>
      <c r="D318" s="293"/>
      <c r="E318" s="178">
        <f t="shared" si="36"/>
        <v>4</v>
      </c>
      <c r="F318" s="280" t="s">
        <v>1061</v>
      </c>
      <c r="G318" s="301">
        <v>0.15</v>
      </c>
      <c r="H318" s="263">
        <v>10</v>
      </c>
      <c r="I318" s="263"/>
      <c r="J318" s="263"/>
      <c r="K318" s="350">
        <v>3959.73</v>
      </c>
      <c r="L318" s="350"/>
      <c r="M318" s="350"/>
      <c r="N318" s="195">
        <f t="shared" si="35"/>
        <v>3959.73</v>
      </c>
      <c r="O318" s="303">
        <v>13675</v>
      </c>
      <c r="P318" s="304"/>
      <c r="Q318" s="304">
        <v>300</v>
      </c>
      <c r="R318" s="305" t="s">
        <v>1062</v>
      </c>
      <c r="S318" s="306">
        <f>715+4000</f>
        <v>4715</v>
      </c>
      <c r="T318" s="306" t="s">
        <v>1063</v>
      </c>
      <c r="U318" s="9"/>
      <c r="V318" s="9"/>
      <c r="W318" s="291">
        <v>0</v>
      </c>
      <c r="X318" s="291">
        <v>3959.73</v>
      </c>
      <c r="Y318" s="291"/>
      <c r="Z318" s="291"/>
      <c r="AA318" s="291"/>
      <c r="AB318" s="291"/>
      <c r="AC318" s="291"/>
      <c r="AD318" s="291"/>
      <c r="AE318" s="291"/>
      <c r="AF318" s="291"/>
      <c r="AG318" s="291"/>
      <c r="AH318" s="291">
        <v>0</v>
      </c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</row>
    <row r="319" spans="1:1018">
      <c r="A319" s="545" t="s">
        <v>1064</v>
      </c>
      <c r="B319" s="286" t="s">
        <v>516</v>
      </c>
      <c r="C319" s="293" t="s">
        <v>1065</v>
      </c>
      <c r="D319" s="293"/>
      <c r="E319" s="178">
        <f t="shared" si="36"/>
        <v>5</v>
      </c>
      <c r="F319" s="280" t="s">
        <v>1066</v>
      </c>
      <c r="G319" s="301">
        <v>0.22</v>
      </c>
      <c r="H319" s="263">
        <v>10</v>
      </c>
      <c r="I319" s="263"/>
      <c r="J319" s="263"/>
      <c r="K319" s="350">
        <v>3682.54</v>
      </c>
      <c r="L319" s="350">
        <v>2000</v>
      </c>
      <c r="M319" s="350"/>
      <c r="N319" s="195">
        <f t="shared" si="35"/>
        <v>5682.54</v>
      </c>
      <c r="O319" s="303">
        <v>13135</v>
      </c>
      <c r="P319" s="304">
        <v>1920</v>
      </c>
      <c r="Q319" s="304">
        <v>300</v>
      </c>
      <c r="R319" s="305">
        <v>3069</v>
      </c>
      <c r="S319" s="306">
        <v>5285</v>
      </c>
      <c r="T319" s="306"/>
      <c r="U319" s="9"/>
      <c r="V319" s="9"/>
      <c r="W319" s="291">
        <v>0</v>
      </c>
      <c r="X319" s="291">
        <v>3682.54</v>
      </c>
      <c r="Y319" s="291">
        <v>3682.54</v>
      </c>
      <c r="Z319" s="291">
        <v>3682.54</v>
      </c>
      <c r="AA319" s="291">
        <v>3682.54</v>
      </c>
      <c r="AB319" s="291">
        <v>3682.54</v>
      </c>
      <c r="AC319" s="291">
        <v>3682.54</v>
      </c>
      <c r="AD319" s="291">
        <v>3682.54</v>
      </c>
      <c r="AE319" s="291">
        <v>3682.54</v>
      </c>
      <c r="AF319" s="291">
        <v>3682.54</v>
      </c>
      <c r="AG319" s="291">
        <v>3682.54</v>
      </c>
      <c r="AH319" s="291">
        <v>0</v>
      </c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</row>
    <row r="320" spans="1:1018">
      <c r="A320" s="545" t="s">
        <v>1067</v>
      </c>
      <c r="B320" s="286" t="s">
        <v>516</v>
      </c>
      <c r="C320" s="293" t="s">
        <v>1068</v>
      </c>
      <c r="D320" s="293"/>
      <c r="E320" s="178">
        <f t="shared" si="36"/>
        <v>6</v>
      </c>
      <c r="F320" s="280" t="s">
        <v>1069</v>
      </c>
      <c r="G320" s="301">
        <v>0.17</v>
      </c>
      <c r="H320" s="263"/>
      <c r="I320" s="263"/>
      <c r="J320" s="263"/>
      <c r="K320" s="350">
        <v>3899.16</v>
      </c>
      <c r="L320" s="350">
        <v>2105</v>
      </c>
      <c r="M320" s="350"/>
      <c r="N320" s="195">
        <f t="shared" si="35"/>
        <v>6004.16</v>
      </c>
      <c r="O320" s="303">
        <v>13714</v>
      </c>
      <c r="P320" s="304">
        <v>0</v>
      </c>
      <c r="Q320" s="304">
        <v>300</v>
      </c>
      <c r="R320" s="305" t="s">
        <v>1070</v>
      </c>
      <c r="S320" s="306">
        <f>4000+80</f>
        <v>4080</v>
      </c>
      <c r="T320" s="306" t="s">
        <v>1071</v>
      </c>
      <c r="U320" s="9"/>
      <c r="V320" s="9"/>
      <c r="W320" s="291">
        <v>0</v>
      </c>
      <c r="X320" s="289">
        <f>3899.16+2100</f>
        <v>5999.16</v>
      </c>
      <c r="Y320" s="289">
        <f>3899.16+2100</f>
        <v>5999.16</v>
      </c>
      <c r="Z320" s="289">
        <v>3899.16</v>
      </c>
      <c r="AA320" s="289">
        <v>3899.16</v>
      </c>
      <c r="AB320" s="289">
        <v>3899.16</v>
      </c>
      <c r="AC320" s="289">
        <v>3899.16</v>
      </c>
      <c r="AD320" s="289">
        <v>3899.16</v>
      </c>
      <c r="AE320" s="289">
        <v>3899.16</v>
      </c>
      <c r="AF320" s="289">
        <v>3899.16</v>
      </c>
      <c r="AG320" s="289">
        <v>3899.16</v>
      </c>
      <c r="AH320" s="291">
        <v>0</v>
      </c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</row>
    <row r="321" spans="1:1018">
      <c r="A321" s="282" t="s">
        <v>273</v>
      </c>
      <c r="B321" s="286" t="s">
        <v>516</v>
      </c>
      <c r="C321" s="282"/>
      <c r="D321" s="282"/>
      <c r="E321" s="178">
        <f t="shared" si="36"/>
        <v>7</v>
      </c>
      <c r="F321" s="277" t="s">
        <v>1072</v>
      </c>
      <c r="G321" s="301">
        <v>0.1</v>
      </c>
      <c r="H321" s="263">
        <v>10</v>
      </c>
      <c r="I321" s="263"/>
      <c r="J321" s="263"/>
      <c r="K321" s="350">
        <v>4192.6499999999996</v>
      </c>
      <c r="L321" s="350"/>
      <c r="M321" s="350"/>
      <c r="N321" s="195">
        <f t="shared" si="35"/>
        <v>4192.6499999999996</v>
      </c>
      <c r="O321" s="303">
        <v>13462</v>
      </c>
      <c r="P321" s="304">
        <v>1920</v>
      </c>
      <c r="Q321" s="304">
        <v>300</v>
      </c>
      <c r="R321" s="305">
        <v>2769</v>
      </c>
      <c r="S321" s="306">
        <v>5285</v>
      </c>
      <c r="T321" s="306"/>
      <c r="U321" s="9">
        <v>370</v>
      </c>
      <c r="V321" s="9"/>
      <c r="W321" s="291">
        <v>0</v>
      </c>
      <c r="X321" s="290">
        <f>3885+307.65</f>
        <v>4192.6499999999996</v>
      </c>
      <c r="Y321" s="290">
        <v>4192.6499999999996</v>
      </c>
      <c r="Z321" s="290"/>
      <c r="AA321" s="290"/>
      <c r="AB321" s="290"/>
      <c r="AC321" s="290"/>
      <c r="AD321" s="290"/>
      <c r="AE321" s="290"/>
      <c r="AF321" s="290"/>
      <c r="AG321" s="291"/>
      <c r="AH321" s="291">
        <v>0</v>
      </c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</row>
    <row r="322" spans="1:1018">
      <c r="A322" s="357" t="s">
        <v>1073</v>
      </c>
      <c r="B322" s="286" t="s">
        <v>516</v>
      </c>
      <c r="C322" s="293" t="s">
        <v>859</v>
      </c>
      <c r="D322" s="293"/>
      <c r="E322" s="178">
        <f t="shared" si="36"/>
        <v>8</v>
      </c>
      <c r="F322" s="351" t="s">
        <v>1074</v>
      </c>
      <c r="G322" s="301">
        <v>0.15</v>
      </c>
      <c r="H322" s="263">
        <v>10</v>
      </c>
      <c r="I322" s="263"/>
      <c r="J322" s="263"/>
      <c r="K322" s="350">
        <v>3959.73</v>
      </c>
      <c r="L322" s="350"/>
      <c r="M322" s="350"/>
      <c r="N322" s="195">
        <f t="shared" si="35"/>
        <v>3959.73</v>
      </c>
      <c r="O322" s="303">
        <v>13468</v>
      </c>
      <c r="P322" s="304">
        <v>1920</v>
      </c>
      <c r="Q322" s="304">
        <v>300</v>
      </c>
      <c r="R322" s="305">
        <v>3051</v>
      </c>
      <c r="S322" s="306">
        <v>5285</v>
      </c>
      <c r="T322" s="306"/>
      <c r="U322" s="9">
        <v>370</v>
      </c>
      <c r="V322" s="9">
        <v>370</v>
      </c>
      <c r="W322" s="291">
        <v>0</v>
      </c>
      <c r="X322" s="317">
        <v>3959.73</v>
      </c>
      <c r="Y322" s="289">
        <v>3959.73</v>
      </c>
      <c r="Z322" s="315">
        <v>3959.73</v>
      </c>
      <c r="AA322" s="307"/>
      <c r="AB322" s="307"/>
      <c r="AC322" s="289"/>
      <c r="AD322" s="289"/>
      <c r="AE322" s="307"/>
      <c r="AF322" s="307"/>
      <c r="AG322" s="291"/>
      <c r="AH322" s="291">
        <v>0</v>
      </c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</row>
    <row r="323" spans="1:1018">
      <c r="A323" s="357" t="s">
        <v>274</v>
      </c>
      <c r="B323" s="286" t="s">
        <v>516</v>
      </c>
      <c r="C323" s="293"/>
      <c r="D323" s="293"/>
      <c r="E323" s="178">
        <f t="shared" si="36"/>
        <v>9</v>
      </c>
      <c r="F323" s="351" t="s">
        <v>1075</v>
      </c>
      <c r="G323" s="301">
        <v>0.2</v>
      </c>
      <c r="H323" s="263">
        <v>10</v>
      </c>
      <c r="I323" s="263"/>
      <c r="J323" s="263"/>
      <c r="K323" s="350">
        <v>3726.8</v>
      </c>
      <c r="L323" s="350"/>
      <c r="M323" s="350"/>
      <c r="N323" s="195">
        <f t="shared" si="35"/>
        <v>3726.8</v>
      </c>
      <c r="O323" s="303">
        <v>13142</v>
      </c>
      <c r="P323" s="304">
        <v>1920</v>
      </c>
      <c r="Q323" s="304">
        <v>300</v>
      </c>
      <c r="R323" s="305">
        <v>2785</v>
      </c>
      <c r="S323" s="306">
        <v>5285</v>
      </c>
      <c r="T323" s="306"/>
      <c r="U323" s="9">
        <v>370</v>
      </c>
      <c r="V323" s="585">
        <v>0</v>
      </c>
      <c r="W323" s="291">
        <v>0</v>
      </c>
      <c r="X323" s="316">
        <v>3726.8</v>
      </c>
      <c r="Y323" s="316">
        <v>3726.8</v>
      </c>
      <c r="Z323" s="315">
        <v>3726.8</v>
      </c>
      <c r="AA323" s="315"/>
      <c r="AB323" s="315"/>
      <c r="AC323" s="315"/>
      <c r="AD323" s="315"/>
      <c r="AE323" s="315"/>
      <c r="AF323" s="315"/>
      <c r="AG323" s="291"/>
      <c r="AH323" s="291">
        <v>0</v>
      </c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</row>
    <row r="324" spans="1:1018">
      <c r="A324" s="549" t="s">
        <v>1076</v>
      </c>
      <c r="B324" s="286" t="s">
        <v>516</v>
      </c>
      <c r="C324" s="293" t="s">
        <v>1077</v>
      </c>
      <c r="D324" s="293"/>
      <c r="E324" s="178">
        <f t="shared" si="36"/>
        <v>10</v>
      </c>
      <c r="F324" s="351" t="s">
        <v>1078</v>
      </c>
      <c r="G324" s="301"/>
      <c r="H324" s="263">
        <v>11</v>
      </c>
      <c r="I324" s="263"/>
      <c r="J324" s="263">
        <v>4235</v>
      </c>
      <c r="K324" s="350"/>
      <c r="L324" s="350">
        <v>2105</v>
      </c>
      <c r="M324" s="350"/>
      <c r="N324" s="195">
        <f t="shared" si="35"/>
        <v>6340</v>
      </c>
      <c r="O324" s="303">
        <v>13301</v>
      </c>
      <c r="P324" s="304">
        <v>1920</v>
      </c>
      <c r="Q324" s="304">
        <v>300</v>
      </c>
      <c r="R324" s="305">
        <v>3053</v>
      </c>
      <c r="S324" s="306">
        <v>5285</v>
      </c>
      <c r="T324" s="306"/>
      <c r="U324" s="9">
        <v>370</v>
      </c>
      <c r="V324" s="9"/>
      <c r="W324" s="291">
        <v>4235</v>
      </c>
      <c r="X324" s="291">
        <v>6340</v>
      </c>
      <c r="Y324" s="290">
        <v>6340</v>
      </c>
      <c r="Z324" s="290">
        <v>6340</v>
      </c>
      <c r="AA324" s="290"/>
      <c r="AB324" s="290"/>
      <c r="AC324" s="290"/>
      <c r="AD324" s="290"/>
      <c r="AE324" s="290"/>
      <c r="AF324" s="290"/>
      <c r="AG324" s="291"/>
      <c r="AH324" s="291">
        <v>0</v>
      </c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</row>
    <row r="325" spans="1:1018">
      <c r="A325" s="537" t="s">
        <v>1079</v>
      </c>
      <c r="B325" s="286" t="s">
        <v>516</v>
      </c>
      <c r="C325" s="282"/>
      <c r="D325" s="282"/>
      <c r="E325" s="178">
        <f t="shared" si="36"/>
        <v>11</v>
      </c>
      <c r="F325" s="232" t="s">
        <v>1080</v>
      </c>
      <c r="G325" s="301">
        <v>0.15</v>
      </c>
      <c r="H325" s="263">
        <v>10</v>
      </c>
      <c r="I325" s="263"/>
      <c r="J325" s="263"/>
      <c r="K325" s="350">
        <v>3959.73</v>
      </c>
      <c r="L325" s="350">
        <v>2000</v>
      </c>
      <c r="M325" s="350"/>
      <c r="N325" s="195">
        <f t="shared" si="35"/>
        <v>5959.73</v>
      </c>
      <c r="O325" s="303">
        <v>13457</v>
      </c>
      <c r="P325" s="304">
        <v>1920</v>
      </c>
      <c r="Q325" s="304">
        <v>300</v>
      </c>
      <c r="R325" s="305" t="s">
        <v>1081</v>
      </c>
      <c r="S325" s="306">
        <f>2500+2785</f>
        <v>5285</v>
      </c>
      <c r="T325" s="306"/>
      <c r="U325" s="9">
        <v>370</v>
      </c>
      <c r="V325" s="9">
        <v>370</v>
      </c>
      <c r="W325" s="291">
        <v>0</v>
      </c>
      <c r="X325" s="561">
        <v>5959.73</v>
      </c>
      <c r="Y325" s="315">
        <v>5959.73</v>
      </c>
      <c r="Z325" s="307">
        <v>5959.73</v>
      </c>
      <c r="AA325" s="307"/>
      <c r="AB325" s="307"/>
      <c r="AC325" s="307"/>
      <c r="AD325" s="307"/>
      <c r="AE325" s="307"/>
      <c r="AF325" s="307"/>
      <c r="AG325" s="291"/>
      <c r="AH325" s="291">
        <v>0</v>
      </c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</row>
    <row r="326" spans="1:1018">
      <c r="A326" s="548" t="s">
        <v>1082</v>
      </c>
      <c r="B326" s="286" t="s">
        <v>516</v>
      </c>
      <c r="C326" s="293" t="s">
        <v>1083</v>
      </c>
      <c r="D326" s="293"/>
      <c r="E326" s="178">
        <f t="shared" si="36"/>
        <v>12</v>
      </c>
      <c r="F326" s="351" t="s">
        <v>1084</v>
      </c>
      <c r="G326" s="301"/>
      <c r="H326" s="263">
        <v>10</v>
      </c>
      <c r="I326" s="263"/>
      <c r="J326" s="263"/>
      <c r="K326" s="350">
        <v>4658.5</v>
      </c>
      <c r="L326" s="350">
        <v>2105</v>
      </c>
      <c r="M326" s="350"/>
      <c r="N326" s="195">
        <f t="shared" si="35"/>
        <v>6763.5</v>
      </c>
      <c r="O326" s="303">
        <v>13380</v>
      </c>
      <c r="P326" s="304">
        <v>1920</v>
      </c>
      <c r="Q326" s="304">
        <v>300</v>
      </c>
      <c r="R326" s="305">
        <v>2990</v>
      </c>
      <c r="S326" s="306">
        <v>5285</v>
      </c>
      <c r="T326" s="306"/>
      <c r="U326" s="585">
        <v>0</v>
      </c>
      <c r="V326" s="585">
        <v>0</v>
      </c>
      <c r="W326" s="291">
        <v>0</v>
      </c>
      <c r="X326" s="291">
        <v>6763.5</v>
      </c>
      <c r="Y326" s="291">
        <v>6763.5</v>
      </c>
      <c r="Z326" s="291">
        <v>6763.5</v>
      </c>
      <c r="AA326" s="289"/>
      <c r="AB326" s="289"/>
      <c r="AC326" s="289"/>
      <c r="AD326" s="291"/>
      <c r="AE326" s="291"/>
      <c r="AF326" s="289"/>
      <c r="AG326" s="291"/>
      <c r="AH326" s="291">
        <v>0</v>
      </c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</row>
    <row r="327" spans="1:1018">
      <c r="A327" s="548" t="s">
        <v>1085</v>
      </c>
      <c r="B327" s="286" t="s">
        <v>516</v>
      </c>
      <c r="C327" s="293" t="s">
        <v>846</v>
      </c>
      <c r="D327" s="293"/>
      <c r="E327" s="178">
        <f t="shared" si="36"/>
        <v>13</v>
      </c>
      <c r="F327" s="351" t="s">
        <v>1086</v>
      </c>
      <c r="G327" s="301">
        <v>0.2</v>
      </c>
      <c r="H327" s="263">
        <v>10</v>
      </c>
      <c r="I327" s="263"/>
      <c r="J327" s="263"/>
      <c r="K327" s="350">
        <v>3726.8</v>
      </c>
      <c r="L327" s="350">
        <v>2000</v>
      </c>
      <c r="M327" s="350"/>
      <c r="N327" s="195">
        <f t="shared" si="35"/>
        <v>5726.8</v>
      </c>
      <c r="O327" s="303">
        <v>13451</v>
      </c>
      <c r="P327" s="304">
        <v>1920</v>
      </c>
      <c r="Q327" s="304">
        <v>300</v>
      </c>
      <c r="R327" s="305">
        <v>3408</v>
      </c>
      <c r="S327" s="306">
        <v>5285</v>
      </c>
      <c r="T327" s="306"/>
      <c r="U327" s="9">
        <v>370</v>
      </c>
      <c r="V327" s="9">
        <v>370</v>
      </c>
      <c r="W327" s="291">
        <v>0</v>
      </c>
      <c r="X327" s="315">
        <f>2000+3726.8</f>
        <v>5726.8</v>
      </c>
      <c r="Y327" s="315">
        <v>5726.8</v>
      </c>
      <c r="Z327" s="315">
        <v>3726.8</v>
      </c>
      <c r="AA327" s="290"/>
      <c r="AB327" s="290"/>
      <c r="AC327" s="290"/>
      <c r="AD327" s="290"/>
      <c r="AE327" s="290"/>
      <c r="AF327" s="290"/>
      <c r="AG327" s="291"/>
      <c r="AH327" s="291">
        <v>0</v>
      </c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</row>
    <row r="328" spans="1:1018">
      <c r="A328" s="537" t="s">
        <v>275</v>
      </c>
      <c r="B328" s="286" t="s">
        <v>516</v>
      </c>
      <c r="C328" s="282" t="s">
        <v>726</v>
      </c>
      <c r="D328" s="282"/>
      <c r="E328" s="178">
        <f t="shared" si="36"/>
        <v>14</v>
      </c>
      <c r="F328" s="232" t="s">
        <v>1087</v>
      </c>
      <c r="G328" s="301"/>
      <c r="H328" s="263">
        <v>10</v>
      </c>
      <c r="I328" s="263"/>
      <c r="J328" s="263"/>
      <c r="K328" s="353">
        <v>4658.5</v>
      </c>
      <c r="L328" s="353">
        <v>2105</v>
      </c>
      <c r="M328" s="353"/>
      <c r="N328" s="195">
        <f t="shared" si="35"/>
        <v>6763.5</v>
      </c>
      <c r="O328" s="338">
        <v>13201</v>
      </c>
      <c r="P328" s="304">
        <v>0</v>
      </c>
      <c r="Q328" s="304">
        <v>300</v>
      </c>
      <c r="R328" s="305">
        <v>2837</v>
      </c>
      <c r="S328" s="306">
        <v>5285</v>
      </c>
      <c r="T328" s="306"/>
      <c r="U328" s="9">
        <v>370</v>
      </c>
      <c r="V328" s="9">
        <v>370</v>
      </c>
      <c r="W328" s="308">
        <v>0</v>
      </c>
      <c r="X328" s="309">
        <f>2105+4658.5</f>
        <v>6763.5</v>
      </c>
      <c r="Y328" s="309">
        <f>4658.5+2105</f>
        <v>6763.5</v>
      </c>
      <c r="Z328" s="309">
        <f>2105+4658.5</f>
        <v>6763.5</v>
      </c>
      <c r="AA328" s="354"/>
      <c r="AB328" s="354"/>
      <c r="AC328" s="354"/>
      <c r="AD328" s="354"/>
      <c r="AE328" s="354"/>
      <c r="AF328" s="354"/>
      <c r="AG328" s="308"/>
      <c r="AH328" s="30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</row>
    <row r="329" spans="1:1018">
      <c r="A329" s="293" t="s">
        <v>1088</v>
      </c>
      <c r="B329" s="286" t="s">
        <v>516</v>
      </c>
      <c r="C329" s="293"/>
      <c r="D329" s="293"/>
      <c r="E329" s="178">
        <f t="shared" si="36"/>
        <v>15</v>
      </c>
      <c r="F329" s="280" t="s">
        <v>1089</v>
      </c>
      <c r="G329" s="281"/>
      <c r="H329" s="282"/>
      <c r="I329" s="282"/>
      <c r="J329" s="254"/>
      <c r="K329" s="350"/>
      <c r="L329" s="350"/>
      <c r="M329" s="350"/>
      <c r="N329" s="195"/>
      <c r="O329" s="303"/>
      <c r="P329" s="21"/>
      <c r="Q329" s="21"/>
      <c r="R329" s="329">
        <v>3515</v>
      </c>
      <c r="S329" s="580">
        <v>5285</v>
      </c>
      <c r="T329" s="330"/>
      <c r="U329" s="6"/>
      <c r="V329" s="6"/>
      <c r="W329" s="291"/>
      <c r="X329" s="291"/>
      <c r="Y329" s="316"/>
      <c r="Z329" s="291"/>
      <c r="AA329" s="291"/>
      <c r="AB329" s="291"/>
      <c r="AC329" s="291"/>
      <c r="AD329" s="315"/>
      <c r="AE329" s="315"/>
      <c r="AF329" s="315"/>
      <c r="AG329" s="290"/>
      <c r="AH329" s="291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</row>
    <row r="330" spans="1:1018">
      <c r="A330" s="530" t="s">
        <v>1090</v>
      </c>
      <c r="B330" s="286" t="s">
        <v>516</v>
      </c>
      <c r="C330" s="282" t="s">
        <v>1091</v>
      </c>
      <c r="D330" s="282"/>
      <c r="E330" s="178">
        <f t="shared" si="36"/>
        <v>16</v>
      </c>
      <c r="F330" s="277" t="s">
        <v>1092</v>
      </c>
      <c r="G330" s="281">
        <v>0.15</v>
      </c>
      <c r="H330" s="282">
        <v>10</v>
      </c>
      <c r="I330" s="282"/>
      <c r="J330" s="254"/>
      <c r="K330" s="350">
        <v>3959.73</v>
      </c>
      <c r="L330" s="350">
        <v>2000</v>
      </c>
      <c r="M330" s="350"/>
      <c r="N330" s="195">
        <f>+J330+K330+L330</f>
        <v>5959.73</v>
      </c>
      <c r="O330" s="303">
        <v>13467</v>
      </c>
      <c r="P330" s="304">
        <v>1920</v>
      </c>
      <c r="Q330" s="304">
        <v>300</v>
      </c>
      <c r="R330" s="305">
        <v>2947</v>
      </c>
      <c r="S330" s="306">
        <v>5285</v>
      </c>
      <c r="T330" s="306"/>
      <c r="U330" s="585">
        <v>370</v>
      </c>
      <c r="V330" s="585">
        <v>370</v>
      </c>
      <c r="W330" s="291">
        <v>0</v>
      </c>
      <c r="X330" s="290">
        <v>5959.73</v>
      </c>
      <c r="Y330" s="290">
        <f>210.12+5749.61</f>
        <v>5959.73</v>
      </c>
      <c r="Z330" s="290">
        <v>5959.73</v>
      </c>
      <c r="AA330" s="290"/>
      <c r="AB330" s="290"/>
      <c r="AC330" s="290"/>
      <c r="AD330" s="290"/>
      <c r="AE330" s="290"/>
      <c r="AF330" s="290"/>
      <c r="AG330" s="290"/>
      <c r="AH330" s="291">
        <v>0</v>
      </c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</row>
    <row r="331" spans="1:1018">
      <c r="A331" s="545" t="s">
        <v>1093</v>
      </c>
      <c r="B331" s="286" t="s">
        <v>516</v>
      </c>
      <c r="C331" s="293" t="s">
        <v>1094</v>
      </c>
      <c r="D331" s="293"/>
      <c r="E331" s="178">
        <f t="shared" si="36"/>
        <v>17</v>
      </c>
      <c r="F331" s="280" t="s">
        <v>1095</v>
      </c>
      <c r="G331" s="301"/>
      <c r="H331" s="263">
        <v>10</v>
      </c>
      <c r="I331" s="263"/>
      <c r="J331" s="263"/>
      <c r="K331" s="350">
        <v>4658.5</v>
      </c>
      <c r="L331" s="350">
        <v>1525</v>
      </c>
      <c r="M331" s="350"/>
      <c r="N331" s="195">
        <f>+J331+K331+L331</f>
        <v>6183.5</v>
      </c>
      <c r="O331" s="303">
        <v>13250</v>
      </c>
      <c r="P331" s="304">
        <v>1920</v>
      </c>
      <c r="Q331" s="304">
        <v>300</v>
      </c>
      <c r="R331" s="305">
        <v>2927</v>
      </c>
      <c r="S331" s="306">
        <v>5285</v>
      </c>
      <c r="T331" s="306"/>
      <c r="U331" s="9">
        <v>370</v>
      </c>
      <c r="V331" s="9">
        <v>370</v>
      </c>
      <c r="W331" s="291">
        <v>0</v>
      </c>
      <c r="X331" s="290">
        <v>6183.5</v>
      </c>
      <c r="Y331" s="290">
        <v>6183.5</v>
      </c>
      <c r="Z331" s="290">
        <v>3091.75</v>
      </c>
      <c r="AA331" s="290"/>
      <c r="AB331" s="290"/>
      <c r="AC331" s="290"/>
      <c r="AD331" s="290"/>
      <c r="AE331" s="290"/>
      <c r="AF331" s="290"/>
      <c r="AG331" s="289"/>
      <c r="AH331" s="291">
        <v>0</v>
      </c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</row>
    <row r="332" spans="1:1018">
      <c r="A332" s="545" t="s">
        <v>1096</v>
      </c>
      <c r="B332" s="286" t="s">
        <v>516</v>
      </c>
      <c r="C332" s="293" t="s">
        <v>359</v>
      </c>
      <c r="D332" s="293"/>
      <c r="E332" s="178">
        <f t="shared" si="36"/>
        <v>18</v>
      </c>
      <c r="F332" s="280" t="s">
        <v>1097</v>
      </c>
      <c r="G332" s="301">
        <v>0.15</v>
      </c>
      <c r="H332" s="263">
        <v>10</v>
      </c>
      <c r="I332" s="263"/>
      <c r="J332" s="263"/>
      <c r="K332" s="350">
        <v>3959.73</v>
      </c>
      <c r="L332" s="350">
        <v>1710</v>
      </c>
      <c r="M332" s="350"/>
      <c r="N332" s="195">
        <f>+J332+K332+L332</f>
        <v>5669.73</v>
      </c>
      <c r="O332" s="303">
        <v>13585</v>
      </c>
      <c r="P332" s="304">
        <v>2880</v>
      </c>
      <c r="Q332" s="304">
        <v>300</v>
      </c>
      <c r="R332" s="305">
        <v>3223</v>
      </c>
      <c r="S332" s="306">
        <v>5285</v>
      </c>
      <c r="T332" s="306"/>
      <c r="U332" s="9">
        <v>370</v>
      </c>
      <c r="V332" s="9">
        <v>370</v>
      </c>
      <c r="W332" s="291">
        <v>0</v>
      </c>
      <c r="X332" s="289">
        <v>5669.73</v>
      </c>
      <c r="Y332" s="291">
        <v>5669.73</v>
      </c>
      <c r="Z332" s="291">
        <v>5669.73</v>
      </c>
      <c r="AA332" s="291"/>
      <c r="AB332" s="291"/>
      <c r="AC332" s="291"/>
      <c r="AD332" s="291"/>
      <c r="AE332" s="291"/>
      <c r="AF332" s="291"/>
      <c r="AG332" s="291"/>
      <c r="AH332" s="291">
        <v>0</v>
      </c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</row>
    <row r="333" spans="1:1018">
      <c r="A333" s="530" t="s">
        <v>1098</v>
      </c>
      <c r="B333" s="286" t="s">
        <v>516</v>
      </c>
      <c r="C333" s="282" t="s">
        <v>1099</v>
      </c>
      <c r="D333" s="282"/>
      <c r="E333" s="178">
        <f t="shared" si="36"/>
        <v>19</v>
      </c>
      <c r="F333" s="277" t="s">
        <v>1100</v>
      </c>
      <c r="G333" s="301">
        <v>0.1</v>
      </c>
      <c r="H333" s="263">
        <v>10</v>
      </c>
      <c r="I333" s="263"/>
      <c r="J333" s="263"/>
      <c r="K333" s="350">
        <v>4192.6499999999996</v>
      </c>
      <c r="L333" s="350">
        <v>2105</v>
      </c>
      <c r="M333" s="350"/>
      <c r="N333" s="195">
        <f>+J333+K333+L333</f>
        <v>6297.65</v>
      </c>
      <c r="O333" s="338">
        <v>13480</v>
      </c>
      <c r="P333" s="304">
        <v>1920</v>
      </c>
      <c r="Q333" s="304">
        <v>300</v>
      </c>
      <c r="R333" s="305">
        <v>2985</v>
      </c>
      <c r="S333" s="306">
        <v>5285</v>
      </c>
      <c r="T333" s="306"/>
      <c r="U333" s="9">
        <v>370</v>
      </c>
      <c r="V333" s="9">
        <v>370</v>
      </c>
      <c r="W333" s="291">
        <v>0</v>
      </c>
      <c r="X333" s="316">
        <v>6297.65</v>
      </c>
      <c r="Y333" s="316">
        <v>6297.65</v>
      </c>
      <c r="Z333" s="315">
        <v>6297.65</v>
      </c>
      <c r="AA333" s="315"/>
      <c r="AB333" s="315"/>
      <c r="AC333" s="315"/>
      <c r="AD333" s="315"/>
      <c r="AE333" s="315"/>
      <c r="AF333" s="315"/>
      <c r="AG333" s="291"/>
      <c r="AH333" s="291">
        <v>0</v>
      </c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</row>
    <row r="334" spans="1:1018">
      <c r="A334" s="293"/>
      <c r="B334" s="286"/>
      <c r="C334" s="293"/>
      <c r="D334" s="293"/>
      <c r="E334" s="178"/>
      <c r="F334" s="280"/>
      <c r="G334" s="301"/>
      <c r="H334" s="263"/>
      <c r="I334" s="263"/>
      <c r="J334" s="263"/>
      <c r="K334" s="350"/>
      <c r="L334" s="350"/>
      <c r="M334" s="350"/>
      <c r="N334" s="195"/>
      <c r="O334" s="303"/>
      <c r="P334" s="21"/>
      <c r="Q334" s="21"/>
      <c r="R334" s="329"/>
      <c r="S334" s="330"/>
      <c r="T334" s="330"/>
      <c r="U334" s="6"/>
      <c r="V334" s="6"/>
      <c r="W334" s="291"/>
      <c r="X334" s="291"/>
      <c r="Y334" s="316"/>
      <c r="Z334" s="291"/>
      <c r="AA334" s="291"/>
      <c r="AB334" s="291"/>
      <c r="AC334" s="291"/>
      <c r="AD334" s="315"/>
      <c r="AE334" s="315"/>
      <c r="AF334" s="315"/>
      <c r="AG334" s="290"/>
      <c r="AH334" s="291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</row>
    <row r="335" spans="1:1018">
      <c r="A335" s="293"/>
      <c r="B335" s="286"/>
      <c r="C335" s="293"/>
      <c r="D335" s="293"/>
      <c r="E335" s="178"/>
      <c r="F335" s="280"/>
      <c r="G335" s="301"/>
      <c r="H335" s="263"/>
      <c r="I335" s="263"/>
      <c r="J335" s="263"/>
      <c r="K335" s="350"/>
      <c r="L335" s="350"/>
      <c r="M335" s="350"/>
      <c r="N335" s="195"/>
      <c r="O335" s="303"/>
      <c r="P335" s="21"/>
      <c r="Q335" s="21"/>
      <c r="R335" s="329"/>
      <c r="S335" s="330"/>
      <c r="T335" s="330"/>
      <c r="U335" s="6"/>
      <c r="V335" s="6"/>
      <c r="W335" s="291"/>
      <c r="X335" s="291"/>
      <c r="Y335" s="316"/>
      <c r="Z335" s="291"/>
      <c r="AA335" s="291"/>
      <c r="AB335" s="291"/>
      <c r="AC335" s="291"/>
      <c r="AD335" s="315"/>
      <c r="AE335" s="315"/>
      <c r="AF335" s="315"/>
      <c r="AG335" s="290"/>
      <c r="AH335" s="291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</row>
    <row r="336" spans="1:1018">
      <c r="A336" s="134" t="s">
        <v>1101</v>
      </c>
      <c r="B336" s="286"/>
      <c r="C336" s="293"/>
      <c r="D336" s="293"/>
      <c r="E336" s="178"/>
      <c r="F336" s="280"/>
      <c r="G336" s="301"/>
      <c r="H336" s="263"/>
      <c r="I336" s="263"/>
      <c r="J336" s="263"/>
      <c r="K336" s="350"/>
      <c r="L336" s="350"/>
      <c r="M336" s="350"/>
      <c r="N336" s="195"/>
      <c r="O336" s="303"/>
      <c r="P336" s="21"/>
      <c r="Q336" s="21"/>
      <c r="R336" s="329"/>
      <c r="S336" s="330"/>
      <c r="T336" s="330"/>
      <c r="U336" s="6"/>
      <c r="V336" s="6"/>
      <c r="W336" s="291"/>
      <c r="X336" s="291"/>
      <c r="Y336" s="316"/>
      <c r="Z336" s="291"/>
      <c r="AA336" s="291"/>
      <c r="AB336" s="291"/>
      <c r="AC336" s="291"/>
      <c r="AD336" s="315"/>
      <c r="AE336" s="315"/>
      <c r="AF336" s="315"/>
      <c r="AG336" s="290"/>
      <c r="AH336" s="291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</row>
    <row r="337" spans="1:1018">
      <c r="A337" s="530" t="s">
        <v>1102</v>
      </c>
      <c r="B337" s="286" t="s">
        <v>553</v>
      </c>
      <c r="C337" s="282" t="s">
        <v>916</v>
      </c>
      <c r="D337" s="282"/>
      <c r="E337" s="178">
        <f t="shared" ref="E337:E356" si="38">+E336+1</f>
        <v>1</v>
      </c>
      <c r="F337" s="277" t="s">
        <v>1103</v>
      </c>
      <c r="G337" s="301">
        <v>0.1</v>
      </c>
      <c r="H337" s="263">
        <v>10</v>
      </c>
      <c r="I337" s="263"/>
      <c r="J337" s="263"/>
      <c r="K337" s="350">
        <v>4192.6499999999996</v>
      </c>
      <c r="L337" s="350">
        <v>2105</v>
      </c>
      <c r="M337" s="350"/>
      <c r="N337" s="195">
        <f t="shared" ref="N337:N343" si="39">+J337+K337+L337</f>
        <v>6297.65</v>
      </c>
      <c r="O337" s="338" t="s">
        <v>1104</v>
      </c>
      <c r="P337" s="304">
        <v>1920</v>
      </c>
      <c r="Q337" s="304">
        <v>300</v>
      </c>
      <c r="R337" s="305">
        <v>3009</v>
      </c>
      <c r="S337" s="306">
        <v>5285</v>
      </c>
      <c r="T337" s="306"/>
      <c r="U337" s="9">
        <v>370</v>
      </c>
      <c r="V337" s="9"/>
      <c r="W337" s="291">
        <v>0</v>
      </c>
      <c r="X337" s="291">
        <f>5000+1297.65</f>
        <v>6297.65</v>
      </c>
      <c r="Y337" s="291">
        <f>2105+1597.35+2595.3</f>
        <v>6297.65</v>
      </c>
      <c r="Z337" s="291">
        <v>2034.7</v>
      </c>
      <c r="AA337" s="291"/>
      <c r="AB337" s="291"/>
      <c r="AC337" s="291"/>
      <c r="AD337" s="291"/>
      <c r="AE337" s="291"/>
      <c r="AF337" s="291"/>
      <c r="AG337" s="291"/>
      <c r="AH337" s="291">
        <v>0</v>
      </c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</row>
    <row r="338" spans="1:1018">
      <c r="A338" s="545" t="s">
        <v>1105</v>
      </c>
      <c r="B338" s="286" t="s">
        <v>553</v>
      </c>
      <c r="C338" s="293" t="s">
        <v>410</v>
      </c>
      <c r="D338" s="293"/>
      <c r="E338" s="178">
        <f t="shared" si="38"/>
        <v>2</v>
      </c>
      <c r="F338" s="280" t="s">
        <v>1106</v>
      </c>
      <c r="G338" s="263">
        <v>0.22</v>
      </c>
      <c r="H338" s="263">
        <v>10</v>
      </c>
      <c r="I338" s="263"/>
      <c r="J338" s="263"/>
      <c r="K338" s="350">
        <v>3682.55</v>
      </c>
      <c r="L338" s="350">
        <v>2000</v>
      </c>
      <c r="M338" s="350"/>
      <c r="N338" s="195">
        <f t="shared" si="39"/>
        <v>5682.55</v>
      </c>
      <c r="O338" s="303">
        <v>13333</v>
      </c>
      <c r="P338" s="304">
        <v>1920</v>
      </c>
      <c r="Q338" s="304">
        <v>300</v>
      </c>
      <c r="R338" s="305">
        <v>3034</v>
      </c>
      <c r="S338" s="306">
        <v>5285</v>
      </c>
      <c r="T338" s="306"/>
      <c r="U338" s="9">
        <v>370</v>
      </c>
      <c r="V338" s="9">
        <v>370</v>
      </c>
      <c r="W338" s="291">
        <v>0</v>
      </c>
      <c r="X338" s="291">
        <f>3682.55+2000</f>
        <v>5682.55</v>
      </c>
      <c r="Y338" s="291">
        <f>3682.55+2000</f>
        <v>5682.55</v>
      </c>
      <c r="Z338" s="291">
        <f>3682.55+2000</f>
        <v>5682.55</v>
      </c>
      <c r="AA338" s="291">
        <v>3682.55</v>
      </c>
      <c r="AB338" s="291">
        <v>3682.55</v>
      </c>
      <c r="AC338" s="291">
        <v>3682.55</v>
      </c>
      <c r="AD338" s="291">
        <v>3682.55</v>
      </c>
      <c r="AE338" s="291">
        <v>3682.55</v>
      </c>
      <c r="AF338" s="291">
        <v>3682.55</v>
      </c>
      <c r="AG338" s="291">
        <v>3682.55</v>
      </c>
      <c r="AH338" s="291">
        <v>0</v>
      </c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</row>
    <row r="339" spans="1:1018">
      <c r="A339" s="530" t="s">
        <v>1107</v>
      </c>
      <c r="B339" s="286" t="s">
        <v>553</v>
      </c>
      <c r="C339" s="282" t="s">
        <v>1108</v>
      </c>
      <c r="D339" s="282"/>
      <c r="E339" s="178">
        <f t="shared" si="38"/>
        <v>3</v>
      </c>
      <c r="F339" s="277" t="s">
        <v>1109</v>
      </c>
      <c r="G339" s="301">
        <v>0.15</v>
      </c>
      <c r="H339" s="263">
        <v>10</v>
      </c>
      <c r="I339" s="263"/>
      <c r="J339" s="263"/>
      <c r="K339" s="350">
        <v>3959.73</v>
      </c>
      <c r="L339" s="350">
        <v>1925</v>
      </c>
      <c r="M339" s="350"/>
      <c r="N339" s="195">
        <f t="shared" si="39"/>
        <v>5884.73</v>
      </c>
      <c r="O339" s="303"/>
      <c r="P339" s="304"/>
      <c r="Q339" s="304"/>
      <c r="R339" s="305">
        <v>2983</v>
      </c>
      <c r="S339" s="306">
        <v>5285</v>
      </c>
      <c r="T339" s="306"/>
      <c r="U339" s="9">
        <v>370</v>
      </c>
      <c r="V339" s="9">
        <v>370</v>
      </c>
      <c r="W339" s="291">
        <v>0</v>
      </c>
      <c r="X339" s="290">
        <v>5884.73</v>
      </c>
      <c r="Y339" s="290">
        <v>5884.73</v>
      </c>
      <c r="Z339" s="290">
        <f>24.23+5627.66</f>
        <v>5651.8899999999994</v>
      </c>
      <c r="AA339" s="290" t="s">
        <v>1110</v>
      </c>
      <c r="AB339" s="290"/>
      <c r="AC339" s="290"/>
      <c r="AD339" s="290"/>
      <c r="AE339" s="290"/>
      <c r="AF339" s="290"/>
      <c r="AG339" s="355"/>
      <c r="AH339" s="291">
        <v>0</v>
      </c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</row>
    <row r="340" spans="1:1018">
      <c r="A340" s="421" t="s">
        <v>1111</v>
      </c>
      <c r="B340" s="286" t="s">
        <v>553</v>
      </c>
      <c r="C340" s="282"/>
      <c r="D340" s="282"/>
      <c r="E340" s="178">
        <f t="shared" si="38"/>
        <v>4</v>
      </c>
      <c r="F340" s="277" t="s">
        <v>1112</v>
      </c>
      <c r="G340" s="301">
        <v>0.15</v>
      </c>
      <c r="H340" s="263">
        <v>10</v>
      </c>
      <c r="I340" s="263"/>
      <c r="J340" s="263"/>
      <c r="K340" s="350">
        <v>3959.73</v>
      </c>
      <c r="L340" s="350"/>
      <c r="M340" s="350"/>
      <c r="N340" s="195">
        <f t="shared" si="39"/>
        <v>3959.73</v>
      </c>
      <c r="O340" s="303">
        <v>13227</v>
      </c>
      <c r="P340" s="304">
        <v>1920</v>
      </c>
      <c r="Q340" s="304">
        <v>300</v>
      </c>
      <c r="R340" s="305">
        <v>3046</v>
      </c>
      <c r="S340" s="306">
        <v>5285</v>
      </c>
      <c r="T340" s="306"/>
      <c r="U340" s="9">
        <v>370</v>
      </c>
      <c r="V340" s="9">
        <v>370</v>
      </c>
      <c r="W340" s="291">
        <v>0</v>
      </c>
      <c r="X340" s="561">
        <v>3959.73</v>
      </c>
      <c r="Y340" s="315">
        <v>3959.73</v>
      </c>
      <c r="Z340" s="315">
        <v>3959.73</v>
      </c>
      <c r="AA340" s="290"/>
      <c r="AB340" s="290"/>
      <c r="AC340" s="307"/>
      <c r="AD340" s="289"/>
      <c r="AE340" s="289"/>
      <c r="AF340" s="307"/>
      <c r="AG340" s="291"/>
      <c r="AH340" s="291">
        <v>0</v>
      </c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</row>
    <row r="341" spans="1:1018">
      <c r="A341" s="547" t="s">
        <v>276</v>
      </c>
      <c r="B341" s="286" t="s">
        <v>553</v>
      </c>
      <c r="C341" s="282" t="s">
        <v>1113</v>
      </c>
      <c r="D341" s="282"/>
      <c r="E341" s="178">
        <f t="shared" si="38"/>
        <v>5</v>
      </c>
      <c r="F341" s="277" t="s">
        <v>1114</v>
      </c>
      <c r="G341" s="301">
        <v>0.1</v>
      </c>
      <c r="H341" s="263">
        <v>10</v>
      </c>
      <c r="I341" s="263"/>
      <c r="J341" s="263"/>
      <c r="K341" s="350">
        <v>4192.6499999999996</v>
      </c>
      <c r="L341" s="350">
        <v>2105</v>
      </c>
      <c r="M341" s="350"/>
      <c r="N341" s="195">
        <f t="shared" si="39"/>
        <v>6297.65</v>
      </c>
      <c r="O341" s="303">
        <v>13442</v>
      </c>
      <c r="P341" s="304">
        <v>1920</v>
      </c>
      <c r="Q341" s="304">
        <v>300</v>
      </c>
      <c r="R341" s="305" t="s">
        <v>1115</v>
      </c>
      <c r="S341" s="306">
        <f>2500+2780</f>
        <v>5280</v>
      </c>
      <c r="T341" s="306"/>
      <c r="U341" s="585">
        <v>0</v>
      </c>
      <c r="V341" s="585">
        <v>0</v>
      </c>
      <c r="W341" s="291">
        <v>0</v>
      </c>
      <c r="X341" s="290">
        <v>6298</v>
      </c>
      <c r="Y341" s="290">
        <v>6298</v>
      </c>
      <c r="Z341" s="290">
        <v>6298</v>
      </c>
      <c r="AA341" s="308"/>
      <c r="AB341" s="290"/>
      <c r="AC341" s="290"/>
      <c r="AD341" s="291"/>
      <c r="AE341" s="291"/>
      <c r="AF341" s="291"/>
      <c r="AG341" s="290"/>
      <c r="AH341" s="291">
        <v>0</v>
      </c>
      <c r="AI341" t="s">
        <v>278</v>
      </c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</row>
    <row r="342" spans="1:1018">
      <c r="A342" s="357" t="s">
        <v>279</v>
      </c>
      <c r="B342" s="286" t="s">
        <v>553</v>
      </c>
      <c r="C342" s="293"/>
      <c r="D342" s="293"/>
      <c r="E342" s="178">
        <f t="shared" si="38"/>
        <v>6</v>
      </c>
      <c r="F342" s="351" t="s">
        <v>1116</v>
      </c>
      <c r="G342" s="301">
        <v>0.1</v>
      </c>
      <c r="H342" s="263">
        <v>10</v>
      </c>
      <c r="I342" s="263"/>
      <c r="J342" s="263"/>
      <c r="K342" s="350">
        <v>4192.6499999999996</v>
      </c>
      <c r="L342" s="350"/>
      <c r="M342" s="350"/>
      <c r="N342" s="195">
        <f t="shared" si="39"/>
        <v>4192.6499999999996</v>
      </c>
      <c r="O342" s="303">
        <v>13293</v>
      </c>
      <c r="P342" s="304">
        <v>1920</v>
      </c>
      <c r="Q342" s="304">
        <v>300</v>
      </c>
      <c r="R342" s="305">
        <v>2723</v>
      </c>
      <c r="S342" s="306">
        <v>5285</v>
      </c>
      <c r="T342" s="306"/>
      <c r="U342" s="9">
        <v>370</v>
      </c>
      <c r="V342" s="9">
        <v>370</v>
      </c>
      <c r="W342" s="291">
        <v>0</v>
      </c>
      <c r="X342" s="316">
        <v>4192.6499999999996</v>
      </c>
      <c r="Y342" s="315">
        <v>4192.6499999999996</v>
      </c>
      <c r="Z342" s="315">
        <v>4192.6499999999996</v>
      </c>
      <c r="AA342" s="315"/>
      <c r="AB342" s="315"/>
      <c r="AC342" s="315"/>
      <c r="AD342" s="315"/>
      <c r="AE342" s="315"/>
      <c r="AF342" s="315"/>
      <c r="AG342" s="315"/>
      <c r="AH342" s="291">
        <v>0</v>
      </c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</row>
    <row r="343" spans="1:1018">
      <c r="A343" s="548" t="s">
        <v>1117</v>
      </c>
      <c r="B343" s="286" t="s">
        <v>553</v>
      </c>
      <c r="C343" s="293" t="s">
        <v>378</v>
      </c>
      <c r="D343" s="293"/>
      <c r="E343" s="178">
        <f t="shared" si="38"/>
        <v>7</v>
      </c>
      <c r="F343" s="351" t="s">
        <v>1118</v>
      </c>
      <c r="G343" s="301">
        <v>0.2</v>
      </c>
      <c r="H343" s="263">
        <v>10</v>
      </c>
      <c r="I343" s="263"/>
      <c r="J343" s="263"/>
      <c r="K343" s="350">
        <v>3726.8</v>
      </c>
      <c r="L343" s="350">
        <v>375</v>
      </c>
      <c r="M343" s="350"/>
      <c r="N343" s="195">
        <f t="shared" si="39"/>
        <v>4101.8</v>
      </c>
      <c r="O343" s="303">
        <v>13419</v>
      </c>
      <c r="P343" s="304">
        <v>1920</v>
      </c>
      <c r="Q343" s="304">
        <v>300</v>
      </c>
      <c r="R343" s="305">
        <v>3496</v>
      </c>
      <c r="S343" s="306">
        <v>5285</v>
      </c>
      <c r="T343" s="306"/>
      <c r="U343" s="9"/>
      <c r="V343" s="9"/>
      <c r="W343" s="291">
        <v>0</v>
      </c>
      <c r="X343" s="291">
        <v>4306.8900000000003</v>
      </c>
      <c r="Y343" s="291">
        <v>4101.8</v>
      </c>
      <c r="Z343" s="291"/>
      <c r="AA343" s="289"/>
      <c r="AB343" s="291"/>
      <c r="AC343" s="291"/>
      <c r="AD343" s="307"/>
      <c r="AE343" s="307"/>
      <c r="AF343" s="307"/>
      <c r="AG343" s="291"/>
      <c r="AH343" s="291">
        <v>0</v>
      </c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</row>
    <row r="344" spans="1:1018" ht="15.75" customHeight="1">
      <c r="A344" s="548" t="s">
        <v>1119</v>
      </c>
      <c r="B344" s="286" t="s">
        <v>553</v>
      </c>
      <c r="C344" s="293"/>
      <c r="D344" s="293"/>
      <c r="E344" s="178">
        <f t="shared" si="38"/>
        <v>8</v>
      </c>
      <c r="F344" s="351" t="s">
        <v>1120</v>
      </c>
      <c r="G344" s="301"/>
      <c r="H344" s="263"/>
      <c r="I344" s="263"/>
      <c r="J344" s="263"/>
      <c r="K344" s="350"/>
      <c r="L344" s="350">
        <v>2000</v>
      </c>
      <c r="M344" s="350"/>
      <c r="N344" s="195"/>
      <c r="O344" s="303">
        <v>13909</v>
      </c>
      <c r="P344" s="21"/>
      <c r="Q344" s="304">
        <v>300</v>
      </c>
      <c r="R344" s="329" t="s">
        <v>488</v>
      </c>
      <c r="S344" s="330"/>
      <c r="T344" s="330"/>
      <c r="U344" s="6"/>
      <c r="V344" s="6"/>
      <c r="W344" s="291"/>
      <c r="X344" s="291" t="s">
        <v>1121</v>
      </c>
      <c r="Y344" s="316"/>
      <c r="Z344" s="291"/>
      <c r="AA344" s="291"/>
      <c r="AB344" s="291"/>
      <c r="AC344" s="291"/>
      <c r="AD344" s="315"/>
      <c r="AE344" s="315"/>
      <c r="AF344" s="315"/>
      <c r="AG344" s="290"/>
      <c r="AH344" s="291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</row>
    <row r="345" spans="1:1018">
      <c r="A345" s="548" t="s">
        <v>1122</v>
      </c>
      <c r="B345" s="286" t="s">
        <v>553</v>
      </c>
      <c r="C345" s="293" t="s">
        <v>347</v>
      </c>
      <c r="D345" s="293"/>
      <c r="E345" s="178">
        <f t="shared" si="38"/>
        <v>9</v>
      </c>
      <c r="F345" s="351" t="s">
        <v>1123</v>
      </c>
      <c r="G345" s="301"/>
      <c r="H345" s="263">
        <v>10</v>
      </c>
      <c r="I345" s="263"/>
      <c r="J345" s="263"/>
      <c r="K345" s="350">
        <v>4658.5</v>
      </c>
      <c r="L345" s="350">
        <v>2105</v>
      </c>
      <c r="M345" s="350"/>
      <c r="N345" s="195">
        <f t="shared" ref="N345:N356" si="40">+J345+K345+L345</f>
        <v>6763.5</v>
      </c>
      <c r="O345" s="303">
        <v>13292</v>
      </c>
      <c r="P345" s="304">
        <v>1920</v>
      </c>
      <c r="Q345" s="304">
        <v>300</v>
      </c>
      <c r="R345" s="305">
        <v>2970</v>
      </c>
      <c r="S345" s="306">
        <v>5285</v>
      </c>
      <c r="T345" s="306"/>
      <c r="U345" s="9">
        <v>370</v>
      </c>
      <c r="V345" s="9">
        <v>370</v>
      </c>
      <c r="W345" s="291">
        <v>0</v>
      </c>
      <c r="X345" s="315">
        <v>6763.5</v>
      </c>
      <c r="Y345" s="316">
        <v>6763.5</v>
      </c>
      <c r="Z345" s="315">
        <v>6763.5</v>
      </c>
      <c r="AA345" s="315">
        <v>370</v>
      </c>
      <c r="AB345" s="315"/>
      <c r="AC345" s="315"/>
      <c r="AD345" s="315"/>
      <c r="AE345" s="315"/>
      <c r="AF345" s="315"/>
      <c r="AG345" s="291"/>
      <c r="AH345" s="291">
        <v>0</v>
      </c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</row>
    <row r="346" spans="1:1018">
      <c r="A346" s="509" t="s">
        <v>272</v>
      </c>
      <c r="B346" s="286" t="s">
        <v>553</v>
      </c>
      <c r="C346" s="293"/>
      <c r="D346" s="293"/>
      <c r="E346" s="178">
        <f t="shared" si="38"/>
        <v>10</v>
      </c>
      <c r="F346" s="358" t="s">
        <v>1124</v>
      </c>
      <c r="G346" s="313"/>
      <c r="H346" s="206">
        <v>9</v>
      </c>
      <c r="I346" s="206"/>
      <c r="J346" s="263"/>
      <c r="K346" s="350">
        <v>1035</v>
      </c>
      <c r="L346" s="350"/>
      <c r="M346" s="350"/>
      <c r="N346" s="195">
        <f t="shared" si="40"/>
        <v>1035</v>
      </c>
      <c r="O346" s="303">
        <v>13492</v>
      </c>
      <c r="P346" s="304">
        <v>1920</v>
      </c>
      <c r="Q346" s="304">
        <v>300</v>
      </c>
      <c r="R346" s="305">
        <v>2673</v>
      </c>
      <c r="S346" s="306">
        <v>5285</v>
      </c>
      <c r="T346" s="306"/>
      <c r="U346" s="9"/>
      <c r="V346" s="9"/>
      <c r="W346" s="291">
        <v>0</v>
      </c>
      <c r="X346" s="291">
        <v>1035</v>
      </c>
      <c r="Y346" s="291">
        <v>1035</v>
      </c>
      <c r="Z346" s="291">
        <v>1035</v>
      </c>
      <c r="AA346" s="291">
        <v>1035</v>
      </c>
      <c r="AB346" s="291"/>
      <c r="AC346" s="291"/>
      <c r="AD346" s="315"/>
      <c r="AE346" s="291"/>
      <c r="AF346" s="291"/>
      <c r="AG346" s="291"/>
      <c r="AH346" s="291">
        <v>0</v>
      </c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</row>
    <row r="347" spans="1:1018">
      <c r="A347" s="293" t="s">
        <v>280</v>
      </c>
      <c r="B347" s="286" t="s">
        <v>553</v>
      </c>
      <c r="C347" s="293"/>
      <c r="D347" s="293"/>
      <c r="E347" s="178">
        <f t="shared" si="38"/>
        <v>11</v>
      </c>
      <c r="F347" s="280" t="s">
        <v>1125</v>
      </c>
      <c r="G347" s="282">
        <v>0.1</v>
      </c>
      <c r="H347" s="282">
        <v>10</v>
      </c>
      <c r="I347" s="282"/>
      <c r="J347" s="254"/>
      <c r="K347" s="350">
        <v>4192.6499999999996</v>
      </c>
      <c r="L347" s="350"/>
      <c r="M347" s="350"/>
      <c r="N347" s="195">
        <f t="shared" si="40"/>
        <v>4192.6499999999996</v>
      </c>
      <c r="O347" s="303">
        <v>13177</v>
      </c>
      <c r="P347" s="304">
        <v>1920</v>
      </c>
      <c r="Q347" s="304">
        <v>300</v>
      </c>
      <c r="R347" s="305">
        <v>2866</v>
      </c>
      <c r="S347" s="306">
        <v>5285</v>
      </c>
      <c r="T347" s="306"/>
      <c r="U347" s="9">
        <v>370</v>
      </c>
      <c r="V347" s="9">
        <v>370</v>
      </c>
      <c r="W347" s="291">
        <v>0</v>
      </c>
      <c r="X347" s="291">
        <v>4190.6499999999996</v>
      </c>
      <c r="Y347" s="290">
        <v>4190.6499999999996</v>
      </c>
      <c r="Z347" s="289">
        <f>117.5+3580</f>
        <v>3697.5</v>
      </c>
      <c r="AA347" s="290"/>
      <c r="AB347" s="290"/>
      <c r="AC347" s="290"/>
      <c r="AD347" s="290"/>
      <c r="AE347" s="290"/>
      <c r="AF347" s="290"/>
      <c r="AG347" s="291"/>
      <c r="AH347" s="291">
        <v>0</v>
      </c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</row>
    <row r="348" spans="1:1018">
      <c r="A348" s="550" t="s">
        <v>1126</v>
      </c>
      <c r="B348" s="286" t="s">
        <v>553</v>
      </c>
      <c r="C348" s="293"/>
      <c r="D348" s="293"/>
      <c r="E348" s="178">
        <f t="shared" si="38"/>
        <v>12</v>
      </c>
      <c r="F348" s="280" t="s">
        <v>1127</v>
      </c>
      <c r="G348" s="281">
        <v>0.15</v>
      </c>
      <c r="H348" s="282">
        <v>10</v>
      </c>
      <c r="I348" s="282"/>
      <c r="J348" s="254"/>
      <c r="K348" s="350">
        <v>3959.73</v>
      </c>
      <c r="L348" s="572"/>
      <c r="M348" s="350"/>
      <c r="N348" s="195">
        <f t="shared" si="40"/>
        <v>3959.73</v>
      </c>
      <c r="O348" s="303">
        <v>13813</v>
      </c>
      <c r="P348" s="304">
        <f>1620+300</f>
        <v>1920</v>
      </c>
      <c r="Q348" s="304">
        <v>300</v>
      </c>
      <c r="R348" s="305">
        <v>2953</v>
      </c>
      <c r="S348" s="306">
        <v>5285</v>
      </c>
      <c r="T348" s="306"/>
      <c r="U348" s="9">
        <v>370</v>
      </c>
      <c r="V348" s="9"/>
      <c r="W348" s="291">
        <v>0</v>
      </c>
      <c r="X348" s="289">
        <v>3682.55</v>
      </c>
      <c r="Y348" s="289">
        <v>3682.55</v>
      </c>
      <c r="Z348" s="289">
        <v>3682.55</v>
      </c>
      <c r="AA348" s="289">
        <v>3682.55</v>
      </c>
      <c r="AB348" s="289">
        <v>3682.55</v>
      </c>
      <c r="AC348" s="289">
        <v>3682.55</v>
      </c>
      <c r="AD348" s="289">
        <v>3682.55</v>
      </c>
      <c r="AE348" s="290"/>
      <c r="AF348" s="290"/>
      <c r="AG348" s="290"/>
      <c r="AH348" s="291">
        <v>0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</row>
    <row r="349" spans="1:1018">
      <c r="A349" s="50" t="s">
        <v>1128</v>
      </c>
      <c r="B349" s="286" t="s">
        <v>553</v>
      </c>
      <c r="C349" s="293" t="s">
        <v>1129</v>
      </c>
      <c r="D349" s="293"/>
      <c r="E349" s="178">
        <f t="shared" si="38"/>
        <v>13</v>
      </c>
      <c r="F349" s="280" t="s">
        <v>1130</v>
      </c>
      <c r="G349" s="301">
        <v>0.1</v>
      </c>
      <c r="H349" s="263">
        <v>10</v>
      </c>
      <c r="I349" s="263"/>
      <c r="J349" s="263"/>
      <c r="K349" s="350">
        <v>4192.6499999999996</v>
      </c>
      <c r="L349" s="350">
        <v>2105</v>
      </c>
      <c r="M349" s="350"/>
      <c r="N349" s="195">
        <f t="shared" si="40"/>
        <v>6297.65</v>
      </c>
      <c r="O349" s="303">
        <v>13707</v>
      </c>
      <c r="P349" s="304">
        <f>2184.13+695.87</f>
        <v>2880</v>
      </c>
      <c r="Q349" s="304">
        <v>300</v>
      </c>
      <c r="R349" s="305">
        <v>3407</v>
      </c>
      <c r="S349" s="306">
        <f>2700+2585</f>
        <v>5285</v>
      </c>
      <c r="T349" s="306"/>
      <c r="U349" s="9">
        <v>370</v>
      </c>
      <c r="V349" s="9">
        <v>370</v>
      </c>
      <c r="W349" s="290">
        <v>0</v>
      </c>
      <c r="X349" s="578">
        <v>6612.53</v>
      </c>
      <c r="Y349" s="289">
        <f>17.46+5000</f>
        <v>5017.46</v>
      </c>
      <c r="Z349" s="290"/>
      <c r="AA349" s="290"/>
      <c r="AB349" s="290"/>
      <c r="AC349" s="290"/>
      <c r="AD349" s="290"/>
      <c r="AE349" s="290"/>
      <c r="AF349" s="291"/>
      <c r="AG349" s="291"/>
      <c r="AH349" s="291">
        <v>0</v>
      </c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</row>
    <row r="350" spans="1:1018">
      <c r="A350" s="293" t="s">
        <v>1131</v>
      </c>
      <c r="B350" s="286" t="s">
        <v>553</v>
      </c>
      <c r="C350" s="293"/>
      <c r="D350" s="293"/>
      <c r="E350" s="178">
        <f t="shared" si="38"/>
        <v>14</v>
      </c>
      <c r="F350" s="280" t="s">
        <v>1132</v>
      </c>
      <c r="G350" s="301">
        <v>0.15</v>
      </c>
      <c r="H350" s="263">
        <v>10</v>
      </c>
      <c r="I350" s="263"/>
      <c r="J350" s="263"/>
      <c r="K350" s="350">
        <v>3959.73</v>
      </c>
      <c r="L350" s="350"/>
      <c r="M350" s="350"/>
      <c r="N350" s="195">
        <f t="shared" si="40"/>
        <v>3959.73</v>
      </c>
      <c r="O350" s="303">
        <v>13498</v>
      </c>
      <c r="P350" s="304">
        <v>1920</v>
      </c>
      <c r="Q350" s="304">
        <v>300</v>
      </c>
      <c r="R350" s="305">
        <v>2888</v>
      </c>
      <c r="S350" s="306">
        <v>5285</v>
      </c>
      <c r="T350" s="306"/>
      <c r="U350" s="9">
        <v>370</v>
      </c>
      <c r="V350" s="9"/>
      <c r="W350" s="291">
        <v>0</v>
      </c>
      <c r="X350" s="289">
        <v>3682.55</v>
      </c>
      <c r="Y350" s="289">
        <v>3682.55</v>
      </c>
      <c r="Z350" s="289">
        <v>3682.55</v>
      </c>
      <c r="AA350" s="289">
        <v>3682.55</v>
      </c>
      <c r="AB350" s="289">
        <v>3682.55</v>
      </c>
      <c r="AC350" s="289">
        <v>3682.55</v>
      </c>
      <c r="AD350" s="289">
        <v>3682.55</v>
      </c>
      <c r="AE350" s="290"/>
      <c r="AF350" s="290"/>
      <c r="AG350" s="290"/>
      <c r="AH350" s="291">
        <v>0</v>
      </c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</row>
    <row r="351" spans="1:1018">
      <c r="A351" s="293" t="s">
        <v>1133</v>
      </c>
      <c r="B351" s="286" t="s">
        <v>553</v>
      </c>
      <c r="C351" s="293"/>
      <c r="D351" s="311"/>
      <c r="E351" s="178">
        <f t="shared" si="38"/>
        <v>15</v>
      </c>
      <c r="F351" s="312" t="s">
        <v>1134</v>
      </c>
      <c r="G351" s="313"/>
      <c r="H351" s="206">
        <v>10</v>
      </c>
      <c r="I351" s="206"/>
      <c r="J351" s="206"/>
      <c r="K351" s="359">
        <v>931.7</v>
      </c>
      <c r="L351" s="359"/>
      <c r="M351" s="350"/>
      <c r="N351" s="195">
        <f t="shared" si="40"/>
        <v>931.7</v>
      </c>
      <c r="O351" s="303">
        <v>13341</v>
      </c>
      <c r="P351" s="304">
        <v>1920</v>
      </c>
      <c r="Q351" s="304">
        <v>300</v>
      </c>
      <c r="R351" s="305">
        <v>3237</v>
      </c>
      <c r="S351" s="306"/>
      <c r="T351" s="306" t="s">
        <v>1135</v>
      </c>
      <c r="U351" s="585">
        <v>0</v>
      </c>
      <c r="V351" s="585">
        <v>0</v>
      </c>
      <c r="W351" s="291">
        <v>0</v>
      </c>
      <c r="X351" s="291">
        <v>931.7</v>
      </c>
      <c r="Y351" s="291"/>
      <c r="Z351" s="291">
        <v>931.7</v>
      </c>
      <c r="AA351" s="291"/>
      <c r="AB351" s="291"/>
      <c r="AC351" s="291"/>
      <c r="AD351" s="315"/>
      <c r="AE351" s="291"/>
      <c r="AF351" s="291"/>
      <c r="AG351" s="291"/>
      <c r="AH351" s="29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</row>
    <row r="352" spans="1:1018">
      <c r="A352" s="293" t="s">
        <v>281</v>
      </c>
      <c r="B352" s="286" t="s">
        <v>553</v>
      </c>
      <c r="C352" s="293"/>
      <c r="D352" s="293"/>
      <c r="E352" s="178">
        <f t="shared" si="38"/>
        <v>16</v>
      </c>
      <c r="F352" s="280" t="s">
        <v>1136</v>
      </c>
      <c r="G352" s="281">
        <v>0.2</v>
      </c>
      <c r="H352" s="282">
        <v>10</v>
      </c>
      <c r="I352" s="282"/>
      <c r="J352" s="282"/>
      <c r="K352" s="201">
        <v>3726.8</v>
      </c>
      <c r="L352" s="201"/>
      <c r="M352" s="360"/>
      <c r="N352" s="195">
        <f t="shared" si="40"/>
        <v>3726.8</v>
      </c>
      <c r="O352" s="303">
        <v>13615</v>
      </c>
      <c r="P352" s="304">
        <v>1920</v>
      </c>
      <c r="Q352" s="304">
        <v>300</v>
      </c>
      <c r="R352" s="305">
        <v>2818</v>
      </c>
      <c r="S352" s="306">
        <v>5285</v>
      </c>
      <c r="T352" s="306" t="s">
        <v>1137</v>
      </c>
      <c r="U352" s="9">
        <v>370</v>
      </c>
      <c r="V352" s="9">
        <v>370</v>
      </c>
      <c r="W352" s="291">
        <v>0</v>
      </c>
      <c r="X352" s="291">
        <v>3959.73</v>
      </c>
      <c r="Y352" s="291">
        <v>3726.8</v>
      </c>
      <c r="Z352" s="291">
        <v>3726.8</v>
      </c>
      <c r="AA352" s="291"/>
      <c r="AB352" s="291"/>
      <c r="AC352" s="291"/>
      <c r="AD352" s="291"/>
      <c r="AE352" s="291"/>
      <c r="AF352" s="291"/>
      <c r="AG352" s="291"/>
      <c r="AH352" s="291">
        <v>0</v>
      </c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</row>
    <row r="353" spans="1:1018">
      <c r="A353" s="293" t="s">
        <v>1138</v>
      </c>
      <c r="B353" s="286" t="s">
        <v>553</v>
      </c>
      <c r="C353" s="293"/>
      <c r="D353" s="293"/>
      <c r="E353" s="178">
        <f t="shared" si="38"/>
        <v>17</v>
      </c>
      <c r="F353" s="280" t="s">
        <v>1139</v>
      </c>
      <c r="G353" s="281">
        <v>0.1</v>
      </c>
      <c r="H353" s="282">
        <v>10</v>
      </c>
      <c r="I353" s="282"/>
      <c r="J353" s="282"/>
      <c r="K353" s="201">
        <v>4192.6499999999996</v>
      </c>
      <c r="L353" s="201"/>
      <c r="M353" s="361"/>
      <c r="N353" s="195">
        <f t="shared" si="40"/>
        <v>4192.6499999999996</v>
      </c>
      <c r="O353" s="303">
        <v>13328</v>
      </c>
      <c r="P353" s="304">
        <v>1920</v>
      </c>
      <c r="Q353" s="304">
        <v>300</v>
      </c>
      <c r="R353" s="305">
        <v>2883</v>
      </c>
      <c r="S353" s="306">
        <v>5285</v>
      </c>
      <c r="T353" s="306"/>
      <c r="U353" s="9"/>
      <c r="V353" s="9"/>
      <c r="W353" s="291">
        <v>0</v>
      </c>
      <c r="X353" s="291">
        <v>3983.01</v>
      </c>
      <c r="Y353" s="291">
        <v>3983.01</v>
      </c>
      <c r="Z353" s="291">
        <v>3983.01</v>
      </c>
      <c r="AA353" s="291">
        <v>3983.01</v>
      </c>
      <c r="AB353" s="291">
        <v>3983.01</v>
      </c>
      <c r="AC353" s="291"/>
      <c r="AD353" s="291"/>
      <c r="AE353" s="291"/>
      <c r="AF353" s="291"/>
      <c r="AG353" s="291"/>
      <c r="AH353" s="291">
        <v>0</v>
      </c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</row>
    <row r="354" spans="1:1018">
      <c r="A354" s="545" t="s">
        <v>1140</v>
      </c>
      <c r="B354" s="286" t="s">
        <v>553</v>
      </c>
      <c r="C354" s="293" t="s">
        <v>1042</v>
      </c>
      <c r="D354" s="293"/>
      <c r="E354" s="178">
        <f t="shared" si="38"/>
        <v>18</v>
      </c>
      <c r="F354" s="280" t="s">
        <v>1141</v>
      </c>
      <c r="G354" s="301">
        <v>0.1</v>
      </c>
      <c r="H354" s="263">
        <v>11</v>
      </c>
      <c r="I354" s="263"/>
      <c r="J354" s="263">
        <v>4235</v>
      </c>
      <c r="K354" s="350"/>
      <c r="L354" s="350">
        <v>1900</v>
      </c>
      <c r="M354" s="350"/>
      <c r="N354" s="195">
        <f t="shared" si="40"/>
        <v>6135</v>
      </c>
      <c r="O354" s="303">
        <v>13405</v>
      </c>
      <c r="P354" s="304">
        <v>1920</v>
      </c>
      <c r="Q354" s="304">
        <v>300</v>
      </c>
      <c r="R354" s="305">
        <v>3099</v>
      </c>
      <c r="S354" s="306">
        <v>5285</v>
      </c>
      <c r="T354" s="306"/>
      <c r="U354" s="585">
        <v>0</v>
      </c>
      <c r="V354" s="585">
        <v>0</v>
      </c>
      <c r="W354" s="289">
        <v>4235</v>
      </c>
      <c r="X354" s="290">
        <f>1900+4235</f>
        <v>6135</v>
      </c>
      <c r="Y354" s="290">
        <f>4235+1900</f>
        <v>6135</v>
      </c>
      <c r="Z354" s="290">
        <f>4235+2000</f>
        <v>6235</v>
      </c>
      <c r="AA354" s="290"/>
      <c r="AB354" s="290"/>
      <c r="AC354" s="290"/>
      <c r="AD354" s="290"/>
      <c r="AE354" s="290"/>
      <c r="AF354" s="290"/>
      <c r="AG354" s="291"/>
      <c r="AH354" s="291">
        <v>0</v>
      </c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</row>
    <row r="355" spans="1:1018">
      <c r="A355" s="530" t="s">
        <v>1142</v>
      </c>
      <c r="B355" s="286" t="s">
        <v>553</v>
      </c>
      <c r="C355" s="282" t="s">
        <v>971</v>
      </c>
      <c r="D355" s="282"/>
      <c r="E355" s="178">
        <f t="shared" si="38"/>
        <v>19</v>
      </c>
      <c r="F355" s="277" t="s">
        <v>1143</v>
      </c>
      <c r="G355" s="281">
        <v>0.15</v>
      </c>
      <c r="H355" s="282">
        <v>10</v>
      </c>
      <c r="I355" s="282"/>
      <c r="J355" s="282"/>
      <c r="K355" s="201">
        <v>3959.73</v>
      </c>
      <c r="L355" s="201">
        <v>2000</v>
      </c>
      <c r="M355" s="361"/>
      <c r="N355" s="252">
        <f t="shared" si="40"/>
        <v>5959.73</v>
      </c>
      <c r="O355" s="303">
        <v>13377</v>
      </c>
      <c r="P355" s="304">
        <v>1920</v>
      </c>
      <c r="Q355" s="304">
        <v>300</v>
      </c>
      <c r="R355" s="305">
        <v>3006</v>
      </c>
      <c r="S355" s="306">
        <v>5285</v>
      </c>
      <c r="T355" s="306"/>
      <c r="U355" s="9">
        <v>370</v>
      </c>
      <c r="V355" s="9">
        <v>370</v>
      </c>
      <c r="W355" s="291">
        <v>0</v>
      </c>
      <c r="X355" s="289">
        <v>5959.73</v>
      </c>
      <c r="Y355" s="289">
        <v>5959.73</v>
      </c>
      <c r="Z355" s="289">
        <v>5959.73</v>
      </c>
      <c r="AA355" s="289">
        <v>5959.73</v>
      </c>
      <c r="AB355" s="307"/>
      <c r="AC355" s="307"/>
      <c r="AD355" s="289"/>
      <c r="AE355" s="289"/>
      <c r="AF355" s="307"/>
      <c r="AG355" s="291"/>
      <c r="AH355" s="291">
        <v>0</v>
      </c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</row>
    <row r="356" spans="1:1018">
      <c r="A356" s="545" t="s">
        <v>1144</v>
      </c>
      <c r="B356" s="286" t="s">
        <v>553</v>
      </c>
      <c r="C356" s="293" t="s">
        <v>1145</v>
      </c>
      <c r="D356" s="293"/>
      <c r="E356" s="178">
        <f t="shared" si="38"/>
        <v>20</v>
      </c>
      <c r="F356" s="280" t="s">
        <v>1146</v>
      </c>
      <c r="G356" s="281"/>
      <c r="H356" s="282">
        <v>10</v>
      </c>
      <c r="I356" s="282"/>
      <c r="J356" s="282"/>
      <c r="K356" s="201">
        <v>4658.5</v>
      </c>
      <c r="L356" s="201">
        <v>2105</v>
      </c>
      <c r="M356" s="361"/>
      <c r="N356" s="252">
        <f t="shared" si="40"/>
        <v>6763.5</v>
      </c>
      <c r="O356" s="303">
        <v>13555</v>
      </c>
      <c r="P356" s="304">
        <f>956+964</f>
        <v>1920</v>
      </c>
      <c r="Q356" s="304">
        <v>300</v>
      </c>
      <c r="R356" s="305">
        <v>3041</v>
      </c>
      <c r="S356" s="306">
        <v>5285</v>
      </c>
      <c r="T356" s="306"/>
      <c r="U356" s="9">
        <v>370</v>
      </c>
      <c r="V356" s="9"/>
      <c r="W356" s="291">
        <v>0</v>
      </c>
      <c r="X356" s="290">
        <v>6763.5</v>
      </c>
      <c r="Y356" s="290">
        <v>6763.5</v>
      </c>
      <c r="Z356" s="290">
        <v>6763.5</v>
      </c>
      <c r="AA356" s="290"/>
      <c r="AB356" s="290"/>
      <c r="AC356" s="290"/>
      <c r="AD356" s="290"/>
      <c r="AE356" s="290"/>
      <c r="AF356" s="290"/>
      <c r="AG356" s="290"/>
      <c r="AH356" s="291">
        <v>0</v>
      </c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</row>
    <row r="357" spans="1:1018">
      <c r="A357" s="293"/>
      <c r="B357" s="286"/>
      <c r="C357" s="293"/>
      <c r="D357" s="293"/>
      <c r="E357" s="178"/>
      <c r="F357" s="280"/>
      <c r="G357" s="281"/>
      <c r="H357" s="282"/>
      <c r="I357" s="282"/>
      <c r="J357" s="282"/>
      <c r="K357" s="201"/>
      <c r="L357" s="201"/>
      <c r="M357" s="361"/>
      <c r="N357" s="252"/>
      <c r="O357" s="303"/>
      <c r="P357" s="21"/>
      <c r="Q357" s="21"/>
      <c r="R357" s="329"/>
      <c r="S357" s="330"/>
      <c r="T357" s="330"/>
      <c r="U357" s="6"/>
      <c r="V357" s="6"/>
      <c r="W357" s="291"/>
      <c r="X357" s="291"/>
      <c r="Y357" s="316"/>
      <c r="Z357" s="291"/>
      <c r="AA357" s="291"/>
      <c r="AB357" s="291"/>
      <c r="AC357" s="291"/>
      <c r="AD357" s="315"/>
      <c r="AE357" s="315"/>
      <c r="AF357" s="315"/>
      <c r="AG357" s="290"/>
      <c r="AH357" s="291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</row>
    <row r="358" spans="1:1018">
      <c r="A358" s="293"/>
      <c r="B358" s="286"/>
      <c r="C358" s="293"/>
      <c r="D358" s="293"/>
      <c r="E358" s="178"/>
      <c r="F358" s="280"/>
      <c r="G358" s="281"/>
      <c r="H358" s="282"/>
      <c r="I358" s="282"/>
      <c r="J358" s="282"/>
      <c r="K358" s="201"/>
      <c r="L358" s="201"/>
      <c r="M358" s="361"/>
      <c r="N358" s="252"/>
      <c r="O358" s="303"/>
      <c r="P358" s="21"/>
      <c r="Q358" s="21"/>
      <c r="R358" s="329"/>
      <c r="S358" s="330"/>
      <c r="T358" s="330"/>
      <c r="U358" s="6"/>
      <c r="V358" s="6"/>
      <c r="W358" s="291"/>
      <c r="X358" s="291"/>
      <c r="Y358" s="316"/>
      <c r="Z358" s="291"/>
      <c r="AA358" s="291"/>
      <c r="AB358" s="291"/>
      <c r="AC358" s="291"/>
      <c r="AD358" s="315"/>
      <c r="AE358" s="315"/>
      <c r="AF358" s="315"/>
      <c r="AG358" s="291"/>
      <c r="AH358" s="291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</row>
    <row r="359" spans="1:1018" s="151" customFormat="1" ht="45">
      <c r="A359" s="187" t="s">
        <v>1147</v>
      </c>
      <c r="B359" s="187"/>
      <c r="C359" s="362" t="s">
        <v>339</v>
      </c>
      <c r="D359" s="362"/>
      <c r="E359" s="187"/>
      <c r="F359" s="363" t="s">
        <v>961</v>
      </c>
      <c r="G359" s="187" t="s">
        <v>426</v>
      </c>
      <c r="H359" s="270" t="s">
        <v>427</v>
      </c>
      <c r="I359" s="271"/>
      <c r="J359" s="235" t="s">
        <v>429</v>
      </c>
      <c r="K359" s="236" t="s">
        <v>441</v>
      </c>
      <c r="L359" s="237"/>
      <c r="M359" s="238" t="s">
        <v>431</v>
      </c>
      <c r="N359" s="239" t="s">
        <v>432</v>
      </c>
      <c r="O359" s="364"/>
      <c r="P359" s="145"/>
      <c r="Q359" s="145"/>
      <c r="R359" s="146"/>
      <c r="S359" s="147"/>
      <c r="T359" s="147"/>
      <c r="U359" s="148"/>
      <c r="V359" s="148"/>
      <c r="W359" s="149" t="s">
        <v>437</v>
      </c>
      <c r="X359" s="149" t="s">
        <v>438</v>
      </c>
      <c r="Y359" s="149" t="s">
        <v>2</v>
      </c>
      <c r="Z359" s="149" t="s">
        <v>4</v>
      </c>
      <c r="AA359" s="149" t="s">
        <v>5</v>
      </c>
      <c r="AB359" s="149" t="s">
        <v>6</v>
      </c>
      <c r="AC359" s="149" t="s">
        <v>7</v>
      </c>
      <c r="AD359" s="149" t="s">
        <v>8</v>
      </c>
      <c r="AE359" s="149" t="s">
        <v>9</v>
      </c>
      <c r="AF359" s="149" t="s">
        <v>10</v>
      </c>
      <c r="AG359" s="149" t="s">
        <v>340</v>
      </c>
      <c r="AH359" s="149" t="s">
        <v>439</v>
      </c>
    </row>
    <row r="360" spans="1:1018">
      <c r="A360" s="545" t="s">
        <v>1148</v>
      </c>
      <c r="B360" s="178" t="s">
        <v>516</v>
      </c>
      <c r="C360" s="293" t="s">
        <v>837</v>
      </c>
      <c r="D360" s="293"/>
      <c r="E360" s="286">
        <v>1</v>
      </c>
      <c r="F360" s="280" t="s">
        <v>1149</v>
      </c>
      <c r="G360" s="263">
        <v>0.15</v>
      </c>
      <c r="H360" s="263">
        <v>10</v>
      </c>
      <c r="I360" s="263"/>
      <c r="J360" s="263"/>
      <c r="K360" s="302">
        <v>4403.8500000000004</v>
      </c>
      <c r="L360" s="302">
        <v>2000</v>
      </c>
      <c r="M360" s="302"/>
      <c r="N360" s="195">
        <f t="shared" ref="N360:N378" si="41">+J360+K360+L360</f>
        <v>6403.85</v>
      </c>
      <c r="O360" s="303">
        <v>13291</v>
      </c>
      <c r="P360" s="304">
        <v>1920</v>
      </c>
      <c r="Q360" s="304">
        <v>300</v>
      </c>
      <c r="R360" s="305">
        <v>2944</v>
      </c>
      <c r="S360" s="306">
        <v>5285</v>
      </c>
      <c r="T360" s="306"/>
      <c r="U360" s="9">
        <v>370</v>
      </c>
      <c r="V360" s="9"/>
      <c r="W360" s="291">
        <v>0</v>
      </c>
      <c r="X360" s="316">
        <v>6403.85</v>
      </c>
      <c r="Y360" s="316">
        <v>6403.85</v>
      </c>
      <c r="Z360" s="315">
        <v>6773.85</v>
      </c>
      <c r="AA360" s="315"/>
      <c r="AB360" s="315"/>
      <c r="AC360" s="315"/>
      <c r="AD360" s="315"/>
      <c r="AE360" s="315"/>
      <c r="AF360" s="315"/>
      <c r="AG360" s="291"/>
      <c r="AH360" s="291">
        <v>0</v>
      </c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</row>
    <row r="361" spans="1:1018">
      <c r="A361" s="545" t="s">
        <v>1150</v>
      </c>
      <c r="B361" s="178" t="s">
        <v>516</v>
      </c>
      <c r="C361" s="293" t="s">
        <v>971</v>
      </c>
      <c r="D361" s="293"/>
      <c r="E361" s="286">
        <f>+E360+1</f>
        <v>2</v>
      </c>
      <c r="F361" s="280" t="s">
        <v>1151</v>
      </c>
      <c r="G361" s="301"/>
      <c r="H361" s="263">
        <v>11</v>
      </c>
      <c r="I361" s="263"/>
      <c r="J361" s="263">
        <v>4710</v>
      </c>
      <c r="K361" s="302"/>
      <c r="L361" s="302">
        <v>2105</v>
      </c>
      <c r="M361" s="310"/>
      <c r="N361" s="195">
        <f t="shared" si="41"/>
        <v>6815</v>
      </c>
      <c r="O361" s="303">
        <v>13575</v>
      </c>
      <c r="P361" s="304">
        <v>2880</v>
      </c>
      <c r="Q361" s="304">
        <v>300</v>
      </c>
      <c r="R361" s="305">
        <v>3093</v>
      </c>
      <c r="S361" s="306">
        <v>5285</v>
      </c>
      <c r="T361" s="306"/>
      <c r="U361" s="9">
        <v>370</v>
      </c>
      <c r="V361" s="9">
        <v>370</v>
      </c>
      <c r="W361" s="291">
        <v>4710</v>
      </c>
      <c r="X361" s="289">
        <v>6815</v>
      </c>
      <c r="Y361" s="289">
        <v>6815</v>
      </c>
      <c r="Z361" s="289">
        <v>6815</v>
      </c>
      <c r="AA361" s="290"/>
      <c r="AB361" s="290"/>
      <c r="AC361" s="290"/>
      <c r="AD361" s="290"/>
      <c r="AE361" s="290"/>
      <c r="AF361" s="291"/>
      <c r="AG361" s="291"/>
      <c r="AH361" s="291">
        <v>0</v>
      </c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</row>
    <row r="362" spans="1:1018">
      <c r="A362" s="293" t="s">
        <v>1152</v>
      </c>
      <c r="B362" s="178" t="s">
        <v>516</v>
      </c>
      <c r="C362" s="293"/>
      <c r="D362" s="293"/>
      <c r="E362" s="286">
        <f>+E361+1</f>
        <v>3</v>
      </c>
      <c r="F362" s="280" t="s">
        <v>1153</v>
      </c>
      <c r="G362" s="301">
        <v>0.15</v>
      </c>
      <c r="H362" s="263">
        <v>10</v>
      </c>
      <c r="I362" s="263"/>
      <c r="J362" s="263"/>
      <c r="K362" s="302">
        <v>4403.8500000000004</v>
      </c>
      <c r="L362" s="302"/>
      <c r="M362" s="302"/>
      <c r="N362" s="195">
        <f t="shared" si="41"/>
        <v>4403.8500000000004</v>
      </c>
      <c r="O362" s="303">
        <v>13401</v>
      </c>
      <c r="P362" s="304">
        <v>1600</v>
      </c>
      <c r="Q362" s="304">
        <v>300</v>
      </c>
      <c r="R362" s="305">
        <v>3422</v>
      </c>
      <c r="S362" s="306">
        <v>5285</v>
      </c>
      <c r="T362" s="306"/>
      <c r="U362" s="9"/>
      <c r="V362" s="9"/>
      <c r="W362" s="291">
        <v>0</v>
      </c>
      <c r="X362" s="291">
        <v>4403.8500000000004</v>
      </c>
      <c r="Y362" s="291">
        <v>4403.8500000000004</v>
      </c>
      <c r="Z362" s="291"/>
      <c r="AA362" s="291"/>
      <c r="AB362" s="291"/>
      <c r="AC362" s="291"/>
      <c r="AD362" s="291"/>
      <c r="AE362" s="308"/>
      <c r="AF362" s="308"/>
      <c r="AG362" s="308"/>
      <c r="AH362" s="291">
        <v>0</v>
      </c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</row>
    <row r="363" spans="1:1018">
      <c r="A363" s="545" t="s">
        <v>1154</v>
      </c>
      <c r="B363" s="178" t="s">
        <v>516</v>
      </c>
      <c r="C363" s="293" t="s">
        <v>378</v>
      </c>
      <c r="D363" s="293"/>
      <c r="E363" s="286">
        <f>+E362+1</f>
        <v>4</v>
      </c>
      <c r="F363" s="280" t="s">
        <v>1155</v>
      </c>
      <c r="G363" s="301"/>
      <c r="H363" s="263">
        <v>11</v>
      </c>
      <c r="I363" s="263"/>
      <c r="J363" s="263"/>
      <c r="K363" s="302">
        <v>4710</v>
      </c>
      <c r="L363" s="302">
        <v>375</v>
      </c>
      <c r="M363" s="302"/>
      <c r="N363" s="195">
        <f t="shared" si="41"/>
        <v>5085</v>
      </c>
      <c r="O363" s="303"/>
      <c r="P363" s="304"/>
      <c r="Q363" s="304"/>
      <c r="R363" s="305" t="s">
        <v>1156</v>
      </c>
      <c r="S363" s="306">
        <f>4200+1085</f>
        <v>5285</v>
      </c>
      <c r="T363" s="306"/>
      <c r="U363" s="9">
        <v>370</v>
      </c>
      <c r="V363" s="9"/>
      <c r="W363" s="290">
        <v>4710</v>
      </c>
      <c r="X363" s="290">
        <f>4700+375</f>
        <v>5075</v>
      </c>
      <c r="Y363" s="290">
        <v>375</v>
      </c>
      <c r="Z363" s="290"/>
      <c r="AA363" s="290"/>
      <c r="AB363" s="290"/>
      <c r="AC363" s="290"/>
      <c r="AD363" s="290"/>
      <c r="AE363" s="309"/>
      <c r="AF363" s="309"/>
      <c r="AG363" s="309"/>
      <c r="AH363" s="291">
        <v>0</v>
      </c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</row>
    <row r="364" spans="1:1018">
      <c r="A364" s="545" t="s">
        <v>1157</v>
      </c>
      <c r="B364" s="178" t="s">
        <v>516</v>
      </c>
      <c r="C364" s="293" t="s">
        <v>359</v>
      </c>
      <c r="D364" s="293"/>
      <c r="E364" s="286">
        <f t="shared" ref="E364:E377" si="42">+E363+1</f>
        <v>5</v>
      </c>
      <c r="F364" s="280" t="s">
        <v>1158</v>
      </c>
      <c r="G364" s="301">
        <v>0.1</v>
      </c>
      <c r="H364" s="263">
        <v>10</v>
      </c>
      <c r="I364" s="263"/>
      <c r="J364" s="263"/>
      <c r="K364" s="302">
        <v>4662.8999999999996</v>
      </c>
      <c r="L364" s="302">
        <v>1800</v>
      </c>
      <c r="M364" s="310"/>
      <c r="N364" s="195">
        <f t="shared" si="41"/>
        <v>6462.9</v>
      </c>
      <c r="O364" s="303">
        <v>13604</v>
      </c>
      <c r="P364" s="304">
        <v>2880</v>
      </c>
      <c r="Q364" s="304">
        <v>300</v>
      </c>
      <c r="R364" s="305" t="s">
        <v>488</v>
      </c>
      <c r="S364" s="306"/>
      <c r="T364" s="306"/>
      <c r="U364" s="9">
        <v>370</v>
      </c>
      <c r="V364" s="9"/>
      <c r="W364" s="291">
        <v>0</v>
      </c>
      <c r="X364" s="290">
        <v>6462.9</v>
      </c>
      <c r="Y364" s="290">
        <v>6462.9</v>
      </c>
      <c r="Z364" s="290"/>
      <c r="AA364" s="290"/>
      <c r="AB364" s="290"/>
      <c r="AC364" s="290"/>
      <c r="AD364" s="290"/>
      <c r="AE364" s="315"/>
      <c r="AF364" s="315"/>
      <c r="AG364" s="291"/>
      <c r="AH364" s="291">
        <v>0</v>
      </c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</row>
    <row r="365" spans="1:1018">
      <c r="A365" s="293" t="s">
        <v>1159</v>
      </c>
      <c r="B365" s="178" t="s">
        <v>516</v>
      </c>
      <c r="C365" s="293"/>
      <c r="D365" s="293"/>
      <c r="E365" s="286">
        <f t="shared" si="42"/>
        <v>6</v>
      </c>
      <c r="F365" s="280" t="s">
        <v>1160</v>
      </c>
      <c r="G365" s="301">
        <v>0.15</v>
      </c>
      <c r="H365" s="263">
        <v>10</v>
      </c>
      <c r="I365" s="263"/>
      <c r="J365" s="263"/>
      <c r="K365" s="310">
        <v>4403.8500000000004</v>
      </c>
      <c r="L365" s="310"/>
      <c r="M365" s="310"/>
      <c r="N365" s="195">
        <f t="shared" si="41"/>
        <v>4403.8500000000004</v>
      </c>
      <c r="O365" s="303">
        <v>13454</v>
      </c>
      <c r="P365" s="304">
        <v>1920</v>
      </c>
      <c r="Q365" s="304">
        <v>300</v>
      </c>
      <c r="R365" s="305">
        <v>2925</v>
      </c>
      <c r="S365" s="306">
        <v>5285</v>
      </c>
      <c r="T365" s="306"/>
      <c r="U365" s="9">
        <v>370</v>
      </c>
      <c r="V365" s="9"/>
      <c r="W365" s="291">
        <v>0</v>
      </c>
      <c r="X365" s="289">
        <v>4403.8500000000004</v>
      </c>
      <c r="Y365" s="289">
        <v>4403.8500000000004</v>
      </c>
      <c r="Z365" s="315">
        <v>4403.8500000000004</v>
      </c>
      <c r="AA365" s="290"/>
      <c r="AB365" s="290"/>
      <c r="AC365" s="290"/>
      <c r="AD365" s="290"/>
      <c r="AE365" s="290"/>
      <c r="AF365" s="290"/>
      <c r="AG365" s="291"/>
      <c r="AH365" s="291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</row>
    <row r="366" spans="1:1018">
      <c r="A366" s="293" t="s">
        <v>283</v>
      </c>
      <c r="B366" s="178" t="s">
        <v>516</v>
      </c>
      <c r="C366" s="293"/>
      <c r="D366" s="293"/>
      <c r="E366" s="286">
        <f t="shared" si="42"/>
        <v>7</v>
      </c>
      <c r="F366" s="280" t="s">
        <v>1161</v>
      </c>
      <c r="G366" s="301">
        <v>0.15</v>
      </c>
      <c r="H366" s="263">
        <v>10</v>
      </c>
      <c r="I366" s="263"/>
      <c r="J366" s="263"/>
      <c r="K366" s="302">
        <v>4403.8500000000004</v>
      </c>
      <c r="L366" s="302"/>
      <c r="M366" s="302"/>
      <c r="N366" s="195">
        <f t="shared" si="41"/>
        <v>4403.8500000000004</v>
      </c>
      <c r="O366" s="303">
        <v>13367</v>
      </c>
      <c r="P366" s="304">
        <v>1920</v>
      </c>
      <c r="Q366" s="304">
        <v>300</v>
      </c>
      <c r="R366" s="305">
        <v>2815</v>
      </c>
      <c r="S366" s="306">
        <v>5285</v>
      </c>
      <c r="T366" s="306"/>
      <c r="U366" s="9">
        <v>370</v>
      </c>
      <c r="V366" s="9"/>
      <c r="W366" s="291">
        <v>0</v>
      </c>
      <c r="X366" s="290">
        <v>4403.8500000000004</v>
      </c>
      <c r="Y366" s="290">
        <v>4403.8500000000004</v>
      </c>
      <c r="Z366" s="291"/>
      <c r="AA366" s="291"/>
      <c r="AB366" s="291"/>
      <c r="AC366" s="291"/>
      <c r="AD366" s="291"/>
      <c r="AE366" s="291"/>
      <c r="AF366" s="291"/>
      <c r="AG366" s="291"/>
      <c r="AH366" s="291">
        <v>0</v>
      </c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</row>
    <row r="367" spans="1:1018">
      <c r="A367" s="545" t="s">
        <v>284</v>
      </c>
      <c r="B367" s="178" t="s">
        <v>516</v>
      </c>
      <c r="C367" s="293" t="s">
        <v>850</v>
      </c>
      <c r="D367" s="293"/>
      <c r="E367" s="286">
        <f t="shared" si="42"/>
        <v>8</v>
      </c>
      <c r="F367" s="280" t="s">
        <v>1162</v>
      </c>
      <c r="G367" s="301">
        <v>0.1</v>
      </c>
      <c r="H367" s="263">
        <v>10</v>
      </c>
      <c r="I367" s="263"/>
      <c r="J367" s="263"/>
      <c r="K367" s="302">
        <v>4662.8999999999996</v>
      </c>
      <c r="L367" s="302">
        <v>2105</v>
      </c>
      <c r="M367" s="302"/>
      <c r="N367" s="195">
        <f t="shared" si="41"/>
        <v>6767.9</v>
      </c>
      <c r="O367" s="303">
        <v>13356</v>
      </c>
      <c r="P367" s="304">
        <v>1920</v>
      </c>
      <c r="Q367" s="304">
        <v>300</v>
      </c>
      <c r="R367" s="305">
        <v>2783</v>
      </c>
      <c r="S367" s="306">
        <v>5285</v>
      </c>
      <c r="T367" s="306"/>
      <c r="U367" s="9">
        <v>370</v>
      </c>
      <c r="V367" s="9">
        <v>370</v>
      </c>
      <c r="W367" s="291">
        <v>0</v>
      </c>
      <c r="X367" s="291">
        <v>6767.96</v>
      </c>
      <c r="Y367" s="291">
        <v>6767.9</v>
      </c>
      <c r="Z367" s="291">
        <v>6767.9</v>
      </c>
      <c r="AA367" s="291"/>
      <c r="AB367" s="291"/>
      <c r="AC367" s="291"/>
      <c r="AD367" s="291"/>
      <c r="AE367" s="291"/>
      <c r="AF367" s="291"/>
      <c r="AG367" s="290"/>
      <c r="AH367" s="291">
        <v>0</v>
      </c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</row>
    <row r="368" spans="1:1018">
      <c r="A368" s="293" t="s">
        <v>1163</v>
      </c>
      <c r="B368" s="178" t="s">
        <v>516</v>
      </c>
      <c r="C368" s="293"/>
      <c r="D368" s="293"/>
      <c r="E368" s="286">
        <f t="shared" si="42"/>
        <v>9</v>
      </c>
      <c r="F368" s="280" t="s">
        <v>1164</v>
      </c>
      <c r="G368" s="301">
        <v>0.15</v>
      </c>
      <c r="H368" s="263">
        <v>10</v>
      </c>
      <c r="I368" s="263"/>
      <c r="J368" s="263"/>
      <c r="K368" s="302">
        <v>4403.8500000000004</v>
      </c>
      <c r="L368" s="302"/>
      <c r="M368" s="302"/>
      <c r="N368" s="195">
        <f t="shared" si="41"/>
        <v>4403.8500000000004</v>
      </c>
      <c r="O368" s="303">
        <v>13708</v>
      </c>
      <c r="P368" s="304"/>
      <c r="Q368" s="304">
        <v>300</v>
      </c>
      <c r="R368" s="305">
        <v>3073</v>
      </c>
      <c r="S368" s="306">
        <v>5285</v>
      </c>
      <c r="T368" s="306"/>
      <c r="U368" s="9"/>
      <c r="V368" s="9"/>
      <c r="W368" s="291"/>
      <c r="X368" s="291"/>
      <c r="Y368" s="291"/>
      <c r="Z368" s="291"/>
      <c r="AA368" s="308"/>
      <c r="AB368" s="308"/>
      <c r="AC368" s="291"/>
      <c r="AD368" s="291"/>
      <c r="AE368" s="291"/>
      <c r="AF368" s="291"/>
      <c r="AG368" s="291"/>
      <c r="AH368" s="291">
        <v>0</v>
      </c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</row>
    <row r="369" spans="1:1018">
      <c r="A369" s="545" t="s">
        <v>1165</v>
      </c>
      <c r="B369" s="178" t="s">
        <v>516</v>
      </c>
      <c r="C369" s="293" t="s">
        <v>1166</v>
      </c>
      <c r="D369" s="293"/>
      <c r="E369" s="286">
        <f t="shared" si="42"/>
        <v>10</v>
      </c>
      <c r="F369" s="280" t="s">
        <v>1167</v>
      </c>
      <c r="G369" s="301">
        <v>0.15</v>
      </c>
      <c r="H369" s="263">
        <v>10</v>
      </c>
      <c r="I369" s="263"/>
      <c r="J369" s="263"/>
      <c r="K369" s="310">
        <v>4403.8500000000004</v>
      </c>
      <c r="L369" s="310">
        <v>2105</v>
      </c>
      <c r="M369" s="310"/>
      <c r="N369" s="195">
        <f t="shared" si="41"/>
        <v>6508.85</v>
      </c>
      <c r="O369" s="338">
        <v>13399</v>
      </c>
      <c r="P369" s="304">
        <v>1920</v>
      </c>
      <c r="Q369" s="304">
        <v>300</v>
      </c>
      <c r="R369" s="305">
        <v>3486</v>
      </c>
      <c r="S369" s="306">
        <v>5285</v>
      </c>
      <c r="T369" s="306"/>
      <c r="U369" s="9">
        <v>370</v>
      </c>
      <c r="V369" s="9">
        <v>370</v>
      </c>
      <c r="W369" s="308">
        <v>0</v>
      </c>
      <c r="X369" s="309">
        <v>6508.85</v>
      </c>
      <c r="Y369" s="309">
        <f>4403.85+881.15+1223</f>
        <v>6508</v>
      </c>
      <c r="Z369" s="309">
        <v>6508.85</v>
      </c>
      <c r="AA369" s="308"/>
      <c r="AB369" s="308"/>
      <c r="AC369" s="309"/>
      <c r="AD369" s="309"/>
      <c r="AE369" s="309"/>
      <c r="AF369" s="309"/>
      <c r="AG369" s="308"/>
      <c r="AH369" s="308">
        <v>0</v>
      </c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</row>
    <row r="370" spans="1:1018">
      <c r="A370" s="293" t="s">
        <v>285</v>
      </c>
      <c r="B370" s="178" t="s">
        <v>516</v>
      </c>
      <c r="C370" s="293"/>
      <c r="D370" s="293"/>
      <c r="E370" s="286">
        <f t="shared" si="42"/>
        <v>11</v>
      </c>
      <c r="F370" s="280" t="s">
        <v>1168</v>
      </c>
      <c r="G370" s="301">
        <v>0.5</v>
      </c>
      <c r="H370" s="263">
        <v>10</v>
      </c>
      <c r="I370" s="263"/>
      <c r="J370" s="263"/>
      <c r="K370" s="302">
        <v>2590.5</v>
      </c>
      <c r="L370" s="302"/>
      <c r="M370" s="302"/>
      <c r="N370" s="195">
        <f t="shared" si="41"/>
        <v>2590.5</v>
      </c>
      <c r="O370" s="303">
        <v>13690</v>
      </c>
      <c r="P370" s="304">
        <v>1920</v>
      </c>
      <c r="Q370" s="304">
        <v>300</v>
      </c>
      <c r="R370" s="305">
        <v>2729</v>
      </c>
      <c r="S370" s="306">
        <v>5285</v>
      </c>
      <c r="T370" s="306"/>
      <c r="U370" s="9">
        <v>370</v>
      </c>
      <c r="V370" s="9">
        <v>370</v>
      </c>
      <c r="W370" s="291">
        <v>0</v>
      </c>
      <c r="X370" s="291">
        <v>2590.5</v>
      </c>
      <c r="Y370" s="289">
        <v>2590.5</v>
      </c>
      <c r="Z370" s="289">
        <v>2590.5</v>
      </c>
      <c r="AA370" s="289"/>
      <c r="AB370" s="290"/>
      <c r="AC370" s="290"/>
      <c r="AD370" s="290"/>
      <c r="AE370" s="290"/>
      <c r="AF370" s="290"/>
      <c r="AG370" s="291"/>
      <c r="AH370" s="291">
        <v>0</v>
      </c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</row>
    <row r="371" spans="1:1018">
      <c r="A371" s="4" t="s">
        <v>287</v>
      </c>
      <c r="B371" s="178" t="s">
        <v>516</v>
      </c>
      <c r="C371" s="293"/>
      <c r="D371" s="293"/>
      <c r="E371" s="286">
        <f t="shared" si="42"/>
        <v>12</v>
      </c>
      <c r="F371" s="280" t="s">
        <v>1169</v>
      </c>
      <c r="G371" s="301">
        <v>0.15</v>
      </c>
      <c r="H371" s="263">
        <v>10</v>
      </c>
      <c r="I371" s="263"/>
      <c r="J371" s="263"/>
      <c r="K371" s="310">
        <v>4403.8500000000004</v>
      </c>
      <c r="L371" s="310"/>
      <c r="M371" s="310"/>
      <c r="N371" s="195">
        <f t="shared" si="41"/>
        <v>4403.8500000000004</v>
      </c>
      <c r="O371" s="303">
        <v>13246</v>
      </c>
      <c r="P371" s="304">
        <v>1920</v>
      </c>
      <c r="Q371" s="304">
        <v>300</v>
      </c>
      <c r="R371" s="305">
        <v>2746</v>
      </c>
      <c r="S371" s="306">
        <v>5285</v>
      </c>
      <c r="T371" s="306"/>
      <c r="U371" s="9"/>
      <c r="V371" s="9"/>
      <c r="W371" s="291">
        <v>0</v>
      </c>
      <c r="X371" s="291">
        <v>4403.8500000000004</v>
      </c>
      <c r="Y371" s="291">
        <v>4403.8500000000004</v>
      </c>
      <c r="Z371" s="291">
        <v>4403.8500000000004</v>
      </c>
      <c r="AA371" s="291">
        <v>4403.8500000000004</v>
      </c>
      <c r="AB371" s="291"/>
      <c r="AC371" s="291"/>
      <c r="AD371" s="291"/>
      <c r="AE371" s="291"/>
      <c r="AF371" s="291"/>
      <c r="AG371" s="291"/>
      <c r="AH371" s="291">
        <v>0</v>
      </c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</row>
    <row r="372" spans="1:1018">
      <c r="A372" s="293" t="s">
        <v>288</v>
      </c>
      <c r="B372" s="178" t="s">
        <v>516</v>
      </c>
      <c r="C372" s="293"/>
      <c r="D372" s="293"/>
      <c r="E372" s="286">
        <f t="shared" si="42"/>
        <v>13</v>
      </c>
      <c r="F372" s="280" t="s">
        <v>1170</v>
      </c>
      <c r="G372" s="301"/>
      <c r="H372" s="263">
        <v>10</v>
      </c>
      <c r="I372" s="263"/>
      <c r="J372" s="263"/>
      <c r="K372" s="310">
        <v>5181</v>
      </c>
      <c r="L372" s="310"/>
      <c r="M372" s="310"/>
      <c r="N372" s="195">
        <f t="shared" si="41"/>
        <v>5181</v>
      </c>
      <c r="O372" s="303">
        <v>13461</v>
      </c>
      <c r="P372" s="304">
        <v>1920</v>
      </c>
      <c r="Q372" s="304">
        <v>300</v>
      </c>
      <c r="R372" s="305">
        <v>2690</v>
      </c>
      <c r="S372" s="306">
        <v>5285</v>
      </c>
      <c r="T372" s="306"/>
      <c r="U372" s="9">
        <v>370</v>
      </c>
      <c r="V372" s="9">
        <v>370</v>
      </c>
      <c r="W372" s="291">
        <v>0</v>
      </c>
      <c r="X372" s="290">
        <v>5181</v>
      </c>
      <c r="Y372" s="290">
        <v>5181</v>
      </c>
      <c r="Z372" s="290">
        <v>5181</v>
      </c>
      <c r="AA372" s="290"/>
      <c r="AB372" s="290"/>
      <c r="AC372" s="290"/>
      <c r="AD372" s="290"/>
      <c r="AE372" s="290"/>
      <c r="AF372" s="290"/>
      <c r="AG372" s="290"/>
      <c r="AH372" s="291">
        <v>0</v>
      </c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</row>
    <row r="373" spans="1:1018">
      <c r="A373" s="545" t="s">
        <v>1171</v>
      </c>
      <c r="B373" s="178" t="s">
        <v>516</v>
      </c>
      <c r="C373" s="293" t="s">
        <v>971</v>
      </c>
      <c r="D373" s="293"/>
      <c r="E373" s="286">
        <f t="shared" si="42"/>
        <v>14</v>
      </c>
      <c r="F373" s="280" t="s">
        <v>1172</v>
      </c>
      <c r="G373" s="301">
        <v>0.15</v>
      </c>
      <c r="H373" s="263">
        <v>10</v>
      </c>
      <c r="I373" s="263"/>
      <c r="J373" s="263"/>
      <c r="K373" s="310">
        <v>4403.8500000000004</v>
      </c>
      <c r="L373" s="310">
        <v>1475</v>
      </c>
      <c r="M373" s="310"/>
      <c r="N373" s="195">
        <f t="shared" si="41"/>
        <v>5878.85</v>
      </c>
      <c r="O373" s="303">
        <v>13687</v>
      </c>
      <c r="P373" s="304">
        <v>2880</v>
      </c>
      <c r="Q373" s="304">
        <v>300</v>
      </c>
      <c r="R373" s="305">
        <v>3072</v>
      </c>
      <c r="S373" s="306">
        <v>5285</v>
      </c>
      <c r="T373" s="306"/>
      <c r="U373" s="9">
        <v>370</v>
      </c>
      <c r="V373" s="9">
        <v>370</v>
      </c>
      <c r="W373" s="291">
        <v>0</v>
      </c>
      <c r="X373" s="289">
        <v>5878.85</v>
      </c>
      <c r="Y373" s="289">
        <v>5878.85</v>
      </c>
      <c r="Z373" s="289">
        <v>5878.85</v>
      </c>
      <c r="AA373" s="290"/>
      <c r="AB373" s="290"/>
      <c r="AC373" s="290"/>
      <c r="AD373" s="291"/>
      <c r="AE373" s="291"/>
      <c r="AF373" s="291"/>
      <c r="AG373" s="291"/>
      <c r="AH373" s="291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</row>
    <row r="374" spans="1:1018">
      <c r="A374" s="545" t="s">
        <v>1173</v>
      </c>
      <c r="B374" s="178" t="s">
        <v>516</v>
      </c>
      <c r="C374" s="293" t="s">
        <v>451</v>
      </c>
      <c r="D374" s="293"/>
      <c r="E374" s="286">
        <f t="shared" si="42"/>
        <v>15</v>
      </c>
      <c r="F374" s="280" t="s">
        <v>1174</v>
      </c>
      <c r="G374" s="301">
        <v>0.22</v>
      </c>
      <c r="H374" s="263">
        <v>10</v>
      </c>
      <c r="I374" s="263"/>
      <c r="J374" s="263"/>
      <c r="K374" s="310">
        <v>4095.58</v>
      </c>
      <c r="L374" s="310">
        <v>2000</v>
      </c>
      <c r="M374" s="310"/>
      <c r="N374" s="195">
        <f t="shared" si="41"/>
        <v>6095.58</v>
      </c>
      <c r="O374" s="303">
        <v>13313</v>
      </c>
      <c r="P374" s="304">
        <v>1920</v>
      </c>
      <c r="Q374" s="304">
        <v>300</v>
      </c>
      <c r="R374" s="305">
        <v>3471</v>
      </c>
      <c r="S374" s="306">
        <v>4547</v>
      </c>
      <c r="T374" s="306" t="s">
        <v>1175</v>
      </c>
      <c r="U374" s="9">
        <v>370</v>
      </c>
      <c r="V374" s="9"/>
      <c r="W374" s="291">
        <v>0</v>
      </c>
      <c r="X374" s="326">
        <f>4095.58+2100</f>
        <v>6195.58</v>
      </c>
      <c r="Y374" s="326">
        <v>4095.58</v>
      </c>
      <c r="Z374" s="326">
        <v>4095.58</v>
      </c>
      <c r="AA374" s="326">
        <v>4095.58</v>
      </c>
      <c r="AB374" s="326">
        <v>4095.58</v>
      </c>
      <c r="AC374" s="326">
        <v>4095.58</v>
      </c>
      <c r="AD374" s="326">
        <v>4095.58</v>
      </c>
      <c r="AE374" s="326">
        <v>4095.58</v>
      </c>
      <c r="AF374" s="326">
        <v>4095.58</v>
      </c>
      <c r="AG374" s="326">
        <v>4095.58</v>
      </c>
      <c r="AH374" s="291">
        <v>0</v>
      </c>
      <c r="AI374" t="s">
        <v>1176</v>
      </c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</row>
    <row r="375" spans="1:1018">
      <c r="A375" s="545" t="s">
        <v>1177</v>
      </c>
      <c r="B375" s="178" t="s">
        <v>516</v>
      </c>
      <c r="C375" s="293" t="s">
        <v>1178</v>
      </c>
      <c r="D375" s="293"/>
      <c r="E375" s="286">
        <f t="shared" si="42"/>
        <v>16</v>
      </c>
      <c r="F375" s="280" t="s">
        <v>1179</v>
      </c>
      <c r="G375" s="281"/>
      <c r="H375" s="282">
        <v>10</v>
      </c>
      <c r="I375" s="282"/>
      <c r="J375" s="282"/>
      <c r="K375" s="175">
        <v>5181</v>
      </c>
      <c r="L375" s="175">
        <v>2105</v>
      </c>
      <c r="M375" s="175"/>
      <c r="N375" s="195">
        <f t="shared" si="41"/>
        <v>7286</v>
      </c>
      <c r="O375" s="303">
        <v>13475</v>
      </c>
      <c r="P375" s="304">
        <f>2580+300</f>
        <v>2880</v>
      </c>
      <c r="Q375" s="304">
        <v>300</v>
      </c>
      <c r="R375" s="305">
        <v>3092</v>
      </c>
      <c r="S375" s="306">
        <v>5285</v>
      </c>
      <c r="T375" s="306"/>
      <c r="U375" s="9">
        <v>370</v>
      </c>
      <c r="V375" s="9">
        <v>370</v>
      </c>
      <c r="W375" s="291">
        <v>0</v>
      </c>
      <c r="X375" s="561">
        <v>7286</v>
      </c>
      <c r="Y375" s="307">
        <v>7286</v>
      </c>
      <c r="Z375" s="307">
        <v>7286</v>
      </c>
      <c r="AA375" s="289"/>
      <c r="AB375" s="307"/>
      <c r="AC375" s="307"/>
      <c r="AD375" s="307"/>
      <c r="AE375" s="307"/>
      <c r="AF375" s="307"/>
      <c r="AG375" s="291"/>
      <c r="AH375" s="291">
        <v>0</v>
      </c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</row>
    <row r="376" spans="1:1018">
      <c r="A376" s="293" t="s">
        <v>1180</v>
      </c>
      <c r="B376" s="178" t="s">
        <v>516</v>
      </c>
      <c r="C376" s="293"/>
      <c r="D376" s="293"/>
      <c r="E376" s="286">
        <f t="shared" si="42"/>
        <v>17</v>
      </c>
      <c r="F376" s="280" t="s">
        <v>1181</v>
      </c>
      <c r="G376" s="281"/>
      <c r="H376" s="282">
        <v>10</v>
      </c>
      <c r="I376" s="282"/>
      <c r="J376" s="282"/>
      <c r="K376" s="157">
        <v>1228.2</v>
      </c>
      <c r="L376" s="157"/>
      <c r="M376" s="175"/>
      <c r="N376" s="195">
        <f t="shared" si="41"/>
        <v>1228.2</v>
      </c>
      <c r="O376" s="303">
        <v>13629</v>
      </c>
      <c r="P376" s="304">
        <v>0</v>
      </c>
      <c r="Q376" s="304">
        <v>300</v>
      </c>
      <c r="R376" s="305" t="s">
        <v>488</v>
      </c>
      <c r="S376" s="306"/>
      <c r="T376" s="306" t="s">
        <v>1182</v>
      </c>
      <c r="U376" s="9"/>
      <c r="V376" s="9"/>
      <c r="W376" s="291">
        <v>0</v>
      </c>
      <c r="X376" s="315">
        <v>1228.2</v>
      </c>
      <c r="Y376" s="315">
        <v>1228.2</v>
      </c>
      <c r="Z376" s="315">
        <v>1228.2</v>
      </c>
      <c r="AA376" s="315"/>
      <c r="AB376" s="315"/>
      <c r="AC376" s="315"/>
      <c r="AD376" s="315"/>
      <c r="AE376" s="315"/>
      <c r="AF376" s="315"/>
      <c r="AG376" s="315"/>
      <c r="AH376" s="291">
        <v>0</v>
      </c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</row>
    <row r="377" spans="1:1018">
      <c r="A377" s="293" t="s">
        <v>1183</v>
      </c>
      <c r="B377" s="178" t="s">
        <v>516</v>
      </c>
      <c r="C377" s="293"/>
      <c r="D377" s="293"/>
      <c r="E377" s="286">
        <f t="shared" si="42"/>
        <v>18</v>
      </c>
      <c r="F377" s="280" t="s">
        <v>1184</v>
      </c>
      <c r="G377" s="281">
        <v>0.2</v>
      </c>
      <c r="H377" s="282">
        <v>10</v>
      </c>
      <c r="I377" s="282"/>
      <c r="J377" s="282"/>
      <c r="K377" s="157">
        <v>4144.8</v>
      </c>
      <c r="L377" s="157"/>
      <c r="M377" s="157"/>
      <c r="N377" s="195">
        <f t="shared" si="41"/>
        <v>4144.8</v>
      </c>
      <c r="O377" s="303">
        <v>13277</v>
      </c>
      <c r="P377" s="304">
        <v>1920</v>
      </c>
      <c r="Q377" s="304">
        <v>300</v>
      </c>
      <c r="R377" s="305">
        <v>2984</v>
      </c>
      <c r="S377" s="306">
        <v>5285</v>
      </c>
      <c r="T377" s="306"/>
      <c r="U377" s="9"/>
      <c r="V377" s="9"/>
      <c r="W377" s="291">
        <v>0</v>
      </c>
      <c r="X377" s="291">
        <v>3854.66</v>
      </c>
      <c r="Y377" s="291">
        <v>3854.66</v>
      </c>
      <c r="Z377" s="291">
        <v>3854.66</v>
      </c>
      <c r="AA377" s="291">
        <v>3854.66</v>
      </c>
      <c r="AB377" s="291">
        <v>3854.66</v>
      </c>
      <c r="AC377" s="291"/>
      <c r="AD377" s="291"/>
      <c r="AE377" s="291"/>
      <c r="AF377" s="291"/>
      <c r="AG377" s="291"/>
      <c r="AH377" s="291">
        <v>0</v>
      </c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</row>
    <row r="378" spans="1:1018">
      <c r="A378" s="293" t="s">
        <v>1185</v>
      </c>
      <c r="B378" s="178" t="s">
        <v>516</v>
      </c>
      <c r="C378" s="293"/>
      <c r="D378" s="293"/>
      <c r="E378" s="286">
        <v>19</v>
      </c>
      <c r="F378" s="280"/>
      <c r="G378" s="281"/>
      <c r="H378" s="282">
        <v>11</v>
      </c>
      <c r="I378" s="282"/>
      <c r="J378" s="282">
        <v>4239</v>
      </c>
      <c r="K378" s="157"/>
      <c r="L378" s="157"/>
      <c r="M378" s="157"/>
      <c r="N378" s="195">
        <f t="shared" si="41"/>
        <v>4239</v>
      </c>
      <c r="O378" s="303">
        <v>14334</v>
      </c>
      <c r="P378" s="304">
        <v>0</v>
      </c>
      <c r="Q378" s="304">
        <v>300</v>
      </c>
      <c r="R378" s="305"/>
      <c r="S378" s="306"/>
      <c r="T378" s="306"/>
      <c r="U378" s="9"/>
      <c r="V378" s="9"/>
      <c r="W378" s="291">
        <v>0</v>
      </c>
      <c r="X378" s="291">
        <v>0</v>
      </c>
      <c r="Y378" s="291">
        <v>0</v>
      </c>
      <c r="Z378" s="291">
        <f>424+315</f>
        <v>739</v>
      </c>
      <c r="AA378" s="291"/>
      <c r="AB378" s="291"/>
      <c r="AC378" s="291"/>
      <c r="AD378" s="291"/>
      <c r="AE378" s="291"/>
      <c r="AF378" s="291"/>
      <c r="AG378" s="291"/>
      <c r="AH378" s="291">
        <v>0</v>
      </c>
      <c r="AI378" t="s">
        <v>1186</v>
      </c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</row>
    <row r="379" spans="1:1018">
      <c r="A379" s="293"/>
      <c r="B379" s="178"/>
      <c r="C379" s="293"/>
      <c r="D379" s="293"/>
      <c r="E379" s="286"/>
      <c r="F379" s="280"/>
      <c r="G379" s="281"/>
      <c r="H379" s="282"/>
      <c r="I379" s="282"/>
      <c r="J379" s="282"/>
      <c r="K379" s="157"/>
      <c r="L379" s="157"/>
      <c r="M379" s="157"/>
      <c r="N379" s="195"/>
      <c r="O379" s="303"/>
      <c r="P379" s="304"/>
      <c r="Q379" s="304"/>
      <c r="R379" s="305"/>
      <c r="S379" s="306"/>
      <c r="T379" s="306"/>
      <c r="U379" s="9"/>
      <c r="V379" s="9"/>
      <c r="W379" s="291"/>
      <c r="X379" s="291"/>
      <c r="Y379" s="291"/>
      <c r="Z379" s="291"/>
      <c r="AA379" s="291"/>
      <c r="AB379" s="291"/>
      <c r="AC379" s="291"/>
      <c r="AD379" s="291"/>
      <c r="AE379" s="291"/>
      <c r="AF379" s="291"/>
      <c r="AG379" s="291"/>
      <c r="AH379" s="291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</row>
    <row r="380" spans="1:1018">
      <c r="A380" s="187" t="s">
        <v>1187</v>
      </c>
      <c r="B380" s="178"/>
      <c r="C380" s="293"/>
      <c r="D380" s="293"/>
      <c r="E380" s="286"/>
      <c r="F380" s="280"/>
      <c r="G380" s="281"/>
      <c r="H380" s="282"/>
      <c r="I380" s="282"/>
      <c r="J380" s="282"/>
      <c r="K380" s="157"/>
      <c r="L380" s="157"/>
      <c r="M380" s="157"/>
      <c r="N380" s="195"/>
      <c r="O380" s="303"/>
      <c r="P380" s="304"/>
      <c r="Q380" s="304"/>
      <c r="R380" s="305"/>
      <c r="S380" s="306"/>
      <c r="T380" s="306"/>
      <c r="U380" s="9"/>
      <c r="V380" s="9"/>
      <c r="W380" s="291"/>
      <c r="X380" s="291"/>
      <c r="Y380" s="291"/>
      <c r="Z380" s="291"/>
      <c r="AA380" s="291"/>
      <c r="AB380" s="291"/>
      <c r="AC380" s="291"/>
      <c r="AD380" s="291"/>
      <c r="AE380" s="291"/>
      <c r="AF380" s="291"/>
      <c r="AG380" s="291"/>
      <c r="AH380" s="291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</row>
    <row r="381" spans="1:1018">
      <c r="A381" s="293" t="s">
        <v>1188</v>
      </c>
      <c r="B381" s="178" t="s">
        <v>553</v>
      </c>
      <c r="C381" s="293"/>
      <c r="D381" s="293"/>
      <c r="E381" s="286">
        <f>+E380+1</f>
        <v>1</v>
      </c>
      <c r="F381" s="280" t="s">
        <v>1189</v>
      </c>
      <c r="G381" s="281"/>
      <c r="H381" s="282">
        <v>10</v>
      </c>
      <c r="I381" s="282"/>
      <c r="J381" s="282"/>
      <c r="K381" s="175">
        <v>5181</v>
      </c>
      <c r="L381" s="175"/>
      <c r="M381" s="175"/>
      <c r="N381" s="195">
        <f>+J381+K381+L381+M381</f>
        <v>5181</v>
      </c>
      <c r="O381" s="303">
        <v>13720</v>
      </c>
      <c r="P381" s="304">
        <v>2880</v>
      </c>
      <c r="Q381" s="304">
        <v>300</v>
      </c>
      <c r="R381" s="305">
        <v>3447</v>
      </c>
      <c r="S381" s="306">
        <v>5285</v>
      </c>
      <c r="T381" s="306"/>
      <c r="U381" s="9">
        <v>370</v>
      </c>
      <c r="V381" s="9"/>
      <c r="W381" s="291">
        <v>0</v>
      </c>
      <c r="X381" s="291">
        <v>5181</v>
      </c>
      <c r="Y381" s="291">
        <v>5181</v>
      </c>
      <c r="Z381" s="291"/>
      <c r="AA381" s="291"/>
      <c r="AB381" s="291"/>
      <c r="AC381" s="291"/>
      <c r="AD381" s="291"/>
      <c r="AE381" s="291"/>
      <c r="AF381" s="291"/>
      <c r="AG381" s="291"/>
      <c r="AH381" s="291">
        <v>0</v>
      </c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</row>
    <row r="382" spans="1:1018">
      <c r="A382" s="293" t="s">
        <v>1190</v>
      </c>
      <c r="B382" s="178" t="s">
        <v>553</v>
      </c>
      <c r="C382" s="293"/>
      <c r="D382" s="293"/>
      <c r="E382" s="286">
        <f>+E381+1</f>
        <v>2</v>
      </c>
      <c r="F382" s="280" t="s">
        <v>1191</v>
      </c>
      <c r="G382" s="281">
        <v>0.1</v>
      </c>
      <c r="H382" s="282">
        <v>10</v>
      </c>
      <c r="I382" s="282"/>
      <c r="J382" s="282"/>
      <c r="K382" s="175">
        <v>4662.8999999999996</v>
      </c>
      <c r="L382" s="175"/>
      <c r="M382" s="175"/>
      <c r="N382" s="195">
        <f t="shared" ref="N382:N400" si="43">+J382+K382+L382+M382</f>
        <v>4662.8999999999996</v>
      </c>
      <c r="O382" s="303">
        <v>13477</v>
      </c>
      <c r="P382" s="304">
        <v>1920</v>
      </c>
      <c r="Q382" s="304">
        <v>300</v>
      </c>
      <c r="R382" s="305">
        <v>3465</v>
      </c>
      <c r="S382" s="306">
        <v>5285</v>
      </c>
      <c r="T382" s="306"/>
      <c r="U382" s="9">
        <v>370</v>
      </c>
      <c r="V382" s="9">
        <v>370</v>
      </c>
      <c r="W382" s="291">
        <v>0</v>
      </c>
      <c r="X382" s="289">
        <v>4662.8999999999996</v>
      </c>
      <c r="Y382" s="290">
        <v>4662.8999999999996</v>
      </c>
      <c r="Z382" s="290">
        <v>4662.8999999999996</v>
      </c>
      <c r="AA382" s="290"/>
      <c r="AB382" s="290"/>
      <c r="AC382" s="290"/>
      <c r="AD382" s="290"/>
      <c r="AE382" s="290"/>
      <c r="AF382" s="291"/>
      <c r="AG382" s="291"/>
      <c r="AH382" s="291">
        <v>0</v>
      </c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</row>
    <row r="383" spans="1:1018">
      <c r="A383" s="545" t="s">
        <v>289</v>
      </c>
      <c r="B383" s="178" t="s">
        <v>553</v>
      </c>
      <c r="C383" s="293" t="s">
        <v>359</v>
      </c>
      <c r="D383" s="293"/>
      <c r="E383" s="286">
        <f>+E382+1</f>
        <v>3</v>
      </c>
      <c r="F383" s="280" t="s">
        <v>1192</v>
      </c>
      <c r="G383" s="281">
        <v>0.15</v>
      </c>
      <c r="H383" s="282">
        <v>10</v>
      </c>
      <c r="I383" s="282"/>
      <c r="J383" s="282"/>
      <c r="K383" s="175">
        <v>4403.8500000000004</v>
      </c>
      <c r="L383" s="175">
        <v>1710</v>
      </c>
      <c r="M383" s="175"/>
      <c r="N383" s="195">
        <f t="shared" si="43"/>
        <v>6113.85</v>
      </c>
      <c r="O383" s="303">
        <v>13469</v>
      </c>
      <c r="P383" s="304">
        <v>1900</v>
      </c>
      <c r="Q383" s="304">
        <v>300</v>
      </c>
      <c r="R383" s="305">
        <v>2871</v>
      </c>
      <c r="S383" s="306">
        <v>5285</v>
      </c>
      <c r="T383" s="306"/>
      <c r="U383" s="9">
        <v>370</v>
      </c>
      <c r="V383" s="9"/>
      <c r="W383" s="291">
        <v>0</v>
      </c>
      <c r="X383" s="315">
        <v>6113.85</v>
      </c>
      <c r="Y383" s="315">
        <v>6113.85</v>
      </c>
      <c r="Z383" s="291"/>
      <c r="AA383" s="289"/>
      <c r="AB383" s="289"/>
      <c r="AC383" s="317"/>
      <c r="AD383" s="289"/>
      <c r="AE383" s="290"/>
      <c r="AF383" s="291"/>
      <c r="AG383" s="291"/>
      <c r="AH383" s="291">
        <v>0</v>
      </c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</row>
    <row r="384" spans="1:1018">
      <c r="A384" s="545" t="s">
        <v>1193</v>
      </c>
      <c r="B384" s="178" t="s">
        <v>553</v>
      </c>
      <c r="C384" s="293" t="s">
        <v>359</v>
      </c>
      <c r="D384" s="293"/>
      <c r="E384" s="286">
        <f t="shared" ref="E384:E400" si="44">+E383+1</f>
        <v>4</v>
      </c>
      <c r="F384" s="280" t="s">
        <v>1194</v>
      </c>
      <c r="G384" s="281">
        <v>0.15</v>
      </c>
      <c r="H384" s="282">
        <v>10</v>
      </c>
      <c r="I384" s="282"/>
      <c r="J384" s="282"/>
      <c r="K384" s="175">
        <v>4403.8500000000004</v>
      </c>
      <c r="L384" s="175">
        <v>1710</v>
      </c>
      <c r="M384" s="295"/>
      <c r="N384" s="195">
        <f t="shared" si="43"/>
        <v>6113.85</v>
      </c>
      <c r="O384" s="303"/>
      <c r="P384" s="304"/>
      <c r="Q384" s="304"/>
      <c r="R384" s="305">
        <v>3088</v>
      </c>
      <c r="S384" s="306">
        <v>5285</v>
      </c>
      <c r="T384" s="306"/>
      <c r="U384" s="9">
        <v>370</v>
      </c>
      <c r="V384" s="9">
        <v>370</v>
      </c>
      <c r="W384" s="291">
        <v>0</v>
      </c>
      <c r="X384" s="290">
        <f>3963.46+1710</f>
        <v>5673.46</v>
      </c>
      <c r="Y384" s="290">
        <v>6113.85</v>
      </c>
      <c r="Z384" s="291"/>
      <c r="AA384" s="291"/>
      <c r="AB384" s="291"/>
      <c r="AC384" s="291"/>
      <c r="AD384" s="290"/>
      <c r="AE384" s="290"/>
      <c r="AF384" s="290"/>
      <c r="AG384" s="290"/>
      <c r="AH384" s="291">
        <v>0</v>
      </c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</row>
    <row r="385" spans="1:1018">
      <c r="A385" s="293" t="s">
        <v>1195</v>
      </c>
      <c r="B385" s="178" t="s">
        <v>553</v>
      </c>
      <c r="C385" s="293"/>
      <c r="D385" s="293"/>
      <c r="E385" s="286">
        <f t="shared" si="44"/>
        <v>5</v>
      </c>
      <c r="F385" s="280" t="s">
        <v>1196</v>
      </c>
      <c r="G385" s="281">
        <v>0.15</v>
      </c>
      <c r="H385" s="282">
        <v>10</v>
      </c>
      <c r="I385" s="282"/>
      <c r="J385" s="282"/>
      <c r="K385" s="175">
        <v>4403.8500000000004</v>
      </c>
      <c r="L385" s="175"/>
      <c r="M385" s="175"/>
      <c r="N385" s="195">
        <f t="shared" si="43"/>
        <v>4403.8500000000004</v>
      </c>
      <c r="O385" s="303">
        <v>13515</v>
      </c>
      <c r="P385" s="304">
        <v>1900</v>
      </c>
      <c r="Q385" s="304">
        <v>300</v>
      </c>
      <c r="R385" s="305">
        <v>2924</v>
      </c>
      <c r="S385" s="306">
        <v>5285</v>
      </c>
      <c r="T385" s="306"/>
      <c r="U385" s="9">
        <v>370</v>
      </c>
      <c r="V385" s="9"/>
      <c r="W385" s="291">
        <v>0</v>
      </c>
      <c r="X385" s="291">
        <v>4403.8500000000004</v>
      </c>
      <c r="Y385" s="315">
        <v>4403.8500000000004</v>
      </c>
      <c r="Z385" s="289">
        <v>4403.8500000000004</v>
      </c>
      <c r="AA385" s="291"/>
      <c r="AB385" s="315"/>
      <c r="AC385" s="289"/>
      <c r="AD385" s="291"/>
      <c r="AE385" s="291"/>
      <c r="AF385" s="291"/>
      <c r="AG385" s="291"/>
      <c r="AH385" s="291">
        <v>0</v>
      </c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</row>
    <row r="386" spans="1:1018">
      <c r="A386" s="545" t="s">
        <v>1197</v>
      </c>
      <c r="B386" s="178" t="s">
        <v>553</v>
      </c>
      <c r="C386" s="293" t="s">
        <v>359</v>
      </c>
      <c r="D386" s="293"/>
      <c r="E386" s="286">
        <f t="shared" si="44"/>
        <v>6</v>
      </c>
      <c r="F386" s="280" t="s">
        <v>1198</v>
      </c>
      <c r="G386" s="281">
        <v>0.15</v>
      </c>
      <c r="H386" s="282">
        <v>10</v>
      </c>
      <c r="I386" s="282"/>
      <c r="J386" s="282"/>
      <c r="K386" s="175">
        <v>4403.8500000000004</v>
      </c>
      <c r="L386" s="175">
        <v>1800</v>
      </c>
      <c r="M386" s="175"/>
      <c r="N386" s="195">
        <f t="shared" si="43"/>
        <v>6203.85</v>
      </c>
      <c r="O386" s="303">
        <v>13594</v>
      </c>
      <c r="P386" s="304">
        <v>2880</v>
      </c>
      <c r="Q386" s="304">
        <v>300</v>
      </c>
      <c r="R386" s="305">
        <v>3063</v>
      </c>
      <c r="S386" s="306">
        <v>5285</v>
      </c>
      <c r="T386" s="306"/>
      <c r="U386" s="9">
        <v>370</v>
      </c>
      <c r="V386" s="9">
        <v>370</v>
      </c>
      <c r="W386" s="291">
        <v>0</v>
      </c>
      <c r="X386" s="315">
        <v>6203.85</v>
      </c>
      <c r="Y386" s="315">
        <v>6203.85</v>
      </c>
      <c r="Z386" s="289">
        <v>6203.85</v>
      </c>
      <c r="AA386" s="307"/>
      <c r="AB386" s="289"/>
      <c r="AC386" s="307"/>
      <c r="AD386" s="307"/>
      <c r="AE386" s="307"/>
      <c r="AF386" s="307"/>
      <c r="AG386" s="291"/>
      <c r="AH386" s="291">
        <v>0</v>
      </c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</row>
    <row r="387" spans="1:1018">
      <c r="A387" s="293" t="s">
        <v>1199</v>
      </c>
      <c r="B387" s="178" t="s">
        <v>516</v>
      </c>
      <c r="C387" s="293" t="s">
        <v>1200</v>
      </c>
      <c r="D387" s="293"/>
      <c r="E387" s="286">
        <f t="shared" si="44"/>
        <v>7</v>
      </c>
      <c r="F387" s="280" t="s">
        <v>1201</v>
      </c>
      <c r="G387" s="281"/>
      <c r="H387" s="282">
        <v>10</v>
      </c>
      <c r="I387" s="282"/>
      <c r="J387" s="282"/>
      <c r="K387" s="175"/>
      <c r="L387" s="175"/>
      <c r="M387" s="175"/>
      <c r="N387" s="195">
        <f t="shared" si="43"/>
        <v>0</v>
      </c>
      <c r="O387" s="303"/>
      <c r="P387" s="304"/>
      <c r="Q387" s="304"/>
      <c r="R387" s="305">
        <v>3428</v>
      </c>
      <c r="S387" s="306">
        <v>5285</v>
      </c>
      <c r="T387" s="306"/>
      <c r="U387" s="9"/>
      <c r="V387" s="9"/>
      <c r="W387" s="291"/>
      <c r="X387" s="290"/>
      <c r="Y387" s="290"/>
      <c r="Z387" s="290"/>
      <c r="AA387" s="291"/>
      <c r="AB387" s="291"/>
      <c r="AC387" s="291"/>
      <c r="AD387" s="291"/>
      <c r="AE387" s="291"/>
      <c r="AF387" s="291"/>
      <c r="AG387" s="291"/>
      <c r="AH387" s="291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</row>
    <row r="388" spans="1:1018">
      <c r="A388" s="293" t="s">
        <v>1202</v>
      </c>
      <c r="B388" s="178" t="s">
        <v>553</v>
      </c>
      <c r="C388" s="293"/>
      <c r="D388" s="293" t="s">
        <v>1203</v>
      </c>
      <c r="E388" s="286">
        <f t="shared" si="44"/>
        <v>8</v>
      </c>
      <c r="F388" s="280" t="s">
        <v>1204</v>
      </c>
      <c r="G388" s="281">
        <v>0.15</v>
      </c>
      <c r="H388" s="282">
        <v>10</v>
      </c>
      <c r="I388" s="282"/>
      <c r="J388" s="282"/>
      <c r="K388" s="175">
        <v>4403.8500000000004</v>
      </c>
      <c r="L388" s="175"/>
      <c r="M388" s="175">
        <v>600</v>
      </c>
      <c r="N388" s="195">
        <f t="shared" si="43"/>
        <v>5003.8500000000004</v>
      </c>
      <c r="O388" s="303">
        <v>13672</v>
      </c>
      <c r="P388" s="304">
        <v>0</v>
      </c>
      <c r="Q388" s="304">
        <v>300</v>
      </c>
      <c r="R388" s="305" t="s">
        <v>1205</v>
      </c>
      <c r="S388" s="306">
        <f>5000+285</f>
        <v>5285</v>
      </c>
      <c r="T388" s="306"/>
      <c r="U388" s="9">
        <v>370</v>
      </c>
      <c r="V388" s="9"/>
      <c r="W388" s="291">
        <v>0</v>
      </c>
      <c r="X388" s="291">
        <v>4403.8500000000004</v>
      </c>
      <c r="Y388" s="291">
        <f>1920+600+1010</f>
        <v>3530</v>
      </c>
      <c r="Z388" s="291"/>
      <c r="AA388" s="291"/>
      <c r="AB388" s="291"/>
      <c r="AC388" s="291"/>
      <c r="AD388" s="291"/>
      <c r="AE388" s="291"/>
      <c r="AF388" s="291"/>
      <c r="AG388" s="291"/>
      <c r="AH388" s="291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</row>
    <row r="389" spans="1:1018">
      <c r="A389" s="551" t="s">
        <v>1206</v>
      </c>
      <c r="B389" s="178" t="s">
        <v>553</v>
      </c>
      <c r="C389" s="311" t="s">
        <v>359</v>
      </c>
      <c r="D389" s="311"/>
      <c r="E389" s="286">
        <f t="shared" si="44"/>
        <v>9</v>
      </c>
      <c r="F389" s="358" t="s">
        <v>1207</v>
      </c>
      <c r="G389" s="206">
        <v>0.15</v>
      </c>
      <c r="H389" s="206">
        <v>10</v>
      </c>
      <c r="I389" s="206"/>
      <c r="J389" s="206"/>
      <c r="K389" s="314">
        <v>4403.8500000000004</v>
      </c>
      <c r="L389" s="314">
        <v>1710</v>
      </c>
      <c r="M389" s="510"/>
      <c r="N389" s="195">
        <f t="shared" si="43"/>
        <v>6113.85</v>
      </c>
      <c r="O389" s="303">
        <v>13317</v>
      </c>
      <c r="P389" s="304">
        <v>1920</v>
      </c>
      <c r="Q389" s="304">
        <v>300</v>
      </c>
      <c r="R389" s="305">
        <v>3020</v>
      </c>
      <c r="S389" s="306">
        <v>5285</v>
      </c>
      <c r="T389" s="306"/>
      <c r="U389" s="9">
        <v>370</v>
      </c>
      <c r="V389" s="9">
        <v>370</v>
      </c>
      <c r="W389" s="291">
        <v>0</v>
      </c>
      <c r="X389" s="291">
        <v>6113.85</v>
      </c>
      <c r="Y389" s="291">
        <v>6113.85</v>
      </c>
      <c r="Z389" s="291">
        <v>6113.85</v>
      </c>
      <c r="AA389" s="291"/>
      <c r="AB389" s="291"/>
      <c r="AC389" s="291"/>
      <c r="AD389" s="291"/>
      <c r="AE389" s="291"/>
      <c r="AF389" s="291"/>
      <c r="AG389" s="291"/>
      <c r="AH389" s="291">
        <v>0</v>
      </c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</row>
    <row r="390" spans="1:1018">
      <c r="A390" s="4" t="s">
        <v>1208</v>
      </c>
      <c r="B390" s="178" t="s">
        <v>553</v>
      </c>
      <c r="C390" s="293"/>
      <c r="D390" s="293"/>
      <c r="E390" s="286">
        <f t="shared" si="44"/>
        <v>10</v>
      </c>
      <c r="F390" s="280" t="s">
        <v>1209</v>
      </c>
      <c r="G390" s="281"/>
      <c r="H390" s="282">
        <v>11</v>
      </c>
      <c r="I390" s="282"/>
      <c r="J390" s="282"/>
      <c r="K390" s="157">
        <v>4710</v>
      </c>
      <c r="L390" s="157"/>
      <c r="M390" s="157"/>
      <c r="N390" s="195">
        <f t="shared" si="43"/>
        <v>4710</v>
      </c>
      <c r="O390" s="303">
        <v>13337</v>
      </c>
      <c r="P390" s="304">
        <v>0</v>
      </c>
      <c r="Q390" s="304">
        <v>300</v>
      </c>
      <c r="R390" s="305" t="s">
        <v>488</v>
      </c>
      <c r="S390" s="306"/>
      <c r="T390" s="306"/>
      <c r="U390" s="9">
        <v>370</v>
      </c>
      <c r="V390" s="9">
        <v>370</v>
      </c>
      <c r="W390" s="291">
        <v>4710</v>
      </c>
      <c r="X390" s="291">
        <v>4710</v>
      </c>
      <c r="Y390" s="291">
        <v>4710</v>
      </c>
      <c r="Z390" s="291">
        <v>4710</v>
      </c>
      <c r="AA390" s="291"/>
      <c r="AB390" s="291"/>
      <c r="AC390" s="291"/>
      <c r="AD390" s="291"/>
      <c r="AE390" s="291"/>
      <c r="AF390" s="291"/>
      <c r="AG390" s="291"/>
      <c r="AH390" s="291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</row>
    <row r="391" spans="1:1018">
      <c r="A391" s="293" t="s">
        <v>1210</v>
      </c>
      <c r="B391" s="178" t="s">
        <v>553</v>
      </c>
      <c r="C391" s="293"/>
      <c r="D391" s="293"/>
      <c r="E391" s="286">
        <f t="shared" si="44"/>
        <v>11</v>
      </c>
      <c r="F391" s="280" t="s">
        <v>1211</v>
      </c>
      <c r="G391" s="281">
        <v>0.15</v>
      </c>
      <c r="H391" s="282">
        <v>10</v>
      </c>
      <c r="I391" s="282"/>
      <c r="J391" s="282"/>
      <c r="K391" s="175">
        <v>4403.8500000000004</v>
      </c>
      <c r="L391" s="175"/>
      <c r="M391" s="175"/>
      <c r="N391" s="195">
        <f t="shared" si="43"/>
        <v>4403.8500000000004</v>
      </c>
      <c r="O391" s="303">
        <v>13869</v>
      </c>
      <c r="P391" s="304"/>
      <c r="Q391" s="304">
        <v>300</v>
      </c>
      <c r="R391" s="305">
        <v>3491</v>
      </c>
      <c r="S391" s="306">
        <v>5285</v>
      </c>
      <c r="T391" s="306"/>
      <c r="U391" s="9">
        <v>370</v>
      </c>
      <c r="V391" s="9">
        <v>0</v>
      </c>
      <c r="W391" s="291">
        <v>0</v>
      </c>
      <c r="X391" s="315">
        <f>4003.5+400.35</f>
        <v>4403.8500000000004</v>
      </c>
      <c r="Y391" s="315">
        <f>4003.5+400.35</f>
        <v>4403.8500000000004</v>
      </c>
      <c r="Z391" s="291">
        <v>4403.8500000000004</v>
      </c>
      <c r="AA391" s="291"/>
      <c r="AB391" s="291"/>
      <c r="AC391" s="291"/>
      <c r="AD391" s="291"/>
      <c r="AE391" s="291"/>
      <c r="AF391" s="291"/>
      <c r="AG391" s="291"/>
      <c r="AH391" s="2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</row>
    <row r="392" spans="1:1018">
      <c r="A392" s="545" t="s">
        <v>290</v>
      </c>
      <c r="B392" s="178" t="s">
        <v>553</v>
      </c>
      <c r="C392" s="293" t="s">
        <v>345</v>
      </c>
      <c r="D392" s="293"/>
      <c r="E392" s="286">
        <f t="shared" si="44"/>
        <v>12</v>
      </c>
      <c r="F392" s="280" t="s">
        <v>1212</v>
      </c>
      <c r="G392" s="281">
        <v>0.15</v>
      </c>
      <c r="H392" s="282">
        <v>10</v>
      </c>
      <c r="I392" s="282"/>
      <c r="J392" s="282"/>
      <c r="K392" s="175">
        <v>4403.8500000000004</v>
      </c>
      <c r="L392" s="175">
        <v>1925</v>
      </c>
      <c r="M392" s="175"/>
      <c r="N392" s="195">
        <f t="shared" si="43"/>
        <v>6328.85</v>
      </c>
      <c r="O392" s="303">
        <v>13369</v>
      </c>
      <c r="P392" s="304">
        <v>1920</v>
      </c>
      <c r="Q392" s="304">
        <v>300</v>
      </c>
      <c r="R392" s="305">
        <v>2799</v>
      </c>
      <c r="S392" s="306">
        <v>5285</v>
      </c>
      <c r="T392" s="306"/>
      <c r="U392" s="9">
        <v>370</v>
      </c>
      <c r="V392" s="9">
        <v>370</v>
      </c>
      <c r="W392" s="291">
        <v>0</v>
      </c>
      <c r="X392" s="315">
        <v>6328.85</v>
      </c>
      <c r="Y392" s="561">
        <v>6328.85</v>
      </c>
      <c r="Z392" s="315">
        <v>6328.85</v>
      </c>
      <c r="AA392" s="307">
        <v>6328.85</v>
      </c>
      <c r="AB392" s="307"/>
      <c r="AC392" s="307"/>
      <c r="AD392" s="307"/>
      <c r="AE392" s="307"/>
      <c r="AF392" s="307"/>
      <c r="AG392" s="291"/>
      <c r="AH392" s="291">
        <v>0</v>
      </c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</row>
    <row r="393" spans="1:1018">
      <c r="A393" s="545" t="s">
        <v>1213</v>
      </c>
      <c r="B393" s="178" t="s">
        <v>553</v>
      </c>
      <c r="C393" s="293" t="s">
        <v>359</v>
      </c>
      <c r="D393" s="293"/>
      <c r="E393" s="286">
        <f t="shared" si="44"/>
        <v>13</v>
      </c>
      <c r="F393" s="280" t="s">
        <v>1214</v>
      </c>
      <c r="G393" s="282"/>
      <c r="H393" s="282">
        <v>10</v>
      </c>
      <c r="I393" s="282"/>
      <c r="J393" s="282"/>
      <c r="K393" s="175">
        <v>5181</v>
      </c>
      <c r="L393" s="175">
        <v>1800</v>
      </c>
      <c r="M393" s="175"/>
      <c r="N393" s="195">
        <f t="shared" si="43"/>
        <v>6981</v>
      </c>
      <c r="O393" s="303">
        <v>13282</v>
      </c>
      <c r="P393" s="304">
        <v>1920</v>
      </c>
      <c r="Q393" s="304">
        <v>300</v>
      </c>
      <c r="R393" s="305">
        <v>2951</v>
      </c>
      <c r="S393" s="306">
        <v>5285</v>
      </c>
      <c r="T393" s="306"/>
      <c r="U393" s="9">
        <v>370</v>
      </c>
      <c r="V393" s="9">
        <v>370</v>
      </c>
      <c r="W393" s="291">
        <v>0</v>
      </c>
      <c r="X393" s="291">
        <v>6981</v>
      </c>
      <c r="Y393" s="291">
        <v>6981</v>
      </c>
      <c r="Z393" s="291">
        <v>6981</v>
      </c>
      <c r="AA393" s="291"/>
      <c r="AB393" s="291"/>
      <c r="AC393" s="291"/>
      <c r="AD393" s="291"/>
      <c r="AE393" s="291"/>
      <c r="AF393" s="291"/>
      <c r="AG393" s="291"/>
      <c r="AH393" s="291">
        <v>0</v>
      </c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</row>
    <row r="394" spans="1:1018">
      <c r="A394" s="293" t="s">
        <v>1215</v>
      </c>
      <c r="B394" s="178" t="s">
        <v>553</v>
      </c>
      <c r="C394" s="293"/>
      <c r="D394" s="293"/>
      <c r="E394" s="286">
        <f t="shared" si="44"/>
        <v>14</v>
      </c>
      <c r="F394" s="280" t="s">
        <v>1216</v>
      </c>
      <c r="G394" s="281">
        <v>0.1</v>
      </c>
      <c r="H394" s="282">
        <v>10</v>
      </c>
      <c r="I394" s="282"/>
      <c r="J394" s="282"/>
      <c r="K394" s="157">
        <v>4662.8999999999996</v>
      </c>
      <c r="L394" s="157"/>
      <c r="M394" s="157"/>
      <c r="N394" s="195">
        <f t="shared" si="43"/>
        <v>4662.8999999999996</v>
      </c>
      <c r="O394" s="303">
        <v>13641</v>
      </c>
      <c r="P394" s="304">
        <v>2880</v>
      </c>
      <c r="Q394" s="304">
        <v>300</v>
      </c>
      <c r="R394" s="305">
        <v>3056</v>
      </c>
      <c r="S394" s="306">
        <v>5295</v>
      </c>
      <c r="T394" s="306"/>
      <c r="U394" s="9">
        <v>370</v>
      </c>
      <c r="V394" s="9">
        <v>0</v>
      </c>
      <c r="W394" s="291">
        <v>0</v>
      </c>
      <c r="X394" s="291">
        <v>4662.8999999999996</v>
      </c>
      <c r="Y394" s="289">
        <v>4662.8999999999996</v>
      </c>
      <c r="Z394" s="289"/>
      <c r="AA394" s="291"/>
      <c r="AB394" s="291"/>
      <c r="AC394" s="291"/>
      <c r="AD394" s="291"/>
      <c r="AE394" s="291"/>
      <c r="AF394" s="291"/>
      <c r="AG394" s="291"/>
      <c r="AH394" s="291">
        <v>0</v>
      </c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</row>
    <row r="395" spans="1:1018" ht="15.75" customHeight="1">
      <c r="A395" s="69" t="s">
        <v>1217</v>
      </c>
      <c r="B395" s="178" t="s">
        <v>553</v>
      </c>
      <c r="C395" s="293" t="s">
        <v>363</v>
      </c>
      <c r="D395" s="293"/>
      <c r="E395" s="286">
        <f t="shared" si="44"/>
        <v>15</v>
      </c>
      <c r="F395" s="280" t="s">
        <v>1218</v>
      </c>
      <c r="G395" s="281">
        <v>0.1</v>
      </c>
      <c r="H395" s="282">
        <v>10</v>
      </c>
      <c r="I395" s="282"/>
      <c r="J395" s="282"/>
      <c r="K395" s="157">
        <v>4662.8999999999996</v>
      </c>
      <c r="L395" s="157">
        <v>375</v>
      </c>
      <c r="M395" s="157"/>
      <c r="N395" s="195">
        <f t="shared" si="43"/>
        <v>5037.8999999999996</v>
      </c>
      <c r="O395" s="303">
        <v>13364</v>
      </c>
      <c r="P395" s="304">
        <v>1920</v>
      </c>
      <c r="Q395" s="304">
        <v>300</v>
      </c>
      <c r="R395" s="305">
        <v>2942</v>
      </c>
      <c r="S395" s="306">
        <v>5285</v>
      </c>
      <c r="T395" s="306"/>
      <c r="U395" s="9">
        <v>370</v>
      </c>
      <c r="V395" s="9"/>
      <c r="W395" s="291">
        <v>0</v>
      </c>
      <c r="X395" s="291">
        <v>5042.8999999999996</v>
      </c>
      <c r="Y395" s="291">
        <v>5037.8999999999996</v>
      </c>
      <c r="Z395" s="291">
        <v>5037.8999999999996</v>
      </c>
      <c r="AA395" s="291"/>
      <c r="AB395" s="291"/>
      <c r="AC395" s="291"/>
      <c r="AD395" s="291"/>
      <c r="AE395" s="291"/>
      <c r="AF395" s="291"/>
      <c r="AG395" s="291"/>
      <c r="AH395" s="291">
        <v>0</v>
      </c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</row>
    <row r="396" spans="1:1018">
      <c r="A396" s="335" t="s">
        <v>1219</v>
      </c>
      <c r="B396" s="178" t="s">
        <v>553</v>
      </c>
      <c r="C396" s="293"/>
      <c r="D396" s="293"/>
      <c r="E396" s="286">
        <f t="shared" si="44"/>
        <v>16</v>
      </c>
      <c r="F396" s="280" t="s">
        <v>1220</v>
      </c>
      <c r="G396" s="281">
        <v>0.15</v>
      </c>
      <c r="H396" s="282">
        <v>10</v>
      </c>
      <c r="I396" s="282"/>
      <c r="J396" s="282"/>
      <c r="K396" s="175">
        <v>4403.8500000000004</v>
      </c>
      <c r="L396" s="175"/>
      <c r="M396" s="175"/>
      <c r="N396" s="195">
        <f t="shared" si="43"/>
        <v>4403.8500000000004</v>
      </c>
      <c r="O396" s="303">
        <v>13318</v>
      </c>
      <c r="P396" s="304">
        <v>1600</v>
      </c>
      <c r="Q396" s="304">
        <v>300</v>
      </c>
      <c r="R396" s="305">
        <v>3216</v>
      </c>
      <c r="S396" s="306">
        <v>5285</v>
      </c>
      <c r="T396" s="306"/>
      <c r="U396" s="9">
        <v>215</v>
      </c>
      <c r="V396" s="9"/>
      <c r="W396" s="291">
        <v>0</v>
      </c>
      <c r="X396" s="291">
        <v>1800</v>
      </c>
      <c r="Y396" s="291"/>
      <c r="Z396" s="291"/>
      <c r="AA396" s="291"/>
      <c r="AB396" s="291"/>
      <c r="AC396" s="291"/>
      <c r="AD396" s="291"/>
      <c r="AE396" s="291"/>
      <c r="AF396" s="291"/>
      <c r="AG396" s="291"/>
      <c r="AH396" s="291">
        <v>0</v>
      </c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</row>
    <row r="397" spans="1:1018">
      <c r="A397" s="335" t="s">
        <v>1221</v>
      </c>
      <c r="B397" s="178" t="s">
        <v>553</v>
      </c>
      <c r="C397" s="293"/>
      <c r="D397" s="293"/>
      <c r="E397" s="286">
        <f t="shared" si="44"/>
        <v>17</v>
      </c>
      <c r="F397" s="280" t="s">
        <v>1222</v>
      </c>
      <c r="G397" s="281">
        <v>0.1</v>
      </c>
      <c r="H397" s="282">
        <v>10</v>
      </c>
      <c r="I397" s="365"/>
      <c r="J397" s="365"/>
      <c r="K397" s="157">
        <v>4403.8500000000004</v>
      </c>
      <c r="L397" s="157"/>
      <c r="M397" s="157"/>
      <c r="N397" s="195">
        <f t="shared" si="43"/>
        <v>4403.8500000000004</v>
      </c>
      <c r="O397" s="303">
        <v>13725</v>
      </c>
      <c r="P397" s="304">
        <v>2880</v>
      </c>
      <c r="Q397" s="304">
        <v>300</v>
      </c>
      <c r="R397" s="305">
        <v>3201</v>
      </c>
      <c r="S397" s="306">
        <v>5285</v>
      </c>
      <c r="T397" s="306"/>
      <c r="U397" s="9"/>
      <c r="V397" s="9"/>
      <c r="W397" s="308">
        <v>0</v>
      </c>
      <c r="X397" s="309"/>
      <c r="Y397" s="309"/>
      <c r="Z397" s="290"/>
      <c r="AA397" s="290"/>
      <c r="AB397" s="289"/>
      <c r="AC397" s="289"/>
      <c r="AD397" s="289"/>
      <c r="AE397" s="289"/>
      <c r="AF397" s="291"/>
      <c r="AG397" s="291"/>
      <c r="AH397" s="291">
        <v>0</v>
      </c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</row>
    <row r="398" spans="1:1018">
      <c r="A398" s="552" t="s">
        <v>1223</v>
      </c>
      <c r="B398" s="178" t="s">
        <v>553</v>
      </c>
      <c r="C398" s="293" t="s">
        <v>819</v>
      </c>
      <c r="D398" s="293"/>
      <c r="E398" s="286">
        <f t="shared" si="44"/>
        <v>18</v>
      </c>
      <c r="F398" s="280" t="s">
        <v>1224</v>
      </c>
      <c r="G398" s="281">
        <v>0.15</v>
      </c>
      <c r="H398" s="282">
        <v>10</v>
      </c>
      <c r="I398" s="282"/>
      <c r="J398" s="282"/>
      <c r="K398" s="157"/>
      <c r="L398" s="157"/>
      <c r="M398" s="157"/>
      <c r="N398" s="195">
        <f t="shared" si="43"/>
        <v>0</v>
      </c>
      <c r="O398" s="303">
        <v>13868</v>
      </c>
      <c r="P398" s="304"/>
      <c r="Q398" s="304">
        <v>300</v>
      </c>
      <c r="R398" s="305">
        <v>3427</v>
      </c>
      <c r="S398" s="306">
        <v>5285</v>
      </c>
      <c r="T398" s="306"/>
      <c r="U398" s="9"/>
      <c r="V398" s="9"/>
      <c r="W398" s="291"/>
      <c r="X398" t="s">
        <v>1225</v>
      </c>
      <c r="Y398" s="291"/>
      <c r="Z398" s="291"/>
      <c r="AA398" s="291"/>
      <c r="AB398" s="45"/>
      <c r="AC398" s="45"/>
      <c r="AD398" s="45"/>
      <c r="AE398" s="45"/>
      <c r="AF398" s="45"/>
      <c r="AG398" s="45"/>
      <c r="AH398" s="291">
        <v>0</v>
      </c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</row>
    <row r="399" spans="1:1018">
      <c r="A399" s="545" t="s">
        <v>1226</v>
      </c>
      <c r="B399" s="178" t="s">
        <v>553</v>
      </c>
      <c r="C399" s="293" t="s">
        <v>359</v>
      </c>
      <c r="D399" s="293"/>
      <c r="E399" s="286">
        <f t="shared" si="44"/>
        <v>19</v>
      </c>
      <c r="F399" s="280" t="s">
        <v>1227</v>
      </c>
      <c r="G399" s="281">
        <v>0.15</v>
      </c>
      <c r="H399" s="282">
        <v>10</v>
      </c>
      <c r="I399" s="282"/>
      <c r="J399" s="282"/>
      <c r="K399" s="175">
        <v>4403.8500000000004</v>
      </c>
      <c r="L399" s="175">
        <v>1800</v>
      </c>
      <c r="M399" s="175"/>
      <c r="N399" s="195">
        <f t="shared" si="43"/>
        <v>6203.85</v>
      </c>
      <c r="O399" s="303">
        <v>13375</v>
      </c>
      <c r="P399" s="304">
        <v>1920</v>
      </c>
      <c r="Q399" s="304">
        <v>300</v>
      </c>
      <c r="R399" s="305">
        <v>3203</v>
      </c>
      <c r="S399" s="306">
        <v>5285</v>
      </c>
      <c r="T399" s="306"/>
      <c r="U399" s="9">
        <v>370</v>
      </c>
      <c r="V399" s="9">
        <v>370</v>
      </c>
      <c r="W399" s="291">
        <v>0</v>
      </c>
      <c r="X399" s="316">
        <v>6203.85</v>
      </c>
      <c r="Y399" s="316">
        <v>6203.85</v>
      </c>
      <c r="Z399" s="315">
        <v>6203.85</v>
      </c>
      <c r="AA399" s="315"/>
      <c r="AB399" s="315"/>
      <c r="AC399" s="315"/>
      <c r="AD399" s="315"/>
      <c r="AE399" s="315"/>
      <c r="AF399" s="315"/>
      <c r="AG399" s="291"/>
      <c r="AH399" s="291">
        <v>0</v>
      </c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</row>
    <row r="400" spans="1:1018">
      <c r="A400" s="545" t="s">
        <v>1228</v>
      </c>
      <c r="B400" s="178" t="s">
        <v>553</v>
      </c>
      <c r="C400" s="293" t="s">
        <v>1229</v>
      </c>
      <c r="D400" s="293"/>
      <c r="E400" s="286">
        <f t="shared" si="44"/>
        <v>20</v>
      </c>
      <c r="F400" s="280" t="s">
        <v>1230</v>
      </c>
      <c r="G400" s="281"/>
      <c r="H400" s="282">
        <v>10</v>
      </c>
      <c r="I400" s="282"/>
      <c r="J400" s="282"/>
      <c r="K400" s="175">
        <v>5181</v>
      </c>
      <c r="L400" s="157">
        <v>2105</v>
      </c>
      <c r="M400" s="157"/>
      <c r="N400" s="195">
        <f t="shared" si="43"/>
        <v>7286</v>
      </c>
      <c r="O400" s="303" t="s">
        <v>1231</v>
      </c>
      <c r="P400" s="304">
        <v>1920</v>
      </c>
      <c r="Q400" s="304">
        <v>300</v>
      </c>
      <c r="R400" s="305">
        <v>3474</v>
      </c>
      <c r="S400" s="306">
        <v>5285</v>
      </c>
      <c r="T400" s="306"/>
      <c r="U400" s="9"/>
      <c r="V400" s="9"/>
      <c r="W400" s="291">
        <v>0</v>
      </c>
      <c r="X400" s="291"/>
      <c r="Y400" s="291"/>
      <c r="Z400" s="291"/>
      <c r="AA400" s="291"/>
      <c r="AB400" s="291"/>
      <c r="AC400" s="291"/>
      <c r="AD400" s="289"/>
      <c r="AE400" s="289"/>
      <c r="AF400" s="289"/>
      <c r="AG400" s="289"/>
      <c r="AH400" s="291">
        <v>0</v>
      </c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</row>
    <row r="401" spans="1:1018">
      <c r="A401" s="282"/>
      <c r="B401" s="282"/>
      <c r="C401" s="282"/>
      <c r="D401" s="282"/>
      <c r="E401" s="282"/>
      <c r="F401" s="280"/>
      <c r="G401" s="281">
        <f ca="1">SUM(G360:G432)</f>
        <v>4.74</v>
      </c>
      <c r="H401" s="282"/>
      <c r="I401" s="282"/>
      <c r="J401" s="282"/>
      <c r="K401" s="175"/>
      <c r="L401" s="175"/>
      <c r="M401" s="175"/>
      <c r="N401" s="195"/>
      <c r="O401" s="303"/>
      <c r="P401" s="304"/>
      <c r="Q401" s="304"/>
      <c r="R401" s="305"/>
      <c r="S401" s="306"/>
      <c r="T401" s="306"/>
      <c r="U401" s="9"/>
      <c r="V401" s="9"/>
      <c r="W401" s="291"/>
      <c r="X401" s="291"/>
      <c r="Y401" s="291"/>
      <c r="Z401" s="291"/>
      <c r="AA401" s="291"/>
      <c r="AB401" s="291"/>
      <c r="AC401" s="291"/>
      <c r="AD401" s="291"/>
      <c r="AE401" s="291"/>
      <c r="AF401" s="291"/>
      <c r="AG401" s="291"/>
      <c r="AH401" s="29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</row>
    <row r="402" spans="1:1018">
      <c r="F402" s="337"/>
      <c r="N402" s="195"/>
      <c r="O402" s="196"/>
      <c r="P402" s="258"/>
      <c r="Q402" s="258"/>
      <c r="R402" s="259"/>
      <c r="S402" s="260"/>
      <c r="T402" s="260"/>
      <c r="U402" s="261"/>
      <c r="V402" s="261"/>
      <c r="W402" s="175"/>
      <c r="X402" s="175"/>
      <c r="Y402" s="175"/>
      <c r="Z402" s="175"/>
      <c r="AA402" s="175"/>
      <c r="AB402" s="175"/>
      <c r="AC402" s="175"/>
      <c r="AD402" s="175"/>
      <c r="AE402" s="175"/>
      <c r="AF402" s="175"/>
      <c r="AG402" s="175"/>
      <c r="AH402" s="175"/>
    </row>
    <row r="403" spans="1:1018" s="151" customFormat="1" ht="45">
      <c r="A403" s="134" t="s">
        <v>291</v>
      </c>
      <c r="B403" s="134"/>
      <c r="C403" s="135" t="s">
        <v>339</v>
      </c>
      <c r="D403" s="135"/>
      <c r="E403" s="134"/>
      <c r="F403" s="232" t="s">
        <v>961</v>
      </c>
      <c r="G403" s="134" t="s">
        <v>426</v>
      </c>
      <c r="H403" s="299" t="s">
        <v>427</v>
      </c>
      <c r="I403" s="300"/>
      <c r="J403" s="235" t="s">
        <v>429</v>
      </c>
      <c r="K403" s="236" t="s">
        <v>441</v>
      </c>
      <c r="L403" s="237"/>
      <c r="M403" s="238" t="s">
        <v>431</v>
      </c>
      <c r="N403" s="239" t="s">
        <v>432</v>
      </c>
      <c r="O403" s="144"/>
      <c r="P403" s="145"/>
      <c r="Q403" s="145"/>
      <c r="R403" s="240"/>
      <c r="S403" s="241"/>
      <c r="T403" s="241"/>
      <c r="U403" s="242"/>
      <c r="V403" s="242"/>
      <c r="W403" s="150" t="s">
        <v>437</v>
      </c>
      <c r="X403" s="150" t="s">
        <v>438</v>
      </c>
      <c r="Y403" s="150" t="s">
        <v>2</v>
      </c>
      <c r="Z403" s="150" t="s">
        <v>4</v>
      </c>
      <c r="AA403" s="150" t="s">
        <v>5</v>
      </c>
      <c r="AB403" s="150" t="s">
        <v>6</v>
      </c>
      <c r="AC403" s="150" t="s">
        <v>7</v>
      </c>
      <c r="AD403" s="150" t="s">
        <v>8</v>
      </c>
      <c r="AE403" s="150" t="s">
        <v>9</v>
      </c>
      <c r="AF403" s="150" t="s">
        <v>10</v>
      </c>
      <c r="AG403" s="150" t="s">
        <v>340</v>
      </c>
      <c r="AH403" s="150" t="s">
        <v>439</v>
      </c>
    </row>
    <row r="404" spans="1:1018" ht="15.75" customHeight="1">
      <c r="A404" s="545" t="s">
        <v>1232</v>
      </c>
      <c r="B404" s="286"/>
      <c r="C404" s="293" t="s">
        <v>378</v>
      </c>
      <c r="D404" s="293"/>
      <c r="E404" s="178">
        <f>1+E403</f>
        <v>1</v>
      </c>
      <c r="F404" s="280" t="s">
        <v>1233</v>
      </c>
      <c r="G404" s="301">
        <v>0.1</v>
      </c>
      <c r="H404" s="263">
        <v>10</v>
      </c>
      <c r="I404" s="263"/>
      <c r="J404" s="263"/>
      <c r="K404" s="350">
        <v>4662.8999999999996</v>
      </c>
      <c r="L404" s="350">
        <v>375</v>
      </c>
      <c r="M404" s="350"/>
      <c r="N404" s="195">
        <f t="shared" ref="N404:N413" si="45">+J404+K404+L404+M404</f>
        <v>5037.8999999999996</v>
      </c>
      <c r="O404" s="303">
        <v>13294</v>
      </c>
      <c r="P404" s="304">
        <v>1920</v>
      </c>
      <c r="Q404" s="304">
        <v>300</v>
      </c>
      <c r="R404" s="305">
        <v>3052</v>
      </c>
      <c r="S404" s="306">
        <v>5295</v>
      </c>
      <c r="T404" s="306"/>
      <c r="U404" s="9">
        <v>370</v>
      </c>
      <c r="V404" s="9">
        <v>370</v>
      </c>
      <c r="W404" s="291">
        <v>0</v>
      </c>
      <c r="X404" s="291">
        <v>5037.8999999999996</v>
      </c>
      <c r="Y404" s="315">
        <v>5037.8999999999996</v>
      </c>
      <c r="Z404" s="315">
        <v>5037.8999999999996</v>
      </c>
      <c r="AA404" s="291"/>
      <c r="AB404" s="291"/>
      <c r="AC404" s="307"/>
      <c r="AD404" s="307"/>
      <c r="AE404" s="307"/>
      <c r="AF404" s="307"/>
      <c r="AG404" s="291"/>
      <c r="AH404" s="291">
        <v>0</v>
      </c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</row>
    <row r="405" spans="1:1018">
      <c r="A405" s="545" t="s">
        <v>1234</v>
      </c>
      <c r="B405" s="286"/>
      <c r="C405" s="293" t="s">
        <v>1235</v>
      </c>
      <c r="D405" s="293" t="s">
        <v>1236</v>
      </c>
      <c r="E405" s="178">
        <f t="shared" ref="E405:E432" si="46">+E404+1</f>
        <v>2</v>
      </c>
      <c r="F405" s="280" t="s">
        <v>1237</v>
      </c>
      <c r="G405" s="263">
        <v>0.15</v>
      </c>
      <c r="H405" s="263">
        <v>10</v>
      </c>
      <c r="I405" s="263"/>
      <c r="J405" s="263"/>
      <c r="K405" s="350">
        <v>4403.8500000000004</v>
      </c>
      <c r="L405" s="350">
        <v>1710</v>
      </c>
      <c r="M405" s="350">
        <v>600</v>
      </c>
      <c r="N405" s="195">
        <f t="shared" si="45"/>
        <v>6713.85</v>
      </c>
      <c r="O405" s="303">
        <v>13582</v>
      </c>
      <c r="P405" s="304">
        <v>1920</v>
      </c>
      <c r="Q405" s="304">
        <v>300</v>
      </c>
      <c r="R405" s="305" t="s">
        <v>488</v>
      </c>
      <c r="S405" s="306">
        <v>5295</v>
      </c>
      <c r="T405" s="306"/>
      <c r="U405" s="9"/>
      <c r="V405" s="9"/>
      <c r="W405" s="291">
        <v>0</v>
      </c>
      <c r="X405" s="291">
        <v>6713.85</v>
      </c>
      <c r="Y405" s="291">
        <v>6713.85</v>
      </c>
      <c r="Z405" s="290">
        <v>6114.25</v>
      </c>
      <c r="AA405" s="291"/>
      <c r="AB405" s="315"/>
      <c r="AC405" s="315"/>
      <c r="AD405" s="198"/>
      <c r="AE405" s="315"/>
      <c r="AF405" s="291"/>
      <c r="AG405" s="291"/>
      <c r="AH405" s="291">
        <v>0</v>
      </c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</row>
    <row r="406" spans="1:1018">
      <c r="A406" s="545" t="s">
        <v>1238</v>
      </c>
      <c r="B406" s="286"/>
      <c r="C406" s="293" t="s">
        <v>1083</v>
      </c>
      <c r="D406" s="293"/>
      <c r="E406" s="178">
        <f t="shared" si="46"/>
        <v>3</v>
      </c>
      <c r="F406" s="280" t="s">
        <v>1239</v>
      </c>
      <c r="G406" s="301"/>
      <c r="H406" s="263">
        <v>10</v>
      </c>
      <c r="I406" s="263"/>
      <c r="J406" s="263"/>
      <c r="K406" s="353">
        <v>5445</v>
      </c>
      <c r="L406" s="353">
        <v>2105</v>
      </c>
      <c r="M406" s="353"/>
      <c r="N406" s="195">
        <f t="shared" si="45"/>
        <v>7550</v>
      </c>
      <c r="O406" s="303">
        <v>13678</v>
      </c>
      <c r="P406" s="304">
        <v>2880</v>
      </c>
      <c r="Q406" s="304">
        <v>300</v>
      </c>
      <c r="R406" s="305">
        <v>3182</v>
      </c>
      <c r="S406" s="306">
        <v>5030</v>
      </c>
      <c r="T406" s="306" t="s">
        <v>1240</v>
      </c>
      <c r="U406" s="9">
        <v>370</v>
      </c>
      <c r="V406" s="9">
        <v>370</v>
      </c>
      <c r="W406" s="291">
        <v>0</v>
      </c>
      <c r="X406" s="289">
        <f>2105+5181</f>
        <v>7286</v>
      </c>
      <c r="Y406" s="316">
        <f>5181+2105</f>
        <v>7286</v>
      </c>
      <c r="Z406" s="315">
        <v>5181</v>
      </c>
      <c r="AA406" s="315">
        <f>95+370</f>
        <v>465</v>
      </c>
      <c r="AB406" s="315"/>
      <c r="AC406" s="315"/>
      <c r="AD406" s="315"/>
      <c r="AE406" s="315"/>
      <c r="AF406" s="315"/>
      <c r="AG406" s="291"/>
      <c r="AH406" s="291">
        <v>0</v>
      </c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</row>
    <row r="407" spans="1:1018">
      <c r="A407" s="545" t="s">
        <v>1241</v>
      </c>
      <c r="B407" s="286"/>
      <c r="C407" s="293" t="s">
        <v>378</v>
      </c>
      <c r="D407" s="293" t="s">
        <v>1236</v>
      </c>
      <c r="E407" s="178">
        <f t="shared" si="46"/>
        <v>4</v>
      </c>
      <c r="F407" s="280" t="s">
        <v>1242</v>
      </c>
      <c r="G407" s="301">
        <v>0.15</v>
      </c>
      <c r="H407" s="263">
        <v>10</v>
      </c>
      <c r="I407" s="263"/>
      <c r="J407" s="263"/>
      <c r="K407" s="353">
        <v>4403.8500000000004</v>
      </c>
      <c r="L407" s="353">
        <v>375</v>
      </c>
      <c r="M407" s="353">
        <v>600</v>
      </c>
      <c r="N407" s="195">
        <f t="shared" si="45"/>
        <v>5378.85</v>
      </c>
      <c r="O407" s="303">
        <v>13742</v>
      </c>
      <c r="P407" s="304">
        <v>2880</v>
      </c>
      <c r="Q407" s="304">
        <v>300</v>
      </c>
      <c r="R407" s="305">
        <v>3403</v>
      </c>
      <c r="S407" s="306">
        <v>5295</v>
      </c>
      <c r="T407" s="306"/>
      <c r="U407" s="9">
        <v>370</v>
      </c>
      <c r="V407" s="9"/>
      <c r="W407" s="291">
        <v>0</v>
      </c>
      <c r="X407" s="291">
        <v>5017.79</v>
      </c>
      <c r="Y407" s="291">
        <f>600+375+2693.6</f>
        <v>3668.6</v>
      </c>
      <c r="Z407" s="291"/>
      <c r="AA407" s="289"/>
      <c r="AB407" s="291"/>
      <c r="AC407" s="291"/>
      <c r="AD407" s="291"/>
      <c r="AE407" s="291"/>
      <c r="AF407" s="291"/>
      <c r="AG407" s="291"/>
      <c r="AH407" s="291">
        <v>0</v>
      </c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</row>
    <row r="408" spans="1:1018">
      <c r="A408" s="538" t="s">
        <v>1243</v>
      </c>
      <c r="B408" s="134"/>
      <c r="C408" s="151" t="s">
        <v>1235</v>
      </c>
      <c r="E408" s="178">
        <f t="shared" si="46"/>
        <v>5</v>
      </c>
      <c r="F408" s="232" t="s">
        <v>1244</v>
      </c>
      <c r="G408" s="301">
        <v>0.1</v>
      </c>
      <c r="H408" s="263">
        <v>10</v>
      </c>
      <c r="I408" s="263"/>
      <c r="J408" s="263"/>
      <c r="K408" s="350">
        <v>4662.8999999999996</v>
      </c>
      <c r="L408" s="350">
        <v>1260</v>
      </c>
      <c r="M408" s="353"/>
      <c r="N408" s="195">
        <f t="shared" si="45"/>
        <v>5922.9</v>
      </c>
      <c r="O408" s="303">
        <v>13483</v>
      </c>
      <c r="P408" s="304">
        <v>1920</v>
      </c>
      <c r="Q408" s="304">
        <v>300</v>
      </c>
      <c r="R408" s="305">
        <v>2973</v>
      </c>
      <c r="S408" s="306">
        <v>5295</v>
      </c>
      <c r="T408" s="306"/>
      <c r="U408" s="9"/>
      <c r="V408" s="9"/>
      <c r="W408" s="291">
        <v>0</v>
      </c>
      <c r="X408" s="289">
        <f>4662.9+1200</f>
        <v>5862.9</v>
      </c>
      <c r="Y408" s="290">
        <f>1200+4663</f>
        <v>5863</v>
      </c>
      <c r="Z408" s="290"/>
      <c r="AA408" s="290"/>
      <c r="AB408" s="290"/>
      <c r="AC408" s="290"/>
      <c r="AD408" s="290"/>
      <c r="AE408" s="290"/>
      <c r="AF408" s="290"/>
      <c r="AG408" s="291"/>
      <c r="AH408" s="291">
        <v>0</v>
      </c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</row>
    <row r="409" spans="1:1018">
      <c r="A409" s="530" t="s">
        <v>1245</v>
      </c>
      <c r="B409" s="366"/>
      <c r="C409" s="282" t="s">
        <v>1235</v>
      </c>
      <c r="D409" s="282"/>
      <c r="E409" s="178">
        <f t="shared" si="46"/>
        <v>6</v>
      </c>
      <c r="F409" s="280" t="s">
        <v>1246</v>
      </c>
      <c r="G409" s="367">
        <v>0.1</v>
      </c>
      <c r="H409" s="263">
        <v>11</v>
      </c>
      <c r="I409" s="263"/>
      <c r="J409" s="263">
        <v>4239</v>
      </c>
      <c r="K409" s="350"/>
      <c r="L409" s="350"/>
      <c r="M409" s="353"/>
      <c r="N409" s="195">
        <f t="shared" si="45"/>
        <v>4239</v>
      </c>
      <c r="O409" s="303">
        <v>13667</v>
      </c>
      <c r="P409" s="304">
        <v>2880</v>
      </c>
      <c r="Q409" s="304">
        <v>300</v>
      </c>
      <c r="R409" s="305">
        <v>3456</v>
      </c>
      <c r="S409" s="306">
        <v>5295</v>
      </c>
      <c r="T409" s="306"/>
      <c r="U409" s="9"/>
      <c r="V409" s="9"/>
      <c r="W409" s="290">
        <v>0</v>
      </c>
      <c r="X409" s="290">
        <v>4662.8999999999996</v>
      </c>
      <c r="Y409" s="290">
        <v>4662.8999999999996</v>
      </c>
      <c r="Z409" s="290">
        <v>85</v>
      </c>
      <c r="AA409" s="290"/>
      <c r="AB409" s="290"/>
      <c r="AC409" s="290"/>
      <c r="AD409" s="290"/>
      <c r="AE409" s="290"/>
      <c r="AF409" s="290"/>
      <c r="AG409" s="290"/>
      <c r="AH409" s="291">
        <v>0</v>
      </c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</row>
    <row r="410" spans="1:1018">
      <c r="A410" s="553" t="s">
        <v>1247</v>
      </c>
      <c r="B410" s="286"/>
      <c r="C410" s="356" t="s">
        <v>1235</v>
      </c>
      <c r="D410" s="356"/>
      <c r="E410" s="178">
        <f t="shared" si="46"/>
        <v>7</v>
      </c>
      <c r="F410" s="351" t="s">
        <v>1248</v>
      </c>
      <c r="G410" s="301">
        <v>0.15</v>
      </c>
      <c r="H410" s="263">
        <v>10</v>
      </c>
      <c r="I410" s="263"/>
      <c r="J410" s="263"/>
      <c r="K410" s="350">
        <v>4403.8500000000004</v>
      </c>
      <c r="L410" s="353">
        <v>1260</v>
      </c>
      <c r="M410" s="353"/>
      <c r="N410" s="195">
        <f t="shared" si="45"/>
        <v>5663.85</v>
      </c>
      <c r="O410" s="303">
        <v>13342</v>
      </c>
      <c r="P410" s="304">
        <v>1920</v>
      </c>
      <c r="Q410" s="304">
        <v>300</v>
      </c>
      <c r="R410" s="305">
        <v>3204</v>
      </c>
      <c r="S410" s="306">
        <v>5285</v>
      </c>
      <c r="T410" s="306"/>
      <c r="U410" s="9"/>
      <c r="V410" s="9"/>
      <c r="W410" s="291">
        <v>0</v>
      </c>
      <c r="X410" s="315">
        <v>5663.85</v>
      </c>
      <c r="Y410" s="315">
        <v>5663.85</v>
      </c>
      <c r="Z410" s="315">
        <v>5663.85</v>
      </c>
      <c r="AA410" s="291"/>
      <c r="AB410" s="307"/>
      <c r="AC410" s="291"/>
      <c r="AD410" s="291"/>
      <c r="AE410" s="307"/>
      <c r="AF410" s="307"/>
      <c r="AG410" s="291"/>
      <c r="AH410" s="291">
        <v>0</v>
      </c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</row>
    <row r="411" spans="1:1018">
      <c r="A411" s="545" t="s">
        <v>1249</v>
      </c>
      <c r="B411" s="286"/>
      <c r="C411" s="293" t="s">
        <v>1235</v>
      </c>
      <c r="D411" s="293"/>
      <c r="E411" s="178">
        <f t="shared" si="46"/>
        <v>8</v>
      </c>
      <c r="F411" s="280" t="s">
        <v>1250</v>
      </c>
      <c r="G411" s="301">
        <v>0.15</v>
      </c>
      <c r="H411" s="263">
        <v>10</v>
      </c>
      <c r="I411" s="263"/>
      <c r="J411" s="263"/>
      <c r="K411" s="353">
        <v>4403.8500000000004</v>
      </c>
      <c r="L411" s="353">
        <v>1710</v>
      </c>
      <c r="M411" s="353"/>
      <c r="N411" s="195">
        <f t="shared" si="45"/>
        <v>6113.85</v>
      </c>
      <c r="O411" s="303">
        <v>13432</v>
      </c>
      <c r="P411" s="304">
        <v>1920</v>
      </c>
      <c r="Q411" s="304">
        <v>300</v>
      </c>
      <c r="R411" s="305">
        <v>3194</v>
      </c>
      <c r="S411" s="306">
        <v>5295</v>
      </c>
      <c r="T411" s="306"/>
      <c r="U411" s="9">
        <v>370</v>
      </c>
      <c r="V411" s="9"/>
      <c r="W411" s="291">
        <v>0</v>
      </c>
      <c r="X411" s="315">
        <v>6419.54</v>
      </c>
      <c r="Y411" s="291">
        <v>6113.85</v>
      </c>
      <c r="Z411" s="289"/>
      <c r="AA411" s="307"/>
      <c r="AB411" s="307"/>
      <c r="AC411" s="307"/>
      <c r="AD411" s="307"/>
      <c r="AE411" s="307"/>
      <c r="AF411" s="307"/>
      <c r="AG411" s="291"/>
      <c r="AH411" s="291">
        <v>0</v>
      </c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</row>
    <row r="412" spans="1:1018">
      <c r="A412" s="545" t="s">
        <v>1251</v>
      </c>
      <c r="B412" s="286"/>
      <c r="C412" s="293" t="s">
        <v>1235</v>
      </c>
      <c r="D412" s="293"/>
      <c r="E412" s="178">
        <f t="shared" si="46"/>
        <v>9</v>
      </c>
      <c r="F412" s="280" t="s">
        <v>1252</v>
      </c>
      <c r="G412" s="301">
        <v>0.2</v>
      </c>
      <c r="H412" s="263">
        <v>10</v>
      </c>
      <c r="I412" s="263"/>
      <c r="J412" s="263"/>
      <c r="K412" s="353">
        <v>4144.8</v>
      </c>
      <c r="L412" s="353">
        <v>2000</v>
      </c>
      <c r="M412" s="353"/>
      <c r="N412" s="195">
        <f t="shared" si="45"/>
        <v>6144.8</v>
      </c>
      <c r="O412" s="303"/>
      <c r="P412" s="304"/>
      <c r="Q412" s="304"/>
      <c r="R412" s="305" t="s">
        <v>488</v>
      </c>
      <c r="S412" s="306">
        <v>5295</v>
      </c>
      <c r="T412" s="306"/>
      <c r="U412" s="9">
        <v>370</v>
      </c>
      <c r="V412" s="9"/>
      <c r="W412" s="291">
        <v>0</v>
      </c>
      <c r="X412" s="290">
        <v>6144.8</v>
      </c>
      <c r="Y412" s="290">
        <v>6144.8</v>
      </c>
      <c r="Z412" s="290">
        <v>6144.8</v>
      </c>
      <c r="AA412" s="290"/>
      <c r="AB412" s="290"/>
      <c r="AC412" s="290"/>
      <c r="AD412" s="290"/>
      <c r="AE412" s="290"/>
      <c r="AF412" s="290"/>
      <c r="AG412" s="291"/>
      <c r="AH412" s="291">
        <v>0</v>
      </c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</row>
    <row r="413" spans="1:1018">
      <c r="A413" s="545" t="s">
        <v>1253</v>
      </c>
      <c r="B413" s="293"/>
      <c r="C413" s="293" t="s">
        <v>637</v>
      </c>
      <c r="D413" s="293"/>
      <c r="E413" s="178">
        <f t="shared" si="46"/>
        <v>10</v>
      </c>
      <c r="F413" s="280" t="s">
        <v>1254</v>
      </c>
      <c r="G413" s="263">
        <v>0.1</v>
      </c>
      <c r="H413" s="263">
        <v>10</v>
      </c>
      <c r="I413" s="263"/>
      <c r="J413" s="263"/>
      <c r="K413" s="350">
        <v>4662.8999999999996</v>
      </c>
      <c r="L413" s="350">
        <v>2025</v>
      </c>
      <c r="M413" s="350"/>
      <c r="N413" s="195">
        <f t="shared" si="45"/>
        <v>6687.9</v>
      </c>
      <c r="O413" s="303">
        <v>13521</v>
      </c>
      <c r="P413" s="304">
        <v>1920</v>
      </c>
      <c r="Q413" s="304">
        <v>300</v>
      </c>
      <c r="R413" s="305">
        <v>3537</v>
      </c>
      <c r="S413" s="306">
        <v>2087</v>
      </c>
      <c r="T413" s="306" t="s">
        <v>1255</v>
      </c>
      <c r="U413" s="9">
        <v>370</v>
      </c>
      <c r="V413" s="9"/>
      <c r="W413" s="291">
        <v>0</v>
      </c>
      <c r="X413" s="289">
        <f>6534.75+153.15</f>
        <v>6687.9</v>
      </c>
      <c r="Y413" s="290">
        <f>6244.75</f>
        <v>6244.75</v>
      </c>
      <c r="Z413" s="290"/>
      <c r="AA413" s="290"/>
      <c r="AB413" s="290"/>
      <c r="AC413" s="290"/>
      <c r="AD413" s="176"/>
      <c r="AE413" s="290"/>
      <c r="AF413" s="291"/>
      <c r="AG413" s="291"/>
      <c r="AH413" s="291">
        <v>0</v>
      </c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</row>
    <row r="414" spans="1:1018">
      <c r="A414" s="545" t="s">
        <v>1256</v>
      </c>
      <c r="B414" s="387"/>
      <c r="C414" s="293" t="s">
        <v>1257</v>
      </c>
      <c r="D414" s="293"/>
      <c r="E414" s="178">
        <f t="shared" si="46"/>
        <v>11</v>
      </c>
      <c r="F414" s="280" t="s">
        <v>1258</v>
      </c>
      <c r="G414" s="281"/>
      <c r="H414" s="282">
        <v>10</v>
      </c>
      <c r="I414" s="282"/>
      <c r="J414" s="368"/>
      <c r="K414" s="373">
        <v>3885.75</v>
      </c>
      <c r="L414" s="175">
        <v>1894.5</v>
      </c>
      <c r="M414" s="511"/>
      <c r="N414" s="195">
        <f>+J414+K414+L414</f>
        <v>5780.25</v>
      </c>
      <c r="O414" s="303">
        <v>13556</v>
      </c>
      <c r="P414" s="304">
        <v>0</v>
      </c>
      <c r="Q414" s="304">
        <v>300</v>
      </c>
      <c r="R414" s="305">
        <v>3084</v>
      </c>
      <c r="S414" s="306">
        <v>5295</v>
      </c>
      <c r="T414" s="306"/>
      <c r="U414" s="9">
        <v>370</v>
      </c>
      <c r="V414" s="9">
        <v>290</v>
      </c>
      <c r="W414" s="291">
        <v>0</v>
      </c>
      <c r="X414" s="291">
        <v>5780.25</v>
      </c>
      <c r="Y414" s="291">
        <v>5780.25</v>
      </c>
      <c r="Z414" s="291">
        <v>5780.25</v>
      </c>
      <c r="AA414" s="291"/>
      <c r="AB414" s="291"/>
      <c r="AC414" s="291"/>
      <c r="AD414" s="291"/>
      <c r="AE414" s="291"/>
      <c r="AF414" s="291"/>
      <c r="AG414" s="291"/>
      <c r="AH414" s="291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</row>
    <row r="415" spans="1:1018">
      <c r="A415" s="545" t="s">
        <v>1259</v>
      </c>
      <c r="B415" s="366"/>
      <c r="C415" s="293" t="s">
        <v>971</v>
      </c>
      <c r="D415" s="293"/>
      <c r="E415" s="178">
        <f t="shared" si="46"/>
        <v>12</v>
      </c>
      <c r="F415" s="280" t="s">
        <v>1260</v>
      </c>
      <c r="G415" s="281">
        <v>0.15</v>
      </c>
      <c r="H415" s="282">
        <v>10</v>
      </c>
      <c r="I415" s="282"/>
      <c r="K415" s="369">
        <v>4403.8500000000004</v>
      </c>
      <c r="L415" s="201">
        <v>2000</v>
      </c>
      <c r="M415" s="371"/>
      <c r="N415" s="195">
        <f t="shared" ref="N415:N433" si="47">+J415+K415+L415+M415</f>
        <v>6403.85</v>
      </c>
      <c r="O415" s="303">
        <v>13377</v>
      </c>
      <c r="P415" s="304">
        <v>1920</v>
      </c>
      <c r="Q415" s="304">
        <v>300</v>
      </c>
      <c r="R415" s="305">
        <v>3006</v>
      </c>
      <c r="S415" s="306">
        <v>5295</v>
      </c>
      <c r="T415" s="306"/>
      <c r="U415" s="9">
        <v>370</v>
      </c>
      <c r="V415" s="9">
        <v>370</v>
      </c>
      <c r="W415" s="291">
        <v>0</v>
      </c>
      <c r="X415" s="289">
        <v>6403.85</v>
      </c>
      <c r="Y415" s="289">
        <v>6403.85</v>
      </c>
      <c r="Z415" s="289">
        <v>6403.85</v>
      </c>
      <c r="AA415" s="289">
        <v>6403.85</v>
      </c>
      <c r="AB415" s="307"/>
      <c r="AC415" s="307"/>
      <c r="AD415" s="289"/>
      <c r="AE415" s="289"/>
      <c r="AF415" s="307"/>
      <c r="AG415" s="291"/>
      <c r="AH415" s="291">
        <v>0</v>
      </c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</row>
    <row r="416" spans="1:1018">
      <c r="A416" s="545" t="s">
        <v>292</v>
      </c>
      <c r="B416" s="286"/>
      <c r="C416" s="293" t="s">
        <v>359</v>
      </c>
      <c r="D416" s="293"/>
      <c r="E416" s="178">
        <f t="shared" si="46"/>
        <v>13</v>
      </c>
      <c r="F416" s="280" t="s">
        <v>1261</v>
      </c>
      <c r="G416" s="301">
        <v>0.15</v>
      </c>
      <c r="H416" s="263">
        <v>10</v>
      </c>
      <c r="I416" s="263"/>
      <c r="J416" s="263"/>
      <c r="K416" s="350">
        <v>4403.8500000000004</v>
      </c>
      <c r="L416" s="350">
        <v>1710</v>
      </c>
      <c r="M416" s="353"/>
      <c r="N416" s="195">
        <f t="shared" si="47"/>
        <v>6113.85</v>
      </c>
      <c r="O416" s="303">
        <v>13469</v>
      </c>
      <c r="P416" s="304">
        <v>1900</v>
      </c>
      <c r="Q416" s="304">
        <v>300</v>
      </c>
      <c r="R416" s="305">
        <v>2871</v>
      </c>
      <c r="S416" s="306">
        <v>5015</v>
      </c>
      <c r="T416" s="306" t="s">
        <v>293</v>
      </c>
      <c r="U416" s="9">
        <v>370</v>
      </c>
      <c r="V416" s="9"/>
      <c r="W416" s="291">
        <v>0</v>
      </c>
      <c r="X416" s="315">
        <v>6113.85</v>
      </c>
      <c r="Y416" s="315">
        <v>6113.85</v>
      </c>
      <c r="Z416" s="291"/>
      <c r="AA416" s="289"/>
      <c r="AB416" s="289"/>
      <c r="AC416" s="317"/>
      <c r="AD416" s="289"/>
      <c r="AE416" s="290"/>
      <c r="AF416" s="291"/>
      <c r="AG416" s="291"/>
      <c r="AH416" s="291">
        <v>0</v>
      </c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</row>
    <row r="417" spans="1:1018">
      <c r="A417" s="530" t="s">
        <v>295</v>
      </c>
      <c r="B417" s="366"/>
      <c r="C417" s="282" t="s">
        <v>1262</v>
      </c>
      <c r="D417" s="282"/>
      <c r="E417" s="178">
        <f t="shared" si="46"/>
        <v>14</v>
      </c>
      <c r="F417" s="277" t="s">
        <v>1263</v>
      </c>
      <c r="G417" s="367">
        <v>0.1</v>
      </c>
      <c r="H417" s="263">
        <v>10</v>
      </c>
      <c r="I417" s="263"/>
      <c r="J417" s="263"/>
      <c r="K417" s="350">
        <v>4662.8999999999996</v>
      </c>
      <c r="L417" s="359">
        <v>2105</v>
      </c>
      <c r="M417" s="353"/>
      <c r="N417" s="195">
        <f t="shared" si="47"/>
        <v>6767.9</v>
      </c>
      <c r="O417" s="303">
        <v>13383</v>
      </c>
      <c r="P417" s="304">
        <v>1920</v>
      </c>
      <c r="Q417" s="304">
        <v>300</v>
      </c>
      <c r="R417" s="305">
        <v>2846</v>
      </c>
      <c r="S417" s="306">
        <v>5295</v>
      </c>
      <c r="T417" s="306"/>
      <c r="U417" s="9">
        <v>370</v>
      </c>
      <c r="V417" s="9"/>
      <c r="W417" s="291">
        <v>0</v>
      </c>
      <c r="X417" s="290">
        <f>5602.32+1165.58</f>
        <v>6767.9</v>
      </c>
      <c r="Y417" s="289">
        <f>4918.44+2219</f>
        <v>7137.44</v>
      </c>
      <c r="Z417" s="290"/>
      <c r="AA417" s="290"/>
      <c r="AB417" s="290"/>
      <c r="AC417" s="290"/>
      <c r="AD417" s="290"/>
      <c r="AE417" s="290"/>
      <c r="AF417" s="290"/>
      <c r="AG417" s="291"/>
      <c r="AH417" s="291">
        <v>0</v>
      </c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</row>
    <row r="418" spans="1:1018">
      <c r="A418" s="293" t="s">
        <v>1264</v>
      </c>
      <c r="B418" s="366"/>
      <c r="C418" s="293"/>
      <c r="D418" s="293"/>
      <c r="E418" s="178">
        <f t="shared" si="46"/>
        <v>15</v>
      </c>
      <c r="F418" s="280" t="s">
        <v>1265</v>
      </c>
      <c r="G418" s="281">
        <v>0.1</v>
      </c>
      <c r="H418" s="282">
        <v>10</v>
      </c>
      <c r="I418" s="282"/>
      <c r="J418" s="368"/>
      <c r="K418" s="372">
        <v>4662.8999999999996</v>
      </c>
      <c r="L418" s="295"/>
      <c r="M418" s="254"/>
      <c r="N418" s="195">
        <f t="shared" si="47"/>
        <v>4662.8999999999996</v>
      </c>
      <c r="O418" s="303">
        <v>13406</v>
      </c>
      <c r="P418" s="304">
        <v>1920</v>
      </c>
      <c r="Q418" s="304">
        <v>300</v>
      </c>
      <c r="R418" s="305">
        <v>3008</v>
      </c>
      <c r="S418" s="306">
        <v>5295</v>
      </c>
      <c r="T418" s="306"/>
      <c r="U418" s="9">
        <v>370</v>
      </c>
      <c r="V418" s="9">
        <v>370</v>
      </c>
      <c r="W418" s="291">
        <v>0</v>
      </c>
      <c r="X418" s="291">
        <v>4662.8999999999996</v>
      </c>
      <c r="Y418" s="289">
        <v>4662.8999999999996</v>
      </c>
      <c r="Z418" s="291">
        <v>4662.8999999999996</v>
      </c>
      <c r="AA418" s="291"/>
      <c r="AB418" s="291"/>
      <c r="AC418" s="291"/>
      <c r="AD418" s="291"/>
      <c r="AE418" s="291"/>
      <c r="AF418" s="291"/>
      <c r="AG418" s="291"/>
      <c r="AH418" s="291">
        <v>0</v>
      </c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</row>
    <row r="419" spans="1:1018">
      <c r="A419" s="553" t="s">
        <v>1266</v>
      </c>
      <c r="B419" s="134"/>
      <c r="C419" s="356" t="s">
        <v>745</v>
      </c>
      <c r="D419" s="356"/>
      <c r="E419" s="178">
        <f t="shared" si="46"/>
        <v>16</v>
      </c>
      <c r="F419" s="351" t="s">
        <v>1267</v>
      </c>
      <c r="G419" s="263"/>
      <c r="H419" s="263">
        <v>10</v>
      </c>
      <c r="I419" s="263"/>
      <c r="J419" s="263"/>
      <c r="K419" s="353">
        <v>5181</v>
      </c>
      <c r="L419" s="353">
        <v>2105</v>
      </c>
      <c r="M419" s="353"/>
      <c r="N419" s="195">
        <f t="shared" si="47"/>
        <v>7286</v>
      </c>
      <c r="O419" s="303">
        <v>13455</v>
      </c>
      <c r="P419" s="304">
        <v>1920</v>
      </c>
      <c r="Q419" s="304">
        <v>300</v>
      </c>
      <c r="R419" s="305">
        <v>3005</v>
      </c>
      <c r="S419" s="306">
        <v>5295</v>
      </c>
      <c r="T419" s="306"/>
      <c r="U419" s="9">
        <v>370</v>
      </c>
      <c r="V419" s="9">
        <v>370</v>
      </c>
      <c r="W419" s="291">
        <v>0</v>
      </c>
      <c r="X419" s="289">
        <v>7286</v>
      </c>
      <c r="Y419" s="289">
        <v>7286</v>
      </c>
      <c r="Z419" s="315"/>
      <c r="AA419" s="315"/>
      <c r="AB419" s="315"/>
      <c r="AC419" s="315"/>
      <c r="AD419" s="315"/>
      <c r="AE419" s="315"/>
      <c r="AF419" s="315"/>
      <c r="AG419" s="291"/>
      <c r="AH419" s="291">
        <v>0</v>
      </c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</row>
    <row r="420" spans="1:1018">
      <c r="A420" s="293" t="s">
        <v>1268</v>
      </c>
      <c r="B420" s="366"/>
      <c r="C420" s="293"/>
      <c r="D420" s="293" t="s">
        <v>1269</v>
      </c>
      <c r="E420" s="178">
        <f t="shared" si="46"/>
        <v>17</v>
      </c>
      <c r="F420" s="280" t="s">
        <v>1270</v>
      </c>
      <c r="G420" s="367"/>
      <c r="H420" s="263">
        <v>10</v>
      </c>
      <c r="I420" s="263"/>
      <c r="J420" s="263"/>
      <c r="K420" s="350">
        <v>5181</v>
      </c>
      <c r="L420" s="350"/>
      <c r="M420" s="350">
        <v>600</v>
      </c>
      <c r="N420" s="195">
        <f t="shared" si="47"/>
        <v>5781</v>
      </c>
      <c r="O420" s="303">
        <v>13314</v>
      </c>
      <c r="P420" s="304">
        <v>1920</v>
      </c>
      <c r="Q420" s="304">
        <v>300</v>
      </c>
      <c r="R420" s="305">
        <v>3233</v>
      </c>
      <c r="S420" s="306">
        <v>5295</v>
      </c>
      <c r="T420" s="306"/>
      <c r="U420" s="9">
        <v>370</v>
      </c>
      <c r="V420" s="9">
        <v>370</v>
      </c>
      <c r="W420" s="291">
        <v>0</v>
      </c>
      <c r="X420" s="291">
        <v>5181</v>
      </c>
      <c r="Y420" s="291">
        <f>5181+600</f>
        <v>5781</v>
      </c>
      <c r="Z420" s="291">
        <v>5781</v>
      </c>
      <c r="AA420" s="291"/>
      <c r="AB420" s="291"/>
      <c r="AC420" s="291"/>
      <c r="AD420" s="291"/>
      <c r="AE420" s="291"/>
      <c r="AF420" s="291"/>
      <c r="AG420" s="291"/>
      <c r="AH420" s="291">
        <v>0</v>
      </c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</row>
    <row r="421" spans="1:1018">
      <c r="A421" s="530" t="s">
        <v>1271</v>
      </c>
      <c r="B421" s="134"/>
      <c r="C421" s="282"/>
      <c r="D421" s="282"/>
      <c r="E421" s="178">
        <f t="shared" si="46"/>
        <v>18</v>
      </c>
      <c r="F421" s="280" t="s">
        <v>1272</v>
      </c>
      <c r="G421" s="281">
        <v>0.15</v>
      </c>
      <c r="H421" s="282">
        <v>10</v>
      </c>
      <c r="I421" s="282"/>
      <c r="J421" s="368"/>
      <c r="K421" s="372">
        <v>4403.8500000000004</v>
      </c>
      <c r="L421" s="295"/>
      <c r="M421" s="371"/>
      <c r="N421" s="195">
        <f t="shared" si="47"/>
        <v>4403.8500000000004</v>
      </c>
      <c r="O421" s="303">
        <v>14509</v>
      </c>
      <c r="P421" s="304">
        <v>1920</v>
      </c>
      <c r="Q421" s="304">
        <v>300</v>
      </c>
      <c r="R421" s="305">
        <v>3516</v>
      </c>
      <c r="S421" s="306">
        <v>5295</v>
      </c>
      <c r="T421" s="306"/>
      <c r="U421" s="9">
        <v>370</v>
      </c>
      <c r="V421" s="9">
        <v>370</v>
      </c>
      <c r="W421" s="291">
        <v>0</v>
      </c>
      <c r="X421" s="289"/>
      <c r="Y421" s="289"/>
      <c r="Z421" s="289"/>
      <c r="AA421" s="290"/>
      <c r="AB421" s="290"/>
      <c r="AC421" s="291"/>
      <c r="AD421" s="291"/>
      <c r="AE421" s="290"/>
      <c r="AF421" s="291"/>
      <c r="AG421" s="291"/>
      <c r="AH421" s="291">
        <v>0</v>
      </c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</row>
    <row r="422" spans="1:1018">
      <c r="A422" s="545" t="s">
        <v>1273</v>
      </c>
      <c r="B422" s="366"/>
      <c r="C422" s="293" t="s">
        <v>1274</v>
      </c>
      <c r="D422" s="293"/>
      <c r="E422" s="178">
        <f t="shared" si="46"/>
        <v>19</v>
      </c>
      <c r="F422" s="280" t="s">
        <v>1275</v>
      </c>
      <c r="G422" s="281">
        <v>0.15</v>
      </c>
      <c r="H422" s="282">
        <v>10</v>
      </c>
      <c r="I422" s="282"/>
      <c r="J422" s="368"/>
      <c r="K422" s="372">
        <v>4628.25</v>
      </c>
      <c r="L422" s="295">
        <v>1475</v>
      </c>
      <c r="M422" s="372"/>
      <c r="N422" s="195">
        <f t="shared" si="47"/>
        <v>6103.25</v>
      </c>
      <c r="O422" s="303">
        <v>13717</v>
      </c>
      <c r="P422" s="304">
        <v>2880</v>
      </c>
      <c r="Q422" s="304">
        <v>300</v>
      </c>
      <c r="R422" s="305">
        <v>3007</v>
      </c>
      <c r="S422" s="306">
        <v>5295</v>
      </c>
      <c r="T422" s="306"/>
      <c r="U422" s="9"/>
      <c r="V422" s="9"/>
      <c r="W422" s="291">
        <v>0</v>
      </c>
      <c r="X422" s="291">
        <f>1311.7+163.3+4628.25</f>
        <v>6103.25</v>
      </c>
      <c r="Y422" s="291">
        <v>6103.25</v>
      </c>
      <c r="Z422" s="291"/>
      <c r="AA422" s="291"/>
      <c r="AB422" s="291"/>
      <c r="AC422" s="291"/>
      <c r="AD422" s="291"/>
      <c r="AE422" s="291"/>
      <c r="AF422" s="291"/>
      <c r="AG422" s="291"/>
      <c r="AH422" s="291">
        <v>0</v>
      </c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</row>
    <row r="423" spans="1:1018">
      <c r="A423" s="545" t="s">
        <v>1276</v>
      </c>
      <c r="B423" s="366"/>
      <c r="C423" s="293" t="s">
        <v>414</v>
      </c>
      <c r="D423" s="293"/>
      <c r="E423" s="178">
        <f t="shared" si="46"/>
        <v>20</v>
      </c>
      <c r="F423" s="280" t="s">
        <v>1277</v>
      </c>
      <c r="G423" s="282">
        <v>0.2</v>
      </c>
      <c r="H423" s="282">
        <v>10</v>
      </c>
      <c r="I423" s="282"/>
      <c r="J423" s="368"/>
      <c r="K423" s="369">
        <v>4144.8</v>
      </c>
      <c r="L423" s="201">
        <v>1475</v>
      </c>
      <c r="M423" s="360"/>
      <c r="N423" s="195">
        <f t="shared" si="47"/>
        <v>5619.8</v>
      </c>
      <c r="O423" s="303">
        <v>13403</v>
      </c>
      <c r="P423" s="304">
        <v>1920</v>
      </c>
      <c r="Q423" s="304">
        <v>300</v>
      </c>
      <c r="R423" s="305">
        <v>2945</v>
      </c>
      <c r="S423" s="306">
        <v>5295</v>
      </c>
      <c r="T423" s="306"/>
      <c r="U423" s="9">
        <v>370</v>
      </c>
      <c r="V423" s="9"/>
      <c r="W423" s="291">
        <v>0</v>
      </c>
      <c r="X423" s="291">
        <v>5619.8</v>
      </c>
      <c r="Y423" s="290">
        <v>5619.8</v>
      </c>
      <c r="Z423" s="291"/>
      <c r="AA423" s="291"/>
      <c r="AB423" s="291"/>
      <c r="AC423" s="291"/>
      <c r="AD423" s="175"/>
      <c r="AE423" s="291"/>
      <c r="AF423" s="291"/>
      <c r="AG423" s="291"/>
      <c r="AH423" s="291">
        <v>0</v>
      </c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</row>
    <row r="424" spans="1:1018">
      <c r="A424" s="293" t="s">
        <v>1278</v>
      </c>
      <c r="B424" s="134"/>
      <c r="C424" s="293" t="s">
        <v>1279</v>
      </c>
      <c r="D424" s="293"/>
      <c r="E424" s="178">
        <f t="shared" si="46"/>
        <v>21</v>
      </c>
      <c r="F424" s="280" t="s">
        <v>1280</v>
      </c>
      <c r="G424" s="281"/>
      <c r="H424" s="282">
        <v>10</v>
      </c>
      <c r="I424" s="282"/>
      <c r="J424" s="373"/>
      <c r="K424" s="369">
        <v>5181</v>
      </c>
      <c r="L424" s="201"/>
      <c r="M424" s="360"/>
      <c r="N424" s="195">
        <f t="shared" si="47"/>
        <v>5181</v>
      </c>
      <c r="O424" s="303">
        <v>13474</v>
      </c>
      <c r="P424" s="304">
        <v>1920</v>
      </c>
      <c r="Q424" s="304">
        <v>300</v>
      </c>
      <c r="R424" s="305">
        <v>3443</v>
      </c>
      <c r="S424" s="306">
        <v>5285</v>
      </c>
      <c r="T424" s="306"/>
      <c r="U424" s="9">
        <v>370</v>
      </c>
      <c r="V424" s="9"/>
      <c r="W424" s="291">
        <v>0</v>
      </c>
      <c r="X424" s="374">
        <v>5181</v>
      </c>
      <c r="Y424" s="315">
        <v>5181</v>
      </c>
      <c r="Z424" s="290"/>
      <c r="AA424" s="290"/>
      <c r="AB424" s="290"/>
      <c r="AC424" s="289"/>
      <c r="AD424" s="289"/>
      <c r="AE424" s="290"/>
      <c r="AF424" s="290"/>
      <c r="AG424" s="291"/>
      <c r="AH424" s="291">
        <v>0</v>
      </c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</row>
    <row r="425" spans="1:1018">
      <c r="A425" s="530" t="s">
        <v>1281</v>
      </c>
      <c r="B425" s="366"/>
      <c r="C425" s="282"/>
      <c r="D425" s="282" t="s">
        <v>1282</v>
      </c>
      <c r="E425" s="178">
        <f t="shared" si="46"/>
        <v>22</v>
      </c>
      <c r="F425" s="277" t="s">
        <v>1283</v>
      </c>
      <c r="G425" s="281">
        <v>0.15</v>
      </c>
      <c r="H425" s="282">
        <v>10</v>
      </c>
      <c r="I425" s="282"/>
      <c r="J425" s="368"/>
      <c r="K425" s="372">
        <v>4403.8500000000004</v>
      </c>
      <c r="L425" s="295">
        <v>2000</v>
      </c>
      <c r="M425" s="371">
        <v>600</v>
      </c>
      <c r="N425" s="195">
        <f t="shared" si="47"/>
        <v>7003.85</v>
      </c>
      <c r="O425" s="303">
        <v>13771</v>
      </c>
      <c r="P425" s="304">
        <v>1920</v>
      </c>
      <c r="Q425" s="304">
        <v>300</v>
      </c>
      <c r="R425" s="305">
        <v>2968</v>
      </c>
      <c r="S425" s="306">
        <v>5295</v>
      </c>
      <c r="T425" s="306"/>
      <c r="U425" s="9">
        <v>370</v>
      </c>
      <c r="V425" s="9">
        <v>370</v>
      </c>
      <c r="W425" s="291">
        <v>0</v>
      </c>
      <c r="X425" s="291">
        <f>6323.85+80</f>
        <v>6403.85</v>
      </c>
      <c r="Y425" s="289">
        <v>7003.85</v>
      </c>
      <c r="Z425" s="291">
        <v>7003.85</v>
      </c>
      <c r="AA425" s="291"/>
      <c r="AB425" s="291"/>
      <c r="AC425" s="291"/>
      <c r="AD425" s="291"/>
      <c r="AE425" s="291"/>
      <c r="AF425" s="291"/>
      <c r="AG425" s="291"/>
      <c r="AH425" s="291">
        <v>0</v>
      </c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</row>
    <row r="426" spans="1:1018">
      <c r="A426" s="293" t="s">
        <v>294</v>
      </c>
      <c r="B426" s="366"/>
      <c r="C426" s="293"/>
      <c r="D426" s="293"/>
      <c r="E426" s="178">
        <f t="shared" si="46"/>
        <v>23</v>
      </c>
      <c r="F426" s="280" t="s">
        <v>1284</v>
      </c>
      <c r="G426" s="282">
        <v>0.15</v>
      </c>
      <c r="H426" s="282">
        <v>10</v>
      </c>
      <c r="I426" s="282"/>
      <c r="J426" s="368"/>
      <c r="K426" s="372">
        <v>4403.8500000000004</v>
      </c>
      <c r="L426" s="295"/>
      <c r="M426" s="371"/>
      <c r="N426" s="195">
        <f t="shared" si="47"/>
        <v>4403.8500000000004</v>
      </c>
      <c r="O426" s="338">
        <v>13490</v>
      </c>
      <c r="P426" s="304">
        <v>1920</v>
      </c>
      <c r="Q426" s="304">
        <v>300</v>
      </c>
      <c r="R426" s="305">
        <v>2673</v>
      </c>
      <c r="S426" s="306">
        <v>5295</v>
      </c>
      <c r="T426" s="306"/>
      <c r="U426" s="9"/>
      <c r="V426" s="9"/>
      <c r="W426" s="308">
        <v>0</v>
      </c>
      <c r="X426" s="308">
        <v>2250</v>
      </c>
      <c r="Y426" s="308">
        <v>2250</v>
      </c>
      <c r="Z426" s="308"/>
      <c r="AA426" s="308"/>
      <c r="AB426" s="308"/>
      <c r="AC426" s="308"/>
      <c r="AD426" s="354"/>
      <c r="AE426" s="308"/>
      <c r="AF426" s="308"/>
      <c r="AG426" s="308"/>
      <c r="AH426" s="308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</row>
    <row r="427" spans="1:1018">
      <c r="A427" s="545" t="s">
        <v>296</v>
      </c>
      <c r="B427" s="366"/>
      <c r="C427" s="293" t="s">
        <v>1285</v>
      </c>
      <c r="D427" s="293"/>
      <c r="E427" s="178">
        <f t="shared" si="46"/>
        <v>24</v>
      </c>
      <c r="F427" s="280" t="s">
        <v>1286</v>
      </c>
      <c r="G427" s="282"/>
      <c r="H427" s="282">
        <v>9</v>
      </c>
      <c r="I427" s="282"/>
      <c r="J427" s="368"/>
      <c r="K427" s="369">
        <v>5757</v>
      </c>
      <c r="L427" s="201">
        <v>2222</v>
      </c>
      <c r="M427" s="360"/>
      <c r="N427" s="195">
        <f t="shared" si="47"/>
        <v>7979</v>
      </c>
      <c r="O427" s="303">
        <v>13661</v>
      </c>
      <c r="P427" s="304">
        <v>1920</v>
      </c>
      <c r="Q427" s="304">
        <v>300</v>
      </c>
      <c r="R427" s="305">
        <v>2823</v>
      </c>
      <c r="S427" s="306">
        <v>5295</v>
      </c>
      <c r="T427" s="306"/>
      <c r="U427" s="9">
        <v>370</v>
      </c>
      <c r="V427" s="9"/>
      <c r="W427" s="291">
        <v>0</v>
      </c>
      <c r="X427" s="289">
        <v>7979</v>
      </c>
      <c r="Y427" s="290">
        <v>7980</v>
      </c>
      <c r="Z427" s="290">
        <v>7980</v>
      </c>
      <c r="AA427" s="290"/>
      <c r="AB427" s="290"/>
      <c r="AC427" s="290"/>
      <c r="AD427" s="290"/>
      <c r="AE427" s="290"/>
      <c r="AF427" s="290"/>
      <c r="AG427" s="290"/>
      <c r="AH427" s="291">
        <v>0</v>
      </c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</row>
    <row r="428" spans="1:1018">
      <c r="A428" s="530" t="s">
        <v>1287</v>
      </c>
      <c r="B428" s="366"/>
      <c r="C428" s="282"/>
      <c r="D428" s="282" t="s">
        <v>1269</v>
      </c>
      <c r="E428" s="178">
        <f t="shared" si="46"/>
        <v>25</v>
      </c>
      <c r="F428" s="277" t="s">
        <v>1288</v>
      </c>
      <c r="G428" s="281">
        <v>0.15</v>
      </c>
      <c r="H428" s="282">
        <v>10</v>
      </c>
      <c r="I428" s="282"/>
      <c r="J428" s="282"/>
      <c r="K428" s="369">
        <v>4403.8500000000004</v>
      </c>
      <c r="L428" s="201">
        <v>2000</v>
      </c>
      <c r="M428" s="375">
        <v>600</v>
      </c>
      <c r="N428" s="195">
        <f t="shared" si="47"/>
        <v>7003.85</v>
      </c>
      <c r="O428" s="347">
        <v>13771</v>
      </c>
      <c r="P428" s="376">
        <v>1920</v>
      </c>
      <c r="Q428" s="376">
        <v>300</v>
      </c>
      <c r="R428" s="349">
        <v>2968</v>
      </c>
      <c r="S428" s="344">
        <v>5295</v>
      </c>
      <c r="T428" s="344"/>
      <c r="U428" s="345">
        <v>370</v>
      </c>
      <c r="V428" s="345">
        <v>370</v>
      </c>
      <c r="W428" s="291">
        <v>0</v>
      </c>
      <c r="X428" s="291">
        <f>6323.85+80</f>
        <v>6403.85</v>
      </c>
      <c r="Y428" s="289">
        <v>7003.85</v>
      </c>
      <c r="Z428" s="291">
        <v>7003.85</v>
      </c>
      <c r="AA428" s="291"/>
      <c r="AB428" s="291"/>
      <c r="AC428" s="291"/>
      <c r="AD428" s="291"/>
      <c r="AE428" s="291"/>
      <c r="AF428" s="291"/>
      <c r="AG428" s="291"/>
      <c r="AH428" s="291">
        <v>0</v>
      </c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</row>
    <row r="429" spans="1:1018">
      <c r="A429" s="293" t="s">
        <v>1289</v>
      </c>
      <c r="B429" s="366"/>
      <c r="C429" s="293"/>
      <c r="D429" s="293" t="s">
        <v>1203</v>
      </c>
      <c r="E429" s="178">
        <f t="shared" si="46"/>
        <v>26</v>
      </c>
      <c r="F429" s="280" t="s">
        <v>1290</v>
      </c>
      <c r="G429" s="263">
        <v>0.2</v>
      </c>
      <c r="H429" s="263">
        <v>10</v>
      </c>
      <c r="I429" s="263"/>
      <c r="J429" s="263"/>
      <c r="K429" s="350">
        <v>4144.8</v>
      </c>
      <c r="L429" s="350"/>
      <c r="M429" s="350">
        <v>600</v>
      </c>
      <c r="N429" s="195">
        <f t="shared" si="47"/>
        <v>4744.8</v>
      </c>
      <c r="O429" s="303">
        <v>13765</v>
      </c>
      <c r="P429" s="304">
        <v>1920</v>
      </c>
      <c r="Q429" s="304">
        <v>300</v>
      </c>
      <c r="R429" s="305">
        <v>3420</v>
      </c>
      <c r="S429" s="306">
        <v>5295</v>
      </c>
      <c r="T429" s="306"/>
      <c r="U429" s="9">
        <v>370</v>
      </c>
      <c r="V429" s="9"/>
      <c r="W429" s="291">
        <v>0</v>
      </c>
      <c r="X429" s="291">
        <v>4144.8</v>
      </c>
      <c r="Y429" s="291">
        <v>4144.8</v>
      </c>
      <c r="Z429" s="291"/>
      <c r="AA429" s="291"/>
      <c r="AB429" s="291"/>
      <c r="AC429" s="291"/>
      <c r="AD429" s="291"/>
      <c r="AE429" s="291"/>
      <c r="AF429" s="291"/>
      <c r="AG429" s="291"/>
      <c r="AH429" s="291">
        <v>0</v>
      </c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</row>
    <row r="430" spans="1:1018">
      <c r="A430" s="545" t="s">
        <v>1291</v>
      </c>
      <c r="B430" s="134"/>
      <c r="C430" s="293" t="s">
        <v>1235</v>
      </c>
      <c r="D430" s="293"/>
      <c r="E430" s="178">
        <f t="shared" si="46"/>
        <v>27</v>
      </c>
      <c r="F430" s="280" t="s">
        <v>1292</v>
      </c>
      <c r="G430" s="282"/>
      <c r="H430" s="282">
        <v>10</v>
      </c>
      <c r="I430" s="282"/>
      <c r="J430" s="368"/>
      <c r="K430" s="369">
        <v>5181</v>
      </c>
      <c r="L430" s="201">
        <v>1800</v>
      </c>
      <c r="M430" s="360"/>
      <c r="N430" s="195">
        <f t="shared" si="47"/>
        <v>6981</v>
      </c>
      <c r="O430" s="303">
        <v>13373</v>
      </c>
      <c r="P430" s="304">
        <v>1920</v>
      </c>
      <c r="Q430" s="304">
        <v>300</v>
      </c>
      <c r="R430" s="305">
        <v>3055</v>
      </c>
      <c r="S430" s="306">
        <v>5295</v>
      </c>
      <c r="T430" s="306"/>
      <c r="U430" s="9">
        <v>370</v>
      </c>
      <c r="V430" s="9">
        <v>370</v>
      </c>
      <c r="W430" s="291">
        <v>0</v>
      </c>
      <c r="X430" s="316">
        <v>6981</v>
      </c>
      <c r="Y430" s="316">
        <v>6981</v>
      </c>
      <c r="Z430" s="316">
        <v>6981</v>
      </c>
      <c r="AA430" s="315"/>
      <c r="AB430" s="315"/>
      <c r="AC430" s="315"/>
      <c r="AD430" s="315"/>
      <c r="AE430" s="315"/>
      <c r="AF430" s="315"/>
      <c r="AG430" s="291"/>
      <c r="AH430" s="291">
        <v>0</v>
      </c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</row>
    <row r="431" spans="1:1018">
      <c r="A431" s="549" t="s">
        <v>1293</v>
      </c>
      <c r="B431" s="286"/>
      <c r="C431" s="293" t="s">
        <v>980</v>
      </c>
      <c r="D431" s="293"/>
      <c r="E431" s="178">
        <f t="shared" si="46"/>
        <v>28</v>
      </c>
      <c r="F431" s="280" t="s">
        <v>1294</v>
      </c>
      <c r="G431" s="313">
        <v>0.15</v>
      </c>
      <c r="H431" s="206">
        <v>10</v>
      </c>
      <c r="I431" s="206"/>
      <c r="J431" s="377"/>
      <c r="K431" s="378">
        <v>4403.8500000000004</v>
      </c>
      <c r="L431" s="378">
        <v>1475</v>
      </c>
      <c r="M431" s="378"/>
      <c r="N431" s="379">
        <f t="shared" si="47"/>
        <v>5878.85</v>
      </c>
      <c r="O431" s="347">
        <v>13785</v>
      </c>
      <c r="P431" s="376"/>
      <c r="Q431" s="376">
        <v>300</v>
      </c>
      <c r="R431" s="349">
        <v>3466</v>
      </c>
      <c r="S431" s="344">
        <v>5000</v>
      </c>
      <c r="T431" s="344" t="s">
        <v>1295</v>
      </c>
      <c r="U431" s="345">
        <v>370</v>
      </c>
      <c r="V431" s="345"/>
      <c r="W431" s="291"/>
      <c r="X431" s="290" t="s">
        <v>983</v>
      </c>
      <c r="Y431" s="291"/>
      <c r="Z431" s="291"/>
      <c r="AA431" s="291"/>
      <c r="AB431" s="291"/>
      <c r="AC431" s="291"/>
      <c r="AD431" s="291"/>
      <c r="AE431" s="291"/>
      <c r="AF431" s="291"/>
      <c r="AG431" s="291"/>
      <c r="AH431" s="29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</row>
    <row r="432" spans="1:1018">
      <c r="A432" s="293" t="s">
        <v>297</v>
      </c>
      <c r="B432" s="286"/>
      <c r="C432" s="293"/>
      <c r="D432" s="293"/>
      <c r="E432" s="178">
        <f t="shared" si="46"/>
        <v>29</v>
      </c>
      <c r="F432" s="280" t="s">
        <v>1296</v>
      </c>
      <c r="G432" s="282">
        <v>0.15</v>
      </c>
      <c r="H432" s="282">
        <v>10</v>
      </c>
      <c r="I432" s="282"/>
      <c r="J432" s="282"/>
      <c r="K432" s="295">
        <v>4403.8500000000004</v>
      </c>
      <c r="L432" s="295"/>
      <c r="M432" s="295"/>
      <c r="N432" s="195">
        <f t="shared" si="47"/>
        <v>4403.8500000000004</v>
      </c>
      <c r="O432" s="338">
        <v>13490</v>
      </c>
      <c r="P432" s="304">
        <v>1920</v>
      </c>
      <c r="Q432" s="304">
        <v>300</v>
      </c>
      <c r="R432" s="305">
        <v>2673</v>
      </c>
      <c r="S432" s="306">
        <v>5295</v>
      </c>
      <c r="T432" s="306"/>
      <c r="U432" s="9"/>
      <c r="V432" s="9"/>
      <c r="W432" s="308">
        <v>0</v>
      </c>
      <c r="X432" s="308">
        <v>2250</v>
      </c>
      <c r="Y432" s="308">
        <v>2250</v>
      </c>
      <c r="Z432" s="308"/>
      <c r="AA432" s="308"/>
      <c r="AB432" s="308"/>
      <c r="AC432" s="308"/>
      <c r="AD432" s="354"/>
      <c r="AE432" s="308"/>
      <c r="AF432" s="308"/>
      <c r="AG432" s="308"/>
      <c r="AH432" s="308">
        <v>0</v>
      </c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</row>
    <row r="433" spans="1:1018">
      <c r="A433" s="293" t="s">
        <v>1297</v>
      </c>
      <c r="B433" s="293"/>
      <c r="C433" s="293"/>
      <c r="D433" s="293"/>
      <c r="E433" s="178">
        <v>30</v>
      </c>
      <c r="F433" s="280"/>
      <c r="G433" s="282"/>
      <c r="H433" s="282">
        <v>10</v>
      </c>
      <c r="I433" s="282"/>
      <c r="J433" s="282"/>
      <c r="K433" s="201">
        <v>5181</v>
      </c>
      <c r="L433" s="201"/>
      <c r="M433" s="201"/>
      <c r="N433" s="223">
        <f t="shared" si="47"/>
        <v>5181</v>
      </c>
      <c r="O433" s="347">
        <v>14205</v>
      </c>
      <c r="P433" s="376">
        <f>137.71+3000</f>
        <v>3137.71</v>
      </c>
      <c r="Q433" s="376">
        <v>300</v>
      </c>
      <c r="R433" s="349"/>
      <c r="S433" s="344"/>
      <c r="T433" s="344"/>
      <c r="U433" s="586">
        <v>0</v>
      </c>
      <c r="V433" s="586">
        <v>0</v>
      </c>
      <c r="W433" s="291">
        <v>0</v>
      </c>
      <c r="X433" s="289" t="s">
        <v>1298</v>
      </c>
      <c r="Y433" s="290"/>
      <c r="Z433" s="290"/>
      <c r="AA433" s="290"/>
      <c r="AB433" s="290"/>
      <c r="AC433" s="290"/>
      <c r="AD433" s="176"/>
      <c r="AE433" s="290"/>
      <c r="AF433" s="291"/>
      <c r="AG433" s="291"/>
      <c r="AH433" s="291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</row>
    <row r="434" spans="1:1018">
      <c r="A434" s="293"/>
      <c r="B434" s="293"/>
      <c r="C434" s="293"/>
      <c r="D434" s="293"/>
      <c r="E434" s="178"/>
      <c r="F434" s="280"/>
      <c r="G434" s="288"/>
      <c r="H434" s="288"/>
      <c r="I434" s="288"/>
      <c r="J434" s="380"/>
      <c r="K434" s="381"/>
      <c r="L434" s="382"/>
      <c r="M434" s="375"/>
      <c r="N434" s="222"/>
      <c r="O434" s="347"/>
      <c r="P434" s="376"/>
      <c r="Q434" s="376"/>
      <c r="R434" s="349"/>
      <c r="S434" s="344"/>
      <c r="T434" s="344"/>
      <c r="U434" s="345"/>
      <c r="V434" s="345"/>
      <c r="W434" s="291"/>
      <c r="X434" s="289"/>
      <c r="Y434" s="290"/>
      <c r="Z434" s="290"/>
      <c r="AA434" s="290"/>
      <c r="AB434" s="290"/>
      <c r="AC434" s="290"/>
      <c r="AD434" s="176"/>
      <c r="AE434" s="290"/>
      <c r="AF434" s="291"/>
      <c r="AG434" s="291"/>
      <c r="AH434" s="291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</row>
    <row r="435" spans="1:1018">
      <c r="A435" s="282"/>
      <c r="B435" s="282"/>
      <c r="C435" s="282"/>
      <c r="D435" s="282"/>
      <c r="E435" s="282"/>
      <c r="F435" s="277"/>
      <c r="G435" s="287">
        <f>SUM(G404:G427)</f>
        <v>2.5</v>
      </c>
      <c r="H435" s="288"/>
      <c r="I435" s="288"/>
      <c r="J435" s="380"/>
      <c r="K435" s="381"/>
      <c r="L435" s="382"/>
      <c r="M435" s="383"/>
      <c r="N435" s="384">
        <f>SUM(N404:N427)</f>
        <v>142943.25</v>
      </c>
      <c r="O435" s="303"/>
      <c r="P435" s="21"/>
      <c r="Q435" s="21"/>
      <c r="R435" s="329"/>
      <c r="S435" s="330"/>
      <c r="T435" s="330"/>
      <c r="U435" s="6"/>
      <c r="V435" s="6"/>
      <c r="W435" s="291"/>
      <c r="X435" s="291"/>
      <c r="Y435" s="291"/>
      <c r="Z435" s="291"/>
      <c r="AA435" s="291"/>
      <c r="AB435" s="291"/>
      <c r="AC435" s="291"/>
      <c r="AD435" s="291"/>
      <c r="AE435" s="291"/>
      <c r="AF435" s="291"/>
      <c r="AG435" s="291"/>
      <c r="AH435" s="291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</row>
    <row r="436" spans="1:1018">
      <c r="K436" s="385"/>
      <c r="L436" s="385"/>
      <c r="M436" s="385"/>
      <c r="N436" s="195">
        <f>+K436+L436+M436</f>
        <v>0</v>
      </c>
      <c r="O436" s="303"/>
      <c r="P436" s="21"/>
      <c r="Q436" s="21"/>
      <c r="R436" s="329"/>
      <c r="S436" s="330"/>
      <c r="T436" s="330"/>
      <c r="U436" s="6"/>
      <c r="V436" s="6"/>
      <c r="W436" s="291"/>
      <c r="X436" s="291"/>
      <c r="Y436" s="291"/>
      <c r="Z436" s="291"/>
      <c r="AA436" s="291"/>
      <c r="AB436" s="291"/>
      <c r="AC436" s="291"/>
      <c r="AD436" s="291"/>
      <c r="AE436" s="291"/>
      <c r="AF436" s="291"/>
      <c r="AG436" s="291"/>
      <c r="AH436" s="291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</row>
    <row r="437" spans="1:1018" s="151" customFormat="1" ht="45">
      <c r="A437" s="133" t="s">
        <v>298</v>
      </c>
      <c r="B437" s="134"/>
      <c r="C437" s="135" t="s">
        <v>339</v>
      </c>
      <c r="D437" s="135"/>
      <c r="E437" s="134"/>
      <c r="F437" s="232" t="s">
        <v>961</v>
      </c>
      <c r="G437" s="134" t="s">
        <v>426</v>
      </c>
      <c r="H437" s="299" t="s">
        <v>427</v>
      </c>
      <c r="I437" s="300"/>
      <c r="J437" s="235" t="s">
        <v>429</v>
      </c>
      <c r="K437" s="236" t="s">
        <v>441</v>
      </c>
      <c r="L437" s="237" t="s">
        <v>586</v>
      </c>
      <c r="M437" s="238" t="s">
        <v>431</v>
      </c>
      <c r="N437" s="239" t="s">
        <v>432</v>
      </c>
      <c r="O437" s="144"/>
      <c r="P437" s="145"/>
      <c r="Q437" s="145"/>
      <c r="R437" s="240"/>
      <c r="S437" s="241"/>
      <c r="T437" s="241"/>
      <c r="U437" s="242"/>
      <c r="V437" s="242"/>
      <c r="W437" s="150" t="s">
        <v>437</v>
      </c>
      <c r="X437" s="150" t="s">
        <v>438</v>
      </c>
      <c r="Y437" s="150" t="s">
        <v>2</v>
      </c>
      <c r="Z437" s="150" t="s">
        <v>4</v>
      </c>
      <c r="AA437" s="150" t="s">
        <v>5</v>
      </c>
      <c r="AB437" s="150" t="s">
        <v>6</v>
      </c>
      <c r="AC437" s="150" t="s">
        <v>7</v>
      </c>
      <c r="AD437" s="150" t="s">
        <v>8</v>
      </c>
      <c r="AE437" s="150" t="s">
        <v>9</v>
      </c>
      <c r="AF437" s="150" t="s">
        <v>10</v>
      </c>
      <c r="AG437" s="150" t="s">
        <v>340</v>
      </c>
      <c r="AH437" s="150" t="s">
        <v>439</v>
      </c>
    </row>
    <row r="438" spans="1:1018">
      <c r="A438" s="549" t="s">
        <v>299</v>
      </c>
      <c r="B438" s="293"/>
      <c r="C438" s="293" t="s">
        <v>1299</v>
      </c>
      <c r="D438" s="293"/>
      <c r="E438" s="286">
        <v>1</v>
      </c>
      <c r="F438" s="280" t="s">
        <v>1300</v>
      </c>
      <c r="G438" s="263">
        <v>0.1</v>
      </c>
      <c r="H438" s="263">
        <v>10</v>
      </c>
      <c r="I438" s="263"/>
      <c r="J438" s="253"/>
      <c r="K438" s="201">
        <v>4900.5</v>
      </c>
      <c r="L438" s="201">
        <v>2105</v>
      </c>
      <c r="M438" s="201"/>
      <c r="N438" s="223">
        <f>+J438+K438+L438+M438</f>
        <v>7005.5</v>
      </c>
      <c r="O438" s="347">
        <v>13410</v>
      </c>
      <c r="P438" s="376">
        <v>1920</v>
      </c>
      <c r="Q438" s="376">
        <v>300</v>
      </c>
      <c r="R438" s="349">
        <v>2868</v>
      </c>
      <c r="S438" s="344">
        <v>3355</v>
      </c>
      <c r="T438" s="344"/>
      <c r="U438" s="345">
        <v>370</v>
      </c>
      <c r="V438" s="345">
        <v>370</v>
      </c>
      <c r="W438" s="291">
        <v>0</v>
      </c>
      <c r="X438" s="315">
        <v>7005.5</v>
      </c>
      <c r="Y438" s="315">
        <v>7005.5</v>
      </c>
      <c r="Z438" s="315">
        <v>7005.5</v>
      </c>
      <c r="AA438" s="307"/>
      <c r="AB438" s="307"/>
      <c r="AC438" s="307"/>
      <c r="AD438" s="216"/>
      <c r="AE438" s="307"/>
      <c r="AF438" s="307"/>
      <c r="AG438" s="290"/>
      <c r="AH438" s="291">
        <v>0</v>
      </c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</row>
    <row r="439" spans="1:1018" ht="15.75" customHeight="1">
      <c r="A439" s="356" t="s">
        <v>1301</v>
      </c>
      <c r="B439" s="293"/>
      <c r="C439" s="293"/>
      <c r="D439" s="293"/>
      <c r="E439" s="286">
        <f>+E438+1</f>
        <v>2</v>
      </c>
      <c r="F439" s="280" t="s">
        <v>1302</v>
      </c>
      <c r="G439" s="263">
        <v>0.15</v>
      </c>
      <c r="H439" s="263">
        <v>10</v>
      </c>
      <c r="I439" s="263"/>
      <c r="J439" s="253"/>
      <c r="K439" s="201">
        <v>4628.25</v>
      </c>
      <c r="L439" s="201"/>
      <c r="M439" s="201"/>
      <c r="N439" s="223">
        <f>+J439+K439+L439+M439</f>
        <v>4628.25</v>
      </c>
      <c r="O439" s="347">
        <v>13869</v>
      </c>
      <c r="P439" s="376"/>
      <c r="Q439" s="376">
        <v>300</v>
      </c>
      <c r="R439" s="349">
        <v>3491</v>
      </c>
      <c r="S439" s="344">
        <v>3355</v>
      </c>
      <c r="T439" s="344"/>
      <c r="U439" s="345">
        <v>370</v>
      </c>
      <c r="V439" s="345">
        <v>0</v>
      </c>
      <c r="W439" s="291">
        <v>0</v>
      </c>
      <c r="X439" s="315">
        <f>4207.5+420.75</f>
        <v>4628.25</v>
      </c>
      <c r="Y439" s="315">
        <f>4207.5+420.75</f>
        <v>4628.25</v>
      </c>
      <c r="Z439" s="289">
        <v>4207.5</v>
      </c>
      <c r="AA439" s="290"/>
      <c r="AB439" s="290"/>
      <c r="AC439" s="290"/>
      <c r="AD439" s="176"/>
      <c r="AE439" s="290"/>
      <c r="AF439" s="291"/>
      <c r="AG439" s="291"/>
      <c r="AH439" s="291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</row>
    <row r="440" spans="1:1018">
      <c r="A440" s="421" t="s">
        <v>300</v>
      </c>
      <c r="B440" s="293"/>
      <c r="C440" s="293"/>
      <c r="D440" s="293"/>
      <c r="E440" s="286">
        <f t="shared" ref="E440:E464" si="48">+E439+1</f>
        <v>3</v>
      </c>
      <c r="F440" s="280" t="s">
        <v>1303</v>
      </c>
      <c r="G440" s="301">
        <v>0.1</v>
      </c>
      <c r="H440" s="263">
        <v>10</v>
      </c>
      <c r="I440" s="263"/>
      <c r="J440" s="253"/>
      <c r="K440" s="201">
        <v>4900.5</v>
      </c>
      <c r="L440" s="201"/>
      <c r="M440" s="201"/>
      <c r="N440" s="223">
        <f t="shared" ref="N440:N464" si="49">+J440+K440+L440+M440</f>
        <v>4900.5</v>
      </c>
      <c r="O440" s="347">
        <v>13479</v>
      </c>
      <c r="P440" s="376">
        <v>1920</v>
      </c>
      <c r="Q440" s="376">
        <v>300</v>
      </c>
      <c r="R440" s="349">
        <v>2709</v>
      </c>
      <c r="S440" s="344">
        <v>3355</v>
      </c>
      <c r="T440" s="344"/>
      <c r="U440" s="345">
        <v>370</v>
      </c>
      <c r="V440" s="345">
        <v>370</v>
      </c>
      <c r="W440" s="291">
        <v>0</v>
      </c>
      <c r="X440" s="291">
        <v>4900.5</v>
      </c>
      <c r="Y440" s="291">
        <v>4900.5</v>
      </c>
      <c r="Z440" s="291">
        <v>4900.5</v>
      </c>
      <c r="AA440" s="291"/>
      <c r="AB440" s="291"/>
      <c r="AC440" s="291"/>
      <c r="AD440" s="175"/>
      <c r="AE440" s="291"/>
      <c r="AF440" s="291"/>
      <c r="AG440" s="291"/>
      <c r="AH440" s="291">
        <v>0</v>
      </c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</row>
    <row r="441" spans="1:1018">
      <c r="A441" s="547" t="s">
        <v>301</v>
      </c>
      <c r="B441" s="282"/>
      <c r="C441" s="282" t="s">
        <v>350</v>
      </c>
      <c r="D441" s="282"/>
      <c r="E441" s="286">
        <f t="shared" si="48"/>
        <v>4</v>
      </c>
      <c r="F441" s="277" t="s">
        <v>1304</v>
      </c>
      <c r="G441" s="301">
        <v>0.15</v>
      </c>
      <c r="H441" s="263">
        <v>10</v>
      </c>
      <c r="I441" s="263"/>
      <c r="J441" s="253"/>
      <c r="K441" s="201">
        <v>4628.25</v>
      </c>
      <c r="L441" s="201">
        <v>1475</v>
      </c>
      <c r="M441" s="201"/>
      <c r="N441" s="223">
        <f t="shared" si="49"/>
        <v>6103.25</v>
      </c>
      <c r="O441" s="347">
        <v>13724</v>
      </c>
      <c r="P441" s="376">
        <v>2880</v>
      </c>
      <c r="Q441" s="376">
        <v>300</v>
      </c>
      <c r="R441" s="349">
        <v>2752</v>
      </c>
      <c r="S441" s="344">
        <v>3355</v>
      </c>
      <c r="T441" s="344"/>
      <c r="U441" s="345">
        <v>370</v>
      </c>
      <c r="V441" s="345"/>
      <c r="W441" s="291">
        <v>0</v>
      </c>
      <c r="X441" s="289">
        <v>6103.25</v>
      </c>
      <c r="Y441" s="290">
        <v>6103.25</v>
      </c>
      <c r="Z441" s="289"/>
      <c r="AA441" s="289"/>
      <c r="AB441" s="289"/>
      <c r="AC441" s="289"/>
      <c r="AD441" s="289"/>
      <c r="AE441" s="289"/>
      <c r="AF441" s="289"/>
      <c r="AG441" s="289"/>
      <c r="AH441" s="291">
        <v>0</v>
      </c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</row>
    <row r="442" spans="1:1018" ht="18" customHeight="1">
      <c r="A442" s="549" t="s">
        <v>1305</v>
      </c>
      <c r="B442" s="293"/>
      <c r="C442" s="293" t="s">
        <v>359</v>
      </c>
      <c r="D442" s="293"/>
      <c r="E442" s="286">
        <f t="shared" si="48"/>
        <v>5</v>
      </c>
      <c r="F442" s="277" t="s">
        <v>1306</v>
      </c>
      <c r="G442" s="263"/>
      <c r="H442" s="263">
        <v>10</v>
      </c>
      <c r="I442" s="263"/>
      <c r="J442" s="253"/>
      <c r="K442" s="201">
        <v>5445</v>
      </c>
      <c r="L442" s="201">
        <v>1800</v>
      </c>
      <c r="M442" s="201"/>
      <c r="N442" s="223">
        <f t="shared" si="49"/>
        <v>7245</v>
      </c>
      <c r="O442" s="347" t="s">
        <v>1104</v>
      </c>
      <c r="P442" s="376">
        <v>1920</v>
      </c>
      <c r="Q442" s="376">
        <v>300</v>
      </c>
      <c r="R442" s="349"/>
      <c r="S442" s="344"/>
      <c r="T442" s="344"/>
      <c r="U442" s="345">
        <v>370</v>
      </c>
      <c r="V442" s="345"/>
      <c r="W442" s="291">
        <v>0</v>
      </c>
      <c r="X442" s="291">
        <v>7607.25</v>
      </c>
      <c r="Y442" s="291">
        <v>7245</v>
      </c>
      <c r="Z442" s="291"/>
      <c r="AA442" s="291"/>
      <c r="AB442" s="291"/>
      <c r="AC442" s="291"/>
      <c r="AD442" s="291"/>
      <c r="AE442" s="291"/>
      <c r="AF442" s="291"/>
      <c r="AG442" s="291"/>
      <c r="AH442" s="291">
        <v>0</v>
      </c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</row>
    <row r="443" spans="1:1018">
      <c r="A443" s="547" t="s">
        <v>302</v>
      </c>
      <c r="B443" s="282"/>
      <c r="C443" s="282" t="s">
        <v>359</v>
      </c>
      <c r="D443" s="282"/>
      <c r="E443" s="286">
        <f t="shared" si="48"/>
        <v>6</v>
      </c>
      <c r="F443" s="277" t="s">
        <v>1307</v>
      </c>
      <c r="G443" s="263"/>
      <c r="H443" s="263">
        <v>10</v>
      </c>
      <c r="I443" s="263"/>
      <c r="J443" s="253"/>
      <c r="K443" s="201">
        <v>5445</v>
      </c>
      <c r="L443" s="201">
        <v>1800</v>
      </c>
      <c r="M443" s="201"/>
      <c r="N443" s="223">
        <f t="shared" si="49"/>
        <v>7245</v>
      </c>
      <c r="O443" s="347">
        <v>13476</v>
      </c>
      <c r="P443" s="376">
        <v>2880</v>
      </c>
      <c r="Q443" s="376">
        <v>300</v>
      </c>
      <c r="R443" s="349">
        <v>2704</v>
      </c>
      <c r="S443" s="344">
        <v>3355</v>
      </c>
      <c r="T443" s="344"/>
      <c r="U443" s="345">
        <v>370</v>
      </c>
      <c r="V443" s="345">
        <v>370</v>
      </c>
      <c r="W443" s="291">
        <v>0</v>
      </c>
      <c r="X443" s="289">
        <v>7245</v>
      </c>
      <c r="Y443" s="290">
        <v>7245</v>
      </c>
      <c r="Z443" s="290">
        <v>7245</v>
      </c>
      <c r="AA443" s="290"/>
      <c r="AB443" s="290"/>
      <c r="AC443" s="290"/>
      <c r="AD443" s="176"/>
      <c r="AE443" s="290"/>
      <c r="AF443" s="290"/>
      <c r="AG443" s="290"/>
      <c r="AH443" s="100">
        <v>0</v>
      </c>
      <c r="AI443" s="386" t="s">
        <v>303</v>
      </c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</row>
    <row r="444" spans="1:1018">
      <c r="A444" s="547" t="s">
        <v>308</v>
      </c>
      <c r="B444" s="282"/>
      <c r="C444" s="282" t="s">
        <v>786</v>
      </c>
      <c r="D444" s="282"/>
      <c r="E444" s="286">
        <f t="shared" si="48"/>
        <v>7</v>
      </c>
      <c r="F444" s="277" t="s">
        <v>1308</v>
      </c>
      <c r="G444" s="263">
        <v>0.15</v>
      </c>
      <c r="H444" s="263">
        <v>11</v>
      </c>
      <c r="I444" s="263"/>
      <c r="J444" s="253">
        <v>4207.5</v>
      </c>
      <c r="K444" s="282"/>
      <c r="L444" s="175">
        <v>2000</v>
      </c>
      <c r="M444" s="282"/>
      <c r="N444" s="223">
        <f t="shared" si="49"/>
        <v>6207.5</v>
      </c>
      <c r="O444" s="217">
        <v>13175</v>
      </c>
      <c r="P444" s="218">
        <v>0</v>
      </c>
      <c r="Q444" s="218">
        <v>300</v>
      </c>
      <c r="R444" s="219">
        <v>2679</v>
      </c>
      <c r="S444" s="220">
        <v>3355</v>
      </c>
      <c r="T444" s="220"/>
      <c r="U444" s="221">
        <v>370</v>
      </c>
      <c r="V444" s="221">
        <v>370</v>
      </c>
      <c r="W444" s="175">
        <v>4207.5</v>
      </c>
      <c r="X444" s="175">
        <f>4207.5+2000</f>
        <v>6207.5</v>
      </c>
      <c r="Y444" s="175">
        <f>4207.5+2000</f>
        <v>6207.5</v>
      </c>
      <c r="Z444" s="175">
        <f>4207.5+2000</f>
        <v>6207.5</v>
      </c>
      <c r="AA444" s="175">
        <v>2000</v>
      </c>
      <c r="AB444" s="175"/>
      <c r="AC444" s="175"/>
      <c r="AD444" s="175"/>
      <c r="AE444" s="175"/>
      <c r="AF444" s="175"/>
      <c r="AG444" s="175"/>
      <c r="AH444" s="175"/>
    </row>
    <row r="445" spans="1:1018">
      <c r="A445" s="357" t="s">
        <v>1309</v>
      </c>
      <c r="B445" s="387"/>
      <c r="C445" s="356"/>
      <c r="D445" s="356"/>
      <c r="E445" s="286">
        <f t="shared" si="48"/>
        <v>8</v>
      </c>
      <c r="F445" s="351" t="s">
        <v>1310</v>
      </c>
      <c r="G445" s="263"/>
      <c r="H445" s="263">
        <v>10</v>
      </c>
      <c r="I445" s="263"/>
      <c r="J445" s="253"/>
      <c r="K445" s="201">
        <v>1210</v>
      </c>
      <c r="L445" s="201"/>
      <c r="M445" s="201"/>
      <c r="N445" s="223">
        <f t="shared" si="49"/>
        <v>1210</v>
      </c>
      <c r="O445" s="347">
        <v>13980</v>
      </c>
      <c r="P445" s="376">
        <v>1920</v>
      </c>
      <c r="Q445" s="376">
        <v>300</v>
      </c>
      <c r="R445" s="349">
        <v>3226</v>
      </c>
      <c r="S445" s="344">
        <v>700</v>
      </c>
      <c r="T445" s="344" t="s">
        <v>1311</v>
      </c>
      <c r="U445" s="345"/>
      <c r="V445" s="345"/>
      <c r="W445" s="291">
        <v>0</v>
      </c>
      <c r="X445" s="291"/>
      <c r="Y445" s="315"/>
      <c r="Z445" s="315"/>
      <c r="AA445" s="315"/>
      <c r="AB445" s="315"/>
      <c r="AC445" s="315"/>
      <c r="AD445" s="315"/>
      <c r="AE445" s="291"/>
      <c r="AF445" s="291"/>
      <c r="AG445" s="291"/>
      <c r="AH445" s="291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</row>
    <row r="446" spans="1:1018">
      <c r="A446" s="547" t="s">
        <v>1312</v>
      </c>
      <c r="B446" s="282"/>
      <c r="C446" s="282" t="s">
        <v>1313</v>
      </c>
      <c r="D446" s="282"/>
      <c r="E446" s="286">
        <f t="shared" si="48"/>
        <v>9</v>
      </c>
      <c r="F446" s="277" t="s">
        <v>1314</v>
      </c>
      <c r="G446" s="254">
        <v>0.15</v>
      </c>
      <c r="H446" s="263">
        <v>10</v>
      </c>
      <c r="I446" s="263"/>
      <c r="J446" s="253"/>
      <c r="K446" s="406">
        <v>4628.25</v>
      </c>
      <c r="L446" s="201">
        <v>2000</v>
      </c>
      <c r="M446" s="407"/>
      <c r="N446" s="223">
        <f t="shared" si="49"/>
        <v>6628.25</v>
      </c>
      <c r="O446" s="347">
        <v>13397</v>
      </c>
      <c r="P446" s="376">
        <v>0</v>
      </c>
      <c r="Q446" s="376">
        <v>300</v>
      </c>
      <c r="R446" s="349">
        <v>2892</v>
      </c>
      <c r="S446" s="344">
        <v>3355</v>
      </c>
      <c r="T446" s="344"/>
      <c r="U446" s="345">
        <v>370</v>
      </c>
      <c r="V446" s="345">
        <v>370</v>
      </c>
      <c r="W446" s="291">
        <v>0</v>
      </c>
      <c r="X446" s="315">
        <f>4628.25+2000</f>
        <v>6628.25</v>
      </c>
      <c r="Y446" s="315">
        <f>4628.25+2000</f>
        <v>6628.25</v>
      </c>
      <c r="Z446" s="315">
        <f>4628.25+2000</f>
        <v>6628.25</v>
      </c>
      <c r="AA446" s="315">
        <v>4628.25</v>
      </c>
      <c r="AB446" s="291"/>
      <c r="AC446" s="291"/>
      <c r="AD446" s="291"/>
      <c r="AE446" s="291"/>
      <c r="AF446" s="291"/>
      <c r="AG446" s="291"/>
      <c r="AH446" s="291">
        <v>0</v>
      </c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</row>
    <row r="447" spans="1:1018">
      <c r="A447" s="549" t="s">
        <v>1315</v>
      </c>
      <c r="B447" s="293"/>
      <c r="C447" s="293" t="s">
        <v>1316</v>
      </c>
      <c r="D447" s="293"/>
      <c r="E447" s="286">
        <f t="shared" si="48"/>
        <v>10</v>
      </c>
      <c r="F447" s="280" t="s">
        <v>1314</v>
      </c>
      <c r="G447" s="254"/>
      <c r="H447" s="263">
        <v>10</v>
      </c>
      <c r="I447" s="263"/>
      <c r="J447" s="253"/>
      <c r="K447" s="201">
        <v>816.75</v>
      </c>
      <c r="L447" s="201">
        <v>1894.5</v>
      </c>
      <c r="M447" s="201"/>
      <c r="N447" s="223">
        <f t="shared" si="49"/>
        <v>2711.25</v>
      </c>
      <c r="O447" s="347">
        <v>13556</v>
      </c>
      <c r="P447" s="376">
        <v>0</v>
      </c>
      <c r="Q447" s="376">
        <v>300</v>
      </c>
      <c r="R447" s="349">
        <v>3084</v>
      </c>
      <c r="S447" s="344">
        <v>3355</v>
      </c>
      <c r="T447" s="344"/>
      <c r="U447" s="345">
        <f>290+80</f>
        <v>370</v>
      </c>
      <c r="V447" s="345"/>
      <c r="W447" s="291">
        <v>0</v>
      </c>
      <c r="X447" s="289">
        <v>2711.25</v>
      </c>
      <c r="Y447" s="290">
        <f>816.75+1894.5</f>
        <v>2711.25</v>
      </c>
      <c r="Z447" s="290">
        <v>2711.25</v>
      </c>
      <c r="AA447" s="290"/>
      <c r="AB447" s="290"/>
      <c r="AC447" s="290"/>
      <c r="AD447" s="176"/>
      <c r="AE447" s="290"/>
      <c r="AF447" s="291"/>
      <c r="AG447" s="291"/>
      <c r="AH447" s="291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</row>
    <row r="448" spans="1:1018">
      <c r="A448" s="549" t="s">
        <v>1317</v>
      </c>
      <c r="B448" s="293"/>
      <c r="C448" s="293" t="s">
        <v>398</v>
      </c>
      <c r="D448" s="293"/>
      <c r="E448" s="286">
        <f t="shared" si="48"/>
        <v>11</v>
      </c>
      <c r="F448" s="277" t="s">
        <v>1318</v>
      </c>
      <c r="G448" s="254">
        <v>0.15</v>
      </c>
      <c r="H448" s="263">
        <v>10</v>
      </c>
      <c r="I448" s="263"/>
      <c r="J448" s="253"/>
      <c r="K448" s="201">
        <v>4628.25</v>
      </c>
      <c r="L448" s="201">
        <v>2000</v>
      </c>
      <c r="M448" s="201"/>
      <c r="N448" s="223">
        <f t="shared" si="49"/>
        <v>6628.25</v>
      </c>
      <c r="O448" s="347">
        <v>13633</v>
      </c>
      <c r="P448" s="376">
        <v>2880</v>
      </c>
      <c r="Q448" s="376">
        <v>300</v>
      </c>
      <c r="R448" s="349">
        <v>2986</v>
      </c>
      <c r="S448" s="344">
        <v>3355</v>
      </c>
      <c r="T448" s="344"/>
      <c r="U448" s="345">
        <v>370</v>
      </c>
      <c r="V448" s="345">
        <v>370</v>
      </c>
      <c r="W448" s="291">
        <v>0</v>
      </c>
      <c r="X448" s="561">
        <v>6628.25</v>
      </c>
      <c r="Y448" s="315">
        <v>6628.25</v>
      </c>
      <c r="Z448" s="307">
        <v>6628.25</v>
      </c>
      <c r="AA448" s="307"/>
      <c r="AB448" s="307"/>
      <c r="AC448" s="307"/>
      <c r="AD448" s="216"/>
      <c r="AE448" s="307"/>
      <c r="AF448" s="307"/>
      <c r="AG448" s="291"/>
      <c r="AH448" s="291">
        <v>0</v>
      </c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</row>
    <row r="449" spans="1:1018">
      <c r="A449" s="549" t="s">
        <v>1319</v>
      </c>
      <c r="B449" s="293"/>
      <c r="C449" s="293"/>
      <c r="D449" s="293"/>
      <c r="E449" s="286">
        <f t="shared" si="48"/>
        <v>12</v>
      </c>
      <c r="F449" s="277" t="s">
        <v>1320</v>
      </c>
      <c r="G449" s="254">
        <v>0.15</v>
      </c>
      <c r="H449" s="263">
        <v>10</v>
      </c>
      <c r="I449" s="263"/>
      <c r="J449" s="253"/>
      <c r="K449" s="201">
        <v>4628.25</v>
      </c>
      <c r="L449" s="201"/>
      <c r="M449" s="201"/>
      <c r="N449" s="223">
        <f t="shared" si="49"/>
        <v>4628.25</v>
      </c>
      <c r="O449" s="347">
        <v>14509</v>
      </c>
      <c r="P449" s="376">
        <v>1920</v>
      </c>
      <c r="Q449" s="376">
        <v>300</v>
      </c>
      <c r="R449" s="349">
        <v>3516</v>
      </c>
      <c r="S449" s="344">
        <v>3355</v>
      </c>
      <c r="T449" s="344"/>
      <c r="U449" s="345">
        <v>370</v>
      </c>
      <c r="V449" s="345">
        <v>370</v>
      </c>
      <c r="W449" s="291">
        <v>0</v>
      </c>
      <c r="X449" s="290">
        <v>4080</v>
      </c>
      <c r="Y449" s="290" t="s">
        <v>1321</v>
      </c>
      <c r="Z449" s="290"/>
      <c r="AA449" s="290"/>
      <c r="AB449" s="290"/>
      <c r="AC449" s="291"/>
      <c r="AD449" s="175"/>
      <c r="AE449" s="290"/>
      <c r="AF449" s="291"/>
      <c r="AG449" s="291"/>
      <c r="AH449" s="291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</row>
    <row r="450" spans="1:1018">
      <c r="A450" s="549" t="s">
        <v>1322</v>
      </c>
      <c r="B450" s="293"/>
      <c r="C450" s="293" t="s">
        <v>985</v>
      </c>
      <c r="D450" s="293"/>
      <c r="E450" s="286">
        <f t="shared" si="48"/>
        <v>13</v>
      </c>
      <c r="F450" s="280" t="s">
        <v>1323</v>
      </c>
      <c r="G450" s="254">
        <v>0.15</v>
      </c>
      <c r="H450" s="263">
        <v>10</v>
      </c>
      <c r="I450" s="263"/>
      <c r="J450" s="253"/>
      <c r="K450" s="201">
        <v>4628.25</v>
      </c>
      <c r="L450" s="201">
        <v>2000</v>
      </c>
      <c r="M450" s="201"/>
      <c r="N450" s="223">
        <f t="shared" si="49"/>
        <v>6628.25</v>
      </c>
      <c r="O450" s="347">
        <v>13688</v>
      </c>
      <c r="P450" s="376">
        <v>2880</v>
      </c>
      <c r="Q450" s="376">
        <v>300</v>
      </c>
      <c r="R450" s="349">
        <v>2894</v>
      </c>
      <c r="S450" s="344">
        <v>3355</v>
      </c>
      <c r="T450" s="344"/>
      <c r="U450" s="345">
        <v>370</v>
      </c>
      <c r="V450" s="345">
        <v>370</v>
      </c>
      <c r="W450" s="291">
        <v>0</v>
      </c>
      <c r="X450" s="289">
        <v>6628.4</v>
      </c>
      <c r="Y450" s="307">
        <v>6628.4</v>
      </c>
      <c r="Z450" s="307">
        <v>6628.25</v>
      </c>
      <c r="AA450" s="307"/>
      <c r="AB450" s="307"/>
      <c r="AC450" s="307"/>
      <c r="AD450" s="216"/>
      <c r="AE450" s="289"/>
      <c r="AF450" s="307"/>
      <c r="AG450" s="291"/>
      <c r="AH450" s="291">
        <v>0</v>
      </c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</row>
    <row r="451" spans="1:1018">
      <c r="A451" s="352" t="s">
        <v>1324</v>
      </c>
      <c r="B451" s="293"/>
      <c r="C451" s="293" t="s">
        <v>1325</v>
      </c>
      <c r="D451" s="293"/>
      <c r="E451" s="286">
        <f t="shared" si="48"/>
        <v>14</v>
      </c>
      <c r="F451" s="280" t="s">
        <v>1326</v>
      </c>
      <c r="G451" s="254">
        <v>0.15</v>
      </c>
      <c r="H451" s="263">
        <v>10</v>
      </c>
      <c r="I451" s="263"/>
      <c r="J451" s="253"/>
      <c r="K451" s="201">
        <f>4403.85+288</f>
        <v>4691.8500000000004</v>
      </c>
      <c r="L451" s="201"/>
      <c r="M451" s="201"/>
      <c r="N451" s="223">
        <f t="shared" si="49"/>
        <v>4691.8500000000004</v>
      </c>
      <c r="O451" s="347">
        <v>13683</v>
      </c>
      <c r="P451" s="376"/>
      <c r="Q451" s="376">
        <v>300</v>
      </c>
      <c r="R451" s="349"/>
      <c r="S451" s="344"/>
      <c r="T451" s="344"/>
      <c r="U451" s="345">
        <v>370</v>
      </c>
      <c r="V451" s="345"/>
      <c r="W451" s="291">
        <v>0</v>
      </c>
      <c r="X451" s="291">
        <v>4925.7299999999996</v>
      </c>
      <c r="Y451" s="291">
        <v>4925.7299999999996</v>
      </c>
      <c r="Z451" s="291"/>
      <c r="AA451" s="291"/>
      <c r="AB451" s="291"/>
      <c r="AC451" s="291"/>
      <c r="AD451" s="175"/>
      <c r="AE451" s="291"/>
      <c r="AF451" s="291"/>
      <c r="AG451" s="291"/>
      <c r="AH451" s="291">
        <v>0</v>
      </c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  <c r="ALZ451"/>
      <c r="AMA451"/>
      <c r="AMB451"/>
      <c r="AMC451"/>
      <c r="AMD451"/>
    </row>
    <row r="452" spans="1:1018">
      <c r="A452" s="352" t="s">
        <v>304</v>
      </c>
      <c r="B452" s="293"/>
      <c r="C452" s="293"/>
      <c r="D452" s="293"/>
      <c r="E452" s="286">
        <f t="shared" si="48"/>
        <v>15</v>
      </c>
      <c r="F452" s="277" t="s">
        <v>1327</v>
      </c>
      <c r="G452" s="254">
        <v>0.3</v>
      </c>
      <c r="H452" s="263">
        <v>10</v>
      </c>
      <c r="I452" s="263"/>
      <c r="J452" s="253"/>
      <c r="K452" s="201">
        <v>3811.5</v>
      </c>
      <c r="L452" s="201"/>
      <c r="M452" s="201"/>
      <c r="N452" s="223">
        <f t="shared" si="49"/>
        <v>3811.5</v>
      </c>
      <c r="O452" s="347">
        <v>13496</v>
      </c>
      <c r="P452" s="376">
        <v>1920</v>
      </c>
      <c r="Q452" s="376">
        <v>300</v>
      </c>
      <c r="R452" s="349">
        <v>2873</v>
      </c>
      <c r="S452" s="344">
        <v>3355</v>
      </c>
      <c r="T452" s="344"/>
      <c r="U452" s="345">
        <v>370</v>
      </c>
      <c r="V452" s="345">
        <v>370</v>
      </c>
      <c r="W452" s="291">
        <v>0</v>
      </c>
      <c r="X452" s="291">
        <v>3811.5</v>
      </c>
      <c r="Y452" s="291">
        <v>3811.5</v>
      </c>
      <c r="Z452" s="291">
        <v>3811.5</v>
      </c>
      <c r="AA452" s="291">
        <v>3811.5</v>
      </c>
      <c r="AB452" s="291"/>
      <c r="AC452" s="291"/>
      <c r="AD452" s="291"/>
      <c r="AE452" s="291"/>
      <c r="AF452" s="291"/>
      <c r="AG452" s="291"/>
      <c r="AH452" s="291">
        <v>0</v>
      </c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</row>
    <row r="453" spans="1:1018">
      <c r="A453" s="549" t="s">
        <v>1328</v>
      </c>
      <c r="B453" s="293"/>
      <c r="C453" s="293" t="s">
        <v>414</v>
      </c>
      <c r="D453" s="293"/>
      <c r="E453" s="286">
        <f t="shared" si="48"/>
        <v>16</v>
      </c>
      <c r="F453" s="280" t="s">
        <v>1329</v>
      </c>
      <c r="G453" s="254">
        <v>0.15</v>
      </c>
      <c r="H453" s="263">
        <v>11</v>
      </c>
      <c r="I453" s="263"/>
      <c r="J453" s="253">
        <v>4207.5</v>
      </c>
      <c r="K453" s="201"/>
      <c r="L453" s="201">
        <v>2000</v>
      </c>
      <c r="M453" s="201"/>
      <c r="N453" s="223">
        <f t="shared" si="49"/>
        <v>6207.5</v>
      </c>
      <c r="O453" s="347" t="s">
        <v>1056</v>
      </c>
      <c r="P453" s="376">
        <v>1920</v>
      </c>
      <c r="Q453" s="376">
        <v>300</v>
      </c>
      <c r="R453" s="349">
        <v>3187</v>
      </c>
      <c r="S453" s="344">
        <v>3355</v>
      </c>
      <c r="T453" s="344"/>
      <c r="U453" s="345">
        <v>370</v>
      </c>
      <c r="V453" s="345"/>
      <c r="W453" s="291">
        <v>4207.5</v>
      </c>
      <c r="X453" s="289">
        <v>6207.5</v>
      </c>
      <c r="Y453" s="290">
        <v>6207.5</v>
      </c>
      <c r="Z453" s="290">
        <v>6207.5</v>
      </c>
      <c r="AA453" s="290">
        <v>6207.5</v>
      </c>
      <c r="AB453" s="290"/>
      <c r="AC453" s="290"/>
      <c r="AD453" s="176"/>
      <c r="AE453" s="290"/>
      <c r="AF453" s="290"/>
      <c r="AG453" s="291"/>
      <c r="AH453" s="291">
        <v>0</v>
      </c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</row>
    <row r="454" spans="1:1018">
      <c r="A454" s="549" t="s">
        <v>1330</v>
      </c>
      <c r="B454" s="293"/>
      <c r="C454" s="293" t="s">
        <v>414</v>
      </c>
      <c r="D454" s="293"/>
      <c r="E454" s="286">
        <f t="shared" si="48"/>
        <v>17</v>
      </c>
      <c r="F454" s="280" t="s">
        <v>1331</v>
      </c>
      <c r="G454" s="254">
        <v>0.2</v>
      </c>
      <c r="H454" s="263">
        <v>10</v>
      </c>
      <c r="I454" s="263"/>
      <c r="J454" s="253"/>
      <c r="K454" s="201">
        <v>4356</v>
      </c>
      <c r="L454" s="201">
        <v>1475</v>
      </c>
      <c r="M454" s="201"/>
      <c r="N454" s="223">
        <f t="shared" si="49"/>
        <v>5831</v>
      </c>
      <c r="O454" s="347">
        <v>13403</v>
      </c>
      <c r="P454" s="376">
        <v>1920</v>
      </c>
      <c r="Q454" s="376">
        <v>300</v>
      </c>
      <c r="R454" s="349">
        <v>2945</v>
      </c>
      <c r="S454" s="344">
        <v>3355</v>
      </c>
      <c r="T454" s="344"/>
      <c r="U454" s="345">
        <v>370</v>
      </c>
      <c r="V454" s="345"/>
      <c r="W454" s="291">
        <v>0</v>
      </c>
      <c r="X454" s="291">
        <v>5831</v>
      </c>
      <c r="Y454" s="290">
        <v>5831</v>
      </c>
      <c r="Z454" s="291"/>
      <c r="AA454" s="291"/>
      <c r="AB454" s="291"/>
      <c r="AC454" s="291"/>
      <c r="AD454" s="175"/>
      <c r="AE454" s="291"/>
      <c r="AF454" s="291"/>
      <c r="AG454" s="291"/>
      <c r="AH454" s="291">
        <v>0</v>
      </c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</row>
    <row r="455" spans="1:1018">
      <c r="A455" s="547" t="s">
        <v>309</v>
      </c>
      <c r="B455" s="282"/>
      <c r="C455" s="282" t="s">
        <v>378</v>
      </c>
      <c r="D455" s="282"/>
      <c r="E455" s="286">
        <f t="shared" si="48"/>
        <v>18</v>
      </c>
      <c r="F455" s="277" t="s">
        <v>1332</v>
      </c>
      <c r="G455" s="254"/>
      <c r="H455" s="263">
        <v>10</v>
      </c>
      <c r="I455" s="263"/>
      <c r="J455" s="253"/>
      <c r="K455" s="406">
        <v>5445</v>
      </c>
      <c r="L455" s="201">
        <v>375</v>
      </c>
      <c r="M455" s="407"/>
      <c r="N455" s="223">
        <f t="shared" si="49"/>
        <v>5820</v>
      </c>
      <c r="O455" s="347">
        <v>13251</v>
      </c>
      <c r="P455" s="376">
        <v>0</v>
      </c>
      <c r="Q455" s="376">
        <v>300</v>
      </c>
      <c r="R455" s="349">
        <v>2735</v>
      </c>
      <c r="S455" s="344">
        <v>3355</v>
      </c>
      <c r="T455" s="344"/>
      <c r="U455" s="345">
        <v>370</v>
      </c>
      <c r="V455" s="345"/>
      <c r="W455" s="291">
        <v>0</v>
      </c>
      <c r="X455" s="291">
        <v>5445</v>
      </c>
      <c r="Y455" s="291">
        <v>5820</v>
      </c>
      <c r="Z455" s="291">
        <v>5820</v>
      </c>
      <c r="AA455" s="291"/>
      <c r="AB455" s="291"/>
      <c r="AC455" s="291"/>
      <c r="AD455" s="291"/>
      <c r="AE455" s="291"/>
      <c r="AF455" s="291"/>
      <c r="AG455" s="291"/>
      <c r="AH455" s="291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</row>
    <row r="456" spans="1:1018">
      <c r="A456" s="545" t="s">
        <v>1333</v>
      </c>
      <c r="B456" s="293"/>
      <c r="C456" s="293" t="s">
        <v>1334</v>
      </c>
      <c r="D456" s="293"/>
      <c r="E456" s="286">
        <f t="shared" si="48"/>
        <v>19</v>
      </c>
      <c r="F456" s="280" t="s">
        <v>1335</v>
      </c>
      <c r="G456" s="282">
        <v>0.15</v>
      </c>
      <c r="H456" s="282">
        <v>10</v>
      </c>
      <c r="I456" s="282"/>
      <c r="J456" s="282"/>
      <c r="K456" s="201">
        <v>4628.25</v>
      </c>
      <c r="L456" s="201">
        <v>2000</v>
      </c>
      <c r="M456" s="201"/>
      <c r="N456" s="223">
        <f t="shared" si="49"/>
        <v>6628.25</v>
      </c>
      <c r="O456" s="303">
        <v>13285</v>
      </c>
      <c r="P456" s="304">
        <f>1680+240</f>
        <v>1920</v>
      </c>
      <c r="Q456" s="304">
        <v>300</v>
      </c>
      <c r="R456" s="305">
        <v>2932</v>
      </c>
      <c r="S456" s="306">
        <v>3355</v>
      </c>
      <c r="T456" s="306"/>
      <c r="U456" s="9">
        <v>370</v>
      </c>
      <c r="V456" s="9">
        <v>243.5</v>
      </c>
      <c r="W456" s="291">
        <v>0</v>
      </c>
      <c r="X456" s="290">
        <f>6600+28.25</f>
        <v>6628.25</v>
      </c>
      <c r="Y456" s="290">
        <f>6600+28.25</f>
        <v>6628.25</v>
      </c>
      <c r="Z456" s="290">
        <v>6600</v>
      </c>
      <c r="AA456" s="290"/>
      <c r="AB456" s="290"/>
      <c r="AC456" s="290"/>
      <c r="AD456" s="176"/>
      <c r="AE456" s="290"/>
      <c r="AF456" s="290"/>
      <c r="AG456" s="290"/>
      <c r="AH456" s="291">
        <v>0</v>
      </c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</row>
    <row r="457" spans="1:1018">
      <c r="A457" s="545" t="s">
        <v>1336</v>
      </c>
      <c r="B457" s="293"/>
      <c r="C457" s="293" t="s">
        <v>1334</v>
      </c>
      <c r="D457" s="293"/>
      <c r="E457" s="286">
        <f t="shared" si="48"/>
        <v>20</v>
      </c>
      <c r="F457" s="280" t="s">
        <v>1337</v>
      </c>
      <c r="G457" s="254">
        <v>0.15</v>
      </c>
      <c r="H457" s="263">
        <v>10</v>
      </c>
      <c r="I457" s="263"/>
      <c r="J457" s="253"/>
      <c r="K457" s="201">
        <v>4628.25</v>
      </c>
      <c r="L457" s="201">
        <v>2000</v>
      </c>
      <c r="M457" s="201"/>
      <c r="N457" s="223">
        <f t="shared" si="49"/>
        <v>6628.25</v>
      </c>
      <c r="O457" s="347">
        <v>13286</v>
      </c>
      <c r="P457" s="376">
        <f>1680+240</f>
        <v>1920</v>
      </c>
      <c r="Q457" s="376">
        <v>300</v>
      </c>
      <c r="R457" s="349">
        <v>2932</v>
      </c>
      <c r="S457" s="344">
        <v>3355</v>
      </c>
      <c r="T457" s="344"/>
      <c r="U457" s="345">
        <v>370</v>
      </c>
      <c r="V457" s="345">
        <v>300</v>
      </c>
      <c r="W457" s="291">
        <v>0</v>
      </c>
      <c r="X457" s="290">
        <f>2000+4628.25</f>
        <v>6628.25</v>
      </c>
      <c r="Y457" s="290">
        <v>6628.25</v>
      </c>
      <c r="Z457" s="290">
        <f>4628.25+2000</f>
        <v>6628.25</v>
      </c>
      <c r="AA457" s="290"/>
      <c r="AB457" s="290"/>
      <c r="AC457" s="290"/>
      <c r="AD457" s="176"/>
      <c r="AE457" s="290"/>
      <c r="AF457" s="290"/>
      <c r="AG457" s="290"/>
      <c r="AH457" s="291">
        <v>0</v>
      </c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</row>
    <row r="458" spans="1:1018">
      <c r="A458" s="513" t="s">
        <v>305</v>
      </c>
      <c r="B458" s="311"/>
      <c r="C458" s="311"/>
      <c r="D458" s="311"/>
      <c r="E458" s="286">
        <f t="shared" si="48"/>
        <v>21</v>
      </c>
      <c r="F458" s="312" t="s">
        <v>1338</v>
      </c>
      <c r="G458" s="206">
        <v>0.15</v>
      </c>
      <c r="H458" s="206">
        <v>10</v>
      </c>
      <c r="I458" s="206"/>
      <c r="J458" s="377"/>
      <c r="K458" s="378">
        <v>4628.25</v>
      </c>
      <c r="L458" s="378"/>
      <c r="M458" s="378"/>
      <c r="N458" s="379">
        <f t="shared" si="49"/>
        <v>4628.25</v>
      </c>
      <c r="O458" s="388">
        <v>13267</v>
      </c>
      <c r="P458" s="389">
        <v>1920</v>
      </c>
      <c r="Q458" s="389">
        <v>300</v>
      </c>
      <c r="R458" s="390">
        <v>2803</v>
      </c>
      <c r="S458" s="391">
        <f>3315+40</f>
        <v>3355</v>
      </c>
      <c r="T458" s="391"/>
      <c r="U458" s="392">
        <v>370</v>
      </c>
      <c r="V458" s="392">
        <v>370</v>
      </c>
      <c r="W458" s="393">
        <v>0</v>
      </c>
      <c r="X458" s="393">
        <v>4628.25</v>
      </c>
      <c r="Y458" s="393">
        <v>4628.25</v>
      </c>
      <c r="Z458" s="393">
        <v>4628.25</v>
      </c>
      <c r="AA458" s="393"/>
      <c r="AB458" s="393"/>
      <c r="AC458" s="393"/>
      <c r="AD458" s="321"/>
      <c r="AE458" s="393"/>
      <c r="AF458" s="393"/>
      <c r="AG458" s="393"/>
      <c r="AH458" s="393">
        <v>0</v>
      </c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</row>
    <row r="459" spans="1:1018">
      <c r="A459" s="293" t="s">
        <v>1339</v>
      </c>
      <c r="B459" s="293"/>
      <c r="C459" s="293"/>
      <c r="D459" s="293"/>
      <c r="E459" s="286">
        <f t="shared" si="48"/>
        <v>22</v>
      </c>
      <c r="F459" s="280" t="s">
        <v>1340</v>
      </c>
      <c r="G459" s="282">
        <v>0.15</v>
      </c>
      <c r="H459" s="282">
        <v>10</v>
      </c>
      <c r="I459" s="282"/>
      <c r="J459" s="282"/>
      <c r="K459" s="201">
        <v>4628.25</v>
      </c>
      <c r="L459" s="201"/>
      <c r="M459" s="201"/>
      <c r="N459" s="379">
        <f t="shared" si="49"/>
        <v>4628.25</v>
      </c>
      <c r="O459" s="303">
        <v>13498</v>
      </c>
      <c r="P459" s="304">
        <v>1920</v>
      </c>
      <c r="Q459" s="304">
        <v>300</v>
      </c>
      <c r="R459" s="305">
        <v>2888</v>
      </c>
      <c r="S459" s="306">
        <v>3355</v>
      </c>
      <c r="T459" s="306"/>
      <c r="U459" s="9">
        <v>370</v>
      </c>
      <c r="V459" s="9"/>
      <c r="W459" s="291">
        <v>0</v>
      </c>
      <c r="X459" s="289">
        <v>4304.2700000000004</v>
      </c>
      <c r="Y459" s="289">
        <v>4304.2700000000004</v>
      </c>
      <c r="Z459" s="289">
        <v>4304.2700000000004</v>
      </c>
      <c r="AA459" s="289">
        <v>4304.2700000000004</v>
      </c>
      <c r="AB459" s="289">
        <v>4304.2700000000004</v>
      </c>
      <c r="AC459" s="289">
        <v>4304.2700000000004</v>
      </c>
      <c r="AD459" s="289">
        <v>4304.2700000000004</v>
      </c>
      <c r="AE459" s="290"/>
      <c r="AF459" s="290"/>
      <c r="AG459" s="290"/>
      <c r="AH459" s="291">
        <v>0</v>
      </c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</row>
    <row r="460" spans="1:1018">
      <c r="A460" s="512" t="s">
        <v>306</v>
      </c>
      <c r="B460" s="512"/>
      <c r="C460" s="512"/>
      <c r="D460" s="512"/>
      <c r="E460" s="286">
        <f t="shared" si="48"/>
        <v>23</v>
      </c>
      <c r="F460" s="514" t="s">
        <v>1341</v>
      </c>
      <c r="G460" s="264">
        <v>0.15</v>
      </c>
      <c r="H460" s="264">
        <v>10</v>
      </c>
      <c r="I460" s="264"/>
      <c r="J460" s="394">
        <v>4207.5</v>
      </c>
      <c r="K460" s="382"/>
      <c r="L460" s="382"/>
      <c r="M460" s="382"/>
      <c r="N460" s="379">
        <f t="shared" si="49"/>
        <v>4207.5</v>
      </c>
      <c r="O460" s="397">
        <v>13579</v>
      </c>
      <c r="P460" s="398">
        <v>1920</v>
      </c>
      <c r="Q460" s="398">
        <v>300</v>
      </c>
      <c r="R460" s="399">
        <v>2765</v>
      </c>
      <c r="S460" s="400">
        <v>3355</v>
      </c>
      <c r="T460" s="400"/>
      <c r="U460" s="401"/>
      <c r="V460" s="401"/>
      <c r="W460" s="402">
        <v>4207.5</v>
      </c>
      <c r="X460" s="404">
        <v>4208</v>
      </c>
      <c r="Y460" s="404">
        <v>4578</v>
      </c>
      <c r="Z460" s="404"/>
      <c r="AA460" s="404"/>
      <c r="AB460" s="404"/>
      <c r="AC460" s="404"/>
      <c r="AD460" s="405"/>
      <c r="AE460" s="404"/>
      <c r="AF460" s="404"/>
      <c r="AG460" s="404"/>
      <c r="AH460" s="402">
        <v>0</v>
      </c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</row>
    <row r="461" spans="1:1018">
      <c r="A461" s="512" t="s">
        <v>1342</v>
      </c>
      <c r="B461" s="512"/>
      <c r="C461" s="512"/>
      <c r="D461" s="512"/>
      <c r="E461" s="286">
        <f t="shared" si="48"/>
        <v>24</v>
      </c>
      <c r="F461" s="514" t="s">
        <v>1343</v>
      </c>
      <c r="G461" s="264"/>
      <c r="H461" s="264">
        <v>10</v>
      </c>
      <c r="I461" s="264"/>
      <c r="J461" s="394"/>
      <c r="K461" s="382">
        <v>5445</v>
      </c>
      <c r="L461" s="382"/>
      <c r="M461" s="382"/>
      <c r="N461" s="379">
        <f t="shared" si="49"/>
        <v>5445</v>
      </c>
      <c r="O461" s="397">
        <v>13786</v>
      </c>
      <c r="P461" s="398">
        <v>0</v>
      </c>
      <c r="Q461" s="398">
        <v>300</v>
      </c>
      <c r="R461" s="399">
        <v>3437</v>
      </c>
      <c r="S461" s="400">
        <f>2000+1355</f>
        <v>3355</v>
      </c>
      <c r="T461" s="400"/>
      <c r="U461" s="401">
        <v>370</v>
      </c>
      <c r="V461" s="401">
        <v>370</v>
      </c>
      <c r="W461" s="402">
        <v>0</v>
      </c>
      <c r="X461" s="403">
        <f>2500+2945</f>
        <v>5445</v>
      </c>
      <c r="Y461" s="403">
        <v>5445</v>
      </c>
      <c r="Z461" s="403">
        <v>5445</v>
      </c>
      <c r="AA461" s="404"/>
      <c r="AB461" s="404"/>
      <c r="AC461" s="404"/>
      <c r="AD461" s="405"/>
      <c r="AE461" s="404"/>
      <c r="AF461" s="402"/>
      <c r="AG461" s="402"/>
      <c r="AH461" s="402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</row>
    <row r="462" spans="1:1018">
      <c r="A462" s="352" t="s">
        <v>1344</v>
      </c>
      <c r="B462" s="293"/>
      <c r="C462" s="293"/>
      <c r="D462" s="293"/>
      <c r="E462" s="286">
        <f t="shared" si="48"/>
        <v>25</v>
      </c>
      <c r="F462" s="277" t="s">
        <v>1345</v>
      </c>
      <c r="G462" s="282">
        <v>0.15</v>
      </c>
      <c r="H462" s="282">
        <v>10</v>
      </c>
      <c r="I462" s="282"/>
      <c r="J462" s="282"/>
      <c r="K462" s="201">
        <v>4628.25</v>
      </c>
      <c r="L462" s="201"/>
      <c r="M462" s="201"/>
      <c r="N462" s="379">
        <f t="shared" si="49"/>
        <v>4628.25</v>
      </c>
      <c r="O462" s="347">
        <v>13494</v>
      </c>
      <c r="P462" s="376">
        <v>1920</v>
      </c>
      <c r="Q462" s="376">
        <v>300</v>
      </c>
      <c r="R462" s="349" t="s">
        <v>488</v>
      </c>
      <c r="S462" s="344"/>
      <c r="T462" s="344"/>
      <c r="U462" s="345">
        <v>370</v>
      </c>
      <c r="V462" s="345">
        <v>370</v>
      </c>
      <c r="W462" s="291">
        <v>0</v>
      </c>
      <c r="X462" s="291">
        <v>4628.25</v>
      </c>
      <c r="Y462" s="291">
        <v>4628.25</v>
      </c>
      <c r="Z462" s="291">
        <v>4628.25</v>
      </c>
      <c r="AA462" s="291">
        <v>4628.25</v>
      </c>
      <c r="AB462" s="291"/>
      <c r="AC462" s="291"/>
      <c r="AD462" s="175"/>
      <c r="AE462" s="291"/>
      <c r="AF462" s="291"/>
      <c r="AG462" s="291"/>
      <c r="AH462" s="291">
        <v>0</v>
      </c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</row>
    <row r="463" spans="1:1018">
      <c r="A463" s="352" t="s">
        <v>1346</v>
      </c>
      <c r="B463" s="293"/>
      <c r="C463" s="293"/>
      <c r="D463" s="293"/>
      <c r="E463" s="286">
        <f t="shared" si="48"/>
        <v>26</v>
      </c>
      <c r="F463" s="280" t="s">
        <v>1347</v>
      </c>
      <c r="G463" s="282"/>
      <c r="H463" s="282">
        <v>10</v>
      </c>
      <c r="I463" s="282"/>
      <c r="J463" s="282"/>
      <c r="K463" s="382"/>
      <c r="L463" s="382"/>
      <c r="M463" s="382"/>
      <c r="N463" s="379">
        <f t="shared" si="49"/>
        <v>0</v>
      </c>
      <c r="O463" s="397"/>
      <c r="P463" s="398"/>
      <c r="Q463" s="398"/>
      <c r="R463" s="399">
        <v>2976</v>
      </c>
      <c r="S463" s="400">
        <v>1980</v>
      </c>
      <c r="T463" s="400" t="s">
        <v>1348</v>
      </c>
      <c r="U463" s="401">
        <v>370</v>
      </c>
      <c r="V463" s="401"/>
      <c r="W463" s="402"/>
      <c r="X463" s="515"/>
      <c r="Y463" s="515"/>
      <c r="Z463" s="515"/>
      <c r="AA463" s="515"/>
      <c r="AB463" s="515"/>
      <c r="AC463" s="515"/>
      <c r="AD463" s="515"/>
      <c r="AE463" s="515"/>
      <c r="AF463" s="515"/>
      <c r="AG463" s="515"/>
      <c r="AH463" s="402">
        <v>0</v>
      </c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</row>
    <row r="464" spans="1:1018">
      <c r="A464" s="549" t="s">
        <v>307</v>
      </c>
      <c r="B464" s="293"/>
      <c r="C464" s="293" t="s">
        <v>1349</v>
      </c>
      <c r="D464" s="293"/>
      <c r="E464" s="286">
        <f t="shared" si="48"/>
        <v>27</v>
      </c>
      <c r="F464" s="280" t="s">
        <v>1350</v>
      </c>
      <c r="G464" s="282">
        <v>0.1</v>
      </c>
      <c r="H464" s="282">
        <v>10</v>
      </c>
      <c r="I464" s="282"/>
      <c r="J464" s="282"/>
      <c r="K464" s="382">
        <v>4900.5</v>
      </c>
      <c r="L464" s="382">
        <v>2105</v>
      </c>
      <c r="M464" s="382"/>
      <c r="N464" s="379">
        <f t="shared" si="49"/>
        <v>7005.5</v>
      </c>
      <c r="O464" s="397">
        <v>13776</v>
      </c>
      <c r="P464" s="398">
        <v>2880</v>
      </c>
      <c r="Q464" s="398">
        <v>300</v>
      </c>
      <c r="R464" s="399">
        <v>2859</v>
      </c>
      <c r="S464" s="400">
        <v>3355</v>
      </c>
      <c r="T464" s="400"/>
      <c r="U464" s="401"/>
      <c r="V464" s="401"/>
      <c r="W464" s="402"/>
      <c r="X464" s="404"/>
      <c r="Y464" s="404" t="s">
        <v>1351</v>
      </c>
      <c r="Z464" s="404"/>
      <c r="AA464" s="404"/>
      <c r="AB464" s="402"/>
      <c r="AC464" s="516"/>
      <c r="AD464" s="343"/>
      <c r="AE464" s="402"/>
      <c r="AF464" s="402"/>
      <c r="AG464" s="402"/>
      <c r="AH464" s="402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</row>
    <row r="465" spans="1:1018">
      <c r="A465" s="293"/>
      <c r="B465" s="293"/>
      <c r="C465" s="293"/>
      <c r="D465" s="293"/>
      <c r="E465" s="286"/>
      <c r="F465" s="280"/>
      <c r="G465" s="282"/>
      <c r="H465" s="282"/>
      <c r="I465" s="282"/>
      <c r="J465" s="282"/>
      <c r="K465" s="382"/>
      <c r="L465" s="382"/>
      <c r="M465" s="382"/>
      <c r="N465" s="379"/>
      <c r="O465" s="397"/>
      <c r="P465" s="398"/>
      <c r="Q465" s="398"/>
      <c r="R465" s="399"/>
      <c r="S465" s="400"/>
      <c r="T465" s="400"/>
      <c r="U465" s="401"/>
      <c r="V465" s="401"/>
      <c r="W465" s="402"/>
      <c r="X465" s="403"/>
      <c r="Y465" s="404"/>
      <c r="Z465" s="404"/>
      <c r="AA465" s="404"/>
      <c r="AB465" s="404"/>
      <c r="AC465" s="404"/>
      <c r="AD465" s="405"/>
      <c r="AE465" s="404"/>
      <c r="AF465" s="402"/>
      <c r="AG465" s="402"/>
      <c r="AH465" s="402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</row>
    <row r="466" spans="1:1018">
      <c r="A466" s="293"/>
      <c r="B466" s="293"/>
      <c r="C466" s="293"/>
      <c r="D466" s="293"/>
      <c r="E466" s="286"/>
      <c r="F466" s="280"/>
      <c r="G466" s="282"/>
      <c r="H466" s="282"/>
      <c r="I466" s="282"/>
      <c r="J466" s="282"/>
      <c r="K466" s="382"/>
      <c r="L466" s="382"/>
      <c r="M466" s="382"/>
      <c r="N466" s="379"/>
      <c r="O466" s="397"/>
      <c r="P466" s="398"/>
      <c r="Q466" s="398"/>
      <c r="R466" s="399"/>
      <c r="S466" s="400"/>
      <c r="T466" s="400"/>
      <c r="U466" s="401"/>
      <c r="V466" s="401"/>
      <c r="W466" s="402"/>
      <c r="X466" s="403"/>
      <c r="Y466" s="404"/>
      <c r="Z466" s="404"/>
      <c r="AA466" s="404"/>
      <c r="AB466" s="404"/>
      <c r="AC466" s="404"/>
      <c r="AD466" s="405"/>
      <c r="AE466" s="404"/>
      <c r="AF466" s="402"/>
      <c r="AG466" s="402"/>
      <c r="AH466" s="402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</row>
    <row r="467" spans="1:1018">
      <c r="A467" s="264"/>
      <c r="B467" s="264"/>
      <c r="C467" s="264"/>
      <c r="D467" s="264"/>
      <c r="E467" s="264"/>
      <c r="F467" s="363"/>
      <c r="G467" s="264"/>
      <c r="H467" s="264"/>
      <c r="I467" s="264"/>
      <c r="J467" s="394"/>
      <c r="K467" s="395"/>
      <c r="L467" s="395"/>
      <c r="M467" s="396"/>
      <c r="N467" s="379"/>
      <c r="O467" s="397"/>
      <c r="P467" s="398"/>
      <c r="Q467" s="398"/>
      <c r="R467" s="399"/>
      <c r="S467" s="400"/>
      <c r="T467" s="400"/>
      <c r="U467" s="401"/>
      <c r="V467" s="401"/>
      <c r="W467" s="402"/>
      <c r="X467" s="402"/>
      <c r="Y467" s="402"/>
      <c r="Z467" s="402"/>
      <c r="AA467" s="402"/>
      <c r="AB467" s="402"/>
      <c r="AC467" s="402"/>
      <c r="AD467" s="402"/>
      <c r="AE467" s="402"/>
      <c r="AF467" s="402"/>
      <c r="AG467" s="402"/>
      <c r="AH467" s="402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</row>
    <row r="468" spans="1:1018">
      <c r="A468" s="263"/>
      <c r="B468" s="263"/>
      <c r="C468" s="263"/>
      <c r="D468" s="263"/>
      <c r="E468" s="263"/>
      <c r="F468" s="232"/>
      <c r="G468" s="263"/>
      <c r="H468" s="263"/>
      <c r="I468" s="263"/>
      <c r="J468" s="253"/>
      <c r="K468" s="406"/>
      <c r="L468" s="406"/>
      <c r="M468" s="407"/>
      <c r="N468" s="223"/>
      <c r="O468" s="347"/>
      <c r="P468" s="408"/>
      <c r="Q468" s="408"/>
      <c r="R468" s="409"/>
      <c r="S468" s="410"/>
      <c r="T468" s="410"/>
      <c r="U468" s="411"/>
      <c r="V468" s="411"/>
      <c r="W468" s="291"/>
      <c r="X468" s="291"/>
      <c r="Y468" s="291"/>
      <c r="Z468" s="291"/>
      <c r="AA468" s="291"/>
      <c r="AB468" s="291"/>
      <c r="AC468" s="291"/>
      <c r="AD468" s="291"/>
      <c r="AE468" s="291"/>
      <c r="AF468" s="291"/>
      <c r="AG468" s="291"/>
      <c r="AH468" s="291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</row>
    <row r="469" spans="1:1018">
      <c r="A469" s="263"/>
      <c r="B469" s="263"/>
      <c r="C469" s="263"/>
      <c r="D469" s="263"/>
      <c r="E469" s="263"/>
      <c r="F469" s="232"/>
      <c r="G469" s="263">
        <f>SUM(G438:G468)</f>
        <v>3.0499999999999994</v>
      </c>
      <c r="H469" s="263"/>
      <c r="I469" s="263"/>
      <c r="J469" s="253"/>
      <c r="K469" s="406"/>
      <c r="L469" s="406"/>
      <c r="M469" s="407"/>
      <c r="N469" s="223">
        <f>SUM(N438:N468)</f>
        <v>141930.35</v>
      </c>
      <c r="O469" s="347"/>
      <c r="P469" s="408"/>
      <c r="Q469" s="408"/>
      <c r="R469" s="409"/>
      <c r="S469" s="410"/>
      <c r="T469" s="410"/>
      <c r="U469" s="411"/>
      <c r="V469" s="411"/>
      <c r="W469" s="291"/>
      <c r="X469" s="291"/>
      <c r="Y469" s="291"/>
      <c r="Z469" s="291"/>
      <c r="AA469" s="291"/>
      <c r="AB469" s="291"/>
      <c r="AC469" s="291"/>
      <c r="AD469" s="291"/>
      <c r="AE469" s="291"/>
      <c r="AF469" s="291"/>
      <c r="AG469" s="291"/>
      <c r="AH469" s="291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</row>
    <row r="470" spans="1:1018">
      <c r="K470" s="412"/>
      <c r="L470" s="412"/>
      <c r="M470" s="412"/>
      <c r="N470" s="222"/>
      <c r="O470" s="217"/>
      <c r="P470" s="228"/>
      <c r="Q470" s="228"/>
      <c r="R470" s="229"/>
      <c r="S470" s="230"/>
      <c r="T470" s="230"/>
      <c r="U470" s="231"/>
      <c r="V470" s="231"/>
      <c r="W470" s="175"/>
      <c r="X470" s="175"/>
      <c r="Y470" s="175"/>
      <c r="Z470" s="175"/>
      <c r="AA470" s="175"/>
      <c r="AB470" s="175"/>
      <c r="AC470" s="175"/>
      <c r="AD470" s="175"/>
      <c r="AE470" s="175"/>
      <c r="AF470" s="175"/>
      <c r="AG470" s="175"/>
      <c r="AH470" s="175"/>
    </row>
    <row r="471" spans="1:1018">
      <c r="N471" s="222"/>
      <c r="O471" s="217"/>
      <c r="P471" s="228"/>
      <c r="Q471" s="228"/>
      <c r="R471" s="229"/>
      <c r="S471" s="230"/>
      <c r="T471" s="230"/>
      <c r="U471" s="231"/>
      <c r="V471" s="231"/>
      <c r="W471" s="175"/>
      <c r="X471" s="175"/>
      <c r="Y471" s="175"/>
      <c r="Z471" s="175"/>
      <c r="AA471" s="175"/>
      <c r="AB471" s="175"/>
      <c r="AC471" s="175"/>
      <c r="AD471" s="175"/>
      <c r="AE471" s="175"/>
      <c r="AF471" s="175"/>
      <c r="AG471" s="175"/>
      <c r="AH471" s="175"/>
    </row>
    <row r="472" spans="1:1018" s="151" customFormat="1" ht="45">
      <c r="A472" s="133" t="s">
        <v>310</v>
      </c>
      <c r="B472" s="134"/>
      <c r="C472" s="135" t="s">
        <v>339</v>
      </c>
      <c r="D472" s="135"/>
      <c r="E472" s="134"/>
      <c r="F472" s="232" t="s">
        <v>961</v>
      </c>
      <c r="G472" s="133" t="s">
        <v>426</v>
      </c>
      <c r="H472" s="137" t="s">
        <v>427</v>
      </c>
      <c r="I472" s="138"/>
      <c r="J472" s="235" t="s">
        <v>429</v>
      </c>
      <c r="K472" s="236" t="s">
        <v>441</v>
      </c>
      <c r="L472" s="237"/>
      <c r="M472" s="238" t="s">
        <v>431</v>
      </c>
      <c r="N472" s="239" t="s">
        <v>432</v>
      </c>
      <c r="O472" s="144"/>
      <c r="P472" s="145"/>
      <c r="Q472" s="145"/>
      <c r="R472" s="240"/>
      <c r="S472" s="241"/>
      <c r="T472" s="241"/>
      <c r="U472" s="242"/>
      <c r="V472" s="242"/>
      <c r="W472" s="150" t="s">
        <v>437</v>
      </c>
      <c r="X472" s="150" t="s">
        <v>438</v>
      </c>
      <c r="Y472" s="150" t="s">
        <v>2</v>
      </c>
      <c r="Z472" s="150" t="s">
        <v>4</v>
      </c>
      <c r="AA472" s="150" t="s">
        <v>5</v>
      </c>
      <c r="AB472" s="150" t="s">
        <v>6</v>
      </c>
      <c r="AC472" s="150" t="s">
        <v>7</v>
      </c>
      <c r="AD472" s="150" t="s">
        <v>8</v>
      </c>
      <c r="AE472" s="150" t="s">
        <v>9</v>
      </c>
      <c r="AF472" s="150" t="s">
        <v>10</v>
      </c>
      <c r="AG472" s="150" t="s">
        <v>340</v>
      </c>
      <c r="AH472" s="150" t="s">
        <v>439</v>
      </c>
    </row>
    <row r="473" spans="1:1018">
      <c r="A473" s="282" t="s">
        <v>342</v>
      </c>
      <c r="B473" s="368"/>
      <c r="C473" s="368"/>
      <c r="D473" s="368"/>
      <c r="E473" s="274">
        <v>1</v>
      </c>
      <c r="F473" s="275" t="s">
        <v>1352</v>
      </c>
      <c r="G473" s="282"/>
      <c r="H473" s="282">
        <v>10</v>
      </c>
      <c r="I473" s="368"/>
      <c r="J473" s="175"/>
      <c r="K473" s="201">
        <v>5445</v>
      </c>
      <c r="L473" s="201"/>
      <c r="M473" s="201"/>
      <c r="N473" s="223">
        <f t="shared" ref="N473:N497" si="50">+J473+K473+L473+M473</f>
        <v>5445</v>
      </c>
      <c r="O473" s="303">
        <v>13589</v>
      </c>
      <c r="P473" s="304">
        <v>1920</v>
      </c>
      <c r="Q473" s="304">
        <v>300</v>
      </c>
      <c r="R473" s="305" t="s">
        <v>1353</v>
      </c>
      <c r="S473" s="306"/>
      <c r="T473" s="306" t="s">
        <v>1354</v>
      </c>
      <c r="U473" s="9">
        <v>370</v>
      </c>
      <c r="V473" s="9"/>
      <c r="W473" s="291">
        <v>0</v>
      </c>
      <c r="X473" s="315">
        <v>5445</v>
      </c>
      <c r="Y473" s="374">
        <v>5445</v>
      </c>
      <c r="Z473" s="354">
        <v>5445</v>
      </c>
      <c r="AA473" s="354"/>
      <c r="AB473" s="354"/>
      <c r="AC473" s="354"/>
      <c r="AD473" s="315"/>
      <c r="AE473" s="315"/>
      <c r="AF473" s="291"/>
      <c r="AG473" s="291"/>
      <c r="AH473" s="291">
        <v>0</v>
      </c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</row>
    <row r="474" spans="1:1018">
      <c r="A474" s="530" t="s">
        <v>343</v>
      </c>
      <c r="B474" s="368"/>
      <c r="C474" s="368" t="s">
        <v>344</v>
      </c>
      <c r="D474" s="368"/>
      <c r="E474" s="274">
        <f t="shared" ref="E474:E497" si="51">+E473+1</f>
        <v>2</v>
      </c>
      <c r="F474" s="275" t="s">
        <v>1355</v>
      </c>
      <c r="G474" s="282">
        <v>0.15</v>
      </c>
      <c r="H474" s="282">
        <v>10</v>
      </c>
      <c r="I474" s="368"/>
      <c r="J474" s="175"/>
      <c r="K474" s="201">
        <v>4628.25</v>
      </c>
      <c r="L474" s="201">
        <v>2000</v>
      </c>
      <c r="M474" s="201"/>
      <c r="N474" s="223">
        <f t="shared" si="50"/>
        <v>6628.25</v>
      </c>
      <c r="O474" s="303">
        <v>14070</v>
      </c>
      <c r="P474" s="304">
        <v>1920</v>
      </c>
      <c r="Q474" s="304">
        <v>300</v>
      </c>
      <c r="R474" s="305">
        <v>3507</v>
      </c>
      <c r="S474" s="306">
        <v>1902</v>
      </c>
      <c r="T474" s="306"/>
      <c r="U474" s="9"/>
      <c r="V474" s="9"/>
      <c r="W474" s="291"/>
      <c r="X474" s="289"/>
      <c r="Y474" s="289"/>
      <c r="Z474" s="289"/>
      <c r="AA474" s="176"/>
      <c r="AB474" s="290"/>
      <c r="AC474" s="290"/>
      <c r="AD474" s="290"/>
      <c r="AE474" s="309"/>
      <c r="AF474" s="290"/>
      <c r="AG474" s="355"/>
      <c r="AH474" s="291">
        <v>0</v>
      </c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</row>
    <row r="475" spans="1:1018">
      <c r="A475" s="545" t="s">
        <v>311</v>
      </c>
      <c r="B475" s="278"/>
      <c r="C475" s="278" t="s">
        <v>345</v>
      </c>
      <c r="D475" s="278"/>
      <c r="E475" s="274">
        <f t="shared" si="51"/>
        <v>3</v>
      </c>
      <c r="F475" s="279" t="s">
        <v>1356</v>
      </c>
      <c r="G475" s="282">
        <v>0.15</v>
      </c>
      <c r="H475" s="282">
        <v>10</v>
      </c>
      <c r="I475" s="368"/>
      <c r="J475" s="175"/>
      <c r="K475" s="201">
        <v>4628.25</v>
      </c>
      <c r="L475" s="201">
        <v>1925</v>
      </c>
      <c r="M475" s="201"/>
      <c r="N475" s="223">
        <f t="shared" si="50"/>
        <v>6553.25</v>
      </c>
      <c r="O475" s="303">
        <v>13369</v>
      </c>
      <c r="P475" s="304">
        <v>1920</v>
      </c>
      <c r="Q475" s="304">
        <v>300</v>
      </c>
      <c r="R475" s="305">
        <v>2799</v>
      </c>
      <c r="S475" s="306">
        <v>1902</v>
      </c>
      <c r="T475" s="306"/>
      <c r="U475" s="9">
        <v>370</v>
      </c>
      <c r="V475" s="9">
        <v>370</v>
      </c>
      <c r="W475" s="291">
        <v>0</v>
      </c>
      <c r="X475" s="315">
        <v>6553.25</v>
      </c>
      <c r="Y475" s="561">
        <v>6553.25</v>
      </c>
      <c r="Z475" s="315">
        <v>6553.25</v>
      </c>
      <c r="AA475" s="216">
        <v>6553.25</v>
      </c>
      <c r="AB475" s="307"/>
      <c r="AC475" s="307"/>
      <c r="AD475" s="307"/>
      <c r="AE475" s="307"/>
      <c r="AF475" s="307"/>
      <c r="AG475" s="291"/>
      <c r="AH475" s="291">
        <v>0</v>
      </c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</row>
    <row r="476" spans="1:1018">
      <c r="A476" s="530" t="s">
        <v>346</v>
      </c>
      <c r="B476" s="368"/>
      <c r="C476" s="368" t="s">
        <v>347</v>
      </c>
      <c r="D476" s="368"/>
      <c r="E476" s="274">
        <f t="shared" si="51"/>
        <v>4</v>
      </c>
      <c r="F476" s="275" t="s">
        <v>1357</v>
      </c>
      <c r="G476" s="281"/>
      <c r="H476" s="282">
        <v>10</v>
      </c>
      <c r="I476" s="368"/>
      <c r="J476" s="175"/>
      <c r="K476" s="201">
        <v>5445</v>
      </c>
      <c r="L476" s="201">
        <v>2105</v>
      </c>
      <c r="M476" s="201"/>
      <c r="N476" s="223">
        <f t="shared" si="50"/>
        <v>7550</v>
      </c>
      <c r="O476" s="303">
        <v>13470</v>
      </c>
      <c r="P476" s="304">
        <v>1920</v>
      </c>
      <c r="Q476" s="304">
        <v>300</v>
      </c>
      <c r="R476" s="305">
        <v>3083</v>
      </c>
      <c r="S476" s="306">
        <v>1902</v>
      </c>
      <c r="T476" s="306"/>
      <c r="U476" s="9">
        <v>370</v>
      </c>
      <c r="V476" s="9">
        <v>370</v>
      </c>
      <c r="W476" s="291">
        <v>0</v>
      </c>
      <c r="X476" s="291">
        <v>7550</v>
      </c>
      <c r="Y476" s="290">
        <v>7550</v>
      </c>
      <c r="Z476" s="290">
        <v>7550</v>
      </c>
      <c r="AA476" s="176"/>
      <c r="AB476" s="290"/>
      <c r="AC476" s="290"/>
      <c r="AD476" s="290"/>
      <c r="AE476" s="290"/>
      <c r="AF476" s="290"/>
      <c r="AG476" s="290"/>
      <c r="AH476" s="291">
        <v>0</v>
      </c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</row>
    <row r="477" spans="1:1018">
      <c r="A477" s="530" t="s">
        <v>312</v>
      </c>
      <c r="B477" s="368"/>
      <c r="C477" s="368" t="s">
        <v>348</v>
      </c>
      <c r="D477" s="368"/>
      <c r="E477" s="274">
        <f t="shared" si="51"/>
        <v>5</v>
      </c>
      <c r="F477" s="275" t="s">
        <v>1358</v>
      </c>
      <c r="G477" s="281"/>
      <c r="H477" s="282">
        <v>11</v>
      </c>
      <c r="I477" s="368"/>
      <c r="J477" s="175">
        <v>4950</v>
      </c>
      <c r="K477" s="201"/>
      <c r="L477" s="201">
        <v>2105</v>
      </c>
      <c r="M477" s="201"/>
      <c r="N477" s="223">
        <f t="shared" si="50"/>
        <v>7055</v>
      </c>
      <c r="O477" s="303">
        <v>13620</v>
      </c>
      <c r="P477" s="304">
        <v>0</v>
      </c>
      <c r="Q477" s="304">
        <v>300</v>
      </c>
      <c r="R477" s="329">
        <v>2681</v>
      </c>
      <c r="S477" s="306">
        <v>1902</v>
      </c>
      <c r="T477" s="306"/>
      <c r="U477" s="585">
        <v>0</v>
      </c>
      <c r="V477" s="585">
        <v>0</v>
      </c>
      <c r="W477" s="291">
        <v>4950</v>
      </c>
      <c r="X477" s="290">
        <v>7407.75</v>
      </c>
      <c r="Y477" s="290">
        <v>7055</v>
      </c>
      <c r="Z477" s="290">
        <v>7055</v>
      </c>
      <c r="AA477" s="291"/>
      <c r="AB477" s="291"/>
      <c r="AC477" s="291"/>
      <c r="AD477" s="291"/>
      <c r="AE477" s="291"/>
      <c r="AF477" s="291"/>
      <c r="AG477" s="291"/>
      <c r="AH477" s="291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</row>
    <row r="478" spans="1:1018">
      <c r="A478" s="530" t="s">
        <v>349</v>
      </c>
      <c r="B478" s="368"/>
      <c r="C478" s="368" t="s">
        <v>350</v>
      </c>
      <c r="D478" s="368"/>
      <c r="E478" s="274">
        <f t="shared" si="51"/>
        <v>6</v>
      </c>
      <c r="F478" s="275" t="s">
        <v>1359</v>
      </c>
      <c r="G478" s="281">
        <v>0.15</v>
      </c>
      <c r="H478" s="282">
        <v>10</v>
      </c>
      <c r="I478" s="368"/>
      <c r="J478" s="175"/>
      <c r="K478" s="201">
        <v>4628.25</v>
      </c>
      <c r="L478" s="201">
        <v>2000</v>
      </c>
      <c r="M478" s="201"/>
      <c r="N478" s="223">
        <f t="shared" si="50"/>
        <v>6628.25</v>
      </c>
      <c r="O478" s="303">
        <v>13558</v>
      </c>
      <c r="P478" s="304">
        <v>0</v>
      </c>
      <c r="Q478" s="304">
        <v>300</v>
      </c>
      <c r="R478" s="305">
        <v>3155</v>
      </c>
      <c r="S478" s="306">
        <v>1902</v>
      </c>
      <c r="T478" s="306"/>
      <c r="U478" s="585">
        <v>331.41</v>
      </c>
      <c r="V478" s="585"/>
      <c r="W478" s="291">
        <v>0</v>
      </c>
      <c r="X478" s="291">
        <v>4628.25</v>
      </c>
      <c r="Y478" s="315" t="s">
        <v>1360</v>
      </c>
      <c r="Z478" s="291"/>
      <c r="AA478" s="291"/>
      <c r="AB478" s="291"/>
      <c r="AC478" s="291"/>
      <c r="AD478" s="291"/>
      <c r="AE478" s="291"/>
      <c r="AF478" s="291"/>
      <c r="AG478" s="291"/>
      <c r="AH478" s="291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</row>
    <row r="479" spans="1:1018" ht="15.75" customHeight="1">
      <c r="A479" s="530" t="s">
        <v>351</v>
      </c>
      <c r="B479" s="368"/>
      <c r="C479" s="368" t="s">
        <v>352</v>
      </c>
      <c r="D479" s="368"/>
      <c r="E479" s="274">
        <f t="shared" si="51"/>
        <v>7</v>
      </c>
      <c r="F479" s="275" t="s">
        <v>1361</v>
      </c>
      <c r="G479" s="282">
        <v>0.1</v>
      </c>
      <c r="H479" s="282">
        <v>10</v>
      </c>
      <c r="I479" s="368"/>
      <c r="J479" s="175"/>
      <c r="K479" s="201">
        <v>4900.5</v>
      </c>
      <c r="L479" s="201">
        <v>2105</v>
      </c>
      <c r="M479" s="201"/>
      <c r="N479" s="223">
        <f t="shared" si="50"/>
        <v>7005.5</v>
      </c>
      <c r="O479" s="303">
        <v>13321</v>
      </c>
      <c r="P479" s="304">
        <v>1920</v>
      </c>
      <c r="Q479" s="304">
        <v>300</v>
      </c>
      <c r="R479" s="305">
        <v>3469</v>
      </c>
      <c r="S479" s="306">
        <v>1902</v>
      </c>
      <c r="T479" s="306"/>
      <c r="U479" s="9">
        <v>370</v>
      </c>
      <c r="V479" s="9">
        <v>370</v>
      </c>
      <c r="W479" s="291">
        <v>0</v>
      </c>
      <c r="X479" s="291">
        <v>7005</v>
      </c>
      <c r="Y479" s="291">
        <v>7005.5</v>
      </c>
      <c r="Z479" s="291">
        <v>7355.77</v>
      </c>
      <c r="AA479" s="198"/>
      <c r="AB479" s="289"/>
      <c r="AC479" s="315"/>
      <c r="AD479" s="291"/>
      <c r="AE479" s="291"/>
      <c r="AF479" s="289"/>
      <c r="AG479" s="291"/>
      <c r="AH479" s="291">
        <v>0</v>
      </c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</row>
    <row r="480" spans="1:1018">
      <c r="A480" s="293" t="s">
        <v>353</v>
      </c>
      <c r="B480" s="278"/>
      <c r="C480" s="278"/>
      <c r="D480" s="278"/>
      <c r="E480" s="274">
        <f t="shared" si="51"/>
        <v>8</v>
      </c>
      <c r="F480" s="275" t="s">
        <v>1362</v>
      </c>
      <c r="G480" s="282">
        <v>0.1</v>
      </c>
      <c r="H480" s="282">
        <v>10</v>
      </c>
      <c r="I480" s="368"/>
      <c r="J480" s="175"/>
      <c r="K480" s="201">
        <v>4900.5</v>
      </c>
      <c r="L480" s="201"/>
      <c r="M480" s="201"/>
      <c r="N480" s="223">
        <f t="shared" si="50"/>
        <v>4900.5</v>
      </c>
      <c r="O480" s="303">
        <v>13609</v>
      </c>
      <c r="P480" s="304">
        <v>2700</v>
      </c>
      <c r="Q480" s="304">
        <v>300</v>
      </c>
      <c r="R480" s="305">
        <v>3502</v>
      </c>
      <c r="S480" s="306">
        <v>1902</v>
      </c>
      <c r="T480" s="306"/>
      <c r="U480" s="9">
        <v>370</v>
      </c>
      <c r="V480" s="9"/>
      <c r="W480" s="291">
        <v>0</v>
      </c>
      <c r="X480" s="291">
        <v>4900.5</v>
      </c>
      <c r="Y480" s="291">
        <v>3929.5</v>
      </c>
      <c r="Z480" s="290" t="s">
        <v>1363</v>
      </c>
      <c r="AA480" s="176"/>
      <c r="AB480" s="291"/>
      <c r="AC480" s="291"/>
      <c r="AD480" s="291"/>
      <c r="AE480" s="291"/>
      <c r="AF480" s="291"/>
      <c r="AG480" s="291"/>
      <c r="AH480" s="291">
        <v>0</v>
      </c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</row>
    <row r="481" spans="1:1018">
      <c r="A481" s="530" t="s">
        <v>354</v>
      </c>
      <c r="B481" s="368"/>
      <c r="C481" s="368" t="s">
        <v>355</v>
      </c>
      <c r="D481" s="368"/>
      <c r="E481" s="274">
        <f t="shared" si="51"/>
        <v>9</v>
      </c>
      <c r="F481" s="275" t="s">
        <v>1364</v>
      </c>
      <c r="G481" s="281"/>
      <c r="H481" s="282">
        <v>10</v>
      </c>
      <c r="I481" s="368"/>
      <c r="J481" s="175"/>
      <c r="K481" s="201">
        <v>5445</v>
      </c>
      <c r="L481" s="201">
        <v>2105</v>
      </c>
      <c r="M481" s="201"/>
      <c r="N481" s="223">
        <f t="shared" si="50"/>
        <v>7550</v>
      </c>
      <c r="O481" s="303">
        <v>13517</v>
      </c>
      <c r="P481" s="304">
        <v>2880</v>
      </c>
      <c r="Q481" s="304">
        <v>300</v>
      </c>
      <c r="R481" s="305">
        <v>3409</v>
      </c>
      <c r="S481" s="306">
        <v>1902</v>
      </c>
      <c r="T481" s="306"/>
      <c r="U481" s="9">
        <v>370</v>
      </c>
      <c r="V481" s="9">
        <v>370</v>
      </c>
      <c r="W481" s="291">
        <v>0</v>
      </c>
      <c r="X481" s="289">
        <v>7550</v>
      </c>
      <c r="Y481" s="289">
        <v>7550</v>
      </c>
      <c r="Z481" s="289">
        <v>7550</v>
      </c>
      <c r="AA481" s="176"/>
      <c r="AB481" s="290"/>
      <c r="AC481" s="290"/>
      <c r="AD481" s="290"/>
      <c r="AE481" s="290"/>
      <c r="AF481" s="290"/>
      <c r="AG481" s="290"/>
      <c r="AH481" s="291">
        <v>0</v>
      </c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</row>
    <row r="482" spans="1:1018">
      <c r="A482" s="545" t="s">
        <v>356</v>
      </c>
      <c r="B482" s="293"/>
      <c r="C482" s="278" t="s">
        <v>357</v>
      </c>
      <c r="D482" s="278"/>
      <c r="E482" s="274">
        <f t="shared" si="51"/>
        <v>10</v>
      </c>
      <c r="F482" s="280" t="s">
        <v>1365</v>
      </c>
      <c r="G482" s="282">
        <v>0.15</v>
      </c>
      <c r="H482" s="282">
        <v>10</v>
      </c>
      <c r="I482" s="368"/>
      <c r="J482" s="175"/>
      <c r="K482" s="201">
        <v>4628.25</v>
      </c>
      <c r="L482" s="201">
        <v>375</v>
      </c>
      <c r="M482" s="201"/>
      <c r="N482" s="223">
        <f t="shared" si="50"/>
        <v>5003.25</v>
      </c>
      <c r="O482" s="303">
        <v>13503</v>
      </c>
      <c r="P482" s="304">
        <v>1920</v>
      </c>
      <c r="Q482" s="304">
        <v>300</v>
      </c>
      <c r="R482" s="305">
        <v>3070</v>
      </c>
      <c r="S482" s="306">
        <v>1902</v>
      </c>
      <c r="T482" s="306"/>
      <c r="U482" s="9">
        <v>370</v>
      </c>
      <c r="V482" s="9"/>
      <c r="W482" s="291">
        <v>0</v>
      </c>
      <c r="X482" s="291">
        <v>5003.25</v>
      </c>
      <c r="Y482" s="290">
        <v>5003.25</v>
      </c>
      <c r="Z482" s="290">
        <v>5003.25</v>
      </c>
      <c r="AA482" s="201"/>
      <c r="AB482" s="291"/>
      <c r="AC482" s="290"/>
      <c r="AD482" s="289"/>
      <c r="AE482" s="291"/>
      <c r="AF482" s="291"/>
      <c r="AG482" s="291"/>
      <c r="AH482" s="291">
        <v>0</v>
      </c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</row>
    <row r="483" spans="1:1018">
      <c r="A483" s="530" t="s">
        <v>358</v>
      </c>
      <c r="B483" s="282"/>
      <c r="C483" s="368" t="s">
        <v>359</v>
      </c>
      <c r="D483" s="368"/>
      <c r="E483" s="274">
        <f t="shared" si="51"/>
        <v>11</v>
      </c>
      <c r="F483" s="277" t="s">
        <v>1366</v>
      </c>
      <c r="G483" s="281"/>
      <c r="H483" s="282">
        <v>10</v>
      </c>
      <c r="I483" s="368"/>
      <c r="J483" s="175"/>
      <c r="K483" s="201">
        <v>4628.25</v>
      </c>
      <c r="L483" s="201">
        <v>1710</v>
      </c>
      <c r="M483" s="201"/>
      <c r="N483" s="223">
        <f t="shared" si="50"/>
        <v>6338.25</v>
      </c>
      <c r="O483" s="303">
        <v>13518</v>
      </c>
      <c r="P483" s="304">
        <v>2400</v>
      </c>
      <c r="Q483" s="304">
        <v>300</v>
      </c>
      <c r="R483" s="305">
        <v>3468</v>
      </c>
      <c r="S483" s="306">
        <v>1902</v>
      </c>
      <c r="T483" s="306"/>
      <c r="U483" s="585">
        <v>0</v>
      </c>
      <c r="V483" s="585">
        <v>0</v>
      </c>
      <c r="W483" s="291">
        <v>0</v>
      </c>
      <c r="X483" s="291">
        <f>4628.25+1710</f>
        <v>6338.25</v>
      </c>
      <c r="Y483" s="291">
        <v>6338.25</v>
      </c>
      <c r="Z483" s="291">
        <v>6338.25</v>
      </c>
      <c r="AA483" s="291"/>
      <c r="AB483" s="291"/>
      <c r="AC483" s="291"/>
      <c r="AD483" s="291"/>
      <c r="AE483" s="291"/>
      <c r="AF483" s="291"/>
      <c r="AG483" s="291"/>
      <c r="AH483" s="291">
        <v>0</v>
      </c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</row>
    <row r="484" spans="1:1018">
      <c r="A484" s="530" t="s">
        <v>360</v>
      </c>
      <c r="B484" s="282"/>
      <c r="C484" s="368" t="s">
        <v>361</v>
      </c>
      <c r="D484" s="368"/>
      <c r="E484" s="274">
        <f t="shared" si="51"/>
        <v>12</v>
      </c>
      <c r="F484" s="277" t="s">
        <v>1367</v>
      </c>
      <c r="G484" s="281">
        <v>0.15</v>
      </c>
      <c r="H484" s="282">
        <v>10</v>
      </c>
      <c r="I484" s="368"/>
      <c r="J484" s="175"/>
      <c r="K484" s="201">
        <v>4628.25</v>
      </c>
      <c r="L484" s="201">
        <v>2000</v>
      </c>
      <c r="M484" s="201"/>
      <c r="N484" s="223">
        <f t="shared" si="50"/>
        <v>6628.25</v>
      </c>
      <c r="O484" s="303">
        <v>13397</v>
      </c>
      <c r="P484" s="304">
        <v>0</v>
      </c>
      <c r="Q484" s="304">
        <v>300</v>
      </c>
      <c r="R484" s="305">
        <v>2892</v>
      </c>
      <c r="S484" s="306">
        <v>1902</v>
      </c>
      <c r="T484" s="306" t="s">
        <v>1368</v>
      </c>
      <c r="U484" s="9">
        <v>370</v>
      </c>
      <c r="V484" s="9">
        <v>370</v>
      </c>
      <c r="W484" s="291">
        <v>0</v>
      </c>
      <c r="X484" s="315">
        <f>4628.25+2000</f>
        <v>6628.25</v>
      </c>
      <c r="Y484" s="315">
        <f>4628.25+2000</f>
        <v>6628.25</v>
      </c>
      <c r="Z484" s="315">
        <f>4628.25+2000</f>
        <v>6628.25</v>
      </c>
      <c r="AA484" s="315">
        <v>4628.25</v>
      </c>
      <c r="AB484" s="291"/>
      <c r="AC484" s="291"/>
      <c r="AD484" s="291"/>
      <c r="AE484" s="291"/>
      <c r="AF484" s="291"/>
      <c r="AG484" s="291"/>
      <c r="AH484" s="291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</row>
    <row r="485" spans="1:1018">
      <c r="A485" s="293" t="s">
        <v>362</v>
      </c>
      <c r="B485" s="293"/>
      <c r="C485" s="278" t="s">
        <v>363</v>
      </c>
      <c r="D485" s="278"/>
      <c r="E485" s="274">
        <f t="shared" si="51"/>
        <v>13</v>
      </c>
      <c r="F485" s="280" t="s">
        <v>1369</v>
      </c>
      <c r="G485" s="281">
        <v>0.15</v>
      </c>
      <c r="H485" s="282">
        <v>10</v>
      </c>
      <c r="I485" s="368"/>
      <c r="J485" s="175"/>
      <c r="K485" s="201">
        <f>4628.25+288</f>
        <v>4916.25</v>
      </c>
      <c r="L485" s="201"/>
      <c r="M485" s="201"/>
      <c r="N485" s="223">
        <f t="shared" si="50"/>
        <v>4916.25</v>
      </c>
      <c r="O485" s="303">
        <v>13683</v>
      </c>
      <c r="P485" s="304"/>
      <c r="Q485" s="304">
        <v>300</v>
      </c>
      <c r="R485" s="305"/>
      <c r="S485" s="306"/>
      <c r="T485" s="306"/>
      <c r="U485" s="585">
        <v>370</v>
      </c>
      <c r="V485" s="585"/>
      <c r="W485" s="291">
        <v>0</v>
      </c>
      <c r="X485" s="308">
        <v>5162.0600000000004</v>
      </c>
      <c r="Y485" s="308">
        <v>5162.0600000000004</v>
      </c>
      <c r="Z485" s="308"/>
      <c r="AA485" s="175"/>
      <c r="AB485" s="175"/>
      <c r="AC485" s="291"/>
      <c r="AD485" s="291"/>
      <c r="AE485" s="291"/>
      <c r="AF485" s="291"/>
      <c r="AG485" s="291"/>
      <c r="AH485" s="291">
        <v>0</v>
      </c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</row>
    <row r="486" spans="1:1018">
      <c r="A486" s="282" t="s">
        <v>364</v>
      </c>
      <c r="B486" s="282"/>
      <c r="C486" s="368"/>
      <c r="D486" s="368"/>
      <c r="E486" s="274">
        <f t="shared" si="51"/>
        <v>14</v>
      </c>
      <c r="F486" s="277" t="s">
        <v>1370</v>
      </c>
      <c r="G486" s="301">
        <v>0.15</v>
      </c>
      <c r="H486" s="263">
        <v>12</v>
      </c>
      <c r="I486" s="253"/>
      <c r="J486" s="175"/>
      <c r="K486" s="201">
        <v>3856.87</v>
      </c>
      <c r="L486" s="201"/>
      <c r="M486" s="201"/>
      <c r="N486" s="223">
        <f t="shared" si="50"/>
        <v>3856.87</v>
      </c>
      <c r="O486" s="303">
        <v>13796</v>
      </c>
      <c r="P486" s="304">
        <v>2880</v>
      </c>
      <c r="Q486" s="304">
        <v>300</v>
      </c>
      <c r="R486" s="305">
        <v>2907</v>
      </c>
      <c r="S486" s="306">
        <v>1902</v>
      </c>
      <c r="T486" s="306"/>
      <c r="U486" s="585"/>
      <c r="V486" s="585"/>
      <c r="W486" s="291">
        <v>3856.87</v>
      </c>
      <c r="X486" s="291">
        <v>3856.87</v>
      </c>
      <c r="Y486" s="291">
        <v>3856.87</v>
      </c>
      <c r="Z486" s="291">
        <v>3856.87</v>
      </c>
      <c r="AA486" s="175"/>
      <c r="AB486" s="291"/>
      <c r="AC486" s="291"/>
      <c r="AD486" s="291"/>
      <c r="AE486" s="291"/>
      <c r="AF486" s="291"/>
      <c r="AG486" s="308"/>
      <c r="AH486" s="45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</row>
    <row r="487" spans="1:1018">
      <c r="A487" s="545" t="s">
        <v>365</v>
      </c>
      <c r="B487" s="293"/>
      <c r="C487" s="278" t="s">
        <v>359</v>
      </c>
      <c r="D487" s="278"/>
      <c r="E487" s="274">
        <f t="shared" si="51"/>
        <v>15</v>
      </c>
      <c r="F487" s="280" t="s">
        <v>1371</v>
      </c>
      <c r="G487" s="282">
        <v>0.15</v>
      </c>
      <c r="H487" s="282">
        <v>10</v>
      </c>
      <c r="I487" s="368"/>
      <c r="J487" s="175"/>
      <c r="K487" s="201">
        <v>4628.25</v>
      </c>
      <c r="L487" s="201">
        <v>1710</v>
      </c>
      <c r="M487" s="201"/>
      <c r="N487" s="223">
        <f t="shared" si="50"/>
        <v>6338.25</v>
      </c>
      <c r="O487" s="303">
        <v>13585</v>
      </c>
      <c r="P487" s="304">
        <v>2880</v>
      </c>
      <c r="Q487" s="304">
        <v>300</v>
      </c>
      <c r="R487" s="305">
        <v>3488</v>
      </c>
      <c r="S487" s="306">
        <v>1902</v>
      </c>
      <c r="T487" s="306"/>
      <c r="U487" s="9">
        <v>370</v>
      </c>
      <c r="V487" s="9">
        <v>370</v>
      </c>
      <c r="W487" s="291">
        <v>0</v>
      </c>
      <c r="X487" s="289">
        <v>6338.25</v>
      </c>
      <c r="Y487" s="291">
        <v>6338.25</v>
      </c>
      <c r="Z487" s="291">
        <v>6338.25</v>
      </c>
      <c r="AA487" s="157"/>
      <c r="AB487" s="308"/>
      <c r="AC487" s="291"/>
      <c r="AD487" s="291"/>
      <c r="AE487" s="291"/>
      <c r="AF487" s="291"/>
      <c r="AG487" s="308"/>
      <c r="AH487" s="291">
        <v>0</v>
      </c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</row>
    <row r="488" spans="1:1018">
      <c r="A488" s="545" t="s">
        <v>366</v>
      </c>
      <c r="B488" s="293"/>
      <c r="C488" s="278" t="s">
        <v>367</v>
      </c>
      <c r="D488" s="278"/>
      <c r="E488" s="274">
        <f t="shared" si="51"/>
        <v>16</v>
      </c>
      <c r="F488" s="280" t="s">
        <v>1372</v>
      </c>
      <c r="G488" s="282"/>
      <c r="H488" s="282">
        <v>10</v>
      </c>
      <c r="I488" s="368"/>
      <c r="J488" s="175"/>
      <c r="K488" s="201">
        <v>5445</v>
      </c>
      <c r="L488" s="201">
        <v>2105</v>
      </c>
      <c r="M488" s="201"/>
      <c r="N488" s="223">
        <f t="shared" si="50"/>
        <v>7550</v>
      </c>
      <c r="O488" s="303">
        <v>13536</v>
      </c>
      <c r="P488" s="304">
        <v>1920</v>
      </c>
      <c r="Q488" s="304">
        <v>300</v>
      </c>
      <c r="R488" s="305">
        <v>2998</v>
      </c>
      <c r="S488" s="306">
        <v>1902</v>
      </c>
      <c r="T488" s="306"/>
      <c r="U488" s="9"/>
      <c r="V488" s="9"/>
      <c r="W488" s="291">
        <v>0</v>
      </c>
      <c r="X488" s="291">
        <v>7550</v>
      </c>
      <c r="Y488" s="291">
        <v>7550</v>
      </c>
      <c r="Z488" s="291"/>
      <c r="AA488" s="175"/>
      <c r="AB488" s="291"/>
      <c r="AC488" s="291"/>
      <c r="AD488" s="291"/>
      <c r="AE488" s="291"/>
      <c r="AF488" s="291"/>
      <c r="AG488" s="308"/>
      <c r="AH488" s="45">
        <v>0</v>
      </c>
      <c r="AI488" s="32" t="s">
        <v>1373</v>
      </c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</row>
    <row r="489" spans="1:1018">
      <c r="A489" s="545" t="s">
        <v>368</v>
      </c>
      <c r="B489" s="293"/>
      <c r="C489" s="278" t="s">
        <v>369</v>
      </c>
      <c r="D489" s="278"/>
      <c r="E489" s="274">
        <f t="shared" si="51"/>
        <v>17</v>
      </c>
      <c r="F489" s="280" t="s">
        <v>1374</v>
      </c>
      <c r="G489" s="282"/>
      <c r="H489" s="282">
        <v>11</v>
      </c>
      <c r="I489" s="368"/>
      <c r="J489" s="175">
        <v>4950</v>
      </c>
      <c r="K489" s="201"/>
      <c r="L489" s="201">
        <v>2105</v>
      </c>
      <c r="M489" s="201"/>
      <c r="N489" s="223">
        <f t="shared" si="50"/>
        <v>7055</v>
      </c>
      <c r="O489" s="303">
        <v>13217</v>
      </c>
      <c r="P489" s="304">
        <v>1920</v>
      </c>
      <c r="Q489" s="304">
        <v>300</v>
      </c>
      <c r="R489" s="305">
        <v>3058</v>
      </c>
      <c r="S489" s="306">
        <v>1902</v>
      </c>
      <c r="T489" s="306"/>
      <c r="U489" s="585">
        <v>0</v>
      </c>
      <c r="V489" s="585">
        <v>0</v>
      </c>
      <c r="W489" s="201">
        <v>4950</v>
      </c>
      <c r="X489" s="289">
        <v>6425</v>
      </c>
      <c r="Y489" s="289">
        <v>6425</v>
      </c>
      <c r="Z489" s="289">
        <v>7055</v>
      </c>
      <c r="AA489" s="198"/>
      <c r="AB489" s="315"/>
      <c r="AC489" s="291"/>
      <c r="AD489" s="291"/>
      <c r="AE489" s="291"/>
      <c r="AF489" s="291"/>
      <c r="AG489" s="308"/>
      <c r="AH489" s="291">
        <v>0</v>
      </c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</row>
    <row r="490" spans="1:1018">
      <c r="A490" s="282" t="s">
        <v>370</v>
      </c>
      <c r="B490" s="282"/>
      <c r="C490" s="368"/>
      <c r="D490" s="368"/>
      <c r="E490" s="274">
        <f t="shared" si="51"/>
        <v>18</v>
      </c>
      <c r="F490" s="277" t="s">
        <v>1375</v>
      </c>
      <c r="G490" s="281"/>
      <c r="H490" s="282">
        <v>10</v>
      </c>
      <c r="I490" s="368"/>
      <c r="J490" s="157"/>
      <c r="K490" s="295">
        <v>5445</v>
      </c>
      <c r="L490" s="295"/>
      <c r="M490" s="295"/>
      <c r="N490" s="223">
        <f t="shared" si="50"/>
        <v>5445</v>
      </c>
      <c r="O490" s="338">
        <v>13296</v>
      </c>
      <c r="P490" s="304">
        <v>1920</v>
      </c>
      <c r="Q490" s="304">
        <v>300</v>
      </c>
      <c r="R490" s="305">
        <v>3002</v>
      </c>
      <c r="S490" s="306">
        <v>1902</v>
      </c>
      <c r="T490" s="306"/>
      <c r="U490" s="9">
        <v>370</v>
      </c>
      <c r="V490" s="9">
        <v>370</v>
      </c>
      <c r="W490" s="308">
        <v>0</v>
      </c>
      <c r="X490" s="308">
        <v>5445</v>
      </c>
      <c r="Y490" s="308">
        <v>5445</v>
      </c>
      <c r="Z490" s="308">
        <v>5445</v>
      </c>
      <c r="AA490" s="308"/>
      <c r="AB490" s="308"/>
      <c r="AC490" s="308"/>
      <c r="AD490" s="308"/>
      <c r="AE490" s="308"/>
      <c r="AF490" s="308"/>
      <c r="AG490" s="308"/>
      <c r="AH490" s="291">
        <v>0</v>
      </c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</row>
    <row r="491" spans="1:1018">
      <c r="A491" s="293" t="s">
        <v>371</v>
      </c>
      <c r="B491" s="278"/>
      <c r="C491" s="278" t="s">
        <v>372</v>
      </c>
      <c r="D491" s="278"/>
      <c r="E491" s="274">
        <f t="shared" si="51"/>
        <v>19</v>
      </c>
      <c r="F491" s="279" t="s">
        <v>1376</v>
      </c>
      <c r="G491" s="282">
        <v>0.15</v>
      </c>
      <c r="H491" s="282">
        <v>10</v>
      </c>
      <c r="I491" s="368"/>
      <c r="J491" s="175"/>
      <c r="K491" s="201">
        <v>4628.25</v>
      </c>
      <c r="L491" s="201"/>
      <c r="M491" s="201"/>
      <c r="N491" s="223">
        <f t="shared" si="50"/>
        <v>4628.25</v>
      </c>
      <c r="O491" s="303">
        <v>13529</v>
      </c>
      <c r="P491" s="304">
        <v>1920</v>
      </c>
      <c r="Q491" s="304">
        <v>300</v>
      </c>
      <c r="R491" s="305">
        <v>3517</v>
      </c>
      <c r="S491" s="306">
        <v>530</v>
      </c>
      <c r="T491" s="306"/>
      <c r="U491" s="9"/>
      <c r="V491" s="9"/>
      <c r="W491" s="291">
        <v>0</v>
      </c>
      <c r="X491" s="290">
        <v>4628.25</v>
      </c>
      <c r="Y491" s="290">
        <v>4628.25</v>
      </c>
      <c r="Z491" s="290">
        <v>4628.25</v>
      </c>
      <c r="AA491" s="430"/>
      <c r="AB491" s="290"/>
      <c r="AC491" s="290"/>
      <c r="AD491" s="290"/>
      <c r="AE491" s="290"/>
      <c r="AF491" s="290"/>
      <c r="AG491" s="309"/>
      <c r="AH491" s="291">
        <v>0</v>
      </c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</row>
    <row r="492" spans="1:1018">
      <c r="A492" s="545" t="s">
        <v>373</v>
      </c>
      <c r="B492" s="278"/>
      <c r="C492" s="278" t="s">
        <v>374</v>
      </c>
      <c r="D492" s="278"/>
      <c r="E492" s="274">
        <f t="shared" si="51"/>
        <v>20</v>
      </c>
      <c r="F492" s="279" t="s">
        <v>1377</v>
      </c>
      <c r="G492" s="282"/>
      <c r="H492" s="282">
        <v>10</v>
      </c>
      <c r="I492" s="368"/>
      <c r="J492" s="175"/>
      <c r="K492" s="201">
        <v>5445</v>
      </c>
      <c r="L492" s="201">
        <v>2105</v>
      </c>
      <c r="M492" s="201"/>
      <c r="N492" s="223">
        <f t="shared" si="50"/>
        <v>7550</v>
      </c>
      <c r="O492" s="303"/>
      <c r="P492" s="304"/>
      <c r="Q492" s="304"/>
      <c r="R492" s="305">
        <v>3011</v>
      </c>
      <c r="S492" s="306">
        <v>1902</v>
      </c>
      <c r="T492" s="306"/>
      <c r="U492" s="585">
        <v>0</v>
      </c>
      <c r="V492" s="585">
        <v>0</v>
      </c>
      <c r="W492" s="291">
        <v>0</v>
      </c>
      <c r="X492" s="290">
        <f>5445+2105</f>
        <v>7550</v>
      </c>
      <c r="Y492" s="290">
        <f>2105+5445</f>
        <v>7550</v>
      </c>
      <c r="Z492" s="290">
        <f>2105+5445</f>
        <v>7550</v>
      </c>
      <c r="AA492" s="290"/>
      <c r="AB492" s="290"/>
      <c r="AC492" s="290"/>
      <c r="AD492" s="290"/>
      <c r="AE492" s="290"/>
      <c r="AF492" s="290"/>
      <c r="AG492" s="309"/>
      <c r="AH492" s="291">
        <v>0</v>
      </c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</row>
    <row r="493" spans="1:1018">
      <c r="A493" s="545" t="s">
        <v>375</v>
      </c>
      <c r="B493" s="278"/>
      <c r="C493" s="278" t="s">
        <v>359</v>
      </c>
      <c r="D493" s="278"/>
      <c r="E493" s="274">
        <f t="shared" si="51"/>
        <v>21</v>
      </c>
      <c r="F493" s="279" t="s">
        <v>1378</v>
      </c>
      <c r="G493" s="282"/>
      <c r="H493" s="282">
        <v>10</v>
      </c>
      <c r="I493" s="368"/>
      <c r="J493" s="175"/>
      <c r="K493" s="201">
        <v>5445</v>
      </c>
      <c r="L493" s="201">
        <v>1800</v>
      </c>
      <c r="M493" s="201"/>
      <c r="N493" s="223">
        <f t="shared" si="50"/>
        <v>7245</v>
      </c>
      <c r="O493" s="303"/>
      <c r="P493" s="304"/>
      <c r="Q493" s="304"/>
      <c r="R493" s="305">
        <v>2916</v>
      </c>
      <c r="S493" s="306">
        <v>1902</v>
      </c>
      <c r="T493" s="306"/>
      <c r="U493" s="9">
        <v>370</v>
      </c>
      <c r="V493" s="9"/>
      <c r="W493" s="290">
        <v>0</v>
      </c>
      <c r="X493" s="289">
        <v>7245</v>
      </c>
      <c r="Y493" s="289">
        <v>2655</v>
      </c>
      <c r="Z493" s="290"/>
      <c r="AA493" s="176"/>
      <c r="AB493" s="290"/>
      <c r="AC493" s="290"/>
      <c r="AD493" s="290"/>
      <c r="AE493" s="290"/>
      <c r="AF493" s="290"/>
      <c r="AG493" s="309"/>
      <c r="AH493" s="291">
        <v>0</v>
      </c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</row>
    <row r="494" spans="1:1018">
      <c r="A494" s="545" t="s">
        <v>376</v>
      </c>
      <c r="B494" s="278"/>
      <c r="C494" s="278" t="s">
        <v>359</v>
      </c>
      <c r="D494" s="278"/>
      <c r="E494" s="274">
        <f t="shared" si="51"/>
        <v>22</v>
      </c>
      <c r="F494" s="279" t="s">
        <v>1379</v>
      </c>
      <c r="G494" s="282"/>
      <c r="H494" s="282">
        <v>10</v>
      </c>
      <c r="I494" s="368"/>
      <c r="J494" s="175"/>
      <c r="K494" s="201">
        <v>5445</v>
      </c>
      <c r="L494" s="201">
        <v>1800</v>
      </c>
      <c r="M494" s="201"/>
      <c r="N494" s="223">
        <f t="shared" si="50"/>
        <v>7245</v>
      </c>
      <c r="O494" s="303">
        <v>13366</v>
      </c>
      <c r="P494" s="304">
        <v>1920</v>
      </c>
      <c r="Q494" s="304">
        <v>300</v>
      </c>
      <c r="R494" s="305">
        <v>3470</v>
      </c>
      <c r="S494" s="306">
        <v>1902</v>
      </c>
      <c r="T494" s="306"/>
      <c r="U494" s="9">
        <v>370</v>
      </c>
      <c r="V494" s="9"/>
      <c r="W494" s="291">
        <v>0</v>
      </c>
      <c r="X494" s="291">
        <v>7245</v>
      </c>
      <c r="Y494" s="289">
        <v>7245</v>
      </c>
      <c r="Z494" s="291">
        <v>7245</v>
      </c>
      <c r="AA494" s="175"/>
      <c r="AB494" s="291"/>
      <c r="AC494" s="291"/>
      <c r="AD494" s="291"/>
      <c r="AE494" s="291"/>
      <c r="AF494" s="291"/>
      <c r="AG494" s="308"/>
      <c r="AH494" s="291">
        <v>0</v>
      </c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</row>
    <row r="495" spans="1:1018">
      <c r="A495" s="530" t="s">
        <v>377</v>
      </c>
      <c r="B495" s="368"/>
      <c r="C495" s="368" t="s">
        <v>378</v>
      </c>
      <c r="D495" s="368" t="s">
        <v>1269</v>
      </c>
      <c r="E495" s="274">
        <f t="shared" si="51"/>
        <v>23</v>
      </c>
      <c r="F495" s="275" t="s">
        <v>1380</v>
      </c>
      <c r="G495" s="281">
        <v>0.2</v>
      </c>
      <c r="H495" s="282">
        <v>10</v>
      </c>
      <c r="I495" s="368"/>
      <c r="J495" s="175"/>
      <c r="K495" s="201">
        <v>4356</v>
      </c>
      <c r="L495" s="201">
        <v>375</v>
      </c>
      <c r="M495" s="201">
        <v>600</v>
      </c>
      <c r="N495" s="223">
        <f t="shared" si="50"/>
        <v>5331</v>
      </c>
      <c r="O495" s="303">
        <v>13420</v>
      </c>
      <c r="P495" s="304">
        <v>0</v>
      </c>
      <c r="Q495" s="304">
        <v>300</v>
      </c>
      <c r="R495" s="305">
        <v>3496</v>
      </c>
      <c r="S495" s="306">
        <v>1902</v>
      </c>
      <c r="T495" s="306"/>
      <c r="U495" s="585">
        <v>0</v>
      </c>
      <c r="V495" s="585">
        <v>0</v>
      </c>
      <c r="W495" s="291">
        <v>0</v>
      </c>
      <c r="X495" s="291">
        <v>4967.55</v>
      </c>
      <c r="Y495" s="291">
        <v>5331</v>
      </c>
      <c r="Z495" s="291"/>
      <c r="AA495" s="291"/>
      <c r="AB495" s="291"/>
      <c r="AC495" s="291"/>
      <c r="AD495" s="291"/>
      <c r="AE495" s="291"/>
      <c r="AF495" s="291"/>
      <c r="AG495" s="291"/>
      <c r="AH495" s="291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  <c r="AMB495"/>
      <c r="AMC495"/>
      <c r="AMD495"/>
    </row>
    <row r="496" spans="1:1018">
      <c r="A496" s="293" t="s">
        <v>379</v>
      </c>
      <c r="B496" s="278"/>
      <c r="C496" s="278"/>
      <c r="D496" s="278"/>
      <c r="E496" s="274">
        <f t="shared" si="51"/>
        <v>24</v>
      </c>
      <c r="F496" s="279" t="s">
        <v>1381</v>
      </c>
      <c r="G496" s="282">
        <v>0.17</v>
      </c>
      <c r="H496" s="282">
        <v>10</v>
      </c>
      <c r="I496" s="368"/>
      <c r="J496" s="175"/>
      <c r="K496" s="201">
        <v>4557.46</v>
      </c>
      <c r="L496" s="201"/>
      <c r="M496" s="201"/>
      <c r="N496" s="223">
        <f t="shared" si="50"/>
        <v>4557.46</v>
      </c>
      <c r="O496" s="303">
        <v>13516</v>
      </c>
      <c r="P496" s="304">
        <v>1920</v>
      </c>
      <c r="Q496" s="304">
        <v>300</v>
      </c>
      <c r="R496" s="305">
        <v>3442</v>
      </c>
      <c r="S496" s="306">
        <v>1902</v>
      </c>
      <c r="T496" s="306"/>
      <c r="U496" s="9"/>
      <c r="V496" s="9"/>
      <c r="W496" s="291">
        <v>0</v>
      </c>
      <c r="X496" s="291">
        <v>4557.46</v>
      </c>
      <c r="Y496" s="291">
        <v>4557.46</v>
      </c>
      <c r="Z496" s="291">
        <v>4557.46</v>
      </c>
      <c r="AA496" s="291">
        <v>4557.46</v>
      </c>
      <c r="AB496" s="291">
        <v>4557.46</v>
      </c>
      <c r="AC496" s="291">
        <v>4557.46</v>
      </c>
      <c r="AD496" s="291">
        <v>4557.46</v>
      </c>
      <c r="AE496" s="291">
        <v>4557.46</v>
      </c>
      <c r="AF496" s="291">
        <v>4557.46</v>
      </c>
      <c r="AG496" s="291">
        <v>4557.46</v>
      </c>
      <c r="AH496" s="291">
        <v>0</v>
      </c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</row>
    <row r="497" spans="1:1018">
      <c r="A497" s="545" t="s">
        <v>380</v>
      </c>
      <c r="B497" s="278"/>
      <c r="C497" s="278" t="s">
        <v>381</v>
      </c>
      <c r="D497" s="278"/>
      <c r="E497" s="274">
        <f t="shared" si="51"/>
        <v>25</v>
      </c>
      <c r="F497" s="279" t="s">
        <v>1382</v>
      </c>
      <c r="G497" s="282">
        <v>0.2</v>
      </c>
      <c r="H497" s="282">
        <v>10</v>
      </c>
      <c r="I497" s="368"/>
      <c r="J497" s="175"/>
      <c r="K497" s="201">
        <v>4356</v>
      </c>
      <c r="L497" s="201">
        <v>2000</v>
      </c>
      <c r="M497" s="201"/>
      <c r="N497" s="223">
        <f t="shared" si="50"/>
        <v>6356</v>
      </c>
      <c r="O497" s="303"/>
      <c r="P497" s="304"/>
      <c r="Q497" s="304"/>
      <c r="R497" s="305"/>
      <c r="S497" s="306"/>
      <c r="T497" s="306"/>
      <c r="U497" s="9">
        <v>370</v>
      </c>
      <c r="V497" s="9"/>
      <c r="W497" s="291">
        <v>0</v>
      </c>
      <c r="X497" s="290">
        <v>6356</v>
      </c>
      <c r="Y497" s="290">
        <v>6356</v>
      </c>
      <c r="Z497" s="290">
        <f>3960+2396</f>
        <v>6356</v>
      </c>
      <c r="AA497" s="176"/>
      <c r="AB497" s="290"/>
      <c r="AC497" s="290"/>
      <c r="AD497" s="290"/>
      <c r="AE497" s="290"/>
      <c r="AF497" s="290"/>
      <c r="AG497" s="291"/>
      <c r="AH497" s="291">
        <v>0</v>
      </c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</row>
    <row r="498" spans="1:1018">
      <c r="A498" s="282"/>
      <c r="B498" s="368"/>
      <c r="C498" s="368"/>
      <c r="D498" s="368"/>
      <c r="E498" s="274"/>
      <c r="F498" s="275"/>
      <c r="G498" s="281"/>
      <c r="H498" s="282"/>
      <c r="I498" s="368"/>
      <c r="J498" s="175"/>
      <c r="K498" s="201"/>
      <c r="L498" s="201"/>
      <c r="M498" s="201"/>
      <c r="N498" s="223"/>
      <c r="O498" s="303"/>
      <c r="P498" s="304"/>
      <c r="Q498" s="21"/>
      <c r="R498" s="329"/>
      <c r="S498" s="330"/>
      <c r="T498" s="330"/>
      <c r="U498" s="6"/>
      <c r="V498" s="6"/>
      <c r="W498" s="291"/>
      <c r="X498" s="291"/>
      <c r="Y498" s="291"/>
      <c r="Z498" s="291"/>
      <c r="AA498" s="291"/>
      <c r="AB498" s="291"/>
      <c r="AC498" s="291"/>
      <c r="AD498" s="291"/>
      <c r="AE498" s="291"/>
      <c r="AF498" s="291"/>
      <c r="AG498" s="291"/>
      <c r="AH498" s="291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</row>
    <row r="499" spans="1:1018">
      <c r="A499" s="282"/>
      <c r="B499" s="368"/>
      <c r="C499" s="368"/>
      <c r="D499" s="368"/>
      <c r="E499" s="368"/>
      <c r="F499" s="275"/>
      <c r="G499" s="281"/>
      <c r="H499" s="282"/>
      <c r="I499" s="368"/>
      <c r="J499" s="175"/>
      <c r="K499" s="201"/>
      <c r="L499" s="201"/>
      <c r="M499" s="201"/>
      <c r="N499" s="223"/>
      <c r="O499" s="303"/>
      <c r="P499" s="21"/>
      <c r="Q499" s="21"/>
      <c r="R499" s="329"/>
      <c r="S499" s="330"/>
      <c r="T499" s="330"/>
      <c r="U499" s="6"/>
      <c r="V499" s="6"/>
      <c r="W499" s="291"/>
      <c r="X499" s="291"/>
      <c r="Y499" s="291"/>
      <c r="Z499" s="291"/>
      <c r="AA499" s="291"/>
      <c r="AB499" s="291"/>
      <c r="AC499" s="291"/>
      <c r="AD499" s="291"/>
      <c r="AE499" s="291"/>
      <c r="AF499" s="291"/>
      <c r="AG499" s="291"/>
      <c r="AH499" s="291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</row>
    <row r="500" spans="1:1018">
      <c r="A500" s="282" t="s">
        <v>1383</v>
      </c>
      <c r="B500" s="368"/>
      <c r="C500" s="368"/>
      <c r="D500" s="368"/>
      <c r="E500" s="368"/>
      <c r="F500" s="275"/>
      <c r="G500" s="282">
        <f>SUM(G473:G499)</f>
        <v>2.1199999999999997</v>
      </c>
      <c r="H500" s="282"/>
      <c r="I500" s="368"/>
      <c r="J500" s="175"/>
      <c r="K500" s="201"/>
      <c r="L500" s="201"/>
      <c r="M500" s="201"/>
      <c r="N500" s="223"/>
      <c r="O500" s="196"/>
      <c r="P500" s="258"/>
      <c r="Q500" s="258"/>
      <c r="R500" s="259"/>
      <c r="S500" s="260"/>
      <c r="T500" s="260"/>
      <c r="U500" s="261"/>
      <c r="V500" s="261"/>
      <c r="W500" s="175"/>
      <c r="X500" s="175"/>
      <c r="Y500" s="175"/>
      <c r="Z500" s="175"/>
      <c r="AA500" s="175"/>
      <c r="AB500" s="175"/>
      <c r="AC500" s="175"/>
      <c r="AD500" s="175"/>
      <c r="AE500" s="175"/>
      <c r="AF500" s="175"/>
      <c r="AG500" s="175"/>
      <c r="AH500" s="175"/>
    </row>
    <row r="501" spans="1:1018" ht="45">
      <c r="A501" s="414" t="s">
        <v>313</v>
      </c>
      <c r="B501" s="133"/>
      <c r="C501" s="135" t="s">
        <v>339</v>
      </c>
      <c r="D501" s="135"/>
      <c r="E501" s="133"/>
      <c r="F501" s="136" t="s">
        <v>961</v>
      </c>
      <c r="G501" s="133" t="s">
        <v>426</v>
      </c>
      <c r="H501" s="137" t="s">
        <v>427</v>
      </c>
      <c r="I501" s="138"/>
      <c r="J501" s="235" t="s">
        <v>429</v>
      </c>
      <c r="K501" s="236" t="s">
        <v>441</v>
      </c>
      <c r="L501" s="237"/>
      <c r="M501" s="238" t="s">
        <v>431</v>
      </c>
      <c r="N501" s="239" t="s">
        <v>432</v>
      </c>
      <c r="O501" s="144"/>
      <c r="P501" s="145"/>
      <c r="Q501" s="145"/>
      <c r="R501" s="240"/>
      <c r="S501" s="241"/>
      <c r="T501" s="241"/>
      <c r="U501" s="242"/>
      <c r="V501" s="242"/>
      <c r="W501" s="150" t="s">
        <v>437</v>
      </c>
      <c r="X501" s="150" t="s">
        <v>438</v>
      </c>
      <c r="Y501" s="150" t="s">
        <v>2</v>
      </c>
      <c r="Z501" s="150" t="s">
        <v>4</v>
      </c>
      <c r="AA501" s="150" t="s">
        <v>5</v>
      </c>
      <c r="AB501" s="150" t="s">
        <v>6</v>
      </c>
      <c r="AC501" s="150" t="s">
        <v>7</v>
      </c>
      <c r="AD501" s="150" t="s">
        <v>8</v>
      </c>
      <c r="AE501" s="150" t="s">
        <v>9</v>
      </c>
      <c r="AF501" s="150" t="s">
        <v>10</v>
      </c>
      <c r="AG501" s="150" t="s">
        <v>340</v>
      </c>
      <c r="AH501" s="150" t="s">
        <v>439</v>
      </c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</row>
    <row r="502" spans="1:1018">
      <c r="A502" s="169" t="s">
        <v>1384</v>
      </c>
      <c r="B502" s="178"/>
      <c r="C502" s="178"/>
      <c r="D502" s="178"/>
      <c r="E502" s="286">
        <f>+E501+1</f>
        <v>1</v>
      </c>
      <c r="F502" s="277" t="s">
        <v>1385</v>
      </c>
      <c r="G502" s="178">
        <v>0.15</v>
      </c>
      <c r="H502" s="160">
        <v>10</v>
      </c>
      <c r="I502" s="160"/>
      <c r="J502" s="160"/>
      <c r="K502" s="162">
        <v>3562.35</v>
      </c>
      <c r="L502" s="162"/>
      <c r="M502" s="185"/>
      <c r="N502" s="415">
        <f t="shared" ref="N502:N520" si="52">+J502+K502+L502</f>
        <v>3562.35</v>
      </c>
      <c r="O502" s="364">
        <v>13416</v>
      </c>
      <c r="P502" s="164">
        <v>0</v>
      </c>
      <c r="Q502" s="164">
        <v>300</v>
      </c>
      <c r="R502" s="165">
        <v>2961</v>
      </c>
      <c r="S502" s="166">
        <f>2500+1580</f>
        <v>4080</v>
      </c>
      <c r="T502" s="166"/>
      <c r="U502" s="167">
        <v>370</v>
      </c>
      <c r="V502" s="167"/>
      <c r="W502" s="157">
        <v>0</v>
      </c>
      <c r="X502" s="157">
        <v>3562.35</v>
      </c>
      <c r="Y502" s="183">
        <v>3562</v>
      </c>
      <c r="Z502" s="183">
        <v>3562</v>
      </c>
      <c r="AA502" s="183">
        <v>3562</v>
      </c>
      <c r="AB502" s="157"/>
      <c r="AC502" s="157"/>
      <c r="AD502" s="157"/>
      <c r="AE502" s="157"/>
      <c r="AF502" s="157"/>
      <c r="AG502" s="157"/>
      <c r="AH502" s="157">
        <v>0</v>
      </c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</row>
    <row r="503" spans="1:1018">
      <c r="A503" s="529" t="s">
        <v>320</v>
      </c>
      <c r="B503" s="178"/>
      <c r="C503" s="178" t="s">
        <v>1386</v>
      </c>
      <c r="D503" s="178"/>
      <c r="E503" s="286">
        <f>+E502+1</f>
        <v>2</v>
      </c>
      <c r="F503" s="277" t="s">
        <v>1387</v>
      </c>
      <c r="G503" s="178">
        <v>0.15</v>
      </c>
      <c r="H503" s="160">
        <v>10</v>
      </c>
      <c r="I503" s="160"/>
      <c r="J503" s="160"/>
      <c r="K503" s="162">
        <v>3562.35</v>
      </c>
      <c r="L503" s="178">
        <v>2105</v>
      </c>
      <c r="M503" s="185"/>
      <c r="N503" s="415">
        <f t="shared" si="52"/>
        <v>5667.35</v>
      </c>
      <c r="O503" s="364">
        <v>13439</v>
      </c>
      <c r="P503" s="164">
        <v>0</v>
      </c>
      <c r="Q503" s="164">
        <v>300</v>
      </c>
      <c r="R503" s="165">
        <v>2807</v>
      </c>
      <c r="S503" s="166">
        <v>4080</v>
      </c>
      <c r="T503" s="166"/>
      <c r="U503" s="167"/>
      <c r="V503" s="167"/>
      <c r="W503" s="157">
        <v>0</v>
      </c>
      <c r="X503" s="157">
        <f>3562.35+2000</f>
        <v>5562.35</v>
      </c>
      <c r="Y503" s="183">
        <v>5667.35</v>
      </c>
      <c r="Z503" s="183">
        <v>5667.35</v>
      </c>
      <c r="AA503" s="157"/>
      <c r="AB503" s="157"/>
      <c r="AC503" s="157"/>
      <c r="AD503" s="157"/>
      <c r="AE503" s="157"/>
      <c r="AF503" s="157"/>
      <c r="AG503" s="157"/>
      <c r="AH503" s="157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  <c r="ALZ503"/>
      <c r="AMA503"/>
      <c r="AMB503"/>
      <c r="AMC503"/>
      <c r="AMD503"/>
    </row>
    <row r="504" spans="1:1018">
      <c r="A504" s="550" t="s">
        <v>315</v>
      </c>
      <c r="B504" s="178"/>
      <c r="C504" s="293" t="s">
        <v>554</v>
      </c>
      <c r="D504" s="293"/>
      <c r="E504" s="286">
        <f>+E503+1</f>
        <v>3</v>
      </c>
      <c r="F504" s="280" t="s">
        <v>1388</v>
      </c>
      <c r="G504" s="281">
        <v>0.1</v>
      </c>
      <c r="H504" s="282">
        <v>10</v>
      </c>
      <c r="I504" s="282"/>
      <c r="J504" s="282"/>
      <c r="K504" s="295">
        <v>3771.9</v>
      </c>
      <c r="L504" s="295">
        <v>1900</v>
      </c>
      <c r="M504" s="295"/>
      <c r="N504" s="415">
        <f t="shared" si="52"/>
        <v>5671.9</v>
      </c>
      <c r="O504" s="303">
        <v>13179</v>
      </c>
      <c r="P504" s="304">
        <v>0</v>
      </c>
      <c r="Q504" s="304">
        <v>300</v>
      </c>
      <c r="R504" s="305">
        <v>2865</v>
      </c>
      <c r="S504" s="306">
        <v>4080</v>
      </c>
      <c r="T504" s="306"/>
      <c r="U504" s="9">
        <v>370</v>
      </c>
      <c r="V504" s="9">
        <v>370</v>
      </c>
      <c r="W504" s="291">
        <v>0</v>
      </c>
      <c r="X504" s="291">
        <v>3771.9</v>
      </c>
      <c r="Y504" s="290">
        <v>3771.9</v>
      </c>
      <c r="Z504" s="290">
        <v>3771.9</v>
      </c>
      <c r="AA504" s="291"/>
      <c r="AB504" s="291"/>
      <c r="AC504" s="291"/>
      <c r="AD504" s="291"/>
      <c r="AE504" s="290"/>
      <c r="AF504" s="291"/>
      <c r="AG504" s="291"/>
      <c r="AH504" s="291">
        <v>0</v>
      </c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  <c r="AMB504"/>
      <c r="AMC504"/>
      <c r="AMD504"/>
    </row>
    <row r="505" spans="1:1018">
      <c r="A505" s="529" t="s">
        <v>1389</v>
      </c>
      <c r="B505" s="178"/>
      <c r="C505" s="178" t="s">
        <v>1390</v>
      </c>
      <c r="D505" s="178"/>
      <c r="E505" s="286">
        <f t="shared" ref="E505:E520" si="53">+E504+1</f>
        <v>4</v>
      </c>
      <c r="F505" s="277" t="s">
        <v>1391</v>
      </c>
      <c r="G505" s="178">
        <v>0.1</v>
      </c>
      <c r="H505" s="160">
        <v>10</v>
      </c>
      <c r="I505" s="160"/>
      <c r="J505" s="161"/>
      <c r="K505" s="162">
        <v>3771.9</v>
      </c>
      <c r="L505" s="162">
        <v>2235</v>
      </c>
      <c r="M505" s="185"/>
      <c r="N505" s="415">
        <f t="shared" si="52"/>
        <v>6006.9</v>
      </c>
      <c r="O505" s="364">
        <v>13178</v>
      </c>
      <c r="P505" s="164">
        <v>0</v>
      </c>
      <c r="Q505" s="164">
        <v>300</v>
      </c>
      <c r="R505" s="165">
        <v>2781</v>
      </c>
      <c r="S505" s="166">
        <v>4080</v>
      </c>
      <c r="T505" s="166"/>
      <c r="U505" s="167">
        <v>370</v>
      </c>
      <c r="V505" s="167">
        <v>370</v>
      </c>
      <c r="W505" s="157">
        <v>0</v>
      </c>
      <c r="X505" s="268">
        <v>3771.9</v>
      </c>
      <c r="Y505" s="157">
        <v>6006.9</v>
      </c>
      <c r="Z505" s="157">
        <v>6006.9</v>
      </c>
      <c r="AA505" s="157"/>
      <c r="AB505" s="157"/>
      <c r="AC505" s="157"/>
      <c r="AD505" s="157"/>
      <c r="AE505" s="157"/>
      <c r="AF505" s="157"/>
      <c r="AG505" s="416"/>
      <c r="AH505" s="157">
        <v>0</v>
      </c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</row>
    <row r="506" spans="1:1018">
      <c r="A506" s="169" t="s">
        <v>1392</v>
      </c>
      <c r="B506" s="178"/>
      <c r="C506" s="178"/>
      <c r="D506" s="178"/>
      <c r="E506" s="286">
        <f t="shared" si="53"/>
        <v>5</v>
      </c>
      <c r="F506" s="277" t="s">
        <v>1393</v>
      </c>
      <c r="G506" s="178"/>
      <c r="H506" s="160">
        <v>10</v>
      </c>
      <c r="I506" s="160"/>
      <c r="J506" s="160"/>
      <c r="K506" s="162">
        <v>4191</v>
      </c>
      <c r="L506" s="178"/>
      <c r="M506" s="185"/>
      <c r="N506" s="415">
        <f t="shared" si="52"/>
        <v>4191</v>
      </c>
      <c r="O506" s="364">
        <v>13650</v>
      </c>
      <c r="P506" s="164">
        <v>0</v>
      </c>
      <c r="Q506" s="164">
        <v>300</v>
      </c>
      <c r="R506" s="165">
        <v>3035</v>
      </c>
      <c r="S506" s="166">
        <v>4080</v>
      </c>
      <c r="T506" s="166"/>
      <c r="U506" s="167"/>
      <c r="V506" s="167"/>
      <c r="W506" s="157">
        <v>0</v>
      </c>
      <c r="X506" s="157">
        <v>4191</v>
      </c>
      <c r="Y506" s="183">
        <v>4200</v>
      </c>
      <c r="Z506" s="183">
        <f>4100+91</f>
        <v>4191</v>
      </c>
      <c r="AA506" s="183">
        <v>4191</v>
      </c>
      <c r="AB506" s="157"/>
      <c r="AC506" s="157"/>
      <c r="AD506" s="157"/>
      <c r="AE506" s="157"/>
      <c r="AF506" s="157"/>
      <c r="AG506" s="157"/>
      <c r="AH506" s="157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</row>
    <row r="507" spans="1:1018">
      <c r="A507" s="169" t="s">
        <v>1394</v>
      </c>
      <c r="B507" s="178"/>
      <c r="C507" s="178"/>
      <c r="D507" s="178"/>
      <c r="E507" s="286">
        <f t="shared" si="53"/>
        <v>6</v>
      </c>
      <c r="F507" s="277" t="s">
        <v>1395</v>
      </c>
      <c r="G507" s="178">
        <v>0.15</v>
      </c>
      <c r="H507" s="160">
        <v>10</v>
      </c>
      <c r="I507" s="160"/>
      <c r="J507" s="160"/>
      <c r="K507" s="162">
        <v>3562.35</v>
      </c>
      <c r="L507" s="178"/>
      <c r="M507" s="185"/>
      <c r="N507" s="415">
        <f t="shared" si="52"/>
        <v>3562.35</v>
      </c>
      <c r="O507" s="364">
        <v>13429</v>
      </c>
      <c r="P507" s="164">
        <v>0</v>
      </c>
      <c r="Q507" s="164">
        <v>300</v>
      </c>
      <c r="R507" s="165">
        <v>3208</v>
      </c>
      <c r="S507" s="166">
        <v>4080</v>
      </c>
      <c r="T507" s="166"/>
      <c r="U507" s="167">
        <v>370</v>
      </c>
      <c r="V507" s="167"/>
      <c r="W507" s="157">
        <v>0</v>
      </c>
      <c r="X507" s="157">
        <f>3238.5+323.85</f>
        <v>3562.35</v>
      </c>
      <c r="Y507" s="157">
        <v>3562.35</v>
      </c>
      <c r="Z507" s="157"/>
      <c r="AA507" s="157"/>
      <c r="AB507" s="157"/>
      <c r="AC507" s="157"/>
      <c r="AD507" s="157"/>
      <c r="AE507" s="157"/>
      <c r="AF507" s="157"/>
      <c r="AG507" s="157"/>
      <c r="AH507" s="15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</row>
    <row r="508" spans="1:1018">
      <c r="A508" s="169" t="s">
        <v>1396</v>
      </c>
      <c r="B508" s="178"/>
      <c r="C508" s="178"/>
      <c r="D508" s="178"/>
      <c r="E508" s="286">
        <f t="shared" si="53"/>
        <v>7</v>
      </c>
      <c r="F508" s="277" t="s">
        <v>1397</v>
      </c>
      <c r="G508" s="178">
        <v>0.15</v>
      </c>
      <c r="H508" s="160">
        <v>10</v>
      </c>
      <c r="I508" s="160"/>
      <c r="J508" s="160"/>
      <c r="K508" s="162">
        <v>3562.35</v>
      </c>
      <c r="L508" s="162"/>
      <c r="M508" s="185"/>
      <c r="N508" s="415">
        <f t="shared" si="52"/>
        <v>3562.35</v>
      </c>
      <c r="O508" s="364">
        <v>13249</v>
      </c>
      <c r="P508" s="164">
        <v>0</v>
      </c>
      <c r="Q508" s="164">
        <v>300</v>
      </c>
      <c r="R508" s="165">
        <v>3094</v>
      </c>
      <c r="S508" s="166">
        <v>4080</v>
      </c>
      <c r="T508" s="166"/>
      <c r="U508" s="167">
        <v>370</v>
      </c>
      <c r="V508" s="167">
        <v>370</v>
      </c>
      <c r="W508" s="157">
        <v>0</v>
      </c>
      <c r="X508" s="157">
        <v>3562.35</v>
      </c>
      <c r="Y508" s="157">
        <v>3562.35</v>
      </c>
      <c r="Z508" s="157">
        <v>3562.33</v>
      </c>
      <c r="AA508" s="157"/>
      <c r="AB508" s="157"/>
      <c r="AC508" s="157"/>
      <c r="AD508" s="157"/>
      <c r="AE508" s="157"/>
      <c r="AF508" s="157"/>
      <c r="AG508" s="157"/>
      <c r="AH508" s="157">
        <v>0</v>
      </c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</row>
    <row r="509" spans="1:1018">
      <c r="A509" s="529" t="s">
        <v>1398</v>
      </c>
      <c r="B509" s="178"/>
      <c r="C509" s="178" t="s">
        <v>1399</v>
      </c>
      <c r="D509" s="178"/>
      <c r="E509" s="286">
        <f t="shared" si="53"/>
        <v>8</v>
      </c>
      <c r="F509" s="277" t="s">
        <v>1400</v>
      </c>
      <c r="G509" s="178">
        <v>0.1</v>
      </c>
      <c r="H509" s="160">
        <v>10</v>
      </c>
      <c r="I509" s="160"/>
      <c r="J509" s="161"/>
      <c r="K509" s="162">
        <v>3771.9</v>
      </c>
      <c r="L509" s="162">
        <v>2025</v>
      </c>
      <c r="M509" s="185"/>
      <c r="N509" s="415">
        <f t="shared" si="52"/>
        <v>5796.9</v>
      </c>
      <c r="O509" s="364">
        <v>13304</v>
      </c>
      <c r="P509" s="164">
        <v>0</v>
      </c>
      <c r="Q509" s="164">
        <v>300</v>
      </c>
      <c r="R509" s="165">
        <v>3406</v>
      </c>
      <c r="S509" s="166">
        <v>4080</v>
      </c>
      <c r="T509" s="166"/>
      <c r="U509" s="167">
        <v>370</v>
      </c>
      <c r="V509" s="167"/>
      <c r="W509" s="157">
        <v>0</v>
      </c>
      <c r="X509" s="183">
        <f>1525+3771</f>
        <v>5296</v>
      </c>
      <c r="Y509" s="183">
        <f>1525+3771</f>
        <v>5296</v>
      </c>
      <c r="Z509" s="183"/>
      <c r="AA509" s="157"/>
      <c r="AB509" s="183"/>
      <c r="AC509" s="157"/>
      <c r="AD509" s="183"/>
      <c r="AE509" s="183"/>
      <c r="AF509" s="183"/>
      <c r="AG509" s="157"/>
      <c r="AH509" s="157">
        <v>0</v>
      </c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  <c r="AMB509"/>
      <c r="AMC509"/>
      <c r="AMD509"/>
    </row>
    <row r="510" spans="1:1018">
      <c r="A510" s="293" t="s">
        <v>316</v>
      </c>
      <c r="B510" s="178"/>
      <c r="C510" s="293"/>
      <c r="D510" s="293"/>
      <c r="E510" s="286">
        <f t="shared" si="53"/>
        <v>9</v>
      </c>
      <c r="F510" s="280" t="s">
        <v>1401</v>
      </c>
      <c r="G510" s="281"/>
      <c r="H510" s="282">
        <v>11</v>
      </c>
      <c r="I510" s="282"/>
      <c r="J510" s="282">
        <v>3810</v>
      </c>
      <c r="K510" s="175"/>
      <c r="L510" s="201"/>
      <c r="M510" s="201"/>
      <c r="N510" s="415">
        <f t="shared" si="52"/>
        <v>3810</v>
      </c>
      <c r="O510" s="303">
        <v>13357</v>
      </c>
      <c r="P510" s="304">
        <v>0</v>
      </c>
      <c r="Q510" s="304">
        <v>300</v>
      </c>
      <c r="R510" s="305">
        <v>2780</v>
      </c>
      <c r="S510" s="306">
        <v>4080</v>
      </c>
      <c r="T510" s="306"/>
      <c r="U510" s="9">
        <v>370</v>
      </c>
      <c r="V510" s="9">
        <v>370</v>
      </c>
      <c r="W510" s="291">
        <v>3810</v>
      </c>
      <c r="X510" s="291">
        <v>3810</v>
      </c>
      <c r="Y510" s="291">
        <v>3810</v>
      </c>
      <c r="Z510" s="291">
        <v>3810</v>
      </c>
      <c r="AA510" s="291"/>
      <c r="AB510" s="291"/>
      <c r="AC510" s="291"/>
      <c r="AD510" s="291"/>
      <c r="AE510" s="291"/>
      <c r="AF510" s="291"/>
      <c r="AG510" s="291"/>
      <c r="AH510" s="157">
        <v>0</v>
      </c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</row>
    <row r="511" spans="1:1018">
      <c r="A511" s="529" t="s">
        <v>1402</v>
      </c>
      <c r="B511" s="178"/>
      <c r="C511" s="178" t="s">
        <v>378</v>
      </c>
      <c r="D511" s="178"/>
      <c r="E511" s="286">
        <f t="shared" si="53"/>
        <v>10</v>
      </c>
      <c r="F511" s="277" t="s">
        <v>1403</v>
      </c>
      <c r="G511" s="178"/>
      <c r="H511" s="160">
        <v>10</v>
      </c>
      <c r="I511" s="160"/>
      <c r="J511" s="160"/>
      <c r="K511" s="162">
        <v>4194</v>
      </c>
      <c r="L511" s="178">
        <v>375</v>
      </c>
      <c r="M511" s="185"/>
      <c r="N511" s="415">
        <f t="shared" si="52"/>
        <v>4569</v>
      </c>
      <c r="O511" s="364">
        <v>13658</v>
      </c>
      <c r="P511" s="164">
        <v>0</v>
      </c>
      <c r="Q511" s="164">
        <v>300</v>
      </c>
      <c r="R511" s="165">
        <v>2963</v>
      </c>
      <c r="S511" s="166">
        <v>4080</v>
      </c>
      <c r="T511" s="166"/>
      <c r="U511" s="167">
        <v>370</v>
      </c>
      <c r="V511" s="167">
        <v>370</v>
      </c>
      <c r="W511" s="157">
        <v>0</v>
      </c>
      <c r="X511" s="157">
        <f>4191+375</f>
        <v>4566</v>
      </c>
      <c r="Y511" s="157">
        <v>4569</v>
      </c>
      <c r="Z511" s="203">
        <v>4569</v>
      </c>
      <c r="AA511" s="203">
        <v>375</v>
      </c>
      <c r="AB511" s="157"/>
      <c r="AC511" s="157"/>
      <c r="AD511" s="157"/>
      <c r="AE511" s="157"/>
      <c r="AF511" s="157"/>
      <c r="AG511" s="157"/>
      <c r="AH511" s="157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  <c r="AKZ511"/>
      <c r="ALA511"/>
      <c r="ALB511"/>
      <c r="ALC511"/>
      <c r="ALD511"/>
      <c r="ALE511"/>
      <c r="ALF511"/>
      <c r="ALG511"/>
      <c r="ALH511"/>
      <c r="ALI511"/>
      <c r="ALJ511"/>
      <c r="ALK511"/>
      <c r="ALL511"/>
      <c r="ALM511"/>
      <c r="ALN511"/>
      <c r="ALO511"/>
      <c r="ALP511"/>
      <c r="ALQ511"/>
      <c r="ALR511"/>
      <c r="ALS511"/>
      <c r="ALT511"/>
      <c r="ALU511"/>
      <c r="ALV511"/>
      <c r="ALW511"/>
      <c r="ALX511"/>
      <c r="ALY511"/>
      <c r="ALZ511"/>
      <c r="AMA511"/>
      <c r="AMB511"/>
      <c r="AMC511"/>
      <c r="AMD511"/>
    </row>
    <row r="512" spans="1:1018">
      <c r="A512" s="169" t="s">
        <v>317</v>
      </c>
      <c r="B512" s="178"/>
      <c r="C512" s="178"/>
      <c r="D512" s="178"/>
      <c r="E512" s="286">
        <f t="shared" si="53"/>
        <v>11</v>
      </c>
      <c r="F512" s="277" t="s">
        <v>1404</v>
      </c>
      <c r="G512" s="178">
        <v>0.1</v>
      </c>
      <c r="H512" s="160">
        <v>10</v>
      </c>
      <c r="I512" s="160"/>
      <c r="J512" s="160"/>
      <c r="K512" s="162">
        <v>3771.9</v>
      </c>
      <c r="L512" s="162"/>
      <c r="M512" s="185"/>
      <c r="N512" s="415">
        <f t="shared" si="52"/>
        <v>3771.9</v>
      </c>
      <c r="O512" s="364">
        <v>13395</v>
      </c>
      <c r="P512" s="164">
        <v>0</v>
      </c>
      <c r="Q512" s="164">
        <v>300</v>
      </c>
      <c r="R512" s="165">
        <v>2788</v>
      </c>
      <c r="S512" s="166">
        <v>4080</v>
      </c>
      <c r="T512" s="166"/>
      <c r="U512" s="167">
        <v>370</v>
      </c>
      <c r="V512" s="167">
        <v>370</v>
      </c>
      <c r="W512" s="157">
        <v>0</v>
      </c>
      <c r="X512" s="157">
        <v>3771.9</v>
      </c>
      <c r="Y512" s="295">
        <v>3771.9</v>
      </c>
      <c r="Z512" s="295">
        <v>3771.9</v>
      </c>
      <c r="AA512" s="295">
        <v>3771.9</v>
      </c>
      <c r="AB512" s="183"/>
      <c r="AC512" s="183"/>
      <c r="AD512" s="183"/>
      <c r="AE512" s="183"/>
      <c r="AF512" s="183"/>
      <c r="AG512" s="157"/>
      <c r="AH512" s="291">
        <v>0</v>
      </c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</row>
    <row r="513" spans="1:1018">
      <c r="A513" s="529" t="s">
        <v>1405</v>
      </c>
      <c r="B513" s="178"/>
      <c r="C513" s="178" t="s">
        <v>1406</v>
      </c>
      <c r="D513" s="178"/>
      <c r="E513" s="286">
        <f t="shared" si="53"/>
        <v>12</v>
      </c>
      <c r="F513" s="277" t="s">
        <v>1407</v>
      </c>
      <c r="G513" s="178">
        <v>0.1</v>
      </c>
      <c r="H513" s="160">
        <v>10</v>
      </c>
      <c r="I513" s="160"/>
      <c r="J513" s="160"/>
      <c r="K513" s="162">
        <v>3771.9</v>
      </c>
      <c r="L513" s="178"/>
      <c r="M513" s="185"/>
      <c r="N513" s="415">
        <f t="shared" si="52"/>
        <v>3771.9</v>
      </c>
      <c r="O513" s="364" t="s">
        <v>1408</v>
      </c>
      <c r="P513" s="164"/>
      <c r="Q513" s="164">
        <v>300</v>
      </c>
      <c r="R513" s="165">
        <v>2969</v>
      </c>
      <c r="S513" s="166">
        <v>4080</v>
      </c>
      <c r="T513" s="166"/>
      <c r="U513" s="167"/>
      <c r="V513" s="167"/>
      <c r="W513" s="157"/>
      <c r="X513" s="183">
        <v>3771.9</v>
      </c>
      <c r="Y513" s="183">
        <v>3771.9</v>
      </c>
      <c r="Z513" s="157"/>
      <c r="AA513" s="157"/>
      <c r="AB513" s="157"/>
      <c r="AC513" s="157"/>
      <c r="AD513" s="157"/>
      <c r="AE513" s="157"/>
      <c r="AF513" s="157"/>
      <c r="AG513" s="157"/>
      <c r="AH513" s="157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/>
      <c r="ACQ513"/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/>
      <c r="AFE513"/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/>
      <c r="AHS513"/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/>
      <c r="AKG513"/>
      <c r="AKH513"/>
      <c r="AKI513"/>
      <c r="AKJ513"/>
      <c r="AKK513"/>
      <c r="AKL513"/>
      <c r="AKM513"/>
      <c r="AKN513"/>
      <c r="AKO513"/>
      <c r="AKP513"/>
      <c r="AKQ513"/>
      <c r="AKR513"/>
      <c r="AKS513"/>
      <c r="AKT513"/>
      <c r="AKU513"/>
      <c r="AKV513"/>
      <c r="AKW513"/>
      <c r="AKX513"/>
      <c r="AKY513"/>
      <c r="AKZ513"/>
      <c r="ALA513"/>
      <c r="ALB513"/>
      <c r="ALC513"/>
      <c r="ALD513"/>
      <c r="ALE513"/>
      <c r="ALF513"/>
      <c r="ALG513"/>
      <c r="ALH513"/>
      <c r="ALI513"/>
      <c r="ALJ513"/>
      <c r="ALK513"/>
      <c r="ALL513"/>
      <c r="ALM513"/>
      <c r="ALN513"/>
      <c r="ALO513"/>
      <c r="ALP513"/>
      <c r="ALQ513"/>
      <c r="ALR513"/>
      <c r="ALS513"/>
      <c r="ALT513"/>
      <c r="ALU513"/>
      <c r="ALV513"/>
      <c r="ALW513"/>
      <c r="ALX513"/>
      <c r="ALY513"/>
      <c r="ALZ513"/>
      <c r="AMA513"/>
      <c r="AMB513"/>
      <c r="AMC513"/>
      <c r="AMD513"/>
    </row>
    <row r="514" spans="1:1018">
      <c r="A514" s="169" t="s">
        <v>1409</v>
      </c>
      <c r="B514" s="178"/>
      <c r="C514" s="178"/>
      <c r="D514" s="178"/>
      <c r="E514" s="286">
        <f t="shared" si="53"/>
        <v>13</v>
      </c>
      <c r="F514" s="277" t="s">
        <v>1410</v>
      </c>
      <c r="G514" s="178">
        <v>0.15</v>
      </c>
      <c r="H514" s="160">
        <v>10</v>
      </c>
      <c r="I514" s="160"/>
      <c r="J514" s="160"/>
      <c r="K514" s="162">
        <v>3562.35</v>
      </c>
      <c r="L514" s="178"/>
      <c r="M514" s="185"/>
      <c r="N514" s="415">
        <f t="shared" si="52"/>
        <v>3562.35</v>
      </c>
      <c r="O514" s="364">
        <v>13424</v>
      </c>
      <c r="P514" s="164">
        <v>0</v>
      </c>
      <c r="Q514" s="164">
        <v>300</v>
      </c>
      <c r="R514" s="165">
        <v>2908</v>
      </c>
      <c r="S514" s="166">
        <v>4080</v>
      </c>
      <c r="T514" s="166"/>
      <c r="U514" s="167"/>
      <c r="V514" s="167"/>
      <c r="W514" s="157">
        <v>0</v>
      </c>
      <c r="X514" s="157">
        <v>3526</v>
      </c>
      <c r="Y514" s="183">
        <v>3526</v>
      </c>
      <c r="Z514" s="183">
        <v>3526</v>
      </c>
      <c r="AA514" s="157"/>
      <c r="AB514" s="157"/>
      <c r="AC514" s="157"/>
      <c r="AD514" s="157"/>
      <c r="AE514" s="157"/>
      <c r="AF514" s="157"/>
      <c r="AG514" s="157"/>
      <c r="AH514" s="157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</row>
    <row r="515" spans="1:1018">
      <c r="A515" s="169" t="s">
        <v>1411</v>
      </c>
      <c r="B515" s="178"/>
      <c r="C515" s="178"/>
      <c r="D515" s="178"/>
      <c r="E515" s="286">
        <f t="shared" si="53"/>
        <v>14</v>
      </c>
      <c r="F515" s="277" t="s">
        <v>1412</v>
      </c>
      <c r="G515" s="178"/>
      <c r="H515" s="160">
        <v>10</v>
      </c>
      <c r="I515" s="160"/>
      <c r="J515" s="161"/>
      <c r="K515" s="162">
        <v>4191</v>
      </c>
      <c r="L515" s="162"/>
      <c r="M515" s="185"/>
      <c r="N515" s="415">
        <f t="shared" si="52"/>
        <v>4191</v>
      </c>
      <c r="O515" s="364">
        <v>13316</v>
      </c>
      <c r="P515" s="164">
        <v>0</v>
      </c>
      <c r="Q515" s="164">
        <v>300</v>
      </c>
      <c r="R515" s="165">
        <v>2928</v>
      </c>
      <c r="S515" s="166">
        <v>4015</v>
      </c>
      <c r="T515" s="166" t="s">
        <v>1413</v>
      </c>
      <c r="U515" s="167"/>
      <c r="V515" s="167"/>
      <c r="W515" s="157">
        <v>0</v>
      </c>
      <c r="X515" s="157"/>
      <c r="Y515" s="157"/>
      <c r="Z515" s="157"/>
      <c r="AA515" s="157"/>
      <c r="AB515" s="157"/>
      <c r="AC515" s="157"/>
      <c r="AD515" s="157"/>
      <c r="AE515" s="157"/>
      <c r="AF515" s="157"/>
      <c r="AG515" s="157"/>
      <c r="AH515" s="291">
        <v>0</v>
      </c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</row>
    <row r="516" spans="1:1018">
      <c r="A516" s="529" t="s">
        <v>321</v>
      </c>
      <c r="B516" s="178"/>
      <c r="C516" s="178" t="s">
        <v>378</v>
      </c>
      <c r="D516" s="178"/>
      <c r="E516" s="286">
        <f t="shared" si="53"/>
        <v>15</v>
      </c>
      <c r="F516" s="277" t="s">
        <v>1414</v>
      </c>
      <c r="G516" s="178"/>
      <c r="H516" s="160">
        <v>10</v>
      </c>
      <c r="I516" s="160"/>
      <c r="J516" s="160"/>
      <c r="K516" s="162">
        <v>4191</v>
      </c>
      <c r="L516" s="178">
        <v>375</v>
      </c>
      <c r="M516" s="185"/>
      <c r="N516" s="415">
        <f t="shared" si="52"/>
        <v>4566</v>
      </c>
      <c r="O516" s="364">
        <v>13755</v>
      </c>
      <c r="P516" s="164">
        <v>0</v>
      </c>
      <c r="Q516" s="164">
        <v>300</v>
      </c>
      <c r="R516" s="165">
        <v>2875</v>
      </c>
      <c r="S516" s="166">
        <v>4080</v>
      </c>
      <c r="T516" s="166"/>
      <c r="U516" s="167">
        <v>370</v>
      </c>
      <c r="V516" s="167">
        <v>370</v>
      </c>
      <c r="W516" s="157">
        <v>0</v>
      </c>
      <c r="X516" s="157">
        <v>4566</v>
      </c>
      <c r="Y516" s="157">
        <v>4566</v>
      </c>
      <c r="Z516" s="157">
        <v>4566</v>
      </c>
      <c r="AA516" s="157"/>
      <c r="AB516" s="157"/>
      <c r="AC516" s="157"/>
      <c r="AD516" s="157"/>
      <c r="AE516" s="157"/>
      <c r="AF516" s="157"/>
      <c r="AG516" s="157"/>
      <c r="AH516" s="157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</row>
    <row r="517" spans="1:1018">
      <c r="A517" s="169" t="s">
        <v>1415</v>
      </c>
      <c r="B517" s="178"/>
      <c r="C517" s="178"/>
      <c r="D517" s="178"/>
      <c r="E517" s="286">
        <f t="shared" si="53"/>
        <v>16</v>
      </c>
      <c r="F517" s="277" t="s">
        <v>1416</v>
      </c>
      <c r="G517" s="178"/>
      <c r="H517" s="160">
        <v>10</v>
      </c>
      <c r="I517" s="160"/>
      <c r="J517" s="160"/>
      <c r="K517" s="162">
        <v>4191</v>
      </c>
      <c r="L517" s="178"/>
      <c r="M517" s="185"/>
      <c r="N517" s="415">
        <f t="shared" si="52"/>
        <v>4191</v>
      </c>
      <c r="O517" s="364">
        <v>13770</v>
      </c>
      <c r="P517" s="164">
        <v>0</v>
      </c>
      <c r="Q517" s="164">
        <v>300</v>
      </c>
      <c r="R517" s="165">
        <v>2857</v>
      </c>
      <c r="S517" s="166">
        <v>4080</v>
      </c>
      <c r="T517" s="166"/>
      <c r="U517" s="167">
        <v>370</v>
      </c>
      <c r="V517" s="167">
        <v>370</v>
      </c>
      <c r="W517" s="157">
        <v>0</v>
      </c>
      <c r="X517" s="157">
        <v>4191</v>
      </c>
      <c r="Y517" s="157">
        <v>4191</v>
      </c>
      <c r="Z517" s="157">
        <v>4191</v>
      </c>
      <c r="AA517" s="157"/>
      <c r="AB517" s="157"/>
      <c r="AC517" s="157"/>
      <c r="AD517" s="157"/>
      <c r="AE517" s="157"/>
      <c r="AF517" s="157"/>
      <c r="AG517" s="157"/>
      <c r="AH517" s="15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  <c r="AMB517"/>
      <c r="AMC517"/>
      <c r="AMD517"/>
    </row>
    <row r="518" spans="1:1018">
      <c r="A518" s="529" t="s">
        <v>1417</v>
      </c>
      <c r="B518" s="178"/>
      <c r="C518" s="178" t="s">
        <v>420</v>
      </c>
      <c r="D518" s="178"/>
      <c r="E518" s="286">
        <f t="shared" si="53"/>
        <v>17</v>
      </c>
      <c r="F518" s="277" t="s">
        <v>1418</v>
      </c>
      <c r="G518" s="178"/>
      <c r="H518" s="160">
        <v>10</v>
      </c>
      <c r="I518" s="160"/>
      <c r="J518" s="160"/>
      <c r="K518" s="162">
        <v>4191</v>
      </c>
      <c r="L518" s="178">
        <v>1800</v>
      </c>
      <c r="M518" s="185"/>
      <c r="N518" s="415">
        <f t="shared" si="52"/>
        <v>5991</v>
      </c>
      <c r="O518" s="364">
        <v>13596</v>
      </c>
      <c r="P518" s="164">
        <v>0</v>
      </c>
      <c r="Q518" s="164">
        <v>300</v>
      </c>
      <c r="R518" s="165">
        <v>3183</v>
      </c>
      <c r="S518" s="166">
        <v>4080</v>
      </c>
      <c r="T518" s="166"/>
      <c r="U518" s="167">
        <v>370</v>
      </c>
      <c r="V518" s="167">
        <v>370</v>
      </c>
      <c r="W518" s="157">
        <v>0</v>
      </c>
      <c r="X518" s="183">
        <f>1800+4191</f>
        <v>5991</v>
      </c>
      <c r="Y518" s="183">
        <v>5991</v>
      </c>
      <c r="Z518" s="183">
        <f>4191+1800</f>
        <v>5991</v>
      </c>
      <c r="AA518" s="157"/>
      <c r="AB518" s="157"/>
      <c r="AC518" s="157"/>
      <c r="AD518" s="157"/>
      <c r="AE518" s="157"/>
      <c r="AF518" s="157"/>
      <c r="AG518" s="157"/>
      <c r="AH518" s="157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</row>
    <row r="519" spans="1:1018">
      <c r="A519" s="529" t="s">
        <v>1419</v>
      </c>
      <c r="B519" s="178"/>
      <c r="C519" s="178" t="s">
        <v>378</v>
      </c>
      <c r="D519" s="178"/>
      <c r="E519" s="286">
        <f t="shared" si="53"/>
        <v>18</v>
      </c>
      <c r="F519" s="277" t="s">
        <v>1420</v>
      </c>
      <c r="G519" s="178"/>
      <c r="H519" s="160">
        <v>10</v>
      </c>
      <c r="I519" s="160"/>
      <c r="J519" s="160"/>
      <c r="K519" s="162">
        <v>4191</v>
      </c>
      <c r="L519" s="178">
        <v>375</v>
      </c>
      <c r="M519" s="185"/>
      <c r="N519" s="415">
        <f t="shared" si="52"/>
        <v>4566</v>
      </c>
      <c r="O519" s="364">
        <v>13533</v>
      </c>
      <c r="P519" s="164">
        <v>0</v>
      </c>
      <c r="Q519" s="164">
        <v>300</v>
      </c>
      <c r="R519" s="165">
        <v>2893</v>
      </c>
      <c r="S519" s="166">
        <v>4080</v>
      </c>
      <c r="T519" s="166"/>
      <c r="U519" s="167">
        <v>370</v>
      </c>
      <c r="V519" s="167">
        <v>370</v>
      </c>
      <c r="W519" s="157">
        <v>0</v>
      </c>
      <c r="X519" s="157">
        <v>4566</v>
      </c>
      <c r="Y519" s="157">
        <v>4566</v>
      </c>
      <c r="Z519" s="183">
        <v>4566</v>
      </c>
      <c r="AA519" s="157"/>
      <c r="AB519" s="157"/>
      <c r="AC519" s="157"/>
      <c r="AD519" s="157"/>
      <c r="AE519" s="157"/>
      <c r="AF519" s="157"/>
      <c r="AG519" s="157"/>
      <c r="AH519" s="157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  <c r="AMB519"/>
      <c r="AMC519"/>
      <c r="AMD519"/>
    </row>
    <row r="520" spans="1:1018">
      <c r="A520" s="169" t="s">
        <v>318</v>
      </c>
      <c r="B520" s="178"/>
      <c r="C520" s="178"/>
      <c r="D520" s="178"/>
      <c r="E520" s="286">
        <f t="shared" si="53"/>
        <v>19</v>
      </c>
      <c r="F520" s="277" t="s">
        <v>1421</v>
      </c>
      <c r="G520" s="178">
        <v>0.1</v>
      </c>
      <c r="H520" s="160">
        <v>10</v>
      </c>
      <c r="I520" s="160"/>
      <c r="J520" s="161"/>
      <c r="K520" s="162">
        <v>3771.9</v>
      </c>
      <c r="L520" s="162"/>
      <c r="M520" s="185"/>
      <c r="N520" s="415">
        <f t="shared" si="52"/>
        <v>3771.9</v>
      </c>
      <c r="O520" s="364">
        <v>13396</v>
      </c>
      <c r="P520" s="164">
        <v>0</v>
      </c>
      <c r="Q520" s="164">
        <v>300</v>
      </c>
      <c r="R520" s="165" t="s">
        <v>319</v>
      </c>
      <c r="S520" s="166">
        <f>2500+1550</f>
        <v>4050</v>
      </c>
      <c r="T520" s="166"/>
      <c r="U520" s="167">
        <v>370</v>
      </c>
      <c r="V520" s="167">
        <v>370</v>
      </c>
      <c r="W520" s="157">
        <v>0</v>
      </c>
      <c r="X520" s="157">
        <v>3771.9</v>
      </c>
      <c r="Y520" s="295">
        <v>3771.9</v>
      </c>
      <c r="Z520" s="295">
        <v>3771.9</v>
      </c>
      <c r="AA520" s="295">
        <v>3771.9</v>
      </c>
      <c r="AB520" s="183"/>
      <c r="AC520" s="183"/>
      <c r="AD520" s="183"/>
      <c r="AE520" s="183"/>
      <c r="AF520" s="183"/>
      <c r="AG520" s="157"/>
      <c r="AH520" s="157">
        <v>0</v>
      </c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  <c r="AMB520"/>
      <c r="AMC520"/>
      <c r="AMD520"/>
    </row>
    <row r="521" spans="1:1018">
      <c r="A521" s="169"/>
      <c r="B521" s="178"/>
      <c r="C521" s="178"/>
      <c r="D521" s="178"/>
      <c r="E521" s="178"/>
      <c r="F521" s="277"/>
      <c r="G521" s="178"/>
      <c r="H521" s="160"/>
      <c r="I521" s="160"/>
      <c r="J521" s="160"/>
      <c r="K521" s="162"/>
      <c r="L521" s="178"/>
      <c r="M521" s="185"/>
      <c r="N521" s="415"/>
      <c r="O521" s="364"/>
      <c r="P521" s="164"/>
      <c r="Q521" s="164"/>
      <c r="R521" s="165"/>
      <c r="S521" s="166"/>
      <c r="T521" s="166"/>
      <c r="U521" s="167"/>
      <c r="V521" s="167"/>
      <c r="W521" s="157"/>
      <c r="X521" s="157"/>
      <c r="Y521" s="157"/>
      <c r="Z521" s="157"/>
      <c r="AA521" s="157"/>
      <c r="AB521" s="157"/>
      <c r="AC521" s="157"/>
      <c r="AD521" s="157"/>
      <c r="AE521" s="157"/>
      <c r="AF521" s="157"/>
      <c r="AG521" s="157"/>
      <c r="AH521" s="157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  <c r="ALZ521"/>
      <c r="AMA521"/>
      <c r="AMB521"/>
      <c r="AMC521"/>
      <c r="AMD521"/>
    </row>
    <row r="522" spans="1:1018">
      <c r="A522" s="169"/>
      <c r="B522" s="178"/>
      <c r="C522" s="178"/>
      <c r="D522" s="178"/>
      <c r="E522" s="178"/>
      <c r="F522" s="277"/>
      <c r="G522" s="178"/>
      <c r="H522" s="160"/>
      <c r="I522" s="160"/>
      <c r="J522" s="160"/>
      <c r="K522" s="162"/>
      <c r="L522" s="178"/>
      <c r="M522" s="185"/>
      <c r="N522" s="415"/>
      <c r="O522" s="364"/>
      <c r="P522" s="164"/>
      <c r="Q522" s="164"/>
      <c r="R522" s="165"/>
      <c r="S522" s="166"/>
      <c r="T522" s="166"/>
      <c r="U522" s="167"/>
      <c r="V522" s="167"/>
      <c r="W522" s="157"/>
      <c r="X522" s="157"/>
      <c r="Y522" s="157"/>
      <c r="Z522" s="157"/>
      <c r="AA522" s="157"/>
      <c r="AB522" s="157"/>
      <c r="AC522" s="157"/>
      <c r="AD522" s="157"/>
      <c r="AE522" s="157"/>
      <c r="AF522" s="157"/>
      <c r="AG522" s="157"/>
      <c r="AH522" s="157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/>
      <c r="ADK522"/>
      <c r="ADL522"/>
      <c r="ADM522"/>
      <c r="ADN522"/>
      <c r="ADO522"/>
      <c r="ADP522"/>
      <c r="ADQ522"/>
      <c r="ADR522"/>
      <c r="ADS522"/>
      <c r="ADT522"/>
      <c r="ADU522"/>
      <c r="ADV522"/>
      <c r="ADW522"/>
      <c r="ADX522"/>
      <c r="ADY522"/>
      <c r="ADZ522"/>
      <c r="AEA522"/>
      <c r="AEB522"/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/>
      <c r="AEU522"/>
      <c r="AEV522"/>
      <c r="AEW522"/>
      <c r="AEX522"/>
      <c r="AEY522"/>
      <c r="AEZ522"/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/>
      <c r="AJE522"/>
      <c r="AJF522"/>
      <c r="AJG522"/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/>
      <c r="AJZ522"/>
      <c r="AKA522"/>
      <c r="AKB522"/>
      <c r="AKC522"/>
      <c r="AKD522"/>
      <c r="AKE522"/>
      <c r="AKF522"/>
      <c r="AKG522"/>
      <c r="AKH522"/>
      <c r="AKI522"/>
      <c r="AKJ522"/>
      <c r="AKK522"/>
      <c r="AKL522"/>
      <c r="AKM522"/>
      <c r="AKN522"/>
      <c r="AKO522"/>
      <c r="AKP522"/>
      <c r="AKQ522"/>
      <c r="AKR522"/>
      <c r="AKS522"/>
      <c r="AKT522"/>
      <c r="AKU522"/>
      <c r="AKV522"/>
      <c r="AKW522"/>
      <c r="AKX522"/>
      <c r="AKY522"/>
      <c r="AKZ522"/>
      <c r="ALA522"/>
      <c r="ALB522"/>
      <c r="ALC522"/>
      <c r="ALD522"/>
      <c r="ALE522"/>
      <c r="ALF522"/>
      <c r="ALG522"/>
      <c r="ALH522"/>
      <c r="ALI522"/>
      <c r="ALJ522"/>
      <c r="ALK522"/>
      <c r="ALL522"/>
      <c r="ALM522"/>
      <c r="ALN522"/>
      <c r="ALO522"/>
      <c r="ALP522"/>
      <c r="ALQ522"/>
      <c r="ALR522"/>
      <c r="ALS522"/>
      <c r="ALT522"/>
      <c r="ALU522"/>
      <c r="ALV522"/>
      <c r="ALW522"/>
      <c r="ALX522"/>
      <c r="ALY522"/>
      <c r="ALZ522"/>
      <c r="AMA522"/>
      <c r="AMB522"/>
      <c r="AMC522"/>
      <c r="AMD522"/>
    </row>
    <row r="523" spans="1:1018">
      <c r="A523" s="178"/>
      <c r="B523" s="178"/>
      <c r="C523" s="178"/>
      <c r="D523" s="178"/>
      <c r="E523" s="178"/>
      <c r="F523" s="277"/>
      <c r="G523" s="178"/>
      <c r="H523" s="160"/>
      <c r="I523" s="160"/>
      <c r="J523" s="160"/>
      <c r="K523" s="162"/>
      <c r="L523" s="178"/>
      <c r="M523" s="185"/>
      <c r="N523" s="415">
        <f>+K523+L523+M523</f>
        <v>0</v>
      </c>
      <c r="O523" s="364"/>
      <c r="P523" s="156"/>
      <c r="Q523" s="156"/>
      <c r="R523" s="146"/>
      <c r="S523" s="147"/>
      <c r="T523" s="147"/>
      <c r="U523" s="148"/>
      <c r="V523" s="148"/>
      <c r="W523" s="157"/>
      <c r="X523" s="157"/>
      <c r="Y523" s="157"/>
      <c r="Z523" s="157"/>
      <c r="AA523" s="157"/>
      <c r="AB523" s="157"/>
      <c r="AC523" s="157"/>
      <c r="AD523" s="157"/>
      <c r="AE523" s="157"/>
      <c r="AF523" s="157"/>
      <c r="AG523" s="157"/>
      <c r="AH523" s="157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</row>
    <row r="524" spans="1:1018" ht="45">
      <c r="A524" s="414" t="s">
        <v>323</v>
      </c>
      <c r="B524" s="133"/>
      <c r="C524" s="135" t="s">
        <v>339</v>
      </c>
      <c r="D524" s="135"/>
      <c r="E524" s="133"/>
      <c r="F524" s="136" t="s">
        <v>961</v>
      </c>
      <c r="G524" s="133" t="s">
        <v>426</v>
      </c>
      <c r="H524" s="137" t="s">
        <v>427</v>
      </c>
      <c r="I524" s="138"/>
      <c r="J524" s="235" t="s">
        <v>429</v>
      </c>
      <c r="K524" s="236" t="s">
        <v>441</v>
      </c>
      <c r="L524" s="237"/>
      <c r="M524" s="238" t="s">
        <v>431</v>
      </c>
      <c r="N524" s="239" t="s">
        <v>432</v>
      </c>
      <c r="O524" s="144"/>
      <c r="P524" s="145"/>
      <c r="Q524" s="145"/>
      <c r="R524" s="240"/>
      <c r="S524" s="241"/>
      <c r="T524" s="241"/>
      <c r="U524" s="242"/>
      <c r="V524" s="242"/>
      <c r="W524" s="150" t="s">
        <v>437</v>
      </c>
      <c r="X524" s="150" t="s">
        <v>438</v>
      </c>
      <c r="Y524" s="150" t="s">
        <v>2</v>
      </c>
      <c r="Z524" s="150" t="s">
        <v>4</v>
      </c>
      <c r="AA524" s="150" t="s">
        <v>5</v>
      </c>
      <c r="AB524" s="150" t="s">
        <v>6</v>
      </c>
      <c r="AC524" s="150" t="s">
        <v>7</v>
      </c>
      <c r="AD524" s="150" t="s">
        <v>8</v>
      </c>
      <c r="AE524" s="150" t="s">
        <v>9</v>
      </c>
      <c r="AF524" s="150" t="s">
        <v>10</v>
      </c>
      <c r="AG524" s="150" t="s">
        <v>340</v>
      </c>
      <c r="AH524" s="150" t="s">
        <v>439</v>
      </c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  <c r="AKZ524"/>
      <c r="ALA524"/>
      <c r="ALB524"/>
      <c r="ALC524"/>
      <c r="ALD524"/>
      <c r="ALE524"/>
      <c r="ALF524"/>
      <c r="ALG524"/>
      <c r="ALH524"/>
      <c r="ALI524"/>
      <c r="ALJ524"/>
      <c r="ALK524"/>
      <c r="ALL524"/>
      <c r="ALM524"/>
      <c r="ALN524"/>
      <c r="ALO524"/>
      <c r="ALP524"/>
      <c r="ALQ524"/>
      <c r="ALR524"/>
      <c r="ALS524"/>
      <c r="ALT524"/>
      <c r="ALU524"/>
      <c r="ALV524"/>
      <c r="ALW524"/>
      <c r="ALX524"/>
      <c r="ALY524"/>
      <c r="ALZ524"/>
      <c r="AMA524"/>
      <c r="AMB524"/>
      <c r="AMC524"/>
      <c r="AMD524"/>
    </row>
    <row r="525" spans="1:1018">
      <c r="A525" s="529" t="s">
        <v>1422</v>
      </c>
      <c r="B525" s="178"/>
      <c r="C525" s="178" t="s">
        <v>1423</v>
      </c>
      <c r="D525" s="178" t="s">
        <v>1424</v>
      </c>
      <c r="E525" s="178">
        <v>1</v>
      </c>
      <c r="F525" s="277" t="s">
        <v>1425</v>
      </c>
      <c r="G525" s="178"/>
      <c r="H525" s="160">
        <v>11</v>
      </c>
      <c r="I525" s="160"/>
      <c r="J525" s="161"/>
      <c r="K525" s="162">
        <v>3995</v>
      </c>
      <c r="L525" s="162">
        <v>270</v>
      </c>
      <c r="M525" s="163">
        <v>600</v>
      </c>
      <c r="N525" s="415">
        <f>+J525+K525+L525+M525</f>
        <v>4865</v>
      </c>
      <c r="O525" s="364">
        <v>13698</v>
      </c>
      <c r="P525" s="164">
        <v>2700</v>
      </c>
      <c r="Q525" s="164">
        <v>300</v>
      </c>
      <c r="R525" s="165">
        <v>3071</v>
      </c>
      <c r="S525" s="166">
        <v>4080</v>
      </c>
      <c r="T525" s="166"/>
      <c r="U525" s="167"/>
      <c r="V525" s="167"/>
      <c r="W525" s="157">
        <v>0</v>
      </c>
      <c r="X525" s="157">
        <f>270+3995</f>
        <v>4265</v>
      </c>
      <c r="Y525" s="157">
        <f>270+3995+600</f>
        <v>4865</v>
      </c>
      <c r="Z525" s="157">
        <f>270+600+3400+595</f>
        <v>4865</v>
      </c>
      <c r="AA525" s="157"/>
      <c r="AB525" s="157"/>
      <c r="AC525" s="157"/>
      <c r="AD525" s="157"/>
      <c r="AE525" s="157"/>
      <c r="AF525" s="157"/>
      <c r="AG525" s="416"/>
      <c r="AH525" s="157">
        <v>0</v>
      </c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</row>
    <row r="526" spans="1:1018" ht="30">
      <c r="A526" s="529" t="s">
        <v>1426</v>
      </c>
      <c r="B526" s="178"/>
      <c r="C526" s="178" t="s">
        <v>378</v>
      </c>
      <c r="D526" s="178"/>
      <c r="E526" s="286">
        <f>1+E525</f>
        <v>2</v>
      </c>
      <c r="F526" s="277"/>
      <c r="G526" s="178">
        <v>0.2</v>
      </c>
      <c r="H526" s="160">
        <v>10</v>
      </c>
      <c r="I526" s="160"/>
      <c r="J526" s="160"/>
      <c r="K526" s="162">
        <v>3515.6</v>
      </c>
      <c r="L526" s="178">
        <v>375</v>
      </c>
      <c r="M526" s="185"/>
      <c r="N526" s="415">
        <f t="shared" ref="N526:N536" si="54">+J526+K526+L526+M526</f>
        <v>3890.6</v>
      </c>
      <c r="O526" s="364">
        <v>13814</v>
      </c>
      <c r="P526" s="164">
        <v>0</v>
      </c>
      <c r="Q526" s="164">
        <v>300</v>
      </c>
      <c r="R526" s="146">
        <v>3529</v>
      </c>
      <c r="S526" s="147">
        <v>4080</v>
      </c>
      <c r="T526" s="147" t="s">
        <v>1427</v>
      </c>
      <c r="U526" s="148"/>
      <c r="V526" s="148"/>
      <c r="W526" s="157">
        <v>0</v>
      </c>
      <c r="X526" s="157">
        <v>3890.6</v>
      </c>
      <c r="Y526" s="183">
        <v>3890.6</v>
      </c>
      <c r="Z526" s="157">
        <v>375</v>
      </c>
      <c r="AA526" s="157"/>
      <c r="AB526" s="157"/>
      <c r="AC526" s="157"/>
      <c r="AD526" s="157"/>
      <c r="AE526" s="157"/>
      <c r="AF526" s="157"/>
      <c r="AG526" s="157"/>
      <c r="AH526" s="157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  <c r="ZY526"/>
      <c r="ZZ526"/>
      <c r="AAA526"/>
      <c r="AAB526"/>
      <c r="AAC526"/>
      <c r="AAD526"/>
      <c r="AAE526"/>
      <c r="AAF526"/>
      <c r="AAG526"/>
      <c r="AAH526"/>
      <c r="AAI526"/>
      <c r="AAJ526"/>
      <c r="AAK526"/>
      <c r="AAL526"/>
      <c r="AAM526"/>
      <c r="AAN526"/>
      <c r="AAO526"/>
      <c r="AAP526"/>
      <c r="AAQ526"/>
      <c r="AAR526"/>
      <c r="AAS526"/>
      <c r="AAT526"/>
      <c r="AAU526"/>
      <c r="AAV526"/>
      <c r="AAW526"/>
      <c r="AAX526"/>
      <c r="AAY526"/>
      <c r="AAZ526"/>
      <c r="ABA526"/>
      <c r="ABB526"/>
      <c r="ABC526"/>
      <c r="ABD526"/>
      <c r="ABE526"/>
      <c r="ABF526"/>
      <c r="ABG526"/>
      <c r="ABH526"/>
      <c r="ABI526"/>
      <c r="ABJ526"/>
      <c r="ABK526"/>
      <c r="ABL526"/>
      <c r="ABM526"/>
      <c r="ABN526"/>
      <c r="ABO526"/>
      <c r="ABP526"/>
      <c r="ABQ526"/>
      <c r="ABR526"/>
      <c r="ABS526"/>
      <c r="ABT526"/>
      <c r="ABU526"/>
      <c r="ABV526"/>
      <c r="ABW526"/>
      <c r="ABX526"/>
      <c r="ABY526"/>
      <c r="ABZ526"/>
      <c r="ACA526"/>
      <c r="ACB526"/>
      <c r="ACC526"/>
      <c r="ACD526"/>
      <c r="ACE526"/>
      <c r="ACF526"/>
      <c r="ACG526"/>
      <c r="ACH526"/>
      <c r="ACI526"/>
      <c r="ACJ526"/>
      <c r="ACK526"/>
      <c r="ACL526"/>
      <c r="ACM526"/>
      <c r="ACN526"/>
      <c r="ACO526"/>
      <c r="ACP526"/>
      <c r="ACQ526"/>
      <c r="ACR526"/>
      <c r="ACS526"/>
      <c r="ACT526"/>
      <c r="ACU526"/>
      <c r="ACV526"/>
      <c r="ACW526"/>
      <c r="ACX526"/>
      <c r="ACY526"/>
      <c r="ACZ526"/>
      <c r="ADA526"/>
      <c r="ADB526"/>
      <c r="ADC526"/>
      <c r="ADD526"/>
      <c r="ADE526"/>
      <c r="ADF526"/>
      <c r="ADG526"/>
      <c r="ADH526"/>
      <c r="ADI526"/>
      <c r="ADJ526"/>
      <c r="ADK526"/>
      <c r="ADL526"/>
      <c r="ADM526"/>
      <c r="ADN526"/>
      <c r="ADO526"/>
      <c r="ADP526"/>
      <c r="ADQ526"/>
      <c r="ADR526"/>
      <c r="ADS526"/>
      <c r="ADT526"/>
      <c r="ADU526"/>
      <c r="ADV526"/>
      <c r="ADW526"/>
      <c r="ADX526"/>
      <c r="ADY526"/>
      <c r="ADZ526"/>
      <c r="AEA526"/>
      <c r="AEB526"/>
      <c r="AEC526"/>
      <c r="AED526"/>
      <c r="AEE526"/>
      <c r="AEF526"/>
      <c r="AEG526"/>
      <c r="AEH526"/>
      <c r="AEI526"/>
      <c r="AEJ526"/>
      <c r="AEK526"/>
      <c r="AEL526"/>
      <c r="AEM526"/>
      <c r="AEN526"/>
      <c r="AEO526"/>
      <c r="AEP526"/>
      <c r="AEQ526"/>
      <c r="AER526"/>
      <c r="AES526"/>
      <c r="AET526"/>
      <c r="AEU526"/>
      <c r="AEV526"/>
      <c r="AEW526"/>
      <c r="AEX526"/>
      <c r="AEY526"/>
      <c r="AEZ526"/>
      <c r="AFA526"/>
      <c r="AFB526"/>
      <c r="AFC526"/>
      <c r="AFD526"/>
      <c r="AFE526"/>
      <c r="AFF526"/>
      <c r="AFG526"/>
      <c r="AFH526"/>
      <c r="AFI526"/>
      <c r="AFJ526"/>
      <c r="AFK526"/>
      <c r="AFL526"/>
      <c r="AFM526"/>
      <c r="AFN526"/>
      <c r="AFO526"/>
      <c r="AFP526"/>
      <c r="AFQ526"/>
      <c r="AFR526"/>
      <c r="AFS526"/>
      <c r="AFT526"/>
      <c r="AFU526"/>
      <c r="AFV526"/>
      <c r="AFW526"/>
      <c r="AFX526"/>
      <c r="AFY526"/>
      <c r="AFZ526"/>
      <c r="AGA526"/>
      <c r="AGB526"/>
      <c r="AGC526"/>
      <c r="AGD526"/>
      <c r="AGE526"/>
      <c r="AGF526"/>
      <c r="AGG526"/>
      <c r="AGH526"/>
      <c r="AGI526"/>
      <c r="AGJ526"/>
      <c r="AGK526"/>
      <c r="AGL526"/>
      <c r="AGM526"/>
      <c r="AGN526"/>
      <c r="AGO526"/>
      <c r="AGP526"/>
      <c r="AGQ526"/>
      <c r="AGR526"/>
      <c r="AGS526"/>
      <c r="AGT526"/>
      <c r="AGU526"/>
      <c r="AGV526"/>
      <c r="AGW526"/>
      <c r="AGX526"/>
      <c r="AGY526"/>
      <c r="AGZ526"/>
      <c r="AHA526"/>
      <c r="AHB526"/>
      <c r="AHC526"/>
      <c r="AHD526"/>
      <c r="AHE526"/>
      <c r="AHF526"/>
      <c r="AHG526"/>
      <c r="AHH526"/>
      <c r="AHI526"/>
      <c r="AHJ526"/>
      <c r="AHK526"/>
      <c r="AHL526"/>
      <c r="AHM526"/>
      <c r="AHN526"/>
      <c r="AHO526"/>
      <c r="AHP526"/>
      <c r="AHQ526"/>
      <c r="AHR526"/>
      <c r="AHS526"/>
      <c r="AHT526"/>
      <c r="AHU526"/>
      <c r="AHV526"/>
      <c r="AHW526"/>
      <c r="AHX526"/>
      <c r="AHY526"/>
      <c r="AHZ526"/>
      <c r="AIA526"/>
      <c r="AIB526"/>
      <c r="AIC526"/>
      <c r="AID526"/>
      <c r="AIE526"/>
      <c r="AIF526"/>
      <c r="AIG526"/>
      <c r="AIH526"/>
      <c r="AII526"/>
      <c r="AIJ526"/>
      <c r="AIK526"/>
      <c r="AIL526"/>
      <c r="AIM526"/>
      <c r="AIN526"/>
      <c r="AIO526"/>
      <c r="AIP526"/>
      <c r="AIQ526"/>
      <c r="AIR526"/>
      <c r="AIS526"/>
      <c r="AIT526"/>
      <c r="AIU526"/>
      <c r="AIV526"/>
      <c r="AIW526"/>
      <c r="AIX526"/>
      <c r="AIY526"/>
      <c r="AIZ526"/>
      <c r="AJA526"/>
      <c r="AJB526"/>
      <c r="AJC526"/>
      <c r="AJD526"/>
      <c r="AJE526"/>
      <c r="AJF526"/>
      <c r="AJG526"/>
      <c r="AJH526"/>
      <c r="AJI526"/>
      <c r="AJJ526"/>
      <c r="AJK526"/>
      <c r="AJL526"/>
      <c r="AJM526"/>
      <c r="AJN526"/>
      <c r="AJO526"/>
      <c r="AJP526"/>
      <c r="AJQ526"/>
      <c r="AJR526"/>
      <c r="AJS526"/>
      <c r="AJT526"/>
      <c r="AJU526"/>
      <c r="AJV526"/>
      <c r="AJW526"/>
      <c r="AJX526"/>
      <c r="AJY526"/>
      <c r="AJZ526"/>
      <c r="AKA526"/>
      <c r="AKB526"/>
      <c r="AKC526"/>
      <c r="AKD526"/>
      <c r="AKE526"/>
      <c r="AKF526"/>
      <c r="AKG526"/>
      <c r="AKH526"/>
      <c r="AKI526"/>
      <c r="AKJ526"/>
      <c r="AKK526"/>
      <c r="AKL526"/>
      <c r="AKM526"/>
      <c r="AKN526"/>
      <c r="AKO526"/>
      <c r="AKP526"/>
      <c r="AKQ526"/>
      <c r="AKR526"/>
      <c r="AKS526"/>
      <c r="AKT526"/>
      <c r="AKU526"/>
      <c r="AKV526"/>
      <c r="AKW526"/>
      <c r="AKX526"/>
      <c r="AKY526"/>
      <c r="AKZ526"/>
      <c r="ALA526"/>
      <c r="ALB526"/>
      <c r="ALC526"/>
      <c r="ALD526"/>
      <c r="ALE526"/>
      <c r="ALF526"/>
      <c r="ALG526"/>
      <c r="ALH526"/>
      <c r="ALI526"/>
      <c r="ALJ526"/>
      <c r="ALK526"/>
      <c r="ALL526"/>
      <c r="ALM526"/>
      <c r="ALN526"/>
      <c r="ALO526"/>
      <c r="ALP526"/>
      <c r="ALQ526"/>
      <c r="ALR526"/>
      <c r="ALS526"/>
      <c r="ALT526"/>
      <c r="ALU526"/>
      <c r="ALV526"/>
      <c r="ALW526"/>
      <c r="ALX526"/>
      <c r="ALY526"/>
      <c r="ALZ526"/>
      <c r="AMA526"/>
      <c r="AMB526"/>
      <c r="AMC526"/>
      <c r="AMD526"/>
    </row>
    <row r="527" spans="1:1018">
      <c r="A527" s="293" t="s">
        <v>325</v>
      </c>
      <c r="B527" s="178"/>
      <c r="C527" s="293"/>
      <c r="D527" s="293"/>
      <c r="E527" s="286">
        <f t="shared" ref="E527:E536" si="55">1+E526</f>
        <v>3</v>
      </c>
      <c r="F527" s="280" t="s">
        <v>1428</v>
      </c>
      <c r="G527" s="281">
        <v>0.15</v>
      </c>
      <c r="H527" s="282">
        <v>10</v>
      </c>
      <c r="I527" s="160"/>
      <c r="J527" s="160"/>
      <c r="K527" s="162">
        <v>3735.33</v>
      </c>
      <c r="L527" s="178"/>
      <c r="M527" s="185"/>
      <c r="N527" s="415">
        <f t="shared" si="54"/>
        <v>3735.33</v>
      </c>
      <c r="O527" s="364">
        <v>13274</v>
      </c>
      <c r="P527" s="164">
        <v>1800</v>
      </c>
      <c r="Q527" s="164">
        <v>300</v>
      </c>
      <c r="R527" s="165">
        <v>2630</v>
      </c>
      <c r="S527" s="166">
        <v>4080</v>
      </c>
      <c r="T527" s="166"/>
      <c r="U527" s="167">
        <v>370</v>
      </c>
      <c r="V527" s="167">
        <v>370</v>
      </c>
      <c r="W527" s="157">
        <v>0</v>
      </c>
      <c r="X527" s="157">
        <v>3725.33</v>
      </c>
      <c r="Y527" s="183">
        <v>3725.33</v>
      </c>
      <c r="Z527" s="157"/>
      <c r="AA527" s="157"/>
      <c r="AB527" s="157"/>
      <c r="AC527" s="157"/>
      <c r="AD527" s="157"/>
      <c r="AE527" s="157"/>
      <c r="AF527" s="157"/>
      <c r="AG527" s="157"/>
      <c r="AH527" s="157">
        <v>0</v>
      </c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/>
      <c r="AIP527"/>
      <c r="AIQ527"/>
      <c r="AIR527"/>
      <c r="AIS527"/>
      <c r="AIT527"/>
      <c r="AIU527"/>
      <c r="AIV527"/>
      <c r="AIW527"/>
      <c r="AIX527"/>
      <c r="AIY527"/>
      <c r="AIZ527"/>
      <c r="AJA527"/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/>
      <c r="AJZ527"/>
      <c r="AKA527"/>
      <c r="AKB527"/>
      <c r="AKC527"/>
      <c r="AKD527"/>
      <c r="AKE527"/>
      <c r="AKF527"/>
      <c r="AKG527"/>
      <c r="AKH527"/>
      <c r="AKI527"/>
      <c r="AKJ527"/>
      <c r="AKK527"/>
      <c r="AKL527"/>
      <c r="AKM527"/>
      <c r="AKN527"/>
      <c r="AKO527"/>
      <c r="AKP527"/>
      <c r="AKQ527"/>
      <c r="AKR527"/>
      <c r="AKS527"/>
      <c r="AKT527"/>
      <c r="AKU527"/>
      <c r="AKV527"/>
      <c r="AKW527"/>
      <c r="AKX527"/>
      <c r="AKY527"/>
      <c r="AKZ527"/>
      <c r="ALA527"/>
      <c r="ALB527"/>
      <c r="ALC527"/>
      <c r="ALD527"/>
      <c r="ALE527"/>
      <c r="ALF527"/>
      <c r="ALG527"/>
      <c r="ALH527"/>
      <c r="ALI527"/>
      <c r="ALJ527"/>
      <c r="ALK527"/>
      <c r="ALL527"/>
      <c r="ALM527"/>
      <c r="ALN527"/>
      <c r="ALO527"/>
      <c r="ALP527"/>
      <c r="ALQ527"/>
      <c r="ALR527"/>
      <c r="ALS527"/>
      <c r="ALT527"/>
      <c r="ALU527"/>
      <c r="ALV527"/>
      <c r="ALW527"/>
      <c r="ALX527"/>
      <c r="ALY527"/>
      <c r="ALZ527"/>
      <c r="AMA527"/>
      <c r="AMB527"/>
      <c r="AMC527"/>
      <c r="AMD527"/>
    </row>
    <row r="528" spans="1:1018">
      <c r="A528" s="545" t="s">
        <v>1429</v>
      </c>
      <c r="B528" s="178"/>
      <c r="C528" s="293" t="s">
        <v>359</v>
      </c>
      <c r="D528" s="293"/>
      <c r="E528" s="286">
        <f t="shared" si="55"/>
        <v>4</v>
      </c>
      <c r="F528" s="280" t="s">
        <v>1430</v>
      </c>
      <c r="G528" s="281"/>
      <c r="H528" s="282">
        <v>10</v>
      </c>
      <c r="I528" s="282"/>
      <c r="J528" s="282"/>
      <c r="K528" s="295">
        <v>4394.5</v>
      </c>
      <c r="L528" s="295">
        <v>1800</v>
      </c>
      <c r="M528" s="295"/>
      <c r="N528" s="415">
        <f t="shared" si="54"/>
        <v>6194.5</v>
      </c>
      <c r="O528" s="303">
        <v>13663</v>
      </c>
      <c r="P528" s="304">
        <v>2700</v>
      </c>
      <c r="Q528" s="304">
        <v>300</v>
      </c>
      <c r="R528" s="305">
        <v>3464</v>
      </c>
      <c r="S528" s="306">
        <v>4080</v>
      </c>
      <c r="T528" s="306" t="s">
        <v>1431</v>
      </c>
      <c r="U528" s="9"/>
      <c r="V528" s="9"/>
      <c r="W528" s="291">
        <v>0</v>
      </c>
      <c r="X528" s="291">
        <v>6194.5</v>
      </c>
      <c r="Y528" s="291">
        <v>6194.5</v>
      </c>
      <c r="Z528" s="291"/>
      <c r="AA528" s="291"/>
      <c r="AB528" s="291"/>
      <c r="AC528" s="291"/>
      <c r="AD528" s="291"/>
      <c r="AE528" s="290"/>
      <c r="AF528" s="291"/>
      <c r="AG528" s="291"/>
      <c r="AH528" s="291">
        <v>0</v>
      </c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  <c r="ZW528"/>
      <c r="ZX528"/>
      <c r="ZY528"/>
      <c r="ZZ528"/>
      <c r="AAA528"/>
      <c r="AAB528"/>
      <c r="AAC528"/>
      <c r="AAD528"/>
      <c r="AAE528"/>
      <c r="AAF528"/>
      <c r="AAG528"/>
      <c r="AAH528"/>
      <c r="AAI528"/>
      <c r="AAJ528"/>
      <c r="AAK528"/>
      <c r="AAL528"/>
      <c r="AAM528"/>
      <c r="AAN528"/>
      <c r="AAO528"/>
      <c r="AAP528"/>
      <c r="AAQ528"/>
      <c r="AAR528"/>
      <c r="AAS528"/>
      <c r="AAT528"/>
      <c r="AAU528"/>
      <c r="AAV528"/>
      <c r="AAW528"/>
      <c r="AAX528"/>
      <c r="AAY528"/>
      <c r="AAZ528"/>
      <c r="ABA528"/>
      <c r="ABB528"/>
      <c r="ABC528"/>
      <c r="ABD528"/>
      <c r="ABE528"/>
      <c r="ABF528"/>
      <c r="ABG528"/>
      <c r="ABH528"/>
      <c r="ABI528"/>
      <c r="ABJ528"/>
      <c r="ABK528"/>
      <c r="ABL528"/>
      <c r="ABM528"/>
      <c r="ABN528"/>
      <c r="ABO528"/>
      <c r="ABP528"/>
      <c r="ABQ528"/>
      <c r="ABR528"/>
      <c r="ABS528"/>
      <c r="ABT528"/>
      <c r="ABU528"/>
      <c r="ABV528"/>
      <c r="ABW528"/>
      <c r="ABX528"/>
      <c r="ABY528"/>
      <c r="ABZ528"/>
      <c r="ACA528"/>
      <c r="ACB528"/>
      <c r="ACC528"/>
      <c r="ACD528"/>
      <c r="ACE528"/>
      <c r="ACF528"/>
      <c r="ACG528"/>
      <c r="ACH528"/>
      <c r="ACI528"/>
      <c r="ACJ528"/>
      <c r="ACK528"/>
      <c r="ACL528"/>
      <c r="ACM528"/>
      <c r="ACN528"/>
      <c r="ACO528"/>
      <c r="ACP528"/>
      <c r="ACQ528"/>
      <c r="ACR528"/>
      <c r="ACS528"/>
      <c r="ACT528"/>
      <c r="ACU528"/>
      <c r="ACV528"/>
      <c r="ACW528"/>
      <c r="ACX528"/>
      <c r="ACY528"/>
      <c r="ACZ528"/>
      <c r="ADA528"/>
      <c r="ADB528"/>
      <c r="ADC528"/>
      <c r="ADD528"/>
      <c r="ADE528"/>
      <c r="ADF528"/>
      <c r="ADG528"/>
      <c r="ADH528"/>
      <c r="ADI528"/>
      <c r="ADJ528"/>
      <c r="ADK528"/>
      <c r="ADL528"/>
      <c r="ADM528"/>
      <c r="ADN528"/>
      <c r="ADO528"/>
      <c r="ADP528"/>
      <c r="ADQ528"/>
      <c r="ADR528"/>
      <c r="ADS528"/>
      <c r="ADT528"/>
      <c r="ADU528"/>
      <c r="ADV528"/>
      <c r="ADW528"/>
      <c r="ADX528"/>
      <c r="ADY528"/>
      <c r="ADZ528"/>
      <c r="AEA528"/>
      <c r="AEB528"/>
      <c r="AEC528"/>
      <c r="AED528"/>
      <c r="AEE528"/>
      <c r="AEF528"/>
      <c r="AEG528"/>
      <c r="AEH528"/>
      <c r="AEI528"/>
      <c r="AEJ528"/>
      <c r="AEK528"/>
      <c r="AEL528"/>
      <c r="AEM528"/>
      <c r="AEN528"/>
      <c r="AEO528"/>
      <c r="AEP528"/>
      <c r="AEQ528"/>
      <c r="AER528"/>
      <c r="AES528"/>
      <c r="AET528"/>
      <c r="AEU528"/>
      <c r="AEV528"/>
      <c r="AEW528"/>
      <c r="AEX528"/>
      <c r="AEY528"/>
      <c r="AEZ528"/>
      <c r="AFA528"/>
      <c r="AFB528"/>
      <c r="AFC528"/>
      <c r="AFD528"/>
      <c r="AFE528"/>
      <c r="AFF528"/>
      <c r="AFG528"/>
      <c r="AFH528"/>
      <c r="AFI528"/>
      <c r="AFJ528"/>
      <c r="AFK528"/>
      <c r="AFL528"/>
      <c r="AFM528"/>
      <c r="AFN528"/>
      <c r="AFO528"/>
      <c r="AFP528"/>
      <c r="AFQ528"/>
      <c r="AFR528"/>
      <c r="AFS528"/>
      <c r="AFT528"/>
      <c r="AFU528"/>
      <c r="AFV528"/>
      <c r="AFW528"/>
      <c r="AFX528"/>
      <c r="AFY528"/>
      <c r="AFZ528"/>
      <c r="AGA528"/>
      <c r="AGB528"/>
      <c r="AGC528"/>
      <c r="AGD528"/>
      <c r="AGE528"/>
      <c r="AGF528"/>
      <c r="AGG528"/>
      <c r="AGH528"/>
      <c r="AGI528"/>
      <c r="AGJ528"/>
      <c r="AGK528"/>
      <c r="AGL528"/>
      <c r="AGM528"/>
      <c r="AGN528"/>
      <c r="AGO528"/>
      <c r="AGP528"/>
      <c r="AGQ528"/>
      <c r="AGR528"/>
      <c r="AGS528"/>
      <c r="AGT528"/>
      <c r="AGU528"/>
      <c r="AGV528"/>
      <c r="AGW528"/>
      <c r="AGX528"/>
      <c r="AGY528"/>
      <c r="AGZ528"/>
      <c r="AHA528"/>
      <c r="AHB528"/>
      <c r="AHC528"/>
      <c r="AHD528"/>
      <c r="AHE528"/>
      <c r="AHF528"/>
      <c r="AHG528"/>
      <c r="AHH528"/>
      <c r="AHI528"/>
      <c r="AHJ528"/>
      <c r="AHK528"/>
      <c r="AHL528"/>
      <c r="AHM528"/>
      <c r="AHN528"/>
      <c r="AHO528"/>
      <c r="AHP528"/>
      <c r="AHQ528"/>
      <c r="AHR528"/>
      <c r="AHS528"/>
      <c r="AHT528"/>
      <c r="AHU528"/>
      <c r="AHV528"/>
      <c r="AHW528"/>
      <c r="AHX528"/>
      <c r="AHY528"/>
      <c r="AHZ528"/>
      <c r="AIA528"/>
      <c r="AIB528"/>
      <c r="AIC528"/>
      <c r="AID528"/>
      <c r="AIE528"/>
      <c r="AIF528"/>
      <c r="AIG528"/>
      <c r="AIH528"/>
      <c r="AII528"/>
      <c r="AIJ528"/>
      <c r="AIK528"/>
      <c r="AIL528"/>
      <c r="AIM528"/>
      <c r="AIN528"/>
      <c r="AIO528"/>
      <c r="AIP528"/>
      <c r="AIQ528"/>
      <c r="AIR528"/>
      <c r="AIS528"/>
      <c r="AIT528"/>
      <c r="AIU528"/>
      <c r="AIV528"/>
      <c r="AIW528"/>
      <c r="AIX528"/>
      <c r="AIY528"/>
      <c r="AIZ528"/>
      <c r="AJA528"/>
      <c r="AJB528"/>
      <c r="AJC528"/>
      <c r="AJD528"/>
      <c r="AJE528"/>
      <c r="AJF528"/>
      <c r="AJG528"/>
      <c r="AJH528"/>
      <c r="AJI528"/>
      <c r="AJJ528"/>
      <c r="AJK528"/>
      <c r="AJL528"/>
      <c r="AJM528"/>
      <c r="AJN528"/>
      <c r="AJO528"/>
      <c r="AJP528"/>
      <c r="AJQ528"/>
      <c r="AJR528"/>
      <c r="AJS528"/>
      <c r="AJT528"/>
      <c r="AJU528"/>
      <c r="AJV528"/>
      <c r="AJW528"/>
      <c r="AJX528"/>
      <c r="AJY528"/>
      <c r="AJZ528"/>
      <c r="AKA528"/>
      <c r="AKB528"/>
      <c r="AKC528"/>
      <c r="AKD528"/>
      <c r="AKE528"/>
      <c r="AKF528"/>
      <c r="AKG528"/>
      <c r="AKH528"/>
      <c r="AKI528"/>
      <c r="AKJ528"/>
      <c r="AKK528"/>
      <c r="AKL528"/>
      <c r="AKM528"/>
      <c r="AKN528"/>
      <c r="AKO528"/>
      <c r="AKP528"/>
      <c r="AKQ528"/>
      <c r="AKR528"/>
      <c r="AKS528"/>
      <c r="AKT528"/>
      <c r="AKU528"/>
      <c r="AKV528"/>
      <c r="AKW528"/>
      <c r="AKX528"/>
      <c r="AKY528"/>
      <c r="AKZ528"/>
      <c r="ALA528"/>
      <c r="ALB528"/>
      <c r="ALC528"/>
      <c r="ALD528"/>
      <c r="ALE528"/>
      <c r="ALF528"/>
      <c r="ALG528"/>
      <c r="ALH528"/>
      <c r="ALI528"/>
      <c r="ALJ528"/>
      <c r="ALK528"/>
      <c r="ALL528"/>
      <c r="ALM528"/>
      <c r="ALN528"/>
      <c r="ALO528"/>
      <c r="ALP528"/>
      <c r="ALQ528"/>
      <c r="ALR528"/>
      <c r="ALS528"/>
      <c r="ALT528"/>
      <c r="ALU528"/>
      <c r="ALV528"/>
      <c r="ALW528"/>
      <c r="ALX528"/>
      <c r="ALY528"/>
      <c r="ALZ528"/>
      <c r="AMA528"/>
      <c r="AMB528"/>
      <c r="AMC528"/>
      <c r="AMD528"/>
    </row>
    <row r="529" spans="1:1018">
      <c r="A529" s="545" t="s">
        <v>1432</v>
      </c>
      <c r="B529" s="178"/>
      <c r="C529" s="293" t="s">
        <v>355</v>
      </c>
      <c r="D529" s="293"/>
      <c r="E529" s="286">
        <f t="shared" si="55"/>
        <v>5</v>
      </c>
      <c r="F529" s="280" t="s">
        <v>1433</v>
      </c>
      <c r="G529" s="281">
        <v>0.15</v>
      </c>
      <c r="H529" s="282">
        <v>10</v>
      </c>
      <c r="I529" s="282"/>
      <c r="J529" s="282"/>
      <c r="K529" s="175">
        <v>3955.05</v>
      </c>
      <c r="L529" s="175">
        <v>1475</v>
      </c>
      <c r="M529" s="175"/>
      <c r="N529" s="415">
        <f t="shared" si="54"/>
        <v>5430.05</v>
      </c>
      <c r="O529" s="303">
        <v>13500</v>
      </c>
      <c r="P529" s="304">
        <v>1800</v>
      </c>
      <c r="Q529" s="304">
        <v>300</v>
      </c>
      <c r="R529" s="305">
        <v>3087</v>
      </c>
      <c r="S529" s="306">
        <v>4080</v>
      </c>
      <c r="T529" s="306"/>
      <c r="U529" s="9">
        <v>370</v>
      </c>
      <c r="V529" s="9"/>
      <c r="W529" s="291">
        <v>0</v>
      </c>
      <c r="X529" s="291">
        <v>5430.05</v>
      </c>
      <c r="Y529" s="290">
        <v>5430.05</v>
      </c>
      <c r="Z529" s="290">
        <v>5431</v>
      </c>
      <c r="AA529" s="289"/>
      <c r="AB529" s="289"/>
      <c r="AC529" s="291"/>
      <c r="AD529" s="291"/>
      <c r="AE529" s="291"/>
      <c r="AF529" s="291"/>
      <c r="AG529" s="291"/>
      <c r="AH529" s="291">
        <v>0</v>
      </c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/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/>
      <c r="ABO529"/>
      <c r="ABP529"/>
      <c r="ABQ529"/>
      <c r="ABR529"/>
      <c r="ABS529"/>
      <c r="ABT529"/>
      <c r="ABU529"/>
      <c r="ABV529"/>
      <c r="ABW529"/>
      <c r="ABX529"/>
      <c r="ABY529"/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/>
      <c r="ACY529"/>
      <c r="ACZ529"/>
      <c r="ADA529"/>
      <c r="ADB529"/>
      <c r="ADC529"/>
      <c r="ADD529"/>
      <c r="ADE529"/>
      <c r="ADF529"/>
      <c r="ADG529"/>
      <c r="ADH529"/>
      <c r="ADI529"/>
      <c r="ADJ529"/>
      <c r="ADK529"/>
      <c r="ADL529"/>
      <c r="ADM529"/>
      <c r="ADN529"/>
      <c r="ADO529"/>
      <c r="ADP529"/>
      <c r="ADQ529"/>
      <c r="ADR529"/>
      <c r="ADS529"/>
      <c r="ADT529"/>
      <c r="ADU529"/>
      <c r="ADV529"/>
      <c r="ADW529"/>
      <c r="ADX529"/>
      <c r="ADY529"/>
      <c r="ADZ529"/>
      <c r="AEA529"/>
      <c r="AEB529"/>
      <c r="AEC529"/>
      <c r="AED529"/>
      <c r="AEE529"/>
      <c r="AEF529"/>
      <c r="AEG529"/>
      <c r="AEH529"/>
      <c r="AEI529"/>
      <c r="AEJ529"/>
      <c r="AEK529"/>
      <c r="AEL529"/>
      <c r="AEM529"/>
      <c r="AEN529"/>
      <c r="AEO529"/>
      <c r="AEP529"/>
      <c r="AEQ529"/>
      <c r="AER529"/>
      <c r="AES529"/>
      <c r="AET529"/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/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/>
      <c r="AIM529"/>
      <c r="AIN529"/>
      <c r="AIO529"/>
      <c r="AIP529"/>
      <c r="AIQ529"/>
      <c r="AIR529"/>
      <c r="AIS529"/>
      <c r="AIT529"/>
      <c r="AIU529"/>
      <c r="AIV529"/>
      <c r="AIW529"/>
      <c r="AIX529"/>
      <c r="AIY529"/>
      <c r="AIZ529"/>
      <c r="AJA529"/>
      <c r="AJB529"/>
      <c r="AJC529"/>
      <c r="AJD529"/>
      <c r="AJE529"/>
      <c r="AJF529"/>
      <c r="AJG529"/>
      <c r="AJH529"/>
      <c r="AJI529"/>
      <c r="AJJ529"/>
      <c r="AJK529"/>
      <c r="AJL529"/>
      <c r="AJM529"/>
      <c r="AJN529"/>
      <c r="AJO529"/>
      <c r="AJP529"/>
      <c r="AJQ529"/>
      <c r="AJR529"/>
      <c r="AJS529"/>
      <c r="AJT529"/>
      <c r="AJU529"/>
      <c r="AJV529"/>
      <c r="AJW529"/>
      <c r="AJX529"/>
      <c r="AJY529"/>
      <c r="AJZ529"/>
      <c r="AKA529"/>
      <c r="AKB529"/>
      <c r="AKC529"/>
      <c r="AKD529"/>
      <c r="AKE529"/>
      <c r="AKF529"/>
      <c r="AKG529"/>
      <c r="AKH529"/>
      <c r="AKI529"/>
      <c r="AKJ529"/>
      <c r="AKK529"/>
      <c r="AKL529"/>
      <c r="AKM529"/>
      <c r="AKN529"/>
      <c r="AKO529"/>
      <c r="AKP529"/>
      <c r="AKQ529"/>
      <c r="AKR529"/>
      <c r="AKS529"/>
      <c r="AKT529"/>
      <c r="AKU529"/>
      <c r="AKV529"/>
      <c r="AKW529"/>
      <c r="AKX529"/>
      <c r="AKY529"/>
      <c r="AKZ529"/>
      <c r="ALA529"/>
      <c r="ALB529"/>
      <c r="ALC529"/>
      <c r="ALD529"/>
      <c r="ALE529"/>
      <c r="ALF529"/>
      <c r="ALG529"/>
      <c r="ALH529"/>
      <c r="ALI529"/>
      <c r="ALJ529"/>
      <c r="ALK529"/>
      <c r="ALL529"/>
      <c r="ALM529"/>
      <c r="ALN529"/>
      <c r="ALO529"/>
      <c r="ALP529"/>
      <c r="ALQ529"/>
      <c r="ALR529"/>
      <c r="ALS529"/>
      <c r="ALT529"/>
      <c r="ALU529"/>
      <c r="ALV529"/>
      <c r="ALW529"/>
      <c r="ALX529"/>
      <c r="ALY529"/>
      <c r="ALZ529"/>
      <c r="AMA529"/>
      <c r="AMB529"/>
      <c r="AMC529"/>
      <c r="AMD529"/>
    </row>
    <row r="530" spans="1:1018">
      <c r="A530" s="529" t="s">
        <v>1434</v>
      </c>
      <c r="B530" s="178"/>
      <c r="C530" s="178" t="s">
        <v>1435</v>
      </c>
      <c r="D530" s="178"/>
      <c r="E530" s="286">
        <f t="shared" si="55"/>
        <v>6</v>
      </c>
      <c r="F530" s="277" t="s">
        <v>1436</v>
      </c>
      <c r="G530" s="178"/>
      <c r="H530" s="160">
        <v>10</v>
      </c>
      <c r="I530" s="160"/>
      <c r="J530" s="161"/>
      <c r="K530" s="162">
        <v>4394.5</v>
      </c>
      <c r="L530" s="162">
        <v>1525</v>
      </c>
      <c r="M530" s="185"/>
      <c r="N530" s="415">
        <f t="shared" si="54"/>
        <v>5919.5</v>
      </c>
      <c r="O530" s="364">
        <v>13224</v>
      </c>
      <c r="P530" s="164">
        <v>1800</v>
      </c>
      <c r="Q530" s="164">
        <v>300</v>
      </c>
      <c r="R530" s="165">
        <v>2910</v>
      </c>
      <c r="S530" s="166">
        <v>4080</v>
      </c>
      <c r="T530" s="166"/>
      <c r="U530" s="167">
        <v>370</v>
      </c>
      <c r="V530" s="167">
        <v>370</v>
      </c>
      <c r="W530" s="157">
        <v>0</v>
      </c>
      <c r="X530" s="157">
        <v>5919.5</v>
      </c>
      <c r="Y530" s="157">
        <v>5919.5</v>
      </c>
      <c r="Z530" s="183">
        <v>5919.5</v>
      </c>
      <c r="AA530" s="157"/>
      <c r="AB530" s="183"/>
      <c r="AC530" s="157"/>
      <c r="AD530" s="183"/>
      <c r="AE530" s="183"/>
      <c r="AF530" s="183"/>
      <c r="AG530" s="157"/>
      <c r="AH530" s="157">
        <v>0</v>
      </c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/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/>
      <c r="AJN530"/>
      <c r="AJO530"/>
      <c r="AJP530"/>
      <c r="AJQ530"/>
      <c r="AJR530"/>
      <c r="AJS530"/>
      <c r="AJT530"/>
      <c r="AJU530"/>
      <c r="AJV530"/>
      <c r="AJW530"/>
      <c r="AJX530"/>
      <c r="AJY530"/>
      <c r="AJZ530"/>
      <c r="AKA530"/>
      <c r="AKB530"/>
      <c r="AKC530"/>
      <c r="AKD530"/>
      <c r="AKE530"/>
      <c r="AKF530"/>
      <c r="AKG530"/>
      <c r="AKH530"/>
      <c r="AKI530"/>
      <c r="AKJ530"/>
      <c r="AKK530"/>
      <c r="AKL530"/>
      <c r="AKM530"/>
      <c r="AKN530"/>
      <c r="AKO530"/>
      <c r="AKP530"/>
      <c r="AKQ530"/>
      <c r="AKR530"/>
      <c r="AKS530"/>
      <c r="AKT530"/>
      <c r="AKU530"/>
      <c r="AKV530"/>
      <c r="AKW530"/>
      <c r="AKX530"/>
      <c r="AKY530"/>
      <c r="AKZ530"/>
      <c r="ALA530"/>
      <c r="ALB530"/>
      <c r="ALC530"/>
      <c r="ALD530"/>
      <c r="ALE530"/>
      <c r="ALF530"/>
      <c r="ALG530"/>
      <c r="ALH530"/>
      <c r="ALI530"/>
      <c r="ALJ530"/>
      <c r="ALK530"/>
      <c r="ALL530"/>
      <c r="ALM530"/>
      <c r="ALN530"/>
      <c r="ALO530"/>
      <c r="ALP530"/>
      <c r="ALQ530"/>
      <c r="ALR530"/>
      <c r="ALS530"/>
      <c r="ALT530"/>
      <c r="ALU530"/>
      <c r="ALV530"/>
      <c r="ALW530"/>
      <c r="ALX530"/>
      <c r="ALY530"/>
      <c r="ALZ530"/>
      <c r="AMA530"/>
      <c r="AMB530"/>
      <c r="AMC530"/>
      <c r="AMD530"/>
    </row>
    <row r="531" spans="1:1018">
      <c r="A531" s="169" t="s">
        <v>324</v>
      </c>
      <c r="B531" s="178"/>
      <c r="C531" s="178"/>
      <c r="D531" s="178"/>
      <c r="E531" s="286">
        <f t="shared" si="55"/>
        <v>7</v>
      </c>
      <c r="F531" s="277" t="s">
        <v>1437</v>
      </c>
      <c r="G531" s="178">
        <v>0.25</v>
      </c>
      <c r="H531" s="160">
        <v>10</v>
      </c>
      <c r="I531" s="160"/>
      <c r="J531" s="160"/>
      <c r="K531" s="162">
        <v>3295.88</v>
      </c>
      <c r="L531" s="178"/>
      <c r="M531" s="185"/>
      <c r="N531" s="415">
        <f t="shared" si="54"/>
        <v>3295.88</v>
      </c>
      <c r="O531" s="364">
        <v>13387</v>
      </c>
      <c r="P531" s="164">
        <v>1800</v>
      </c>
      <c r="Q531" s="164">
        <v>300</v>
      </c>
      <c r="R531" s="165">
        <v>2779</v>
      </c>
      <c r="S531" s="166">
        <v>4080</v>
      </c>
      <c r="T531" s="166"/>
      <c r="U531" s="167">
        <v>370</v>
      </c>
      <c r="V531" s="167"/>
      <c r="W531" s="157">
        <v>0</v>
      </c>
      <c r="X531" s="157">
        <v>3295.88</v>
      </c>
      <c r="Y531" s="157">
        <v>3295.88</v>
      </c>
      <c r="Z531" s="157">
        <v>3295.88</v>
      </c>
      <c r="AA531" s="157"/>
      <c r="AB531" s="157"/>
      <c r="AC531" s="157"/>
      <c r="AD531" s="157"/>
      <c r="AE531" s="157"/>
      <c r="AF531" s="157"/>
      <c r="AG531" s="157"/>
      <c r="AH531" s="157">
        <v>0</v>
      </c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  <c r="ZW531"/>
      <c r="ZX531"/>
      <c r="ZY531"/>
      <c r="ZZ531"/>
      <c r="AAA531"/>
      <c r="AAB531"/>
      <c r="AAC531"/>
      <c r="AAD531"/>
      <c r="AAE531"/>
      <c r="AAF531"/>
      <c r="AAG531"/>
      <c r="AAH531"/>
      <c r="AAI531"/>
      <c r="AAJ531"/>
      <c r="AAK531"/>
      <c r="AAL531"/>
      <c r="AAM531"/>
      <c r="AAN531"/>
      <c r="AAO531"/>
      <c r="AAP531"/>
      <c r="AAQ531"/>
      <c r="AAR531"/>
      <c r="AAS531"/>
      <c r="AAT531"/>
      <c r="AAU531"/>
      <c r="AAV531"/>
      <c r="AAW531"/>
      <c r="AAX531"/>
      <c r="AAY531"/>
      <c r="AAZ531"/>
      <c r="ABA531"/>
      <c r="ABB531"/>
      <c r="ABC531"/>
      <c r="ABD531"/>
      <c r="ABE531"/>
      <c r="ABF531"/>
      <c r="ABG531"/>
      <c r="ABH531"/>
      <c r="ABI531"/>
      <c r="ABJ531"/>
      <c r="ABK531"/>
      <c r="ABL531"/>
      <c r="ABM531"/>
      <c r="ABN531"/>
      <c r="ABO531"/>
      <c r="ABP531"/>
      <c r="ABQ531"/>
      <c r="ABR531"/>
      <c r="ABS531"/>
      <c r="ABT531"/>
      <c r="ABU531"/>
      <c r="ABV531"/>
      <c r="ABW531"/>
      <c r="ABX531"/>
      <c r="ABY531"/>
      <c r="ABZ531"/>
      <c r="ACA531"/>
      <c r="ACB531"/>
      <c r="ACC531"/>
      <c r="ACD531"/>
      <c r="ACE531"/>
      <c r="ACF531"/>
      <c r="ACG531"/>
      <c r="ACH531"/>
      <c r="ACI531"/>
      <c r="ACJ531"/>
      <c r="ACK531"/>
      <c r="ACL531"/>
      <c r="ACM531"/>
      <c r="ACN531"/>
      <c r="ACO531"/>
      <c r="ACP531"/>
      <c r="ACQ531"/>
      <c r="ACR531"/>
      <c r="ACS531"/>
      <c r="ACT531"/>
      <c r="ACU531"/>
      <c r="ACV531"/>
      <c r="ACW531"/>
      <c r="ACX531"/>
      <c r="ACY531"/>
      <c r="ACZ531"/>
      <c r="ADA531"/>
      <c r="ADB531"/>
      <c r="ADC531"/>
      <c r="ADD531"/>
      <c r="ADE531"/>
      <c r="ADF531"/>
      <c r="ADG531"/>
      <c r="ADH531"/>
      <c r="ADI531"/>
      <c r="ADJ531"/>
      <c r="ADK531"/>
      <c r="ADL531"/>
      <c r="ADM531"/>
      <c r="ADN531"/>
      <c r="ADO531"/>
      <c r="ADP531"/>
      <c r="ADQ531"/>
      <c r="ADR531"/>
      <c r="ADS531"/>
      <c r="ADT531"/>
      <c r="ADU531"/>
      <c r="ADV531"/>
      <c r="ADW531"/>
      <c r="ADX531"/>
      <c r="ADY531"/>
      <c r="ADZ531"/>
      <c r="AEA531"/>
      <c r="AEB531"/>
      <c r="AEC531"/>
      <c r="AED531"/>
      <c r="AEE531"/>
      <c r="AEF531"/>
      <c r="AEG531"/>
      <c r="AEH531"/>
      <c r="AEI531"/>
      <c r="AEJ531"/>
      <c r="AEK531"/>
      <c r="AEL531"/>
      <c r="AEM531"/>
      <c r="AEN531"/>
      <c r="AEO531"/>
      <c r="AEP531"/>
      <c r="AEQ531"/>
      <c r="AER531"/>
      <c r="AES531"/>
      <c r="AET531"/>
      <c r="AEU531"/>
      <c r="AEV531"/>
      <c r="AEW531"/>
      <c r="AEX531"/>
      <c r="AEY531"/>
      <c r="AEZ531"/>
      <c r="AFA531"/>
      <c r="AFB531"/>
      <c r="AFC531"/>
      <c r="AFD531"/>
      <c r="AFE531"/>
      <c r="AFF531"/>
      <c r="AFG531"/>
      <c r="AFH531"/>
      <c r="AFI531"/>
      <c r="AFJ531"/>
      <c r="AFK531"/>
      <c r="AFL531"/>
      <c r="AFM531"/>
      <c r="AFN531"/>
      <c r="AFO531"/>
      <c r="AFP531"/>
      <c r="AFQ531"/>
      <c r="AFR531"/>
      <c r="AFS531"/>
      <c r="AFT531"/>
      <c r="AFU531"/>
      <c r="AFV531"/>
      <c r="AFW531"/>
      <c r="AFX531"/>
      <c r="AFY531"/>
      <c r="AFZ531"/>
      <c r="AGA531"/>
      <c r="AGB531"/>
      <c r="AGC531"/>
      <c r="AGD531"/>
      <c r="AGE531"/>
      <c r="AGF531"/>
      <c r="AGG531"/>
      <c r="AGH531"/>
      <c r="AGI531"/>
      <c r="AGJ531"/>
      <c r="AGK531"/>
      <c r="AGL531"/>
      <c r="AGM531"/>
      <c r="AGN531"/>
      <c r="AGO531"/>
      <c r="AGP531"/>
      <c r="AGQ531"/>
      <c r="AGR531"/>
      <c r="AGS531"/>
      <c r="AGT531"/>
      <c r="AGU531"/>
      <c r="AGV531"/>
      <c r="AGW531"/>
      <c r="AGX531"/>
      <c r="AGY531"/>
      <c r="AGZ531"/>
      <c r="AHA531"/>
      <c r="AHB531"/>
      <c r="AHC531"/>
      <c r="AHD531"/>
      <c r="AHE531"/>
      <c r="AHF531"/>
      <c r="AHG531"/>
      <c r="AHH531"/>
      <c r="AHI531"/>
      <c r="AHJ531"/>
      <c r="AHK531"/>
      <c r="AHL531"/>
      <c r="AHM531"/>
      <c r="AHN531"/>
      <c r="AHO531"/>
      <c r="AHP531"/>
      <c r="AHQ531"/>
      <c r="AHR531"/>
      <c r="AHS531"/>
      <c r="AHT531"/>
      <c r="AHU531"/>
      <c r="AHV531"/>
      <c r="AHW531"/>
      <c r="AHX531"/>
      <c r="AHY531"/>
      <c r="AHZ531"/>
      <c r="AIA531"/>
      <c r="AIB531"/>
      <c r="AIC531"/>
      <c r="AID531"/>
      <c r="AIE531"/>
      <c r="AIF531"/>
      <c r="AIG531"/>
      <c r="AIH531"/>
      <c r="AII531"/>
      <c r="AIJ531"/>
      <c r="AIK531"/>
      <c r="AIL531"/>
      <c r="AIM531"/>
      <c r="AIN531"/>
      <c r="AIO531"/>
      <c r="AIP531"/>
      <c r="AIQ531"/>
      <c r="AIR531"/>
      <c r="AIS531"/>
      <c r="AIT531"/>
      <c r="AIU531"/>
      <c r="AIV531"/>
      <c r="AIW531"/>
      <c r="AIX531"/>
      <c r="AIY531"/>
      <c r="AIZ531"/>
      <c r="AJA531"/>
      <c r="AJB531"/>
      <c r="AJC531"/>
      <c r="AJD531"/>
      <c r="AJE531"/>
      <c r="AJF531"/>
      <c r="AJG531"/>
      <c r="AJH531"/>
      <c r="AJI531"/>
      <c r="AJJ531"/>
      <c r="AJK531"/>
      <c r="AJL531"/>
      <c r="AJM531"/>
      <c r="AJN531"/>
      <c r="AJO531"/>
      <c r="AJP531"/>
      <c r="AJQ531"/>
      <c r="AJR531"/>
      <c r="AJS531"/>
      <c r="AJT531"/>
      <c r="AJU531"/>
      <c r="AJV531"/>
      <c r="AJW531"/>
      <c r="AJX531"/>
      <c r="AJY531"/>
      <c r="AJZ531"/>
      <c r="AKA531"/>
      <c r="AKB531"/>
      <c r="AKC531"/>
      <c r="AKD531"/>
      <c r="AKE531"/>
      <c r="AKF531"/>
      <c r="AKG531"/>
      <c r="AKH531"/>
      <c r="AKI531"/>
      <c r="AKJ531"/>
      <c r="AKK531"/>
      <c r="AKL531"/>
      <c r="AKM531"/>
      <c r="AKN531"/>
      <c r="AKO531"/>
      <c r="AKP531"/>
      <c r="AKQ531"/>
      <c r="AKR531"/>
      <c r="AKS531"/>
      <c r="AKT531"/>
      <c r="AKU531"/>
      <c r="AKV531"/>
      <c r="AKW531"/>
      <c r="AKX531"/>
      <c r="AKY531"/>
      <c r="AKZ531"/>
      <c r="ALA531"/>
      <c r="ALB531"/>
      <c r="ALC531"/>
      <c r="ALD531"/>
      <c r="ALE531"/>
      <c r="ALF531"/>
      <c r="ALG531"/>
      <c r="ALH531"/>
      <c r="ALI531"/>
      <c r="ALJ531"/>
      <c r="ALK531"/>
      <c r="ALL531"/>
      <c r="ALM531"/>
      <c r="ALN531"/>
      <c r="ALO531"/>
      <c r="ALP531"/>
      <c r="ALQ531"/>
      <c r="ALR531"/>
      <c r="ALS531"/>
      <c r="ALT531"/>
      <c r="ALU531"/>
      <c r="ALV531"/>
      <c r="ALW531"/>
      <c r="ALX531"/>
      <c r="ALY531"/>
      <c r="ALZ531"/>
      <c r="AMA531"/>
      <c r="AMB531"/>
      <c r="AMC531"/>
      <c r="AMD531"/>
    </row>
    <row r="532" spans="1:1018">
      <c r="A532" s="169" t="s">
        <v>1438</v>
      </c>
      <c r="B532" s="178"/>
      <c r="C532" s="178"/>
      <c r="D532" s="178"/>
      <c r="E532" s="286">
        <f t="shared" si="55"/>
        <v>8</v>
      </c>
      <c r="F532" s="277"/>
      <c r="G532" s="178"/>
      <c r="H532" s="160">
        <v>10</v>
      </c>
      <c r="I532" s="160"/>
      <c r="J532" s="160"/>
      <c r="K532" s="162">
        <v>4394.5</v>
      </c>
      <c r="L532" s="178"/>
      <c r="M532" s="185"/>
      <c r="N532" s="415">
        <f t="shared" si="54"/>
        <v>4394.5</v>
      </c>
      <c r="O532" s="364">
        <v>13774</v>
      </c>
      <c r="P532" s="164">
        <v>0</v>
      </c>
      <c r="Q532" s="164">
        <v>300</v>
      </c>
      <c r="R532" s="165">
        <v>3215</v>
      </c>
      <c r="S532" s="166">
        <v>4080</v>
      </c>
      <c r="T532" s="166"/>
      <c r="U532" s="167">
        <v>370</v>
      </c>
      <c r="V532" s="167"/>
      <c r="W532" s="157">
        <v>0</v>
      </c>
      <c r="X532" s="157">
        <v>4394.5</v>
      </c>
      <c r="Y532" s="157">
        <v>4500</v>
      </c>
      <c r="Z532" s="157" t="s">
        <v>1439</v>
      </c>
      <c r="AA532" s="157"/>
      <c r="AB532" s="157"/>
      <c r="AC532" s="157"/>
      <c r="AD532" s="157"/>
      <c r="AE532" s="157"/>
      <c r="AF532" s="157"/>
      <c r="AG532" s="157"/>
      <c r="AH532" s="157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  <c r="AKX532"/>
      <c r="AKY532"/>
      <c r="AKZ532"/>
      <c r="ALA532"/>
      <c r="ALB532"/>
      <c r="ALC532"/>
      <c r="ALD532"/>
      <c r="ALE532"/>
      <c r="ALF532"/>
      <c r="ALG532"/>
      <c r="ALH532"/>
      <c r="ALI532"/>
      <c r="ALJ532"/>
      <c r="ALK532"/>
      <c r="ALL532"/>
      <c r="ALM532"/>
      <c r="ALN532"/>
      <c r="ALO532"/>
      <c r="ALP532"/>
      <c r="ALQ532"/>
      <c r="ALR532"/>
      <c r="ALS532"/>
      <c r="ALT532"/>
      <c r="ALU532"/>
      <c r="ALV532"/>
      <c r="ALW532"/>
      <c r="ALX532"/>
      <c r="ALY532"/>
      <c r="ALZ532"/>
      <c r="AMA532"/>
      <c r="AMB532"/>
      <c r="AMC532"/>
      <c r="AMD532"/>
    </row>
    <row r="533" spans="1:1018">
      <c r="A533" s="169" t="s">
        <v>1440</v>
      </c>
      <c r="B533" s="178"/>
      <c r="C533" s="178"/>
      <c r="D533" s="178"/>
      <c r="E533" s="286">
        <f t="shared" si="55"/>
        <v>9</v>
      </c>
      <c r="F533" s="277" t="s">
        <v>1441</v>
      </c>
      <c r="G533" s="178"/>
      <c r="H533" s="160">
        <v>10</v>
      </c>
      <c r="I533" s="160"/>
      <c r="J533" s="161"/>
      <c r="K533" s="162">
        <v>4394.5</v>
      </c>
      <c r="L533" s="162"/>
      <c r="M533" s="185"/>
      <c r="N533" s="415">
        <f t="shared" si="54"/>
        <v>4394.5</v>
      </c>
      <c r="O533" s="364">
        <v>13769</v>
      </c>
      <c r="P533" s="164">
        <v>2700</v>
      </c>
      <c r="Q533" s="164">
        <v>300</v>
      </c>
      <c r="R533" s="165" t="s">
        <v>1442</v>
      </c>
      <c r="S533" s="166">
        <f>3000+1080</f>
        <v>4080</v>
      </c>
      <c r="T533" s="166"/>
      <c r="U533" s="583"/>
      <c r="V533" s="583"/>
      <c r="W533" s="157">
        <v>0</v>
      </c>
      <c r="X533" s="157">
        <v>4100</v>
      </c>
      <c r="Y533" s="157" t="s">
        <v>1443</v>
      </c>
      <c r="Z533" s="157"/>
      <c r="AA533" s="157"/>
      <c r="AB533" s="157"/>
      <c r="AC533" s="157"/>
      <c r="AD533" s="157"/>
      <c r="AE533" s="157"/>
      <c r="AF533" s="157"/>
      <c r="AG533" s="157"/>
      <c r="AH533" s="291">
        <v>0</v>
      </c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  <c r="ZW533"/>
      <c r="ZX533"/>
      <c r="ZY533"/>
      <c r="ZZ533"/>
      <c r="AAA533"/>
      <c r="AAB533"/>
      <c r="AAC533"/>
      <c r="AAD533"/>
      <c r="AAE533"/>
      <c r="AAF533"/>
      <c r="AAG533"/>
      <c r="AAH533"/>
      <c r="AAI533"/>
      <c r="AAJ533"/>
      <c r="AAK533"/>
      <c r="AAL533"/>
      <c r="AAM533"/>
      <c r="AAN533"/>
      <c r="AAO533"/>
      <c r="AAP533"/>
      <c r="AAQ533"/>
      <c r="AAR533"/>
      <c r="AAS533"/>
      <c r="AAT533"/>
      <c r="AAU533"/>
      <c r="AAV533"/>
      <c r="AAW533"/>
      <c r="AAX533"/>
      <c r="AAY533"/>
      <c r="AAZ533"/>
      <c r="ABA533"/>
      <c r="ABB533"/>
      <c r="ABC533"/>
      <c r="ABD533"/>
      <c r="ABE533"/>
      <c r="ABF533"/>
      <c r="ABG533"/>
      <c r="ABH533"/>
      <c r="ABI533"/>
      <c r="ABJ533"/>
      <c r="ABK533"/>
      <c r="ABL533"/>
      <c r="ABM533"/>
      <c r="ABN533"/>
      <c r="ABO533"/>
      <c r="ABP533"/>
      <c r="ABQ533"/>
      <c r="ABR533"/>
      <c r="ABS533"/>
      <c r="ABT533"/>
      <c r="ABU533"/>
      <c r="ABV533"/>
      <c r="ABW533"/>
      <c r="ABX533"/>
      <c r="ABY533"/>
      <c r="ABZ533"/>
      <c r="ACA533"/>
      <c r="ACB533"/>
      <c r="ACC533"/>
      <c r="ACD533"/>
      <c r="ACE533"/>
      <c r="ACF533"/>
      <c r="ACG533"/>
      <c r="ACH533"/>
      <c r="ACI533"/>
      <c r="ACJ533"/>
      <c r="ACK533"/>
      <c r="ACL533"/>
      <c r="ACM533"/>
      <c r="ACN533"/>
      <c r="ACO533"/>
      <c r="ACP533"/>
      <c r="ACQ533"/>
      <c r="ACR533"/>
      <c r="ACS533"/>
      <c r="ACT533"/>
      <c r="ACU533"/>
      <c r="ACV533"/>
      <c r="ACW533"/>
      <c r="ACX533"/>
      <c r="ACY533"/>
      <c r="ACZ533"/>
      <c r="ADA533"/>
      <c r="ADB533"/>
      <c r="ADC533"/>
      <c r="ADD533"/>
      <c r="ADE533"/>
      <c r="ADF533"/>
      <c r="ADG533"/>
      <c r="ADH533"/>
      <c r="ADI533"/>
      <c r="ADJ533"/>
      <c r="ADK533"/>
      <c r="ADL533"/>
      <c r="ADM533"/>
      <c r="ADN533"/>
      <c r="ADO533"/>
      <c r="ADP533"/>
      <c r="ADQ533"/>
      <c r="ADR533"/>
      <c r="ADS533"/>
      <c r="ADT533"/>
      <c r="ADU533"/>
      <c r="ADV533"/>
      <c r="ADW533"/>
      <c r="ADX533"/>
      <c r="ADY533"/>
      <c r="ADZ533"/>
      <c r="AEA533"/>
      <c r="AEB533"/>
      <c r="AEC533"/>
      <c r="AED533"/>
      <c r="AEE533"/>
      <c r="AEF533"/>
      <c r="AEG533"/>
      <c r="AEH533"/>
      <c r="AEI533"/>
      <c r="AEJ533"/>
      <c r="AEK533"/>
      <c r="AEL533"/>
      <c r="AEM533"/>
      <c r="AEN533"/>
      <c r="AEO533"/>
      <c r="AEP533"/>
      <c r="AEQ533"/>
      <c r="AER533"/>
      <c r="AES533"/>
      <c r="AET533"/>
      <c r="AEU533"/>
      <c r="AEV533"/>
      <c r="AEW533"/>
      <c r="AEX533"/>
      <c r="AEY533"/>
      <c r="AEZ533"/>
      <c r="AFA533"/>
      <c r="AFB533"/>
      <c r="AFC533"/>
      <c r="AFD533"/>
      <c r="AFE533"/>
      <c r="AFF533"/>
      <c r="AFG533"/>
      <c r="AFH533"/>
      <c r="AFI533"/>
      <c r="AFJ533"/>
      <c r="AFK533"/>
      <c r="AFL533"/>
      <c r="AFM533"/>
      <c r="AFN533"/>
      <c r="AFO533"/>
      <c r="AFP533"/>
      <c r="AFQ533"/>
      <c r="AFR533"/>
      <c r="AFS533"/>
      <c r="AFT533"/>
      <c r="AFU533"/>
      <c r="AFV533"/>
      <c r="AFW533"/>
      <c r="AFX533"/>
      <c r="AFY533"/>
      <c r="AFZ533"/>
      <c r="AGA533"/>
      <c r="AGB533"/>
      <c r="AGC533"/>
      <c r="AGD533"/>
      <c r="AGE533"/>
      <c r="AGF533"/>
      <c r="AGG533"/>
      <c r="AGH533"/>
      <c r="AGI533"/>
      <c r="AGJ533"/>
      <c r="AGK533"/>
      <c r="AGL533"/>
      <c r="AGM533"/>
      <c r="AGN533"/>
      <c r="AGO533"/>
      <c r="AGP533"/>
      <c r="AGQ533"/>
      <c r="AGR533"/>
      <c r="AGS533"/>
      <c r="AGT533"/>
      <c r="AGU533"/>
      <c r="AGV533"/>
      <c r="AGW533"/>
      <c r="AGX533"/>
      <c r="AGY533"/>
      <c r="AGZ533"/>
      <c r="AHA533"/>
      <c r="AHB533"/>
      <c r="AHC533"/>
      <c r="AHD533"/>
      <c r="AHE533"/>
      <c r="AHF533"/>
      <c r="AHG533"/>
      <c r="AHH533"/>
      <c r="AHI533"/>
      <c r="AHJ533"/>
      <c r="AHK533"/>
      <c r="AHL533"/>
      <c r="AHM533"/>
      <c r="AHN533"/>
      <c r="AHO533"/>
      <c r="AHP533"/>
      <c r="AHQ533"/>
      <c r="AHR533"/>
      <c r="AHS533"/>
      <c r="AHT533"/>
      <c r="AHU533"/>
      <c r="AHV533"/>
      <c r="AHW533"/>
      <c r="AHX533"/>
      <c r="AHY533"/>
      <c r="AHZ533"/>
      <c r="AIA533"/>
      <c r="AIB533"/>
      <c r="AIC533"/>
      <c r="AID533"/>
      <c r="AIE533"/>
      <c r="AIF533"/>
      <c r="AIG533"/>
      <c r="AIH533"/>
      <c r="AII533"/>
      <c r="AIJ533"/>
      <c r="AIK533"/>
      <c r="AIL533"/>
      <c r="AIM533"/>
      <c r="AIN533"/>
      <c r="AIO533"/>
      <c r="AIP533"/>
      <c r="AIQ533"/>
      <c r="AIR533"/>
      <c r="AIS533"/>
      <c r="AIT533"/>
      <c r="AIU533"/>
      <c r="AIV533"/>
      <c r="AIW533"/>
      <c r="AIX533"/>
      <c r="AIY533"/>
      <c r="AIZ533"/>
      <c r="AJA533"/>
      <c r="AJB533"/>
      <c r="AJC533"/>
      <c r="AJD533"/>
      <c r="AJE533"/>
      <c r="AJF533"/>
      <c r="AJG533"/>
      <c r="AJH533"/>
      <c r="AJI533"/>
      <c r="AJJ533"/>
      <c r="AJK533"/>
      <c r="AJL533"/>
      <c r="AJM533"/>
      <c r="AJN533"/>
      <c r="AJO533"/>
      <c r="AJP533"/>
      <c r="AJQ533"/>
      <c r="AJR533"/>
      <c r="AJS533"/>
      <c r="AJT533"/>
      <c r="AJU533"/>
      <c r="AJV533"/>
      <c r="AJW533"/>
      <c r="AJX533"/>
      <c r="AJY533"/>
      <c r="AJZ533"/>
      <c r="AKA533"/>
      <c r="AKB533"/>
      <c r="AKC533"/>
      <c r="AKD533"/>
      <c r="AKE533"/>
      <c r="AKF533"/>
      <c r="AKG533"/>
      <c r="AKH533"/>
      <c r="AKI533"/>
      <c r="AKJ533"/>
      <c r="AKK533"/>
      <c r="AKL533"/>
      <c r="AKM533"/>
      <c r="AKN533"/>
      <c r="AKO533"/>
      <c r="AKP533"/>
      <c r="AKQ533"/>
      <c r="AKR533"/>
      <c r="AKS533"/>
      <c r="AKT533"/>
      <c r="AKU533"/>
      <c r="AKV533"/>
      <c r="AKW533"/>
      <c r="AKX533"/>
      <c r="AKY533"/>
      <c r="AKZ533"/>
      <c r="ALA533"/>
      <c r="ALB533"/>
      <c r="ALC533"/>
      <c r="ALD533"/>
      <c r="ALE533"/>
      <c r="ALF533"/>
      <c r="ALG533"/>
      <c r="ALH533"/>
      <c r="ALI533"/>
      <c r="ALJ533"/>
      <c r="ALK533"/>
      <c r="ALL533"/>
      <c r="ALM533"/>
      <c r="ALN533"/>
      <c r="ALO533"/>
      <c r="ALP533"/>
      <c r="ALQ533"/>
      <c r="ALR533"/>
      <c r="ALS533"/>
      <c r="ALT533"/>
      <c r="ALU533"/>
      <c r="ALV533"/>
      <c r="ALW533"/>
      <c r="ALX533"/>
      <c r="ALY533"/>
      <c r="ALZ533"/>
      <c r="AMA533"/>
      <c r="AMB533"/>
      <c r="AMC533"/>
      <c r="AMD533"/>
    </row>
    <row r="534" spans="1:1018">
      <c r="A534" s="529" t="s">
        <v>1444</v>
      </c>
      <c r="B534" s="178"/>
      <c r="C534" s="178" t="s">
        <v>543</v>
      </c>
      <c r="D534" s="178"/>
      <c r="E534" s="286">
        <f t="shared" si="55"/>
        <v>10</v>
      </c>
      <c r="F534" s="277" t="s">
        <v>1445</v>
      </c>
      <c r="G534" s="178"/>
      <c r="H534" s="160">
        <v>10</v>
      </c>
      <c r="I534" s="160"/>
      <c r="J534" s="160"/>
      <c r="K534" s="162">
        <v>4394.5</v>
      </c>
      <c r="L534" s="178">
        <v>2225</v>
      </c>
      <c r="M534" s="185"/>
      <c r="N534" s="415">
        <f t="shared" si="54"/>
        <v>6619.5</v>
      </c>
      <c r="O534" s="364">
        <v>13651</v>
      </c>
      <c r="P534" s="164">
        <v>0</v>
      </c>
      <c r="Q534" s="164">
        <v>300</v>
      </c>
      <c r="R534" s="165">
        <v>2903</v>
      </c>
      <c r="S534" s="166">
        <v>4008</v>
      </c>
      <c r="T534" s="166"/>
      <c r="U534" s="583"/>
      <c r="V534" s="583"/>
      <c r="W534" s="157">
        <v>0</v>
      </c>
      <c r="X534" s="157">
        <f>4174.77+2225</f>
        <v>6399.77</v>
      </c>
      <c r="Y534" s="157">
        <v>4174.7700000000004</v>
      </c>
      <c r="Z534" s="157">
        <v>4174.7700000000004</v>
      </c>
      <c r="AA534" s="157">
        <v>4174.7700000000004</v>
      </c>
      <c r="AB534" s="157">
        <v>4174.7700000000004</v>
      </c>
      <c r="AC534" s="157"/>
      <c r="AD534" s="157"/>
      <c r="AE534" s="157"/>
      <c r="AF534" s="157"/>
      <c r="AG534" s="157"/>
      <c r="AH534" s="157">
        <v>0</v>
      </c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/>
      <c r="ADK534"/>
      <c r="ADL534"/>
      <c r="ADM534"/>
      <c r="ADN534"/>
      <c r="ADO534"/>
      <c r="ADP534"/>
      <c r="ADQ534"/>
      <c r="ADR534"/>
      <c r="ADS534"/>
      <c r="ADT534"/>
      <c r="ADU534"/>
      <c r="ADV534"/>
      <c r="ADW534"/>
      <c r="ADX534"/>
      <c r="ADY534"/>
      <c r="ADZ534"/>
      <c r="AEA534"/>
      <c r="AEB534"/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/>
      <c r="AEU534"/>
      <c r="AEV534"/>
      <c r="AEW534"/>
      <c r="AEX534"/>
      <c r="AEY534"/>
      <c r="AEZ534"/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/>
      <c r="AJE534"/>
      <c r="AJF534"/>
      <c r="AJG534"/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/>
      <c r="AJZ534"/>
      <c r="AKA534"/>
      <c r="AKB534"/>
      <c r="AKC534"/>
      <c r="AKD534"/>
      <c r="AKE534"/>
      <c r="AKF534"/>
      <c r="AKG534"/>
      <c r="AKH534"/>
      <c r="AKI534"/>
      <c r="AKJ534"/>
      <c r="AKK534"/>
      <c r="AKL534"/>
      <c r="AKM534"/>
      <c r="AKN534"/>
      <c r="AKO534"/>
      <c r="AKP534"/>
      <c r="AKQ534"/>
      <c r="AKR534"/>
      <c r="AKS534"/>
      <c r="AKT534"/>
      <c r="AKU534"/>
      <c r="AKV534"/>
      <c r="AKW534"/>
      <c r="AKX534"/>
      <c r="AKY534"/>
      <c r="AKZ534"/>
      <c r="ALA534"/>
      <c r="ALB534"/>
      <c r="ALC534"/>
      <c r="ALD534"/>
      <c r="ALE534"/>
      <c r="ALF534"/>
      <c r="ALG534"/>
      <c r="ALH534"/>
      <c r="ALI534"/>
      <c r="ALJ534"/>
      <c r="ALK534"/>
      <c r="ALL534"/>
      <c r="ALM534"/>
      <c r="ALN534"/>
      <c r="ALO534"/>
      <c r="ALP534"/>
      <c r="ALQ534"/>
      <c r="ALR534"/>
      <c r="ALS534"/>
      <c r="ALT534"/>
      <c r="ALU534"/>
      <c r="ALV534"/>
      <c r="ALW534"/>
      <c r="ALX534"/>
      <c r="ALY534"/>
      <c r="ALZ534"/>
      <c r="AMA534"/>
      <c r="AMB534"/>
      <c r="AMC534"/>
      <c r="AMD534"/>
    </row>
    <row r="535" spans="1:1018">
      <c r="A535" s="529" t="s">
        <v>1446</v>
      </c>
      <c r="B535" s="178"/>
      <c r="C535" s="178" t="s">
        <v>1447</v>
      </c>
      <c r="D535" s="178"/>
      <c r="E535" s="286">
        <f t="shared" si="55"/>
        <v>11</v>
      </c>
      <c r="F535" s="277" t="s">
        <v>1448</v>
      </c>
      <c r="G535" s="178"/>
      <c r="H535" s="160">
        <v>10</v>
      </c>
      <c r="I535" s="160"/>
      <c r="J535" s="160"/>
      <c r="K535" s="162">
        <v>4394.5</v>
      </c>
      <c r="L535" s="162">
        <v>2105</v>
      </c>
      <c r="M535" s="185"/>
      <c r="N535" s="415">
        <f t="shared" si="54"/>
        <v>6499.5</v>
      </c>
      <c r="O535" s="364">
        <v>13723</v>
      </c>
      <c r="P535" s="164">
        <v>2700</v>
      </c>
      <c r="Q535" s="164">
        <v>300</v>
      </c>
      <c r="R535" s="165">
        <v>3008</v>
      </c>
      <c r="S535" s="166">
        <v>4080</v>
      </c>
      <c r="T535" s="166"/>
      <c r="U535" s="167">
        <v>370</v>
      </c>
      <c r="V535" s="167"/>
      <c r="W535" s="157">
        <v>0</v>
      </c>
      <c r="X535" s="157">
        <v>6824.47</v>
      </c>
      <c r="Y535" s="295">
        <v>6499.5</v>
      </c>
      <c r="Z535" s="183"/>
      <c r="AA535" s="183"/>
      <c r="AB535" s="183"/>
      <c r="AC535" s="183"/>
      <c r="AD535" s="183"/>
      <c r="AE535" s="183"/>
      <c r="AF535" s="183"/>
      <c r="AG535" s="157"/>
      <c r="AH535" s="291">
        <v>0</v>
      </c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  <c r="ZY535"/>
      <c r="ZZ535"/>
      <c r="AAA535"/>
      <c r="AAB535"/>
      <c r="AAC535"/>
      <c r="AAD535"/>
      <c r="AAE535"/>
      <c r="AAF535"/>
      <c r="AAG535"/>
      <c r="AAH535"/>
      <c r="AAI535"/>
      <c r="AAJ535"/>
      <c r="AAK535"/>
      <c r="AAL535"/>
      <c r="AAM535"/>
      <c r="AAN535"/>
      <c r="AAO535"/>
      <c r="AAP535"/>
      <c r="AAQ535"/>
      <c r="AAR535"/>
      <c r="AAS535"/>
      <c r="AAT535"/>
      <c r="AAU535"/>
      <c r="AAV535"/>
      <c r="AAW535"/>
      <c r="AAX535"/>
      <c r="AAY535"/>
      <c r="AAZ535"/>
      <c r="ABA535"/>
      <c r="ABB535"/>
      <c r="ABC535"/>
      <c r="ABD535"/>
      <c r="ABE535"/>
      <c r="ABF535"/>
      <c r="ABG535"/>
      <c r="ABH535"/>
      <c r="ABI535"/>
      <c r="ABJ535"/>
      <c r="ABK535"/>
      <c r="ABL535"/>
      <c r="ABM535"/>
      <c r="ABN535"/>
      <c r="ABO535"/>
      <c r="ABP535"/>
      <c r="ABQ535"/>
      <c r="ABR535"/>
      <c r="ABS535"/>
      <c r="ABT535"/>
      <c r="ABU535"/>
      <c r="ABV535"/>
      <c r="ABW535"/>
      <c r="ABX535"/>
      <c r="ABY535"/>
      <c r="ABZ535"/>
      <c r="ACA535"/>
      <c r="ACB535"/>
      <c r="ACC535"/>
      <c r="ACD535"/>
      <c r="ACE535"/>
      <c r="ACF535"/>
      <c r="ACG535"/>
      <c r="ACH535"/>
      <c r="ACI535"/>
      <c r="ACJ535"/>
      <c r="ACK535"/>
      <c r="ACL535"/>
      <c r="ACM535"/>
      <c r="ACN535"/>
      <c r="ACO535"/>
      <c r="ACP535"/>
      <c r="ACQ535"/>
      <c r="ACR535"/>
      <c r="ACS535"/>
      <c r="ACT535"/>
      <c r="ACU535"/>
      <c r="ACV535"/>
      <c r="ACW535"/>
      <c r="ACX535"/>
      <c r="ACY535"/>
      <c r="ACZ535"/>
      <c r="ADA535"/>
      <c r="ADB535"/>
      <c r="ADC535"/>
      <c r="ADD535"/>
      <c r="ADE535"/>
      <c r="ADF535"/>
      <c r="ADG535"/>
      <c r="ADH535"/>
      <c r="ADI535"/>
      <c r="ADJ535"/>
      <c r="ADK535"/>
      <c r="ADL535"/>
      <c r="ADM535"/>
      <c r="ADN535"/>
      <c r="ADO535"/>
      <c r="ADP535"/>
      <c r="ADQ535"/>
      <c r="ADR535"/>
      <c r="ADS535"/>
      <c r="ADT535"/>
      <c r="ADU535"/>
      <c r="ADV535"/>
      <c r="ADW535"/>
      <c r="ADX535"/>
      <c r="ADY535"/>
      <c r="ADZ535"/>
      <c r="AEA535"/>
      <c r="AEB535"/>
      <c r="AEC535"/>
      <c r="AED535"/>
      <c r="AEE535"/>
      <c r="AEF535"/>
      <c r="AEG535"/>
      <c r="AEH535"/>
      <c r="AEI535"/>
      <c r="AEJ535"/>
      <c r="AEK535"/>
      <c r="AEL535"/>
      <c r="AEM535"/>
      <c r="AEN535"/>
      <c r="AEO535"/>
      <c r="AEP535"/>
      <c r="AEQ535"/>
      <c r="AER535"/>
      <c r="AES535"/>
      <c r="AET535"/>
      <c r="AEU535"/>
      <c r="AEV535"/>
      <c r="AEW535"/>
      <c r="AEX535"/>
      <c r="AEY535"/>
      <c r="AEZ535"/>
      <c r="AFA535"/>
      <c r="AFB535"/>
      <c r="AFC535"/>
      <c r="AFD535"/>
      <c r="AFE535"/>
      <c r="AFF535"/>
      <c r="AFG535"/>
      <c r="AFH535"/>
      <c r="AFI535"/>
      <c r="AFJ535"/>
      <c r="AFK535"/>
      <c r="AFL535"/>
      <c r="AFM535"/>
      <c r="AFN535"/>
      <c r="AFO535"/>
      <c r="AFP535"/>
      <c r="AFQ535"/>
      <c r="AFR535"/>
      <c r="AFS535"/>
      <c r="AFT535"/>
      <c r="AFU535"/>
      <c r="AFV535"/>
      <c r="AFW535"/>
      <c r="AFX535"/>
      <c r="AFY535"/>
      <c r="AFZ535"/>
      <c r="AGA535"/>
      <c r="AGB535"/>
      <c r="AGC535"/>
      <c r="AGD535"/>
      <c r="AGE535"/>
      <c r="AGF535"/>
      <c r="AGG535"/>
      <c r="AGH535"/>
      <c r="AGI535"/>
      <c r="AGJ535"/>
      <c r="AGK535"/>
      <c r="AGL535"/>
      <c r="AGM535"/>
      <c r="AGN535"/>
      <c r="AGO535"/>
      <c r="AGP535"/>
      <c r="AGQ535"/>
      <c r="AGR535"/>
      <c r="AGS535"/>
      <c r="AGT535"/>
      <c r="AGU535"/>
      <c r="AGV535"/>
      <c r="AGW535"/>
      <c r="AGX535"/>
      <c r="AGY535"/>
      <c r="AGZ535"/>
      <c r="AHA535"/>
      <c r="AHB535"/>
      <c r="AHC535"/>
      <c r="AHD535"/>
      <c r="AHE535"/>
      <c r="AHF535"/>
      <c r="AHG535"/>
      <c r="AHH535"/>
      <c r="AHI535"/>
      <c r="AHJ535"/>
      <c r="AHK535"/>
      <c r="AHL535"/>
      <c r="AHM535"/>
      <c r="AHN535"/>
      <c r="AHO535"/>
      <c r="AHP535"/>
      <c r="AHQ535"/>
      <c r="AHR535"/>
      <c r="AHS535"/>
      <c r="AHT535"/>
      <c r="AHU535"/>
      <c r="AHV535"/>
      <c r="AHW535"/>
      <c r="AHX535"/>
      <c r="AHY535"/>
      <c r="AHZ535"/>
      <c r="AIA535"/>
      <c r="AIB535"/>
      <c r="AIC535"/>
      <c r="AID535"/>
      <c r="AIE535"/>
      <c r="AIF535"/>
      <c r="AIG535"/>
      <c r="AIH535"/>
      <c r="AII535"/>
      <c r="AIJ535"/>
      <c r="AIK535"/>
      <c r="AIL535"/>
      <c r="AIM535"/>
      <c r="AIN535"/>
      <c r="AIO535"/>
      <c r="AIP535"/>
      <c r="AIQ535"/>
      <c r="AIR535"/>
      <c r="AIS535"/>
      <c r="AIT535"/>
      <c r="AIU535"/>
      <c r="AIV535"/>
      <c r="AIW535"/>
      <c r="AIX535"/>
      <c r="AIY535"/>
      <c r="AIZ535"/>
      <c r="AJA535"/>
      <c r="AJB535"/>
      <c r="AJC535"/>
      <c r="AJD535"/>
      <c r="AJE535"/>
      <c r="AJF535"/>
      <c r="AJG535"/>
      <c r="AJH535"/>
      <c r="AJI535"/>
      <c r="AJJ535"/>
      <c r="AJK535"/>
      <c r="AJL535"/>
      <c r="AJM535"/>
      <c r="AJN535"/>
      <c r="AJO535"/>
      <c r="AJP535"/>
      <c r="AJQ535"/>
      <c r="AJR535"/>
      <c r="AJS535"/>
      <c r="AJT535"/>
      <c r="AJU535"/>
      <c r="AJV535"/>
      <c r="AJW535"/>
      <c r="AJX535"/>
      <c r="AJY535"/>
      <c r="AJZ535"/>
      <c r="AKA535"/>
      <c r="AKB535"/>
      <c r="AKC535"/>
      <c r="AKD535"/>
      <c r="AKE535"/>
      <c r="AKF535"/>
      <c r="AKG535"/>
      <c r="AKH535"/>
      <c r="AKI535"/>
      <c r="AKJ535"/>
      <c r="AKK535"/>
      <c r="AKL535"/>
      <c r="AKM535"/>
      <c r="AKN535"/>
      <c r="AKO535"/>
      <c r="AKP535"/>
      <c r="AKQ535"/>
      <c r="AKR535"/>
      <c r="AKS535"/>
      <c r="AKT535"/>
      <c r="AKU535"/>
      <c r="AKV535"/>
      <c r="AKW535"/>
      <c r="AKX535"/>
      <c r="AKY535"/>
      <c r="AKZ535"/>
      <c r="ALA535"/>
      <c r="ALB535"/>
      <c r="ALC535"/>
      <c r="ALD535"/>
      <c r="ALE535"/>
      <c r="ALF535"/>
      <c r="ALG535"/>
      <c r="ALH535"/>
      <c r="ALI535"/>
      <c r="ALJ535"/>
      <c r="ALK535"/>
      <c r="ALL535"/>
      <c r="ALM535"/>
      <c r="ALN535"/>
      <c r="ALO535"/>
      <c r="ALP535"/>
      <c r="ALQ535"/>
      <c r="ALR535"/>
      <c r="ALS535"/>
      <c r="ALT535"/>
      <c r="ALU535"/>
      <c r="ALV535"/>
      <c r="ALW535"/>
      <c r="ALX535"/>
      <c r="ALY535"/>
      <c r="ALZ535"/>
      <c r="AMA535"/>
      <c r="AMB535"/>
      <c r="AMC535"/>
      <c r="AMD535"/>
    </row>
    <row r="536" spans="1:1018">
      <c r="A536" s="529" t="s">
        <v>1449</v>
      </c>
      <c r="B536" s="178"/>
      <c r="C536" s="178" t="s">
        <v>350</v>
      </c>
      <c r="D536" s="178"/>
      <c r="E536" s="286">
        <f t="shared" si="55"/>
        <v>12</v>
      </c>
      <c r="F536" s="277" t="s">
        <v>1450</v>
      </c>
      <c r="G536" s="178">
        <v>0.1</v>
      </c>
      <c r="H536" s="160">
        <v>11</v>
      </c>
      <c r="I536" s="160"/>
      <c r="J536" s="161">
        <v>3595</v>
      </c>
      <c r="K536" s="162"/>
      <c r="L536" s="162">
        <v>2105</v>
      </c>
      <c r="M536" s="185"/>
      <c r="N536" s="415">
        <f t="shared" si="54"/>
        <v>5700</v>
      </c>
      <c r="O536" s="364">
        <v>13551</v>
      </c>
      <c r="P536" s="164">
        <v>2700</v>
      </c>
      <c r="Q536" s="164">
        <v>300</v>
      </c>
      <c r="R536" s="165">
        <v>3163</v>
      </c>
      <c r="S536" s="166">
        <v>4080</v>
      </c>
      <c r="T536" s="166"/>
      <c r="U536" s="167">
        <v>370</v>
      </c>
      <c r="V536" s="167">
        <v>370</v>
      </c>
      <c r="W536" s="157">
        <v>3595.5</v>
      </c>
      <c r="X536" s="183">
        <f>5606+94</f>
        <v>5700</v>
      </c>
      <c r="Y536" s="183">
        <v>5700</v>
      </c>
      <c r="Z536" s="183">
        <v>5700</v>
      </c>
      <c r="AA536" s="183"/>
      <c r="AB536" s="183"/>
      <c r="AC536" s="183"/>
      <c r="AD536" s="183"/>
      <c r="AE536" s="183"/>
      <c r="AF536" s="183"/>
      <c r="AG536" s="157"/>
      <c r="AH536" s="157">
        <v>0</v>
      </c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  <c r="AKX536"/>
      <c r="AKY536"/>
      <c r="AKZ536"/>
      <c r="ALA536"/>
      <c r="ALB536"/>
      <c r="ALC536"/>
      <c r="ALD536"/>
      <c r="ALE536"/>
      <c r="ALF536"/>
      <c r="ALG536"/>
      <c r="ALH536"/>
      <c r="ALI536"/>
      <c r="ALJ536"/>
      <c r="ALK536"/>
      <c r="ALL536"/>
      <c r="ALM536"/>
      <c r="ALN536"/>
      <c r="ALO536"/>
      <c r="ALP536"/>
      <c r="ALQ536"/>
      <c r="ALR536"/>
      <c r="ALS536"/>
      <c r="ALT536"/>
      <c r="ALU536"/>
      <c r="ALV536"/>
      <c r="ALW536"/>
      <c r="ALX536"/>
      <c r="ALY536"/>
      <c r="ALZ536"/>
      <c r="AMA536"/>
      <c r="AMB536"/>
      <c r="AMC536"/>
      <c r="AMD536"/>
    </row>
    <row r="537" spans="1:1018">
      <c r="A537" s="178"/>
      <c r="B537" s="178"/>
      <c r="C537" s="178"/>
      <c r="D537" s="178"/>
      <c r="E537" s="178"/>
      <c r="F537" s="277"/>
      <c r="G537" s="178"/>
      <c r="H537" s="160"/>
      <c r="I537" s="160"/>
      <c r="J537" s="160"/>
      <c r="K537" s="162"/>
      <c r="L537" s="178"/>
      <c r="M537" s="185"/>
      <c r="N537" s="415">
        <f>+K537+L537+M537</f>
        <v>0</v>
      </c>
      <c r="O537" s="364"/>
      <c r="P537" s="156"/>
      <c r="Q537" s="156"/>
      <c r="R537" s="146"/>
      <c r="S537" s="147"/>
      <c r="T537" s="147"/>
      <c r="U537" s="148"/>
      <c r="V537" s="148"/>
      <c r="W537" s="157"/>
      <c r="X537" s="157"/>
      <c r="Y537" s="157"/>
      <c r="Z537" s="157"/>
      <c r="AA537" s="157"/>
      <c r="AB537" s="157"/>
      <c r="AC537" s="157"/>
      <c r="AD537" s="157"/>
      <c r="AE537" s="157"/>
      <c r="AF537" s="157"/>
      <c r="AG537" s="157"/>
      <c r="AH537" s="15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  <c r="ABE537"/>
      <c r="ABF537"/>
      <c r="ABG537"/>
      <c r="ABH537"/>
      <c r="ABI537"/>
      <c r="ABJ537"/>
      <c r="ABK537"/>
      <c r="ABL537"/>
      <c r="ABM537"/>
      <c r="ABN537"/>
      <c r="ABO537"/>
      <c r="ABP537"/>
      <c r="ABQ537"/>
      <c r="ABR537"/>
      <c r="ABS537"/>
      <c r="ABT537"/>
      <c r="ABU537"/>
      <c r="ABV537"/>
      <c r="ABW537"/>
      <c r="ABX537"/>
      <c r="ABY537"/>
      <c r="ABZ537"/>
      <c r="ACA537"/>
      <c r="ACB537"/>
      <c r="ACC537"/>
      <c r="ACD537"/>
      <c r="ACE537"/>
      <c r="ACF537"/>
      <c r="ACG537"/>
      <c r="ACH537"/>
      <c r="ACI537"/>
      <c r="ACJ537"/>
      <c r="ACK537"/>
      <c r="ACL537"/>
      <c r="ACM537"/>
      <c r="ACN537"/>
      <c r="ACO537"/>
      <c r="ACP537"/>
      <c r="ACQ537"/>
      <c r="ACR537"/>
      <c r="ACS537"/>
      <c r="ACT537"/>
      <c r="ACU537"/>
      <c r="ACV537"/>
      <c r="ACW537"/>
      <c r="ACX537"/>
      <c r="ACY537"/>
      <c r="ACZ537"/>
      <c r="ADA537"/>
      <c r="ADB537"/>
      <c r="ADC537"/>
      <c r="ADD537"/>
      <c r="ADE537"/>
      <c r="ADF537"/>
      <c r="ADG537"/>
      <c r="ADH537"/>
      <c r="ADI537"/>
      <c r="ADJ537"/>
      <c r="ADK537"/>
      <c r="ADL537"/>
      <c r="ADM537"/>
      <c r="ADN537"/>
      <c r="ADO537"/>
      <c r="ADP537"/>
      <c r="ADQ537"/>
      <c r="ADR537"/>
      <c r="ADS537"/>
      <c r="ADT537"/>
      <c r="ADU537"/>
      <c r="ADV537"/>
      <c r="ADW537"/>
      <c r="ADX537"/>
      <c r="ADY537"/>
      <c r="ADZ537"/>
      <c r="AEA537"/>
      <c r="AEB537"/>
      <c r="AEC537"/>
      <c r="AED537"/>
      <c r="AEE537"/>
      <c r="AEF537"/>
      <c r="AEG537"/>
      <c r="AEH537"/>
      <c r="AEI537"/>
      <c r="AEJ537"/>
      <c r="AEK537"/>
      <c r="AEL537"/>
      <c r="AEM537"/>
      <c r="AEN537"/>
      <c r="AEO537"/>
      <c r="AEP537"/>
      <c r="AEQ537"/>
      <c r="AER537"/>
      <c r="AES537"/>
      <c r="AET537"/>
      <c r="AEU537"/>
      <c r="AEV537"/>
      <c r="AEW537"/>
      <c r="AEX537"/>
      <c r="AEY537"/>
      <c r="AEZ537"/>
      <c r="AFA537"/>
      <c r="AFB537"/>
      <c r="AFC537"/>
      <c r="AFD537"/>
      <c r="AFE537"/>
      <c r="AFF537"/>
      <c r="AFG537"/>
      <c r="AFH537"/>
      <c r="AFI537"/>
      <c r="AFJ537"/>
      <c r="AFK537"/>
      <c r="AFL537"/>
      <c r="AFM537"/>
      <c r="AFN537"/>
      <c r="AFO537"/>
      <c r="AFP537"/>
      <c r="AFQ537"/>
      <c r="AFR537"/>
      <c r="AFS537"/>
      <c r="AFT537"/>
      <c r="AFU537"/>
      <c r="AFV537"/>
      <c r="AFW537"/>
      <c r="AFX537"/>
      <c r="AFY537"/>
      <c r="AFZ537"/>
      <c r="AGA537"/>
      <c r="AGB537"/>
      <c r="AGC537"/>
      <c r="AGD537"/>
      <c r="AGE537"/>
      <c r="AGF537"/>
      <c r="AGG537"/>
      <c r="AGH537"/>
      <c r="AGI537"/>
      <c r="AGJ537"/>
      <c r="AGK537"/>
      <c r="AGL537"/>
      <c r="AGM537"/>
      <c r="AGN537"/>
      <c r="AGO537"/>
      <c r="AGP537"/>
      <c r="AGQ537"/>
      <c r="AGR537"/>
      <c r="AGS537"/>
      <c r="AGT537"/>
      <c r="AGU537"/>
      <c r="AGV537"/>
      <c r="AGW537"/>
      <c r="AGX537"/>
      <c r="AGY537"/>
      <c r="AGZ537"/>
      <c r="AHA537"/>
      <c r="AHB537"/>
      <c r="AHC537"/>
      <c r="AHD537"/>
      <c r="AHE537"/>
      <c r="AHF537"/>
      <c r="AHG537"/>
      <c r="AHH537"/>
      <c r="AHI537"/>
      <c r="AHJ537"/>
      <c r="AHK537"/>
      <c r="AHL537"/>
      <c r="AHM537"/>
      <c r="AHN537"/>
      <c r="AHO537"/>
      <c r="AHP537"/>
      <c r="AHQ537"/>
      <c r="AHR537"/>
      <c r="AHS537"/>
      <c r="AHT537"/>
      <c r="AHU537"/>
      <c r="AHV537"/>
      <c r="AHW537"/>
      <c r="AHX537"/>
      <c r="AHY537"/>
      <c r="AHZ537"/>
      <c r="AIA537"/>
      <c r="AIB537"/>
      <c r="AIC537"/>
      <c r="AID537"/>
      <c r="AIE537"/>
      <c r="AIF537"/>
      <c r="AIG537"/>
      <c r="AIH537"/>
      <c r="AII537"/>
      <c r="AIJ537"/>
      <c r="AIK537"/>
      <c r="AIL537"/>
      <c r="AIM537"/>
      <c r="AIN537"/>
      <c r="AIO537"/>
      <c r="AIP537"/>
      <c r="AIQ537"/>
      <c r="AIR537"/>
      <c r="AIS537"/>
      <c r="AIT537"/>
      <c r="AIU537"/>
      <c r="AIV537"/>
      <c r="AIW537"/>
      <c r="AIX537"/>
      <c r="AIY537"/>
      <c r="AIZ537"/>
      <c r="AJA537"/>
      <c r="AJB537"/>
      <c r="AJC537"/>
      <c r="AJD537"/>
      <c r="AJE537"/>
      <c r="AJF537"/>
      <c r="AJG537"/>
      <c r="AJH537"/>
      <c r="AJI537"/>
      <c r="AJJ537"/>
      <c r="AJK537"/>
      <c r="AJL537"/>
      <c r="AJM537"/>
      <c r="AJN537"/>
      <c r="AJO537"/>
      <c r="AJP537"/>
      <c r="AJQ537"/>
      <c r="AJR537"/>
      <c r="AJS537"/>
      <c r="AJT537"/>
      <c r="AJU537"/>
      <c r="AJV537"/>
      <c r="AJW537"/>
      <c r="AJX537"/>
      <c r="AJY537"/>
      <c r="AJZ537"/>
      <c r="AKA537"/>
      <c r="AKB537"/>
      <c r="AKC537"/>
      <c r="AKD537"/>
      <c r="AKE537"/>
      <c r="AKF537"/>
      <c r="AKG537"/>
      <c r="AKH537"/>
      <c r="AKI537"/>
      <c r="AKJ537"/>
      <c r="AKK537"/>
      <c r="AKL537"/>
      <c r="AKM537"/>
      <c r="AKN537"/>
      <c r="AKO537"/>
      <c r="AKP537"/>
      <c r="AKQ537"/>
      <c r="AKR537"/>
      <c r="AKS537"/>
      <c r="AKT537"/>
      <c r="AKU537"/>
      <c r="AKV537"/>
      <c r="AKW537"/>
      <c r="AKX537"/>
      <c r="AKY537"/>
      <c r="AKZ537"/>
      <c r="ALA537"/>
      <c r="ALB537"/>
      <c r="ALC537"/>
      <c r="ALD537"/>
      <c r="ALE537"/>
      <c r="ALF537"/>
      <c r="ALG537"/>
      <c r="ALH537"/>
      <c r="ALI537"/>
      <c r="ALJ537"/>
      <c r="ALK537"/>
      <c r="ALL537"/>
      <c r="ALM537"/>
      <c r="ALN537"/>
      <c r="ALO537"/>
      <c r="ALP537"/>
      <c r="ALQ537"/>
      <c r="ALR537"/>
      <c r="ALS537"/>
      <c r="ALT537"/>
      <c r="ALU537"/>
      <c r="ALV537"/>
      <c r="ALW537"/>
      <c r="ALX537"/>
      <c r="ALY537"/>
      <c r="ALZ537"/>
      <c r="AMA537"/>
      <c r="AMB537"/>
      <c r="AMC537"/>
      <c r="AMD537"/>
    </row>
    <row r="538" spans="1:1018">
      <c r="A538" s="178"/>
      <c r="B538" s="178"/>
      <c r="C538" s="178"/>
      <c r="D538" s="178"/>
      <c r="E538" s="178"/>
      <c r="F538" s="277"/>
      <c r="G538" s="178"/>
      <c r="H538" s="160"/>
      <c r="I538" s="160"/>
      <c r="J538" s="160"/>
      <c r="K538" s="162"/>
      <c r="L538" s="178"/>
      <c r="M538" s="185"/>
      <c r="N538" s="415">
        <f>+K538+L538+M538</f>
        <v>0</v>
      </c>
      <c r="O538" s="364"/>
      <c r="P538" s="156"/>
      <c r="Q538" s="156"/>
      <c r="R538" s="146"/>
      <c r="S538" s="147"/>
      <c r="T538" s="147"/>
      <c r="U538" s="148"/>
      <c r="V538" s="148"/>
      <c r="W538" s="157"/>
      <c r="X538" s="157"/>
      <c r="Y538" s="157"/>
      <c r="Z538" s="157"/>
      <c r="AA538" s="157"/>
      <c r="AB538" s="157"/>
      <c r="AC538" s="157"/>
      <c r="AD538" s="157"/>
      <c r="AE538" s="157"/>
      <c r="AF538" s="157"/>
      <c r="AG538" s="157"/>
      <c r="AH538" s="157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  <c r="ZW538"/>
      <c r="ZX538"/>
      <c r="ZY538"/>
      <c r="ZZ538"/>
      <c r="AAA538"/>
      <c r="AAB538"/>
      <c r="AAC538"/>
      <c r="AAD538"/>
      <c r="AAE538"/>
      <c r="AAF538"/>
      <c r="AAG538"/>
      <c r="AAH538"/>
      <c r="AAI538"/>
      <c r="AAJ538"/>
      <c r="AAK538"/>
      <c r="AAL538"/>
      <c r="AAM538"/>
      <c r="AAN538"/>
      <c r="AAO538"/>
      <c r="AAP538"/>
      <c r="AAQ538"/>
      <c r="AAR538"/>
      <c r="AAS538"/>
      <c r="AAT538"/>
      <c r="AAU538"/>
      <c r="AAV538"/>
      <c r="AAW538"/>
      <c r="AAX538"/>
      <c r="AAY538"/>
      <c r="AAZ538"/>
      <c r="ABA538"/>
      <c r="ABB538"/>
      <c r="ABC538"/>
      <c r="ABD538"/>
      <c r="ABE538"/>
      <c r="ABF538"/>
      <c r="ABG538"/>
      <c r="ABH538"/>
      <c r="ABI538"/>
      <c r="ABJ538"/>
      <c r="ABK538"/>
      <c r="ABL538"/>
      <c r="ABM538"/>
      <c r="ABN538"/>
      <c r="ABO538"/>
      <c r="ABP538"/>
      <c r="ABQ538"/>
      <c r="ABR538"/>
      <c r="ABS538"/>
      <c r="ABT538"/>
      <c r="ABU538"/>
      <c r="ABV538"/>
      <c r="ABW538"/>
      <c r="ABX538"/>
      <c r="ABY538"/>
      <c r="ABZ538"/>
      <c r="ACA538"/>
      <c r="ACB538"/>
      <c r="ACC538"/>
      <c r="ACD538"/>
      <c r="ACE538"/>
      <c r="ACF538"/>
      <c r="ACG538"/>
      <c r="ACH538"/>
      <c r="ACI538"/>
      <c r="ACJ538"/>
      <c r="ACK538"/>
      <c r="ACL538"/>
      <c r="ACM538"/>
      <c r="ACN538"/>
      <c r="ACO538"/>
      <c r="ACP538"/>
      <c r="ACQ538"/>
      <c r="ACR538"/>
      <c r="ACS538"/>
      <c r="ACT538"/>
      <c r="ACU538"/>
      <c r="ACV538"/>
      <c r="ACW538"/>
      <c r="ACX538"/>
      <c r="ACY538"/>
      <c r="ACZ538"/>
      <c r="ADA538"/>
      <c r="ADB538"/>
      <c r="ADC538"/>
      <c r="ADD538"/>
      <c r="ADE538"/>
      <c r="ADF538"/>
      <c r="ADG538"/>
      <c r="ADH538"/>
      <c r="ADI538"/>
      <c r="ADJ538"/>
      <c r="ADK538"/>
      <c r="ADL538"/>
      <c r="ADM538"/>
      <c r="ADN538"/>
      <c r="ADO538"/>
      <c r="ADP538"/>
      <c r="ADQ538"/>
      <c r="ADR538"/>
      <c r="ADS538"/>
      <c r="ADT538"/>
      <c r="ADU538"/>
      <c r="ADV538"/>
      <c r="ADW538"/>
      <c r="ADX538"/>
      <c r="ADY538"/>
      <c r="ADZ538"/>
      <c r="AEA538"/>
      <c r="AEB538"/>
      <c r="AEC538"/>
      <c r="AED538"/>
      <c r="AEE538"/>
      <c r="AEF538"/>
      <c r="AEG538"/>
      <c r="AEH538"/>
      <c r="AEI538"/>
      <c r="AEJ538"/>
      <c r="AEK538"/>
      <c r="AEL538"/>
      <c r="AEM538"/>
      <c r="AEN538"/>
      <c r="AEO538"/>
      <c r="AEP538"/>
      <c r="AEQ538"/>
      <c r="AER538"/>
      <c r="AES538"/>
      <c r="AET538"/>
      <c r="AEU538"/>
      <c r="AEV538"/>
      <c r="AEW538"/>
      <c r="AEX538"/>
      <c r="AEY538"/>
      <c r="AEZ538"/>
      <c r="AFA538"/>
      <c r="AFB538"/>
      <c r="AFC538"/>
      <c r="AFD538"/>
      <c r="AFE538"/>
      <c r="AFF538"/>
      <c r="AFG538"/>
      <c r="AFH538"/>
      <c r="AFI538"/>
      <c r="AFJ538"/>
      <c r="AFK538"/>
      <c r="AFL538"/>
      <c r="AFM538"/>
      <c r="AFN538"/>
      <c r="AFO538"/>
      <c r="AFP538"/>
      <c r="AFQ538"/>
      <c r="AFR538"/>
      <c r="AFS538"/>
      <c r="AFT538"/>
      <c r="AFU538"/>
      <c r="AFV538"/>
      <c r="AFW538"/>
      <c r="AFX538"/>
      <c r="AFY538"/>
      <c r="AFZ538"/>
      <c r="AGA538"/>
      <c r="AGB538"/>
      <c r="AGC538"/>
      <c r="AGD538"/>
      <c r="AGE538"/>
      <c r="AGF538"/>
      <c r="AGG538"/>
      <c r="AGH538"/>
      <c r="AGI538"/>
      <c r="AGJ538"/>
      <c r="AGK538"/>
      <c r="AGL538"/>
      <c r="AGM538"/>
      <c r="AGN538"/>
      <c r="AGO538"/>
      <c r="AGP538"/>
      <c r="AGQ538"/>
      <c r="AGR538"/>
      <c r="AGS538"/>
      <c r="AGT538"/>
      <c r="AGU538"/>
      <c r="AGV538"/>
      <c r="AGW538"/>
      <c r="AGX538"/>
      <c r="AGY538"/>
      <c r="AGZ538"/>
      <c r="AHA538"/>
      <c r="AHB538"/>
      <c r="AHC538"/>
      <c r="AHD538"/>
      <c r="AHE538"/>
      <c r="AHF538"/>
      <c r="AHG538"/>
      <c r="AHH538"/>
      <c r="AHI538"/>
      <c r="AHJ538"/>
      <c r="AHK538"/>
      <c r="AHL538"/>
      <c r="AHM538"/>
      <c r="AHN538"/>
      <c r="AHO538"/>
      <c r="AHP538"/>
      <c r="AHQ538"/>
      <c r="AHR538"/>
      <c r="AHS538"/>
      <c r="AHT538"/>
      <c r="AHU538"/>
      <c r="AHV538"/>
      <c r="AHW538"/>
      <c r="AHX538"/>
      <c r="AHY538"/>
      <c r="AHZ538"/>
      <c r="AIA538"/>
      <c r="AIB538"/>
      <c r="AIC538"/>
      <c r="AID538"/>
      <c r="AIE538"/>
      <c r="AIF538"/>
      <c r="AIG538"/>
      <c r="AIH538"/>
      <c r="AII538"/>
      <c r="AIJ538"/>
      <c r="AIK538"/>
      <c r="AIL538"/>
      <c r="AIM538"/>
      <c r="AIN538"/>
      <c r="AIO538"/>
      <c r="AIP538"/>
      <c r="AIQ538"/>
      <c r="AIR538"/>
      <c r="AIS538"/>
      <c r="AIT538"/>
      <c r="AIU538"/>
      <c r="AIV538"/>
      <c r="AIW538"/>
      <c r="AIX538"/>
      <c r="AIY538"/>
      <c r="AIZ538"/>
      <c r="AJA538"/>
      <c r="AJB538"/>
      <c r="AJC538"/>
      <c r="AJD538"/>
      <c r="AJE538"/>
      <c r="AJF538"/>
      <c r="AJG538"/>
      <c r="AJH538"/>
      <c r="AJI538"/>
      <c r="AJJ538"/>
      <c r="AJK538"/>
      <c r="AJL538"/>
      <c r="AJM538"/>
      <c r="AJN538"/>
      <c r="AJO538"/>
      <c r="AJP538"/>
      <c r="AJQ538"/>
      <c r="AJR538"/>
      <c r="AJS538"/>
      <c r="AJT538"/>
      <c r="AJU538"/>
      <c r="AJV538"/>
      <c r="AJW538"/>
      <c r="AJX538"/>
      <c r="AJY538"/>
      <c r="AJZ538"/>
      <c r="AKA538"/>
      <c r="AKB538"/>
      <c r="AKC538"/>
      <c r="AKD538"/>
      <c r="AKE538"/>
      <c r="AKF538"/>
      <c r="AKG538"/>
      <c r="AKH538"/>
      <c r="AKI538"/>
      <c r="AKJ538"/>
      <c r="AKK538"/>
      <c r="AKL538"/>
      <c r="AKM538"/>
      <c r="AKN538"/>
      <c r="AKO538"/>
      <c r="AKP538"/>
      <c r="AKQ538"/>
      <c r="AKR538"/>
      <c r="AKS538"/>
      <c r="AKT538"/>
      <c r="AKU538"/>
      <c r="AKV538"/>
      <c r="AKW538"/>
      <c r="AKX538"/>
      <c r="AKY538"/>
      <c r="AKZ538"/>
      <c r="ALA538"/>
      <c r="ALB538"/>
      <c r="ALC538"/>
      <c r="ALD538"/>
      <c r="ALE538"/>
      <c r="ALF538"/>
      <c r="ALG538"/>
      <c r="ALH538"/>
      <c r="ALI538"/>
      <c r="ALJ538"/>
      <c r="ALK538"/>
      <c r="ALL538"/>
      <c r="ALM538"/>
      <c r="ALN538"/>
      <c r="ALO538"/>
      <c r="ALP538"/>
      <c r="ALQ538"/>
      <c r="ALR538"/>
      <c r="ALS538"/>
      <c r="ALT538"/>
      <c r="ALU538"/>
      <c r="ALV538"/>
      <c r="ALW538"/>
      <c r="ALX538"/>
      <c r="ALY538"/>
      <c r="ALZ538"/>
      <c r="AMA538"/>
      <c r="AMB538"/>
      <c r="AMC538"/>
      <c r="AMD538"/>
    </row>
    <row r="539" spans="1:1018">
      <c r="A539" s="178"/>
      <c r="B539" s="178"/>
      <c r="C539" s="178"/>
      <c r="D539" s="178"/>
      <c r="E539" s="178"/>
      <c r="F539" s="277"/>
      <c r="G539" s="178"/>
      <c r="H539" s="160"/>
      <c r="I539" s="160"/>
      <c r="J539" s="160"/>
      <c r="K539" s="178"/>
      <c r="L539" s="178"/>
      <c r="M539" s="185"/>
      <c r="N539" s="415">
        <f>+K539+L539+M539</f>
        <v>0</v>
      </c>
      <c r="O539" s="364"/>
      <c r="P539" s="156"/>
      <c r="Q539" s="156"/>
      <c r="R539" s="146"/>
      <c r="S539" s="147"/>
      <c r="T539" s="147"/>
      <c r="U539" s="148"/>
      <c r="V539" s="148"/>
      <c r="W539" s="157"/>
      <c r="X539" s="157"/>
      <c r="Y539" s="157"/>
      <c r="Z539" s="157"/>
      <c r="AA539" s="157"/>
      <c r="AB539" s="157"/>
      <c r="AC539" s="157"/>
      <c r="AD539" s="157"/>
      <c r="AE539" s="157"/>
      <c r="AF539" s="157"/>
      <c r="AG539" s="157"/>
      <c r="AH539" s="157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  <c r="ZY539"/>
      <c r="ZZ539"/>
      <c r="AAA539"/>
      <c r="AAB539"/>
      <c r="AAC539"/>
      <c r="AAD539"/>
      <c r="AAE539"/>
      <c r="AAF539"/>
      <c r="AAG539"/>
      <c r="AAH539"/>
      <c r="AAI539"/>
      <c r="AAJ539"/>
      <c r="AAK539"/>
      <c r="AAL539"/>
      <c r="AAM539"/>
      <c r="AAN539"/>
      <c r="AAO539"/>
      <c r="AAP539"/>
      <c r="AAQ539"/>
      <c r="AAR539"/>
      <c r="AAS539"/>
      <c r="AAT539"/>
      <c r="AAU539"/>
      <c r="AAV539"/>
      <c r="AAW539"/>
      <c r="AAX539"/>
      <c r="AAY539"/>
      <c r="AAZ539"/>
      <c r="ABA539"/>
      <c r="ABB539"/>
      <c r="ABC539"/>
      <c r="ABD539"/>
      <c r="ABE539"/>
      <c r="ABF539"/>
      <c r="ABG539"/>
      <c r="ABH539"/>
      <c r="ABI539"/>
      <c r="ABJ539"/>
      <c r="ABK539"/>
      <c r="ABL539"/>
      <c r="ABM539"/>
      <c r="ABN539"/>
      <c r="ABO539"/>
      <c r="ABP539"/>
      <c r="ABQ539"/>
      <c r="ABR539"/>
      <c r="ABS539"/>
      <c r="ABT539"/>
      <c r="ABU539"/>
      <c r="ABV539"/>
      <c r="ABW539"/>
      <c r="ABX539"/>
      <c r="ABY539"/>
      <c r="ABZ539"/>
      <c r="ACA539"/>
      <c r="ACB539"/>
      <c r="ACC539"/>
      <c r="ACD539"/>
      <c r="ACE539"/>
      <c r="ACF539"/>
      <c r="ACG539"/>
      <c r="ACH539"/>
      <c r="ACI539"/>
      <c r="ACJ539"/>
      <c r="ACK539"/>
      <c r="ACL539"/>
      <c r="ACM539"/>
      <c r="ACN539"/>
      <c r="ACO539"/>
      <c r="ACP539"/>
      <c r="ACQ539"/>
      <c r="ACR539"/>
      <c r="ACS539"/>
      <c r="ACT539"/>
      <c r="ACU539"/>
      <c r="ACV539"/>
      <c r="ACW539"/>
      <c r="ACX539"/>
      <c r="ACY539"/>
      <c r="ACZ539"/>
      <c r="ADA539"/>
      <c r="ADB539"/>
      <c r="ADC539"/>
      <c r="ADD539"/>
      <c r="ADE539"/>
      <c r="ADF539"/>
      <c r="ADG539"/>
      <c r="ADH539"/>
      <c r="ADI539"/>
      <c r="ADJ539"/>
      <c r="ADK539"/>
      <c r="ADL539"/>
      <c r="ADM539"/>
      <c r="ADN539"/>
      <c r="ADO539"/>
      <c r="ADP539"/>
      <c r="ADQ539"/>
      <c r="ADR539"/>
      <c r="ADS539"/>
      <c r="ADT539"/>
      <c r="ADU539"/>
      <c r="ADV539"/>
      <c r="ADW539"/>
      <c r="ADX539"/>
      <c r="ADY539"/>
      <c r="ADZ539"/>
      <c r="AEA539"/>
      <c r="AEB539"/>
      <c r="AEC539"/>
      <c r="AED539"/>
      <c r="AEE539"/>
      <c r="AEF539"/>
      <c r="AEG539"/>
      <c r="AEH539"/>
      <c r="AEI539"/>
      <c r="AEJ539"/>
      <c r="AEK539"/>
      <c r="AEL539"/>
      <c r="AEM539"/>
      <c r="AEN539"/>
      <c r="AEO539"/>
      <c r="AEP539"/>
      <c r="AEQ539"/>
      <c r="AER539"/>
      <c r="AES539"/>
      <c r="AET539"/>
      <c r="AEU539"/>
      <c r="AEV539"/>
      <c r="AEW539"/>
      <c r="AEX539"/>
      <c r="AEY539"/>
      <c r="AEZ539"/>
      <c r="AFA539"/>
      <c r="AFB539"/>
      <c r="AFC539"/>
      <c r="AFD539"/>
      <c r="AFE539"/>
      <c r="AFF539"/>
      <c r="AFG539"/>
      <c r="AFH539"/>
      <c r="AFI539"/>
      <c r="AFJ539"/>
      <c r="AFK539"/>
      <c r="AFL539"/>
      <c r="AFM539"/>
      <c r="AFN539"/>
      <c r="AFO539"/>
      <c r="AFP539"/>
      <c r="AFQ539"/>
      <c r="AFR539"/>
      <c r="AFS539"/>
      <c r="AFT539"/>
      <c r="AFU539"/>
      <c r="AFV539"/>
      <c r="AFW539"/>
      <c r="AFX539"/>
      <c r="AFY539"/>
      <c r="AFZ539"/>
      <c r="AGA539"/>
      <c r="AGB539"/>
      <c r="AGC539"/>
      <c r="AGD539"/>
      <c r="AGE539"/>
      <c r="AGF539"/>
      <c r="AGG539"/>
      <c r="AGH539"/>
      <c r="AGI539"/>
      <c r="AGJ539"/>
      <c r="AGK539"/>
      <c r="AGL539"/>
      <c r="AGM539"/>
      <c r="AGN539"/>
      <c r="AGO539"/>
      <c r="AGP539"/>
      <c r="AGQ539"/>
      <c r="AGR539"/>
      <c r="AGS539"/>
      <c r="AGT539"/>
      <c r="AGU539"/>
      <c r="AGV539"/>
      <c r="AGW539"/>
      <c r="AGX539"/>
      <c r="AGY539"/>
      <c r="AGZ539"/>
      <c r="AHA539"/>
      <c r="AHB539"/>
      <c r="AHC539"/>
      <c r="AHD539"/>
      <c r="AHE539"/>
      <c r="AHF539"/>
      <c r="AHG539"/>
      <c r="AHH539"/>
      <c r="AHI539"/>
      <c r="AHJ539"/>
      <c r="AHK539"/>
      <c r="AHL539"/>
      <c r="AHM539"/>
      <c r="AHN539"/>
      <c r="AHO539"/>
      <c r="AHP539"/>
      <c r="AHQ539"/>
      <c r="AHR539"/>
      <c r="AHS539"/>
      <c r="AHT539"/>
      <c r="AHU539"/>
      <c r="AHV539"/>
      <c r="AHW539"/>
      <c r="AHX539"/>
      <c r="AHY539"/>
      <c r="AHZ539"/>
      <c r="AIA539"/>
      <c r="AIB539"/>
      <c r="AIC539"/>
      <c r="AID539"/>
      <c r="AIE539"/>
      <c r="AIF539"/>
      <c r="AIG539"/>
      <c r="AIH539"/>
      <c r="AII539"/>
      <c r="AIJ539"/>
      <c r="AIK539"/>
      <c r="AIL539"/>
      <c r="AIM539"/>
      <c r="AIN539"/>
      <c r="AIO539"/>
      <c r="AIP539"/>
      <c r="AIQ539"/>
      <c r="AIR539"/>
      <c r="AIS539"/>
      <c r="AIT539"/>
      <c r="AIU539"/>
      <c r="AIV539"/>
      <c r="AIW539"/>
      <c r="AIX539"/>
      <c r="AIY539"/>
      <c r="AIZ539"/>
      <c r="AJA539"/>
      <c r="AJB539"/>
      <c r="AJC539"/>
      <c r="AJD539"/>
      <c r="AJE539"/>
      <c r="AJF539"/>
      <c r="AJG539"/>
      <c r="AJH539"/>
      <c r="AJI539"/>
      <c r="AJJ539"/>
      <c r="AJK539"/>
      <c r="AJL539"/>
      <c r="AJM539"/>
      <c r="AJN539"/>
      <c r="AJO539"/>
      <c r="AJP539"/>
      <c r="AJQ539"/>
      <c r="AJR539"/>
      <c r="AJS539"/>
      <c r="AJT539"/>
      <c r="AJU539"/>
      <c r="AJV539"/>
      <c r="AJW539"/>
      <c r="AJX539"/>
      <c r="AJY539"/>
      <c r="AJZ539"/>
      <c r="AKA539"/>
      <c r="AKB539"/>
      <c r="AKC539"/>
      <c r="AKD539"/>
      <c r="AKE539"/>
      <c r="AKF539"/>
      <c r="AKG539"/>
      <c r="AKH539"/>
      <c r="AKI539"/>
      <c r="AKJ539"/>
      <c r="AKK539"/>
      <c r="AKL539"/>
      <c r="AKM539"/>
      <c r="AKN539"/>
      <c r="AKO539"/>
      <c r="AKP539"/>
      <c r="AKQ539"/>
      <c r="AKR539"/>
      <c r="AKS539"/>
      <c r="AKT539"/>
      <c r="AKU539"/>
      <c r="AKV539"/>
      <c r="AKW539"/>
      <c r="AKX539"/>
      <c r="AKY539"/>
      <c r="AKZ539"/>
      <c r="ALA539"/>
      <c r="ALB539"/>
      <c r="ALC539"/>
      <c r="ALD539"/>
      <c r="ALE539"/>
      <c r="ALF539"/>
      <c r="ALG539"/>
      <c r="ALH539"/>
      <c r="ALI539"/>
      <c r="ALJ539"/>
      <c r="ALK539"/>
      <c r="ALL539"/>
      <c r="ALM539"/>
      <c r="ALN539"/>
      <c r="ALO539"/>
      <c r="ALP539"/>
      <c r="ALQ539"/>
      <c r="ALR539"/>
      <c r="ALS539"/>
      <c r="ALT539"/>
      <c r="ALU539"/>
      <c r="ALV539"/>
      <c r="ALW539"/>
      <c r="ALX539"/>
      <c r="ALY539"/>
      <c r="ALZ539"/>
      <c r="AMA539"/>
      <c r="AMB539"/>
      <c r="AMC539"/>
      <c r="AMD539"/>
    </row>
    <row r="540" spans="1:1018">
      <c r="A540" s="178"/>
      <c r="B540" s="178"/>
      <c r="C540" s="178"/>
      <c r="D540" s="178"/>
      <c r="E540" s="178"/>
      <c r="F540" s="277"/>
      <c r="G540" s="178"/>
      <c r="H540" s="160"/>
      <c r="I540" s="160"/>
      <c r="J540" s="160"/>
      <c r="K540" s="178"/>
      <c r="L540" s="178"/>
      <c r="M540" s="185"/>
      <c r="N540" s="185"/>
      <c r="O540" s="364"/>
      <c r="P540" s="156"/>
      <c r="Q540" s="156"/>
      <c r="R540" s="146"/>
      <c r="S540" s="147"/>
      <c r="T540" s="147"/>
      <c r="U540" s="148"/>
      <c r="V540" s="148"/>
      <c r="W540" s="157"/>
      <c r="X540" s="157"/>
      <c r="Y540" s="157"/>
      <c r="Z540" s="157"/>
      <c r="AA540" s="157"/>
      <c r="AB540" s="157"/>
      <c r="AC540" s="157"/>
      <c r="AD540" s="157"/>
      <c r="AE540" s="157"/>
      <c r="AF540" s="157"/>
      <c r="AG540" s="157"/>
      <c r="AH540" s="157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  <c r="ZW540"/>
      <c r="ZX540"/>
      <c r="ZY540"/>
      <c r="ZZ540"/>
      <c r="AAA540"/>
      <c r="AAB540"/>
      <c r="AAC540"/>
      <c r="AAD540"/>
      <c r="AAE540"/>
      <c r="AAF540"/>
      <c r="AAG540"/>
      <c r="AAH540"/>
      <c r="AAI540"/>
      <c r="AAJ540"/>
      <c r="AAK540"/>
      <c r="AAL540"/>
      <c r="AAM540"/>
      <c r="AAN540"/>
      <c r="AAO540"/>
      <c r="AAP540"/>
      <c r="AAQ540"/>
      <c r="AAR540"/>
      <c r="AAS540"/>
      <c r="AAT540"/>
      <c r="AAU540"/>
      <c r="AAV540"/>
      <c r="AAW540"/>
      <c r="AAX540"/>
      <c r="AAY540"/>
      <c r="AAZ540"/>
      <c r="ABA540"/>
      <c r="ABB540"/>
      <c r="ABC540"/>
      <c r="ABD540"/>
      <c r="ABE540"/>
      <c r="ABF540"/>
      <c r="ABG540"/>
      <c r="ABH540"/>
      <c r="ABI540"/>
      <c r="ABJ540"/>
      <c r="ABK540"/>
      <c r="ABL540"/>
      <c r="ABM540"/>
      <c r="ABN540"/>
      <c r="ABO540"/>
      <c r="ABP540"/>
      <c r="ABQ540"/>
      <c r="ABR540"/>
      <c r="ABS540"/>
      <c r="ABT540"/>
      <c r="ABU540"/>
      <c r="ABV540"/>
      <c r="ABW540"/>
      <c r="ABX540"/>
      <c r="ABY540"/>
      <c r="ABZ540"/>
      <c r="ACA540"/>
      <c r="ACB540"/>
      <c r="ACC540"/>
      <c r="ACD540"/>
      <c r="ACE540"/>
      <c r="ACF540"/>
      <c r="ACG540"/>
      <c r="ACH540"/>
      <c r="ACI540"/>
      <c r="ACJ540"/>
      <c r="ACK540"/>
      <c r="ACL540"/>
      <c r="ACM540"/>
      <c r="ACN540"/>
      <c r="ACO540"/>
      <c r="ACP540"/>
      <c r="ACQ540"/>
      <c r="ACR540"/>
      <c r="ACS540"/>
      <c r="ACT540"/>
      <c r="ACU540"/>
      <c r="ACV540"/>
      <c r="ACW540"/>
      <c r="ACX540"/>
      <c r="ACY540"/>
      <c r="ACZ540"/>
      <c r="ADA540"/>
      <c r="ADB540"/>
      <c r="ADC540"/>
      <c r="ADD540"/>
      <c r="ADE540"/>
      <c r="ADF540"/>
      <c r="ADG540"/>
      <c r="ADH540"/>
      <c r="ADI540"/>
      <c r="ADJ540"/>
      <c r="ADK540"/>
      <c r="ADL540"/>
      <c r="ADM540"/>
      <c r="ADN540"/>
      <c r="ADO540"/>
      <c r="ADP540"/>
      <c r="ADQ540"/>
      <c r="ADR540"/>
      <c r="ADS540"/>
      <c r="ADT540"/>
      <c r="ADU540"/>
      <c r="ADV540"/>
      <c r="ADW540"/>
      <c r="ADX540"/>
      <c r="ADY540"/>
      <c r="ADZ540"/>
      <c r="AEA540"/>
      <c r="AEB540"/>
      <c r="AEC540"/>
      <c r="AED540"/>
      <c r="AEE540"/>
      <c r="AEF540"/>
      <c r="AEG540"/>
      <c r="AEH540"/>
      <c r="AEI540"/>
      <c r="AEJ540"/>
      <c r="AEK540"/>
      <c r="AEL540"/>
      <c r="AEM540"/>
      <c r="AEN540"/>
      <c r="AEO540"/>
      <c r="AEP540"/>
      <c r="AEQ540"/>
      <c r="AER540"/>
      <c r="AES540"/>
      <c r="AET540"/>
      <c r="AEU540"/>
      <c r="AEV540"/>
      <c r="AEW540"/>
      <c r="AEX540"/>
      <c r="AEY540"/>
      <c r="AEZ540"/>
      <c r="AFA540"/>
      <c r="AFB540"/>
      <c r="AFC540"/>
      <c r="AFD540"/>
      <c r="AFE540"/>
      <c r="AFF540"/>
      <c r="AFG540"/>
      <c r="AFH540"/>
      <c r="AFI540"/>
      <c r="AFJ540"/>
      <c r="AFK540"/>
      <c r="AFL540"/>
      <c r="AFM540"/>
      <c r="AFN540"/>
      <c r="AFO540"/>
      <c r="AFP540"/>
      <c r="AFQ540"/>
      <c r="AFR540"/>
      <c r="AFS540"/>
      <c r="AFT540"/>
      <c r="AFU540"/>
      <c r="AFV540"/>
      <c r="AFW540"/>
      <c r="AFX540"/>
      <c r="AFY540"/>
      <c r="AFZ540"/>
      <c r="AGA540"/>
      <c r="AGB540"/>
      <c r="AGC540"/>
      <c r="AGD540"/>
      <c r="AGE540"/>
      <c r="AGF540"/>
      <c r="AGG540"/>
      <c r="AGH540"/>
      <c r="AGI540"/>
      <c r="AGJ540"/>
      <c r="AGK540"/>
      <c r="AGL540"/>
      <c r="AGM540"/>
      <c r="AGN540"/>
      <c r="AGO540"/>
      <c r="AGP540"/>
      <c r="AGQ540"/>
      <c r="AGR540"/>
      <c r="AGS540"/>
      <c r="AGT540"/>
      <c r="AGU540"/>
      <c r="AGV540"/>
      <c r="AGW540"/>
      <c r="AGX540"/>
      <c r="AGY540"/>
      <c r="AGZ540"/>
      <c r="AHA540"/>
      <c r="AHB540"/>
      <c r="AHC540"/>
      <c r="AHD540"/>
      <c r="AHE540"/>
      <c r="AHF540"/>
      <c r="AHG540"/>
      <c r="AHH540"/>
      <c r="AHI540"/>
      <c r="AHJ540"/>
      <c r="AHK540"/>
      <c r="AHL540"/>
      <c r="AHM540"/>
      <c r="AHN540"/>
      <c r="AHO540"/>
      <c r="AHP540"/>
      <c r="AHQ540"/>
      <c r="AHR540"/>
      <c r="AHS540"/>
      <c r="AHT540"/>
      <c r="AHU540"/>
      <c r="AHV540"/>
      <c r="AHW540"/>
      <c r="AHX540"/>
      <c r="AHY540"/>
      <c r="AHZ540"/>
      <c r="AIA540"/>
      <c r="AIB540"/>
      <c r="AIC540"/>
      <c r="AID540"/>
      <c r="AIE540"/>
      <c r="AIF540"/>
      <c r="AIG540"/>
      <c r="AIH540"/>
      <c r="AII540"/>
      <c r="AIJ540"/>
      <c r="AIK540"/>
      <c r="AIL540"/>
      <c r="AIM540"/>
      <c r="AIN540"/>
      <c r="AIO540"/>
      <c r="AIP540"/>
      <c r="AIQ540"/>
      <c r="AIR540"/>
      <c r="AIS540"/>
      <c r="AIT540"/>
      <c r="AIU540"/>
      <c r="AIV540"/>
      <c r="AIW540"/>
      <c r="AIX540"/>
      <c r="AIY540"/>
      <c r="AIZ540"/>
      <c r="AJA540"/>
      <c r="AJB540"/>
      <c r="AJC540"/>
      <c r="AJD540"/>
      <c r="AJE540"/>
      <c r="AJF540"/>
      <c r="AJG540"/>
      <c r="AJH540"/>
      <c r="AJI540"/>
      <c r="AJJ540"/>
      <c r="AJK540"/>
      <c r="AJL540"/>
      <c r="AJM540"/>
      <c r="AJN540"/>
      <c r="AJO540"/>
      <c r="AJP540"/>
      <c r="AJQ540"/>
      <c r="AJR540"/>
      <c r="AJS540"/>
      <c r="AJT540"/>
      <c r="AJU540"/>
      <c r="AJV540"/>
      <c r="AJW540"/>
      <c r="AJX540"/>
      <c r="AJY540"/>
      <c r="AJZ540"/>
      <c r="AKA540"/>
      <c r="AKB540"/>
      <c r="AKC540"/>
      <c r="AKD540"/>
      <c r="AKE540"/>
      <c r="AKF540"/>
      <c r="AKG540"/>
      <c r="AKH540"/>
      <c r="AKI540"/>
      <c r="AKJ540"/>
      <c r="AKK540"/>
      <c r="AKL540"/>
      <c r="AKM540"/>
      <c r="AKN540"/>
      <c r="AKO540"/>
      <c r="AKP540"/>
      <c r="AKQ540"/>
      <c r="AKR540"/>
      <c r="AKS540"/>
      <c r="AKT540"/>
      <c r="AKU540"/>
      <c r="AKV540"/>
      <c r="AKW540"/>
      <c r="AKX540"/>
      <c r="AKY540"/>
      <c r="AKZ540"/>
      <c r="ALA540"/>
      <c r="ALB540"/>
      <c r="ALC540"/>
      <c r="ALD540"/>
      <c r="ALE540"/>
      <c r="ALF540"/>
      <c r="ALG540"/>
      <c r="ALH540"/>
      <c r="ALI540"/>
      <c r="ALJ540"/>
      <c r="ALK540"/>
      <c r="ALL540"/>
      <c r="ALM540"/>
      <c r="ALN540"/>
      <c r="ALO540"/>
      <c r="ALP540"/>
      <c r="ALQ540"/>
      <c r="ALR540"/>
      <c r="ALS540"/>
      <c r="ALT540"/>
      <c r="ALU540"/>
      <c r="ALV540"/>
      <c r="ALW540"/>
      <c r="ALX540"/>
      <c r="ALY540"/>
      <c r="ALZ540"/>
      <c r="AMA540"/>
      <c r="AMB540"/>
      <c r="AMC540"/>
      <c r="AMD540"/>
    </row>
    <row r="541" spans="1:1018">
      <c r="A541" s="178"/>
      <c r="B541" s="178"/>
      <c r="C541" s="178"/>
      <c r="D541" s="178"/>
      <c r="E541" s="178"/>
      <c r="F541" s="277"/>
      <c r="G541" s="178"/>
      <c r="H541" s="160"/>
      <c r="I541" s="160"/>
      <c r="J541" s="160"/>
      <c r="K541" s="178"/>
      <c r="L541" s="178"/>
      <c r="M541" s="185"/>
      <c r="N541" s="185"/>
      <c r="O541" s="364"/>
      <c r="P541" s="156"/>
      <c r="Q541" s="156"/>
      <c r="R541" s="146"/>
      <c r="S541" s="147"/>
      <c r="T541" s="147"/>
      <c r="U541" s="148"/>
      <c r="V541" s="148"/>
      <c r="W541" s="157"/>
      <c r="X541" s="157"/>
      <c r="Y541" s="157"/>
      <c r="Z541" s="157"/>
      <c r="AA541" s="157"/>
      <c r="AB541" s="157"/>
      <c r="AC541" s="157"/>
      <c r="AD541" s="157"/>
      <c r="AE541" s="157"/>
      <c r="AF541" s="157"/>
      <c r="AG541" s="157"/>
      <c r="AH541" s="157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  <c r="ZW541"/>
      <c r="ZX541"/>
      <c r="ZY541"/>
      <c r="ZZ541"/>
      <c r="AAA541"/>
      <c r="AAB541"/>
      <c r="AAC541"/>
      <c r="AAD541"/>
      <c r="AAE541"/>
      <c r="AAF541"/>
      <c r="AAG541"/>
      <c r="AAH541"/>
      <c r="AAI541"/>
      <c r="AAJ541"/>
      <c r="AAK541"/>
      <c r="AAL541"/>
      <c r="AAM541"/>
      <c r="AAN541"/>
      <c r="AAO541"/>
      <c r="AAP541"/>
      <c r="AAQ541"/>
      <c r="AAR541"/>
      <c r="AAS541"/>
      <c r="AAT541"/>
      <c r="AAU541"/>
      <c r="AAV541"/>
      <c r="AAW541"/>
      <c r="AAX541"/>
      <c r="AAY541"/>
      <c r="AAZ541"/>
      <c r="ABA541"/>
      <c r="ABB541"/>
      <c r="ABC541"/>
      <c r="ABD541"/>
      <c r="ABE541"/>
      <c r="ABF541"/>
      <c r="ABG541"/>
      <c r="ABH541"/>
      <c r="ABI541"/>
      <c r="ABJ541"/>
      <c r="ABK541"/>
      <c r="ABL541"/>
      <c r="ABM541"/>
      <c r="ABN541"/>
      <c r="ABO541"/>
      <c r="ABP541"/>
      <c r="ABQ541"/>
      <c r="ABR541"/>
      <c r="ABS541"/>
      <c r="ABT541"/>
      <c r="ABU541"/>
      <c r="ABV541"/>
      <c r="ABW541"/>
      <c r="ABX541"/>
      <c r="ABY541"/>
      <c r="ABZ541"/>
      <c r="ACA541"/>
      <c r="ACB541"/>
      <c r="ACC541"/>
      <c r="ACD541"/>
      <c r="ACE541"/>
      <c r="ACF541"/>
      <c r="ACG541"/>
      <c r="ACH541"/>
      <c r="ACI541"/>
      <c r="ACJ541"/>
      <c r="ACK541"/>
      <c r="ACL541"/>
      <c r="ACM541"/>
      <c r="ACN541"/>
      <c r="ACO541"/>
      <c r="ACP541"/>
      <c r="ACQ541"/>
      <c r="ACR541"/>
      <c r="ACS541"/>
      <c r="ACT541"/>
      <c r="ACU541"/>
      <c r="ACV541"/>
      <c r="ACW541"/>
      <c r="ACX541"/>
      <c r="ACY541"/>
      <c r="ACZ541"/>
      <c r="ADA541"/>
      <c r="ADB541"/>
      <c r="ADC541"/>
      <c r="ADD541"/>
      <c r="ADE541"/>
      <c r="ADF541"/>
      <c r="ADG541"/>
      <c r="ADH541"/>
      <c r="ADI541"/>
      <c r="ADJ541"/>
      <c r="ADK541"/>
      <c r="ADL541"/>
      <c r="ADM541"/>
      <c r="ADN541"/>
      <c r="ADO541"/>
      <c r="ADP541"/>
      <c r="ADQ541"/>
      <c r="ADR541"/>
      <c r="ADS541"/>
      <c r="ADT541"/>
      <c r="ADU541"/>
      <c r="ADV541"/>
      <c r="ADW541"/>
      <c r="ADX541"/>
      <c r="ADY541"/>
      <c r="ADZ541"/>
      <c r="AEA541"/>
      <c r="AEB541"/>
      <c r="AEC541"/>
      <c r="AED541"/>
      <c r="AEE541"/>
      <c r="AEF541"/>
      <c r="AEG541"/>
      <c r="AEH541"/>
      <c r="AEI541"/>
      <c r="AEJ541"/>
      <c r="AEK541"/>
      <c r="AEL541"/>
      <c r="AEM541"/>
      <c r="AEN541"/>
      <c r="AEO541"/>
      <c r="AEP541"/>
      <c r="AEQ541"/>
      <c r="AER541"/>
      <c r="AES541"/>
      <c r="AET541"/>
      <c r="AEU541"/>
      <c r="AEV541"/>
      <c r="AEW541"/>
      <c r="AEX541"/>
      <c r="AEY541"/>
      <c r="AEZ541"/>
      <c r="AFA541"/>
      <c r="AFB541"/>
      <c r="AFC541"/>
      <c r="AFD541"/>
      <c r="AFE541"/>
      <c r="AFF541"/>
      <c r="AFG541"/>
      <c r="AFH541"/>
      <c r="AFI541"/>
      <c r="AFJ541"/>
      <c r="AFK541"/>
      <c r="AFL541"/>
      <c r="AFM541"/>
      <c r="AFN541"/>
      <c r="AFO541"/>
      <c r="AFP541"/>
      <c r="AFQ541"/>
      <c r="AFR541"/>
      <c r="AFS541"/>
      <c r="AFT541"/>
      <c r="AFU541"/>
      <c r="AFV541"/>
      <c r="AFW541"/>
      <c r="AFX541"/>
      <c r="AFY541"/>
      <c r="AFZ541"/>
      <c r="AGA541"/>
      <c r="AGB541"/>
      <c r="AGC541"/>
      <c r="AGD541"/>
      <c r="AGE541"/>
      <c r="AGF541"/>
      <c r="AGG541"/>
      <c r="AGH541"/>
      <c r="AGI541"/>
      <c r="AGJ541"/>
      <c r="AGK541"/>
      <c r="AGL541"/>
      <c r="AGM541"/>
      <c r="AGN541"/>
      <c r="AGO541"/>
      <c r="AGP541"/>
      <c r="AGQ541"/>
      <c r="AGR541"/>
      <c r="AGS541"/>
      <c r="AGT541"/>
      <c r="AGU541"/>
      <c r="AGV541"/>
      <c r="AGW541"/>
      <c r="AGX541"/>
      <c r="AGY541"/>
      <c r="AGZ541"/>
      <c r="AHA541"/>
      <c r="AHB541"/>
      <c r="AHC541"/>
      <c r="AHD541"/>
      <c r="AHE541"/>
      <c r="AHF541"/>
      <c r="AHG541"/>
      <c r="AHH541"/>
      <c r="AHI541"/>
      <c r="AHJ541"/>
      <c r="AHK541"/>
      <c r="AHL541"/>
      <c r="AHM541"/>
      <c r="AHN541"/>
      <c r="AHO541"/>
      <c r="AHP541"/>
      <c r="AHQ541"/>
      <c r="AHR541"/>
      <c r="AHS541"/>
      <c r="AHT541"/>
      <c r="AHU541"/>
      <c r="AHV541"/>
      <c r="AHW541"/>
      <c r="AHX541"/>
      <c r="AHY541"/>
      <c r="AHZ541"/>
      <c r="AIA541"/>
      <c r="AIB541"/>
      <c r="AIC541"/>
      <c r="AID541"/>
      <c r="AIE541"/>
      <c r="AIF541"/>
      <c r="AIG541"/>
      <c r="AIH541"/>
      <c r="AII541"/>
      <c r="AIJ541"/>
      <c r="AIK541"/>
      <c r="AIL541"/>
      <c r="AIM541"/>
      <c r="AIN541"/>
      <c r="AIO541"/>
      <c r="AIP541"/>
      <c r="AIQ541"/>
      <c r="AIR541"/>
      <c r="AIS541"/>
      <c r="AIT541"/>
      <c r="AIU541"/>
      <c r="AIV541"/>
      <c r="AIW541"/>
      <c r="AIX541"/>
      <c r="AIY541"/>
      <c r="AIZ541"/>
      <c r="AJA541"/>
      <c r="AJB541"/>
      <c r="AJC541"/>
      <c r="AJD541"/>
      <c r="AJE541"/>
      <c r="AJF541"/>
      <c r="AJG541"/>
      <c r="AJH541"/>
      <c r="AJI541"/>
      <c r="AJJ541"/>
      <c r="AJK541"/>
      <c r="AJL541"/>
      <c r="AJM541"/>
      <c r="AJN541"/>
      <c r="AJO541"/>
      <c r="AJP541"/>
      <c r="AJQ541"/>
      <c r="AJR541"/>
      <c r="AJS541"/>
      <c r="AJT541"/>
      <c r="AJU541"/>
      <c r="AJV541"/>
      <c r="AJW541"/>
      <c r="AJX541"/>
      <c r="AJY541"/>
      <c r="AJZ541"/>
      <c r="AKA541"/>
      <c r="AKB541"/>
      <c r="AKC541"/>
      <c r="AKD541"/>
      <c r="AKE541"/>
      <c r="AKF541"/>
      <c r="AKG541"/>
      <c r="AKH541"/>
      <c r="AKI541"/>
      <c r="AKJ541"/>
      <c r="AKK541"/>
      <c r="AKL541"/>
      <c r="AKM541"/>
      <c r="AKN541"/>
      <c r="AKO541"/>
      <c r="AKP541"/>
      <c r="AKQ541"/>
      <c r="AKR541"/>
      <c r="AKS541"/>
      <c r="AKT541"/>
      <c r="AKU541"/>
      <c r="AKV541"/>
      <c r="AKW541"/>
      <c r="AKX541"/>
      <c r="AKY541"/>
      <c r="AKZ541"/>
      <c r="ALA541"/>
      <c r="ALB541"/>
      <c r="ALC541"/>
      <c r="ALD541"/>
      <c r="ALE541"/>
      <c r="ALF541"/>
      <c r="ALG541"/>
      <c r="ALH541"/>
      <c r="ALI541"/>
      <c r="ALJ541"/>
      <c r="ALK541"/>
      <c r="ALL541"/>
      <c r="ALM541"/>
      <c r="ALN541"/>
      <c r="ALO541"/>
      <c r="ALP541"/>
      <c r="ALQ541"/>
      <c r="ALR541"/>
      <c r="ALS541"/>
      <c r="ALT541"/>
      <c r="ALU541"/>
      <c r="ALV541"/>
      <c r="ALW541"/>
      <c r="ALX541"/>
      <c r="ALY541"/>
      <c r="ALZ541"/>
      <c r="AMA541"/>
      <c r="AMB541"/>
      <c r="AMC541"/>
      <c r="AMD541"/>
    </row>
    <row r="542" spans="1:1018" ht="45">
      <c r="A542" s="153" t="s">
        <v>326</v>
      </c>
      <c r="B542" s="417"/>
      <c r="C542" s="135" t="s">
        <v>339</v>
      </c>
      <c r="D542" s="362"/>
      <c r="E542" s="417"/>
      <c r="F542" s="418" t="s">
        <v>961</v>
      </c>
      <c r="G542" s="417" t="s">
        <v>426</v>
      </c>
      <c r="H542" s="419" t="s">
        <v>427</v>
      </c>
      <c r="I542" s="245"/>
      <c r="J542" s="235" t="s">
        <v>429</v>
      </c>
      <c r="K542" s="236" t="s">
        <v>441</v>
      </c>
      <c r="L542" s="237"/>
      <c r="M542" s="238" t="s">
        <v>431</v>
      </c>
      <c r="N542" s="239" t="s">
        <v>432</v>
      </c>
      <c r="O542" s="144"/>
      <c r="P542" s="145"/>
      <c r="Q542" s="145"/>
      <c r="R542" s="240"/>
      <c r="S542" s="241"/>
      <c r="T542" s="241"/>
      <c r="U542" s="242"/>
      <c r="V542" s="242"/>
      <c r="W542" s="150" t="s">
        <v>437</v>
      </c>
      <c r="X542" s="150" t="s">
        <v>438</v>
      </c>
      <c r="Y542" s="150" t="s">
        <v>2</v>
      </c>
      <c r="Z542" s="150" t="s">
        <v>4</v>
      </c>
      <c r="AA542" s="150" t="s">
        <v>5</v>
      </c>
      <c r="AB542" s="150" t="s">
        <v>6</v>
      </c>
      <c r="AC542" s="150" t="s">
        <v>7</v>
      </c>
      <c r="AD542" s="150" t="s">
        <v>8</v>
      </c>
      <c r="AE542" s="150" t="s">
        <v>9</v>
      </c>
      <c r="AF542" s="150" t="s">
        <v>10</v>
      </c>
      <c r="AG542" s="150" t="s">
        <v>340</v>
      </c>
      <c r="AH542" s="150" t="s">
        <v>439</v>
      </c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  <c r="ZY542"/>
      <c r="ZZ542"/>
      <c r="AAA542"/>
      <c r="AAB542"/>
      <c r="AAC542"/>
      <c r="AAD542"/>
      <c r="AAE542"/>
      <c r="AAF542"/>
      <c r="AAG542"/>
      <c r="AAH542"/>
      <c r="AAI542"/>
      <c r="AAJ542"/>
      <c r="AAK542"/>
      <c r="AAL542"/>
      <c r="AAM542"/>
      <c r="AAN542"/>
      <c r="AAO542"/>
      <c r="AAP542"/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  <c r="ABE542"/>
      <c r="ABF542"/>
      <c r="ABG542"/>
      <c r="ABH542"/>
      <c r="ABI542"/>
      <c r="ABJ542"/>
      <c r="ABK542"/>
      <c r="ABL542"/>
      <c r="ABM542"/>
      <c r="ABN542"/>
      <c r="ABO542"/>
      <c r="ABP542"/>
      <c r="ABQ542"/>
      <c r="ABR542"/>
      <c r="ABS542"/>
      <c r="ABT542"/>
      <c r="ABU542"/>
      <c r="ABV542"/>
      <c r="ABW542"/>
      <c r="ABX542"/>
      <c r="ABY542"/>
      <c r="ABZ542"/>
      <c r="ACA542"/>
      <c r="ACB542"/>
      <c r="ACC542"/>
      <c r="ACD542"/>
      <c r="ACE542"/>
      <c r="ACF542"/>
      <c r="ACG542"/>
      <c r="ACH542"/>
      <c r="ACI542"/>
      <c r="ACJ542"/>
      <c r="ACK542"/>
      <c r="ACL542"/>
      <c r="ACM542"/>
      <c r="ACN542"/>
      <c r="ACO542"/>
      <c r="ACP542"/>
      <c r="ACQ542"/>
      <c r="ACR542"/>
      <c r="ACS542"/>
      <c r="ACT542"/>
      <c r="ACU542"/>
      <c r="ACV542"/>
      <c r="ACW542"/>
      <c r="ACX542"/>
      <c r="ACY542"/>
      <c r="ACZ542"/>
      <c r="ADA542"/>
      <c r="ADB542"/>
      <c r="ADC542"/>
      <c r="ADD542"/>
      <c r="ADE542"/>
      <c r="ADF542"/>
      <c r="ADG542"/>
      <c r="ADH542"/>
      <c r="ADI542"/>
      <c r="ADJ542"/>
      <c r="ADK542"/>
      <c r="ADL542"/>
      <c r="ADM542"/>
      <c r="ADN542"/>
      <c r="ADO542"/>
      <c r="ADP542"/>
      <c r="ADQ542"/>
      <c r="ADR542"/>
      <c r="ADS542"/>
      <c r="ADT542"/>
      <c r="ADU542"/>
      <c r="ADV542"/>
      <c r="ADW542"/>
      <c r="ADX542"/>
      <c r="ADY542"/>
      <c r="ADZ542"/>
      <c r="AEA542"/>
      <c r="AEB542"/>
      <c r="AEC542"/>
      <c r="AED542"/>
      <c r="AEE542"/>
      <c r="AEF542"/>
      <c r="AEG542"/>
      <c r="AEH542"/>
      <c r="AEI542"/>
      <c r="AEJ542"/>
      <c r="AEK542"/>
      <c r="AEL542"/>
      <c r="AEM542"/>
      <c r="AEN542"/>
      <c r="AEO542"/>
      <c r="AEP542"/>
      <c r="AEQ542"/>
      <c r="AER542"/>
      <c r="AES542"/>
      <c r="AET542"/>
      <c r="AEU542"/>
      <c r="AEV542"/>
      <c r="AEW542"/>
      <c r="AEX542"/>
      <c r="AEY542"/>
      <c r="AEZ542"/>
      <c r="AFA542"/>
      <c r="AFB542"/>
      <c r="AFC542"/>
      <c r="AFD542"/>
      <c r="AFE542"/>
      <c r="AFF542"/>
      <c r="AFG542"/>
      <c r="AFH542"/>
      <c r="AFI542"/>
      <c r="AFJ542"/>
      <c r="AFK542"/>
      <c r="AFL542"/>
      <c r="AFM542"/>
      <c r="AFN542"/>
      <c r="AFO542"/>
      <c r="AFP542"/>
      <c r="AFQ542"/>
      <c r="AFR542"/>
      <c r="AFS542"/>
      <c r="AFT542"/>
      <c r="AFU542"/>
      <c r="AFV542"/>
      <c r="AFW542"/>
      <c r="AFX542"/>
      <c r="AFY542"/>
      <c r="AFZ542"/>
      <c r="AGA542"/>
      <c r="AGB542"/>
      <c r="AGC542"/>
      <c r="AGD542"/>
      <c r="AGE542"/>
      <c r="AGF542"/>
      <c r="AGG542"/>
      <c r="AGH542"/>
      <c r="AGI542"/>
      <c r="AGJ542"/>
      <c r="AGK542"/>
      <c r="AGL542"/>
      <c r="AGM542"/>
      <c r="AGN542"/>
      <c r="AGO542"/>
      <c r="AGP542"/>
      <c r="AGQ542"/>
      <c r="AGR542"/>
      <c r="AGS542"/>
      <c r="AGT542"/>
      <c r="AGU542"/>
      <c r="AGV542"/>
      <c r="AGW542"/>
      <c r="AGX542"/>
      <c r="AGY542"/>
      <c r="AGZ542"/>
      <c r="AHA542"/>
      <c r="AHB542"/>
      <c r="AHC542"/>
      <c r="AHD542"/>
      <c r="AHE542"/>
      <c r="AHF542"/>
      <c r="AHG542"/>
      <c r="AHH542"/>
      <c r="AHI542"/>
      <c r="AHJ542"/>
      <c r="AHK542"/>
      <c r="AHL542"/>
      <c r="AHM542"/>
      <c r="AHN542"/>
      <c r="AHO542"/>
      <c r="AHP542"/>
      <c r="AHQ542"/>
      <c r="AHR542"/>
      <c r="AHS542"/>
      <c r="AHT542"/>
      <c r="AHU542"/>
      <c r="AHV542"/>
      <c r="AHW542"/>
      <c r="AHX542"/>
      <c r="AHY542"/>
      <c r="AHZ542"/>
      <c r="AIA542"/>
      <c r="AIB542"/>
      <c r="AIC542"/>
      <c r="AID542"/>
      <c r="AIE542"/>
      <c r="AIF542"/>
      <c r="AIG542"/>
      <c r="AIH542"/>
      <c r="AII542"/>
      <c r="AIJ542"/>
      <c r="AIK542"/>
      <c r="AIL542"/>
      <c r="AIM542"/>
      <c r="AIN542"/>
      <c r="AIO542"/>
      <c r="AIP542"/>
      <c r="AIQ542"/>
      <c r="AIR542"/>
      <c r="AIS542"/>
      <c r="AIT542"/>
      <c r="AIU542"/>
      <c r="AIV542"/>
      <c r="AIW542"/>
      <c r="AIX542"/>
      <c r="AIY542"/>
      <c r="AIZ542"/>
      <c r="AJA542"/>
      <c r="AJB542"/>
      <c r="AJC542"/>
      <c r="AJD542"/>
      <c r="AJE542"/>
      <c r="AJF542"/>
      <c r="AJG542"/>
      <c r="AJH542"/>
      <c r="AJI542"/>
      <c r="AJJ542"/>
      <c r="AJK542"/>
      <c r="AJL542"/>
      <c r="AJM542"/>
      <c r="AJN542"/>
      <c r="AJO542"/>
      <c r="AJP542"/>
      <c r="AJQ542"/>
      <c r="AJR542"/>
      <c r="AJS542"/>
      <c r="AJT542"/>
      <c r="AJU542"/>
      <c r="AJV542"/>
      <c r="AJW542"/>
      <c r="AJX542"/>
      <c r="AJY542"/>
      <c r="AJZ542"/>
      <c r="AKA542"/>
      <c r="AKB542"/>
      <c r="AKC542"/>
      <c r="AKD542"/>
      <c r="AKE542"/>
      <c r="AKF542"/>
      <c r="AKG542"/>
      <c r="AKH542"/>
      <c r="AKI542"/>
      <c r="AKJ542"/>
      <c r="AKK542"/>
      <c r="AKL542"/>
      <c r="AKM542"/>
      <c r="AKN542"/>
      <c r="AKO542"/>
      <c r="AKP542"/>
      <c r="AKQ542"/>
      <c r="AKR542"/>
      <c r="AKS542"/>
      <c r="AKT542"/>
      <c r="AKU542"/>
      <c r="AKV542"/>
      <c r="AKW542"/>
      <c r="AKX542"/>
      <c r="AKY542"/>
      <c r="AKZ542"/>
      <c r="ALA542"/>
      <c r="ALB542"/>
      <c r="ALC542"/>
      <c r="ALD542"/>
      <c r="ALE542"/>
      <c r="ALF542"/>
      <c r="ALG542"/>
      <c r="ALH542"/>
      <c r="ALI542"/>
      <c r="ALJ542"/>
      <c r="ALK542"/>
      <c r="ALL542"/>
      <c r="ALM542"/>
      <c r="ALN542"/>
      <c r="ALO542"/>
      <c r="ALP542"/>
      <c r="ALQ542"/>
      <c r="ALR542"/>
      <c r="ALS542"/>
      <c r="ALT542"/>
      <c r="ALU542"/>
      <c r="ALV542"/>
      <c r="ALW542"/>
      <c r="ALX542"/>
      <c r="ALY542"/>
      <c r="ALZ542"/>
      <c r="AMA542"/>
      <c r="AMB542"/>
      <c r="AMC542"/>
      <c r="AMD542"/>
    </row>
    <row r="543" spans="1:1018">
      <c r="A543" s="178"/>
      <c r="B543" s="178"/>
      <c r="C543" s="178"/>
      <c r="D543" s="178"/>
      <c r="E543" s="178"/>
      <c r="F543" s="277"/>
      <c r="G543" s="178"/>
      <c r="H543" s="160"/>
      <c r="I543" s="160"/>
      <c r="J543" s="160"/>
      <c r="K543" s="178"/>
      <c r="L543" s="178"/>
      <c r="M543" s="185"/>
      <c r="N543" s="185"/>
      <c r="O543" s="364"/>
      <c r="P543" s="164"/>
      <c r="Q543" s="164"/>
      <c r="R543" s="165"/>
      <c r="S543" s="166"/>
      <c r="T543" s="166"/>
      <c r="U543" s="167"/>
      <c r="V543" s="167"/>
      <c r="W543" s="157"/>
      <c r="X543" s="157"/>
      <c r="Y543" s="157"/>
      <c r="Z543" s="157"/>
      <c r="AA543" s="157"/>
      <c r="AB543" s="157"/>
      <c r="AC543" s="157"/>
      <c r="AD543" s="157"/>
      <c r="AE543" s="157"/>
      <c r="AF543" s="157"/>
      <c r="AG543" s="157"/>
      <c r="AH543" s="157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  <c r="ZW543"/>
      <c r="ZX543"/>
      <c r="ZY543"/>
      <c r="ZZ543"/>
      <c r="AAA543"/>
      <c r="AAB543"/>
      <c r="AAC543"/>
      <c r="AAD543"/>
      <c r="AAE543"/>
      <c r="AAF543"/>
      <c r="AAG543"/>
      <c r="AAH543"/>
      <c r="AAI543"/>
      <c r="AAJ543"/>
      <c r="AAK543"/>
      <c r="AAL543"/>
      <c r="AAM543"/>
      <c r="AAN543"/>
      <c r="AAO543"/>
      <c r="AAP543"/>
      <c r="AAQ543"/>
      <c r="AAR543"/>
      <c r="AAS543"/>
      <c r="AAT543"/>
      <c r="AAU543"/>
      <c r="AAV543"/>
      <c r="AAW543"/>
      <c r="AAX543"/>
      <c r="AAY543"/>
      <c r="AAZ543"/>
      <c r="ABA543"/>
      <c r="ABB543"/>
      <c r="ABC543"/>
      <c r="ABD543"/>
      <c r="ABE543"/>
      <c r="ABF543"/>
      <c r="ABG543"/>
      <c r="ABH543"/>
      <c r="ABI543"/>
      <c r="ABJ543"/>
      <c r="ABK543"/>
      <c r="ABL543"/>
      <c r="ABM543"/>
      <c r="ABN543"/>
      <c r="ABO543"/>
      <c r="ABP543"/>
      <c r="ABQ543"/>
      <c r="ABR543"/>
      <c r="ABS543"/>
      <c r="ABT543"/>
      <c r="ABU543"/>
      <c r="ABV543"/>
      <c r="ABW543"/>
      <c r="ABX543"/>
      <c r="ABY543"/>
      <c r="ABZ543"/>
      <c r="ACA543"/>
      <c r="ACB543"/>
      <c r="ACC543"/>
      <c r="ACD543"/>
      <c r="ACE543"/>
      <c r="ACF543"/>
      <c r="ACG543"/>
      <c r="ACH543"/>
      <c r="ACI543"/>
      <c r="ACJ543"/>
      <c r="ACK543"/>
      <c r="ACL543"/>
      <c r="ACM543"/>
      <c r="ACN543"/>
      <c r="ACO543"/>
      <c r="ACP543"/>
      <c r="ACQ543"/>
      <c r="ACR543"/>
      <c r="ACS543"/>
      <c r="ACT543"/>
      <c r="ACU543"/>
      <c r="ACV543"/>
      <c r="ACW543"/>
      <c r="ACX543"/>
      <c r="ACY543"/>
      <c r="ACZ543"/>
      <c r="ADA543"/>
      <c r="ADB543"/>
      <c r="ADC543"/>
      <c r="ADD543"/>
      <c r="ADE543"/>
      <c r="ADF543"/>
      <c r="ADG543"/>
      <c r="ADH543"/>
      <c r="ADI543"/>
      <c r="ADJ543"/>
      <c r="ADK543"/>
      <c r="ADL543"/>
      <c r="ADM543"/>
      <c r="ADN543"/>
      <c r="ADO543"/>
      <c r="ADP543"/>
      <c r="ADQ543"/>
      <c r="ADR543"/>
      <c r="ADS543"/>
      <c r="ADT543"/>
      <c r="ADU543"/>
      <c r="ADV543"/>
      <c r="ADW543"/>
      <c r="ADX543"/>
      <c r="ADY543"/>
      <c r="ADZ543"/>
      <c r="AEA543"/>
      <c r="AEB543"/>
      <c r="AEC543"/>
      <c r="AED543"/>
      <c r="AEE543"/>
      <c r="AEF543"/>
      <c r="AEG543"/>
      <c r="AEH543"/>
      <c r="AEI543"/>
      <c r="AEJ543"/>
      <c r="AEK543"/>
      <c r="AEL543"/>
      <c r="AEM543"/>
      <c r="AEN543"/>
      <c r="AEO543"/>
      <c r="AEP543"/>
      <c r="AEQ543"/>
      <c r="AER543"/>
      <c r="AES543"/>
      <c r="AET543"/>
      <c r="AEU543"/>
      <c r="AEV543"/>
      <c r="AEW543"/>
      <c r="AEX543"/>
      <c r="AEY543"/>
      <c r="AEZ543"/>
      <c r="AFA543"/>
      <c r="AFB543"/>
      <c r="AFC543"/>
      <c r="AFD543"/>
      <c r="AFE543"/>
      <c r="AFF543"/>
      <c r="AFG543"/>
      <c r="AFH543"/>
      <c r="AFI543"/>
      <c r="AFJ543"/>
      <c r="AFK543"/>
      <c r="AFL543"/>
      <c r="AFM543"/>
      <c r="AFN543"/>
      <c r="AFO543"/>
      <c r="AFP543"/>
      <c r="AFQ543"/>
      <c r="AFR543"/>
      <c r="AFS543"/>
      <c r="AFT543"/>
      <c r="AFU543"/>
      <c r="AFV543"/>
      <c r="AFW543"/>
      <c r="AFX543"/>
      <c r="AFY543"/>
      <c r="AFZ543"/>
      <c r="AGA543"/>
      <c r="AGB543"/>
      <c r="AGC543"/>
      <c r="AGD543"/>
      <c r="AGE543"/>
      <c r="AGF543"/>
      <c r="AGG543"/>
      <c r="AGH543"/>
      <c r="AGI543"/>
      <c r="AGJ543"/>
      <c r="AGK543"/>
      <c r="AGL543"/>
      <c r="AGM543"/>
      <c r="AGN543"/>
      <c r="AGO543"/>
      <c r="AGP543"/>
      <c r="AGQ543"/>
      <c r="AGR543"/>
      <c r="AGS543"/>
      <c r="AGT543"/>
      <c r="AGU543"/>
      <c r="AGV543"/>
      <c r="AGW543"/>
      <c r="AGX543"/>
      <c r="AGY543"/>
      <c r="AGZ543"/>
      <c r="AHA543"/>
      <c r="AHB543"/>
      <c r="AHC543"/>
      <c r="AHD543"/>
      <c r="AHE543"/>
      <c r="AHF543"/>
      <c r="AHG543"/>
      <c r="AHH543"/>
      <c r="AHI543"/>
      <c r="AHJ543"/>
      <c r="AHK543"/>
      <c r="AHL543"/>
      <c r="AHM543"/>
      <c r="AHN543"/>
      <c r="AHO543"/>
      <c r="AHP543"/>
      <c r="AHQ543"/>
      <c r="AHR543"/>
      <c r="AHS543"/>
      <c r="AHT543"/>
      <c r="AHU543"/>
      <c r="AHV543"/>
      <c r="AHW543"/>
      <c r="AHX543"/>
      <c r="AHY543"/>
      <c r="AHZ543"/>
      <c r="AIA543"/>
      <c r="AIB543"/>
      <c r="AIC543"/>
      <c r="AID543"/>
      <c r="AIE543"/>
      <c r="AIF543"/>
      <c r="AIG543"/>
      <c r="AIH543"/>
      <c r="AII543"/>
      <c r="AIJ543"/>
      <c r="AIK543"/>
      <c r="AIL543"/>
      <c r="AIM543"/>
      <c r="AIN543"/>
      <c r="AIO543"/>
      <c r="AIP543"/>
      <c r="AIQ543"/>
      <c r="AIR543"/>
      <c r="AIS543"/>
      <c r="AIT543"/>
      <c r="AIU543"/>
      <c r="AIV543"/>
      <c r="AIW543"/>
      <c r="AIX543"/>
      <c r="AIY543"/>
      <c r="AIZ543"/>
      <c r="AJA543"/>
      <c r="AJB543"/>
      <c r="AJC543"/>
      <c r="AJD543"/>
      <c r="AJE543"/>
      <c r="AJF543"/>
      <c r="AJG543"/>
      <c r="AJH543"/>
      <c r="AJI543"/>
      <c r="AJJ543"/>
      <c r="AJK543"/>
      <c r="AJL543"/>
      <c r="AJM543"/>
      <c r="AJN543"/>
      <c r="AJO543"/>
      <c r="AJP543"/>
      <c r="AJQ543"/>
      <c r="AJR543"/>
      <c r="AJS543"/>
      <c r="AJT543"/>
      <c r="AJU543"/>
      <c r="AJV543"/>
      <c r="AJW543"/>
      <c r="AJX543"/>
      <c r="AJY543"/>
      <c r="AJZ543"/>
      <c r="AKA543"/>
      <c r="AKB543"/>
      <c r="AKC543"/>
      <c r="AKD543"/>
      <c r="AKE543"/>
      <c r="AKF543"/>
      <c r="AKG543"/>
      <c r="AKH543"/>
      <c r="AKI543"/>
      <c r="AKJ543"/>
      <c r="AKK543"/>
      <c r="AKL543"/>
      <c r="AKM543"/>
      <c r="AKN543"/>
      <c r="AKO543"/>
      <c r="AKP543"/>
      <c r="AKQ543"/>
      <c r="AKR543"/>
      <c r="AKS543"/>
      <c r="AKT543"/>
      <c r="AKU543"/>
      <c r="AKV543"/>
      <c r="AKW543"/>
      <c r="AKX543"/>
      <c r="AKY543"/>
      <c r="AKZ543"/>
      <c r="ALA543"/>
      <c r="ALB543"/>
      <c r="ALC543"/>
      <c r="ALD543"/>
      <c r="ALE543"/>
      <c r="ALF543"/>
      <c r="ALG543"/>
      <c r="ALH543"/>
      <c r="ALI543"/>
      <c r="ALJ543"/>
      <c r="ALK543"/>
      <c r="ALL543"/>
      <c r="ALM543"/>
      <c r="ALN543"/>
      <c r="ALO543"/>
      <c r="ALP543"/>
      <c r="ALQ543"/>
      <c r="ALR543"/>
      <c r="ALS543"/>
      <c r="ALT543"/>
      <c r="ALU543"/>
      <c r="ALV543"/>
      <c r="ALW543"/>
      <c r="ALX543"/>
      <c r="ALY543"/>
      <c r="ALZ543"/>
      <c r="AMA543"/>
      <c r="AMB543"/>
      <c r="AMC543"/>
      <c r="AMD543"/>
    </row>
    <row r="544" spans="1:1018">
      <c r="A544" s="547" t="s">
        <v>1451</v>
      </c>
      <c r="B544" s="282"/>
      <c r="C544" s="282" t="s">
        <v>392</v>
      </c>
      <c r="D544" s="282"/>
      <c r="E544" s="178">
        <v>1</v>
      </c>
      <c r="F544" s="277"/>
      <c r="G544" s="282">
        <v>0.1</v>
      </c>
      <c r="H544" s="282">
        <v>11</v>
      </c>
      <c r="I544" s="282"/>
      <c r="J544" s="282">
        <v>3995</v>
      </c>
      <c r="K544" s="407"/>
      <c r="L544" s="201">
        <v>2105</v>
      </c>
      <c r="M544" s="406"/>
      <c r="N544" s="420">
        <f t="shared" ref="N544:N551" si="56">+J544+K544+L544</f>
        <v>6100</v>
      </c>
      <c r="O544" s="303">
        <v>13637</v>
      </c>
      <c r="P544" s="304">
        <v>2700</v>
      </c>
      <c r="Q544" s="304">
        <v>300</v>
      </c>
      <c r="R544" s="305">
        <v>2994</v>
      </c>
      <c r="S544" s="306">
        <v>4090</v>
      </c>
      <c r="T544" s="306"/>
      <c r="U544" s="9">
        <v>370</v>
      </c>
      <c r="V544" s="9"/>
      <c r="W544" s="291">
        <v>3995</v>
      </c>
      <c r="X544" s="291">
        <v>6100</v>
      </c>
      <c r="Y544" s="291">
        <v>6100</v>
      </c>
      <c r="Z544" s="291">
        <v>6100</v>
      </c>
      <c r="AA544" s="291"/>
      <c r="AB544" s="291"/>
      <c r="AC544" s="291"/>
      <c r="AD544" s="291"/>
      <c r="AE544" s="291"/>
      <c r="AF544" s="308"/>
      <c r="AG544" s="291"/>
      <c r="AH544" s="291">
        <v>0</v>
      </c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  <c r="ZY544"/>
      <c r="ZZ544"/>
      <c r="AAA544"/>
      <c r="AAB544"/>
      <c r="AAC544"/>
      <c r="AAD544"/>
      <c r="AAE544"/>
      <c r="AAF544"/>
      <c r="AAG544"/>
      <c r="AAH544"/>
      <c r="AAI544"/>
      <c r="AAJ544"/>
      <c r="AAK544"/>
      <c r="AAL544"/>
      <c r="AAM544"/>
      <c r="AAN544"/>
      <c r="AAO544"/>
      <c r="AAP544"/>
      <c r="AAQ544"/>
      <c r="AAR544"/>
      <c r="AAS544"/>
      <c r="AAT544"/>
      <c r="AAU544"/>
      <c r="AAV544"/>
      <c r="AAW544"/>
      <c r="AAX544"/>
      <c r="AAY544"/>
      <c r="AAZ544"/>
      <c r="ABA544"/>
      <c r="ABB544"/>
      <c r="ABC544"/>
      <c r="ABD544"/>
      <c r="ABE544"/>
      <c r="ABF544"/>
      <c r="ABG544"/>
      <c r="ABH544"/>
      <c r="ABI544"/>
      <c r="ABJ544"/>
      <c r="ABK544"/>
      <c r="ABL544"/>
      <c r="ABM544"/>
      <c r="ABN544"/>
      <c r="ABO544"/>
      <c r="ABP544"/>
      <c r="ABQ544"/>
      <c r="ABR544"/>
      <c r="ABS544"/>
      <c r="ABT544"/>
      <c r="ABU544"/>
      <c r="ABV544"/>
      <c r="ABW544"/>
      <c r="ABX544"/>
      <c r="ABY544"/>
      <c r="ABZ544"/>
      <c r="ACA544"/>
      <c r="ACB544"/>
      <c r="ACC544"/>
      <c r="ACD544"/>
      <c r="ACE544"/>
      <c r="ACF544"/>
      <c r="ACG544"/>
      <c r="ACH544"/>
      <c r="ACI544"/>
      <c r="ACJ544"/>
      <c r="ACK544"/>
      <c r="ACL544"/>
      <c r="ACM544"/>
      <c r="ACN544"/>
      <c r="ACO544"/>
      <c r="ACP544"/>
      <c r="ACQ544"/>
      <c r="ACR544"/>
      <c r="ACS544"/>
      <c r="ACT544"/>
      <c r="ACU544"/>
      <c r="ACV544"/>
      <c r="ACW544"/>
      <c r="ACX544"/>
      <c r="ACY544"/>
      <c r="ACZ544"/>
      <c r="ADA544"/>
      <c r="ADB544"/>
      <c r="ADC544"/>
      <c r="ADD544"/>
      <c r="ADE544"/>
      <c r="ADF544"/>
      <c r="ADG544"/>
      <c r="ADH544"/>
      <c r="ADI544"/>
      <c r="ADJ544"/>
      <c r="ADK544"/>
      <c r="ADL544"/>
      <c r="ADM544"/>
      <c r="ADN544"/>
      <c r="ADO544"/>
      <c r="ADP544"/>
      <c r="ADQ544"/>
      <c r="ADR544"/>
      <c r="ADS544"/>
      <c r="ADT544"/>
      <c r="ADU544"/>
      <c r="ADV544"/>
      <c r="ADW544"/>
      <c r="ADX544"/>
      <c r="ADY544"/>
      <c r="ADZ544"/>
      <c r="AEA544"/>
      <c r="AEB544"/>
      <c r="AEC544"/>
      <c r="AED544"/>
      <c r="AEE544"/>
      <c r="AEF544"/>
      <c r="AEG544"/>
      <c r="AEH544"/>
      <c r="AEI544"/>
      <c r="AEJ544"/>
      <c r="AEK544"/>
      <c r="AEL544"/>
      <c r="AEM544"/>
      <c r="AEN544"/>
      <c r="AEO544"/>
      <c r="AEP544"/>
      <c r="AEQ544"/>
      <c r="AER544"/>
      <c r="AES544"/>
      <c r="AET544"/>
      <c r="AEU544"/>
      <c r="AEV544"/>
      <c r="AEW544"/>
      <c r="AEX544"/>
      <c r="AEY544"/>
      <c r="AEZ544"/>
      <c r="AFA544"/>
      <c r="AFB544"/>
      <c r="AFC544"/>
      <c r="AFD544"/>
      <c r="AFE544"/>
      <c r="AFF544"/>
      <c r="AFG544"/>
      <c r="AFH544"/>
      <c r="AFI544"/>
      <c r="AFJ544"/>
      <c r="AFK544"/>
      <c r="AFL544"/>
      <c r="AFM544"/>
      <c r="AFN544"/>
      <c r="AFO544"/>
      <c r="AFP544"/>
      <c r="AFQ544"/>
      <c r="AFR544"/>
      <c r="AFS544"/>
      <c r="AFT544"/>
      <c r="AFU544"/>
      <c r="AFV544"/>
      <c r="AFW544"/>
      <c r="AFX544"/>
      <c r="AFY544"/>
      <c r="AFZ544"/>
      <c r="AGA544"/>
      <c r="AGB544"/>
      <c r="AGC544"/>
      <c r="AGD544"/>
      <c r="AGE544"/>
      <c r="AGF544"/>
      <c r="AGG544"/>
      <c r="AGH544"/>
      <c r="AGI544"/>
      <c r="AGJ544"/>
      <c r="AGK544"/>
      <c r="AGL544"/>
      <c r="AGM544"/>
      <c r="AGN544"/>
      <c r="AGO544"/>
      <c r="AGP544"/>
      <c r="AGQ544"/>
      <c r="AGR544"/>
      <c r="AGS544"/>
      <c r="AGT544"/>
      <c r="AGU544"/>
      <c r="AGV544"/>
      <c r="AGW544"/>
      <c r="AGX544"/>
      <c r="AGY544"/>
      <c r="AGZ544"/>
      <c r="AHA544"/>
      <c r="AHB544"/>
      <c r="AHC544"/>
      <c r="AHD544"/>
      <c r="AHE544"/>
      <c r="AHF544"/>
      <c r="AHG544"/>
      <c r="AHH544"/>
      <c r="AHI544"/>
      <c r="AHJ544"/>
      <c r="AHK544"/>
      <c r="AHL544"/>
      <c r="AHM544"/>
      <c r="AHN544"/>
      <c r="AHO544"/>
      <c r="AHP544"/>
      <c r="AHQ544"/>
      <c r="AHR544"/>
      <c r="AHS544"/>
      <c r="AHT544"/>
      <c r="AHU544"/>
      <c r="AHV544"/>
      <c r="AHW544"/>
      <c r="AHX544"/>
      <c r="AHY544"/>
      <c r="AHZ544"/>
      <c r="AIA544"/>
      <c r="AIB544"/>
      <c r="AIC544"/>
      <c r="AID544"/>
      <c r="AIE544"/>
      <c r="AIF544"/>
      <c r="AIG544"/>
      <c r="AIH544"/>
      <c r="AII544"/>
      <c r="AIJ544"/>
      <c r="AIK544"/>
      <c r="AIL544"/>
      <c r="AIM544"/>
      <c r="AIN544"/>
      <c r="AIO544"/>
      <c r="AIP544"/>
      <c r="AIQ544"/>
      <c r="AIR544"/>
      <c r="AIS544"/>
      <c r="AIT544"/>
      <c r="AIU544"/>
      <c r="AIV544"/>
      <c r="AIW544"/>
      <c r="AIX544"/>
      <c r="AIY544"/>
      <c r="AIZ544"/>
      <c r="AJA544"/>
      <c r="AJB544"/>
      <c r="AJC544"/>
      <c r="AJD544"/>
      <c r="AJE544"/>
      <c r="AJF544"/>
      <c r="AJG544"/>
      <c r="AJH544"/>
      <c r="AJI544"/>
      <c r="AJJ544"/>
      <c r="AJK544"/>
      <c r="AJL544"/>
      <c r="AJM544"/>
      <c r="AJN544"/>
      <c r="AJO544"/>
      <c r="AJP544"/>
      <c r="AJQ544"/>
      <c r="AJR544"/>
      <c r="AJS544"/>
      <c r="AJT544"/>
      <c r="AJU544"/>
      <c r="AJV544"/>
      <c r="AJW544"/>
      <c r="AJX544"/>
      <c r="AJY544"/>
      <c r="AJZ544"/>
      <c r="AKA544"/>
      <c r="AKB544"/>
      <c r="AKC544"/>
      <c r="AKD544"/>
      <c r="AKE544"/>
      <c r="AKF544"/>
      <c r="AKG544"/>
      <c r="AKH544"/>
      <c r="AKI544"/>
      <c r="AKJ544"/>
      <c r="AKK544"/>
      <c r="AKL544"/>
      <c r="AKM544"/>
      <c r="AKN544"/>
      <c r="AKO544"/>
      <c r="AKP544"/>
      <c r="AKQ544"/>
      <c r="AKR544"/>
      <c r="AKS544"/>
      <c r="AKT544"/>
      <c r="AKU544"/>
      <c r="AKV544"/>
      <c r="AKW544"/>
      <c r="AKX544"/>
      <c r="AKY544"/>
      <c r="AKZ544"/>
      <c r="ALA544"/>
      <c r="ALB544"/>
      <c r="ALC544"/>
      <c r="ALD544"/>
      <c r="ALE544"/>
      <c r="ALF544"/>
      <c r="ALG544"/>
      <c r="ALH544"/>
      <c r="ALI544"/>
      <c r="ALJ544"/>
      <c r="ALK544"/>
      <c r="ALL544"/>
      <c r="ALM544"/>
      <c r="ALN544"/>
      <c r="ALO544"/>
      <c r="ALP544"/>
      <c r="ALQ544"/>
      <c r="ALR544"/>
      <c r="ALS544"/>
      <c r="ALT544"/>
      <c r="ALU544"/>
      <c r="ALV544"/>
      <c r="ALW544"/>
      <c r="ALX544"/>
      <c r="ALY544"/>
      <c r="ALZ544"/>
      <c r="AMA544"/>
      <c r="AMB544"/>
      <c r="AMC544"/>
      <c r="AMD544"/>
    </row>
    <row r="545" spans="1:1018">
      <c r="A545" s="547" t="s">
        <v>1452</v>
      </c>
      <c r="B545" s="282"/>
      <c r="C545" s="282" t="s">
        <v>350</v>
      </c>
      <c r="D545" s="282"/>
      <c r="E545" s="178">
        <f>+E544+1</f>
        <v>2</v>
      </c>
      <c r="F545" s="277" t="s">
        <v>1453</v>
      </c>
      <c r="G545" s="282">
        <v>0.15</v>
      </c>
      <c r="H545" s="282">
        <v>10</v>
      </c>
      <c r="I545" s="282"/>
      <c r="J545" s="175"/>
      <c r="K545" s="422">
        <v>3735.33</v>
      </c>
      <c r="L545" s="422">
        <v>2000</v>
      </c>
      <c r="M545" s="406"/>
      <c r="N545" s="420">
        <f t="shared" si="56"/>
        <v>5735.33</v>
      </c>
      <c r="O545" s="303">
        <v>13558</v>
      </c>
      <c r="P545" s="304">
        <v>0</v>
      </c>
      <c r="Q545" s="304">
        <v>300</v>
      </c>
      <c r="R545" s="305" t="s">
        <v>1454</v>
      </c>
      <c r="S545" s="306">
        <f>4090+160</f>
        <v>4250</v>
      </c>
      <c r="T545" s="306"/>
      <c r="U545" s="9">
        <v>286.76</v>
      </c>
      <c r="V545" s="9"/>
      <c r="W545" s="291">
        <v>0</v>
      </c>
      <c r="X545" s="291">
        <v>3735.33</v>
      </c>
      <c r="Y545" s="315">
        <v>5735.33</v>
      </c>
      <c r="Z545" s="291"/>
      <c r="AA545" s="291"/>
      <c r="AB545" s="291"/>
      <c r="AC545" s="291"/>
      <c r="AD545" s="291"/>
      <c r="AE545" s="291"/>
      <c r="AF545" s="291"/>
      <c r="AG545" s="291"/>
      <c r="AH545" s="291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  <c r="ZW545"/>
      <c r="ZX545"/>
      <c r="ZY545"/>
      <c r="ZZ545"/>
      <c r="AAA545"/>
      <c r="AAB545"/>
      <c r="AAC545"/>
      <c r="AAD545"/>
      <c r="AAE545"/>
      <c r="AAF545"/>
      <c r="AAG545"/>
      <c r="AAH545"/>
      <c r="AAI545"/>
      <c r="AAJ545"/>
      <c r="AAK545"/>
      <c r="AAL545"/>
      <c r="AAM545"/>
      <c r="AAN545"/>
      <c r="AAO545"/>
      <c r="AAP545"/>
      <c r="AAQ545"/>
      <c r="AAR545"/>
      <c r="AAS545"/>
      <c r="AAT545"/>
      <c r="AAU545"/>
      <c r="AAV545"/>
      <c r="AAW545"/>
      <c r="AAX545"/>
      <c r="AAY545"/>
      <c r="AAZ545"/>
      <c r="ABA545"/>
      <c r="ABB545"/>
      <c r="ABC545"/>
      <c r="ABD545"/>
      <c r="ABE545"/>
      <c r="ABF545"/>
      <c r="ABG545"/>
      <c r="ABH545"/>
      <c r="ABI545"/>
      <c r="ABJ545"/>
      <c r="ABK545"/>
      <c r="ABL545"/>
      <c r="ABM545"/>
      <c r="ABN545"/>
      <c r="ABO545"/>
      <c r="ABP545"/>
      <c r="ABQ545"/>
      <c r="ABR545"/>
      <c r="ABS545"/>
      <c r="ABT545"/>
      <c r="ABU545"/>
      <c r="ABV545"/>
      <c r="ABW545"/>
      <c r="ABX545"/>
      <c r="ABY545"/>
      <c r="ABZ545"/>
      <c r="ACA545"/>
      <c r="ACB545"/>
      <c r="ACC545"/>
      <c r="ACD545"/>
      <c r="ACE545"/>
      <c r="ACF545"/>
      <c r="ACG545"/>
      <c r="ACH545"/>
      <c r="ACI545"/>
      <c r="ACJ545"/>
      <c r="ACK545"/>
      <c r="ACL545"/>
      <c r="ACM545"/>
      <c r="ACN545"/>
      <c r="ACO545"/>
      <c r="ACP545"/>
      <c r="ACQ545"/>
      <c r="ACR545"/>
      <c r="ACS545"/>
      <c r="ACT545"/>
      <c r="ACU545"/>
      <c r="ACV545"/>
      <c r="ACW545"/>
      <c r="ACX545"/>
      <c r="ACY545"/>
      <c r="ACZ545"/>
      <c r="ADA545"/>
      <c r="ADB545"/>
      <c r="ADC545"/>
      <c r="ADD545"/>
      <c r="ADE545"/>
      <c r="ADF545"/>
      <c r="ADG545"/>
      <c r="ADH545"/>
      <c r="ADI545"/>
      <c r="ADJ545"/>
      <c r="ADK545"/>
      <c r="ADL545"/>
      <c r="ADM545"/>
      <c r="ADN545"/>
      <c r="ADO545"/>
      <c r="ADP545"/>
      <c r="ADQ545"/>
      <c r="ADR545"/>
      <c r="ADS545"/>
      <c r="ADT545"/>
      <c r="ADU545"/>
      <c r="ADV545"/>
      <c r="ADW545"/>
      <c r="ADX545"/>
      <c r="ADY545"/>
      <c r="ADZ545"/>
      <c r="AEA545"/>
      <c r="AEB545"/>
      <c r="AEC545"/>
      <c r="AED545"/>
      <c r="AEE545"/>
      <c r="AEF545"/>
      <c r="AEG545"/>
      <c r="AEH545"/>
      <c r="AEI545"/>
      <c r="AEJ545"/>
      <c r="AEK545"/>
      <c r="AEL545"/>
      <c r="AEM545"/>
      <c r="AEN545"/>
      <c r="AEO545"/>
      <c r="AEP545"/>
      <c r="AEQ545"/>
      <c r="AER545"/>
      <c r="AES545"/>
      <c r="AET545"/>
      <c r="AEU545"/>
      <c r="AEV545"/>
      <c r="AEW545"/>
      <c r="AEX545"/>
      <c r="AEY545"/>
      <c r="AEZ545"/>
      <c r="AFA545"/>
      <c r="AFB545"/>
      <c r="AFC545"/>
      <c r="AFD545"/>
      <c r="AFE545"/>
      <c r="AFF545"/>
      <c r="AFG545"/>
      <c r="AFH545"/>
      <c r="AFI545"/>
      <c r="AFJ545"/>
      <c r="AFK545"/>
      <c r="AFL545"/>
      <c r="AFM545"/>
      <c r="AFN545"/>
      <c r="AFO545"/>
      <c r="AFP545"/>
      <c r="AFQ545"/>
      <c r="AFR545"/>
      <c r="AFS545"/>
      <c r="AFT545"/>
      <c r="AFU545"/>
      <c r="AFV545"/>
      <c r="AFW545"/>
      <c r="AFX545"/>
      <c r="AFY545"/>
      <c r="AFZ545"/>
      <c r="AGA545"/>
      <c r="AGB545"/>
      <c r="AGC545"/>
      <c r="AGD545"/>
      <c r="AGE545"/>
      <c r="AGF545"/>
      <c r="AGG545"/>
      <c r="AGH545"/>
      <c r="AGI545"/>
      <c r="AGJ545"/>
      <c r="AGK545"/>
      <c r="AGL545"/>
      <c r="AGM545"/>
      <c r="AGN545"/>
      <c r="AGO545"/>
      <c r="AGP545"/>
      <c r="AGQ545"/>
      <c r="AGR545"/>
      <c r="AGS545"/>
      <c r="AGT545"/>
      <c r="AGU545"/>
      <c r="AGV545"/>
      <c r="AGW545"/>
      <c r="AGX545"/>
      <c r="AGY545"/>
      <c r="AGZ545"/>
      <c r="AHA545"/>
      <c r="AHB545"/>
      <c r="AHC545"/>
      <c r="AHD545"/>
      <c r="AHE545"/>
      <c r="AHF545"/>
      <c r="AHG545"/>
      <c r="AHH545"/>
      <c r="AHI545"/>
      <c r="AHJ545"/>
      <c r="AHK545"/>
      <c r="AHL545"/>
      <c r="AHM545"/>
      <c r="AHN545"/>
      <c r="AHO545"/>
      <c r="AHP545"/>
      <c r="AHQ545"/>
      <c r="AHR545"/>
      <c r="AHS545"/>
      <c r="AHT545"/>
      <c r="AHU545"/>
      <c r="AHV545"/>
      <c r="AHW545"/>
      <c r="AHX545"/>
      <c r="AHY545"/>
      <c r="AHZ545"/>
      <c r="AIA545"/>
      <c r="AIB545"/>
      <c r="AIC545"/>
      <c r="AID545"/>
      <c r="AIE545"/>
      <c r="AIF545"/>
      <c r="AIG545"/>
      <c r="AIH545"/>
      <c r="AII545"/>
      <c r="AIJ545"/>
      <c r="AIK545"/>
      <c r="AIL545"/>
      <c r="AIM545"/>
      <c r="AIN545"/>
      <c r="AIO545"/>
      <c r="AIP545"/>
      <c r="AIQ545"/>
      <c r="AIR545"/>
      <c r="AIS545"/>
      <c r="AIT545"/>
      <c r="AIU545"/>
      <c r="AIV545"/>
      <c r="AIW545"/>
      <c r="AIX545"/>
      <c r="AIY545"/>
      <c r="AIZ545"/>
      <c r="AJA545"/>
      <c r="AJB545"/>
      <c r="AJC545"/>
      <c r="AJD545"/>
      <c r="AJE545"/>
      <c r="AJF545"/>
      <c r="AJG545"/>
      <c r="AJH545"/>
      <c r="AJI545"/>
      <c r="AJJ545"/>
      <c r="AJK545"/>
      <c r="AJL545"/>
      <c r="AJM545"/>
      <c r="AJN545"/>
      <c r="AJO545"/>
      <c r="AJP545"/>
      <c r="AJQ545"/>
      <c r="AJR545"/>
      <c r="AJS545"/>
      <c r="AJT545"/>
      <c r="AJU545"/>
      <c r="AJV545"/>
      <c r="AJW545"/>
      <c r="AJX545"/>
      <c r="AJY545"/>
      <c r="AJZ545"/>
      <c r="AKA545"/>
      <c r="AKB545"/>
      <c r="AKC545"/>
      <c r="AKD545"/>
      <c r="AKE545"/>
      <c r="AKF545"/>
      <c r="AKG545"/>
      <c r="AKH545"/>
      <c r="AKI545"/>
      <c r="AKJ545"/>
      <c r="AKK545"/>
      <c r="AKL545"/>
      <c r="AKM545"/>
      <c r="AKN545"/>
      <c r="AKO545"/>
      <c r="AKP545"/>
      <c r="AKQ545"/>
      <c r="AKR545"/>
      <c r="AKS545"/>
      <c r="AKT545"/>
      <c r="AKU545"/>
      <c r="AKV545"/>
      <c r="AKW545"/>
      <c r="AKX545"/>
      <c r="AKY545"/>
      <c r="AKZ545"/>
      <c r="ALA545"/>
      <c r="ALB545"/>
      <c r="ALC545"/>
      <c r="ALD545"/>
      <c r="ALE545"/>
      <c r="ALF545"/>
      <c r="ALG545"/>
      <c r="ALH545"/>
      <c r="ALI545"/>
      <c r="ALJ545"/>
      <c r="ALK545"/>
      <c r="ALL545"/>
      <c r="ALM545"/>
      <c r="ALN545"/>
      <c r="ALO545"/>
      <c r="ALP545"/>
      <c r="ALQ545"/>
      <c r="ALR545"/>
      <c r="ALS545"/>
      <c r="ALT545"/>
      <c r="ALU545"/>
      <c r="ALV545"/>
      <c r="ALW545"/>
      <c r="ALX545"/>
      <c r="ALY545"/>
      <c r="ALZ545"/>
      <c r="AMA545"/>
      <c r="AMB545"/>
      <c r="AMC545"/>
      <c r="AMD545"/>
    </row>
    <row r="546" spans="1:1018">
      <c r="A546" s="547" t="s">
        <v>1455</v>
      </c>
      <c r="B546" s="282"/>
      <c r="C546" s="282" t="s">
        <v>1456</v>
      </c>
      <c r="D546" s="282"/>
      <c r="E546" s="178">
        <f t="shared" ref="E546:E557" si="57">+E545+1</f>
        <v>3</v>
      </c>
      <c r="F546" s="277" t="s">
        <v>1457</v>
      </c>
      <c r="G546" s="282">
        <v>0.1</v>
      </c>
      <c r="H546" s="282">
        <v>10</v>
      </c>
      <c r="I546" s="282"/>
      <c r="J546" s="282"/>
      <c r="K546" s="201">
        <v>3955.05</v>
      </c>
      <c r="L546" s="201">
        <v>2105</v>
      </c>
      <c r="M546" s="201"/>
      <c r="N546" s="420">
        <f t="shared" si="56"/>
        <v>6060.05</v>
      </c>
      <c r="O546" s="303">
        <v>13418</v>
      </c>
      <c r="P546" s="304">
        <v>1800</v>
      </c>
      <c r="Q546" s="304">
        <v>300</v>
      </c>
      <c r="R546" s="305">
        <v>2901</v>
      </c>
      <c r="S546" s="306">
        <v>4090</v>
      </c>
      <c r="T546" s="306" t="s">
        <v>1458</v>
      </c>
      <c r="U546" s="9"/>
      <c r="V546" s="9"/>
      <c r="W546" s="291">
        <v>0</v>
      </c>
      <c r="X546" s="291"/>
      <c r="Y546" s="290"/>
      <c r="Z546" s="317"/>
      <c r="AA546" s="317"/>
      <c r="AB546" s="291"/>
      <c r="AC546" s="291"/>
      <c r="AD546" s="291"/>
      <c r="AE546" s="291"/>
      <c r="AF546" s="291"/>
      <c r="AG546" s="291"/>
      <c r="AH546" s="291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  <c r="ZW546"/>
      <c r="ZX546"/>
      <c r="ZY546"/>
      <c r="ZZ546"/>
      <c r="AAA546"/>
      <c r="AAB546"/>
      <c r="AAC546"/>
      <c r="AAD546"/>
      <c r="AAE546"/>
      <c r="AAF546"/>
      <c r="AAG546"/>
      <c r="AAH546"/>
      <c r="AAI546"/>
      <c r="AAJ546"/>
      <c r="AAK546"/>
      <c r="AAL546"/>
      <c r="AAM546"/>
      <c r="AAN546"/>
      <c r="AAO546"/>
      <c r="AAP546"/>
      <c r="AAQ546"/>
      <c r="AAR546"/>
      <c r="AAS546"/>
      <c r="AAT546"/>
      <c r="AAU546"/>
      <c r="AAV546"/>
      <c r="AAW546"/>
      <c r="AAX546"/>
      <c r="AAY546"/>
      <c r="AAZ546"/>
      <c r="ABA546"/>
      <c r="ABB546"/>
      <c r="ABC546"/>
      <c r="ABD546"/>
      <c r="ABE546"/>
      <c r="ABF546"/>
      <c r="ABG546"/>
      <c r="ABH546"/>
      <c r="ABI546"/>
      <c r="ABJ546"/>
      <c r="ABK546"/>
      <c r="ABL546"/>
      <c r="ABM546"/>
      <c r="ABN546"/>
      <c r="ABO546"/>
      <c r="ABP546"/>
      <c r="ABQ546"/>
      <c r="ABR546"/>
      <c r="ABS546"/>
      <c r="ABT546"/>
      <c r="ABU546"/>
      <c r="ABV546"/>
      <c r="ABW546"/>
      <c r="ABX546"/>
      <c r="ABY546"/>
      <c r="ABZ546"/>
      <c r="ACA546"/>
      <c r="ACB546"/>
      <c r="ACC546"/>
      <c r="ACD546"/>
      <c r="ACE546"/>
      <c r="ACF546"/>
      <c r="ACG546"/>
      <c r="ACH546"/>
      <c r="ACI546"/>
      <c r="ACJ546"/>
      <c r="ACK546"/>
      <c r="ACL546"/>
      <c r="ACM546"/>
      <c r="ACN546"/>
      <c r="ACO546"/>
      <c r="ACP546"/>
      <c r="ACQ546"/>
      <c r="ACR546"/>
      <c r="ACS546"/>
      <c r="ACT546"/>
      <c r="ACU546"/>
      <c r="ACV546"/>
      <c r="ACW546"/>
      <c r="ACX546"/>
      <c r="ACY546"/>
      <c r="ACZ546"/>
      <c r="ADA546"/>
      <c r="ADB546"/>
      <c r="ADC546"/>
      <c r="ADD546"/>
      <c r="ADE546"/>
      <c r="ADF546"/>
      <c r="ADG546"/>
      <c r="ADH546"/>
      <c r="ADI546"/>
      <c r="ADJ546"/>
      <c r="ADK546"/>
      <c r="ADL546"/>
      <c r="ADM546"/>
      <c r="ADN546"/>
      <c r="ADO546"/>
      <c r="ADP546"/>
      <c r="ADQ546"/>
      <c r="ADR546"/>
      <c r="ADS546"/>
      <c r="ADT546"/>
      <c r="ADU546"/>
      <c r="ADV546"/>
      <c r="ADW546"/>
      <c r="ADX546"/>
      <c r="ADY546"/>
      <c r="ADZ546"/>
      <c r="AEA546"/>
      <c r="AEB546"/>
      <c r="AEC546"/>
      <c r="AED546"/>
      <c r="AEE546"/>
      <c r="AEF546"/>
      <c r="AEG546"/>
      <c r="AEH546"/>
      <c r="AEI546"/>
      <c r="AEJ546"/>
      <c r="AEK546"/>
      <c r="AEL546"/>
      <c r="AEM546"/>
      <c r="AEN546"/>
      <c r="AEO546"/>
      <c r="AEP546"/>
      <c r="AEQ546"/>
      <c r="AER546"/>
      <c r="AES546"/>
      <c r="AET546"/>
      <c r="AEU546"/>
      <c r="AEV546"/>
      <c r="AEW546"/>
      <c r="AEX546"/>
      <c r="AEY546"/>
      <c r="AEZ546"/>
      <c r="AFA546"/>
      <c r="AFB546"/>
      <c r="AFC546"/>
      <c r="AFD546"/>
      <c r="AFE546"/>
      <c r="AFF546"/>
      <c r="AFG546"/>
      <c r="AFH546"/>
      <c r="AFI546"/>
      <c r="AFJ546"/>
      <c r="AFK546"/>
      <c r="AFL546"/>
      <c r="AFM546"/>
      <c r="AFN546"/>
      <c r="AFO546"/>
      <c r="AFP546"/>
      <c r="AFQ546"/>
      <c r="AFR546"/>
      <c r="AFS546"/>
      <c r="AFT546"/>
      <c r="AFU546"/>
      <c r="AFV546"/>
      <c r="AFW546"/>
      <c r="AFX546"/>
      <c r="AFY546"/>
      <c r="AFZ546"/>
      <c r="AGA546"/>
      <c r="AGB546"/>
      <c r="AGC546"/>
      <c r="AGD546"/>
      <c r="AGE546"/>
      <c r="AGF546"/>
      <c r="AGG546"/>
      <c r="AGH546"/>
      <c r="AGI546"/>
      <c r="AGJ546"/>
      <c r="AGK546"/>
      <c r="AGL546"/>
      <c r="AGM546"/>
      <c r="AGN546"/>
      <c r="AGO546"/>
      <c r="AGP546"/>
      <c r="AGQ546"/>
      <c r="AGR546"/>
      <c r="AGS546"/>
      <c r="AGT546"/>
      <c r="AGU546"/>
      <c r="AGV546"/>
      <c r="AGW546"/>
      <c r="AGX546"/>
      <c r="AGY546"/>
      <c r="AGZ546"/>
      <c r="AHA546"/>
      <c r="AHB546"/>
      <c r="AHC546"/>
      <c r="AHD546"/>
      <c r="AHE546"/>
      <c r="AHF546"/>
      <c r="AHG546"/>
      <c r="AHH546"/>
      <c r="AHI546"/>
      <c r="AHJ546"/>
      <c r="AHK546"/>
      <c r="AHL546"/>
      <c r="AHM546"/>
      <c r="AHN546"/>
      <c r="AHO546"/>
      <c r="AHP546"/>
      <c r="AHQ546"/>
      <c r="AHR546"/>
      <c r="AHS546"/>
      <c r="AHT546"/>
      <c r="AHU546"/>
      <c r="AHV546"/>
      <c r="AHW546"/>
      <c r="AHX546"/>
      <c r="AHY546"/>
      <c r="AHZ546"/>
      <c r="AIA546"/>
      <c r="AIB546"/>
      <c r="AIC546"/>
      <c r="AID546"/>
      <c r="AIE546"/>
      <c r="AIF546"/>
      <c r="AIG546"/>
      <c r="AIH546"/>
      <c r="AII546"/>
      <c r="AIJ546"/>
      <c r="AIK546"/>
      <c r="AIL546"/>
      <c r="AIM546"/>
      <c r="AIN546"/>
      <c r="AIO546"/>
      <c r="AIP546"/>
      <c r="AIQ546"/>
      <c r="AIR546"/>
      <c r="AIS546"/>
      <c r="AIT546"/>
      <c r="AIU546"/>
      <c r="AIV546"/>
      <c r="AIW546"/>
      <c r="AIX546"/>
      <c r="AIY546"/>
      <c r="AIZ546"/>
      <c r="AJA546"/>
      <c r="AJB546"/>
      <c r="AJC546"/>
      <c r="AJD546"/>
      <c r="AJE546"/>
      <c r="AJF546"/>
      <c r="AJG546"/>
      <c r="AJH546"/>
      <c r="AJI546"/>
      <c r="AJJ546"/>
      <c r="AJK546"/>
      <c r="AJL546"/>
      <c r="AJM546"/>
      <c r="AJN546"/>
      <c r="AJO546"/>
      <c r="AJP546"/>
      <c r="AJQ546"/>
      <c r="AJR546"/>
      <c r="AJS546"/>
      <c r="AJT546"/>
      <c r="AJU546"/>
      <c r="AJV546"/>
      <c r="AJW546"/>
      <c r="AJX546"/>
      <c r="AJY546"/>
      <c r="AJZ546"/>
      <c r="AKA546"/>
      <c r="AKB546"/>
      <c r="AKC546"/>
      <c r="AKD546"/>
      <c r="AKE546"/>
      <c r="AKF546"/>
      <c r="AKG546"/>
      <c r="AKH546"/>
      <c r="AKI546"/>
      <c r="AKJ546"/>
      <c r="AKK546"/>
      <c r="AKL546"/>
      <c r="AKM546"/>
      <c r="AKN546"/>
      <c r="AKO546"/>
      <c r="AKP546"/>
      <c r="AKQ546"/>
      <c r="AKR546"/>
      <c r="AKS546"/>
      <c r="AKT546"/>
      <c r="AKU546"/>
      <c r="AKV546"/>
      <c r="AKW546"/>
      <c r="AKX546"/>
      <c r="AKY546"/>
      <c r="AKZ546"/>
      <c r="ALA546"/>
      <c r="ALB546"/>
      <c r="ALC546"/>
      <c r="ALD546"/>
      <c r="ALE546"/>
      <c r="ALF546"/>
      <c r="ALG546"/>
      <c r="ALH546"/>
      <c r="ALI546"/>
      <c r="ALJ546"/>
      <c r="ALK546"/>
      <c r="ALL546"/>
      <c r="ALM546"/>
      <c r="ALN546"/>
      <c r="ALO546"/>
      <c r="ALP546"/>
      <c r="ALQ546"/>
      <c r="ALR546"/>
      <c r="ALS546"/>
      <c r="ALT546"/>
      <c r="ALU546"/>
      <c r="ALV546"/>
      <c r="ALW546"/>
      <c r="ALX546"/>
      <c r="ALY546"/>
      <c r="ALZ546"/>
      <c r="AMA546"/>
      <c r="AMB546"/>
      <c r="AMC546"/>
      <c r="AMD546"/>
    </row>
    <row r="547" spans="1:1018">
      <c r="A547" s="547" t="s">
        <v>1459</v>
      </c>
      <c r="B547" s="282"/>
      <c r="C547" s="282" t="s">
        <v>451</v>
      </c>
      <c r="D547" s="282"/>
      <c r="E547" s="178">
        <f t="shared" si="57"/>
        <v>4</v>
      </c>
      <c r="F547" s="277" t="s">
        <v>1460</v>
      </c>
      <c r="G547" s="282"/>
      <c r="H547" s="282">
        <v>10</v>
      </c>
      <c r="I547" s="282"/>
      <c r="J547" s="282"/>
      <c r="K547" s="201">
        <v>4395</v>
      </c>
      <c r="L547" s="201">
        <v>2105</v>
      </c>
      <c r="M547" s="201"/>
      <c r="N547" s="420">
        <f t="shared" si="56"/>
        <v>6500</v>
      </c>
      <c r="O547" s="303">
        <v>13977</v>
      </c>
      <c r="P547" s="304">
        <v>2700</v>
      </c>
      <c r="Q547" s="304">
        <v>300</v>
      </c>
      <c r="R547" s="305">
        <v>3224</v>
      </c>
      <c r="S547" s="306">
        <v>4090</v>
      </c>
      <c r="T547" s="306"/>
      <c r="U547" s="9">
        <v>370</v>
      </c>
      <c r="V547" s="9">
        <v>370</v>
      </c>
      <c r="W547" s="291">
        <v>0</v>
      </c>
      <c r="X547" s="291">
        <v>4394.5</v>
      </c>
      <c r="Y547" s="290">
        <v>6500</v>
      </c>
      <c r="Z547" s="290">
        <v>6500</v>
      </c>
      <c r="AA547" s="291"/>
      <c r="AB547" s="291"/>
      <c r="AC547" s="291"/>
      <c r="AD547" s="291"/>
      <c r="AE547" s="291"/>
      <c r="AF547" s="291"/>
      <c r="AG547" s="291"/>
      <c r="AH547" s="291">
        <v>0</v>
      </c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  <c r="ZW547"/>
      <c r="ZX547"/>
      <c r="ZY547"/>
      <c r="ZZ547"/>
      <c r="AAA547"/>
      <c r="AAB547"/>
      <c r="AAC547"/>
      <c r="AAD547"/>
      <c r="AAE547"/>
      <c r="AAF547"/>
      <c r="AAG547"/>
      <c r="AAH547"/>
      <c r="AAI547"/>
      <c r="AAJ547"/>
      <c r="AAK547"/>
      <c r="AAL547"/>
      <c r="AAM547"/>
      <c r="AAN547"/>
      <c r="AAO547"/>
      <c r="AAP547"/>
      <c r="AAQ547"/>
      <c r="AAR547"/>
      <c r="AAS547"/>
      <c r="AAT547"/>
      <c r="AAU547"/>
      <c r="AAV547"/>
      <c r="AAW547"/>
      <c r="AAX547"/>
      <c r="AAY547"/>
      <c r="AAZ547"/>
      <c r="ABA547"/>
      <c r="ABB547"/>
      <c r="ABC547"/>
      <c r="ABD547"/>
      <c r="ABE547"/>
      <c r="ABF547"/>
      <c r="ABG547"/>
      <c r="ABH547"/>
      <c r="ABI547"/>
      <c r="ABJ547"/>
      <c r="ABK547"/>
      <c r="ABL547"/>
      <c r="ABM547"/>
      <c r="ABN547"/>
      <c r="ABO547"/>
      <c r="ABP547"/>
      <c r="ABQ547"/>
      <c r="ABR547"/>
      <c r="ABS547"/>
      <c r="ABT547"/>
      <c r="ABU547"/>
      <c r="ABV547"/>
      <c r="ABW547"/>
      <c r="ABX547"/>
      <c r="ABY547"/>
      <c r="ABZ547"/>
      <c r="ACA547"/>
      <c r="ACB547"/>
      <c r="ACC547"/>
      <c r="ACD547"/>
      <c r="ACE547"/>
      <c r="ACF547"/>
      <c r="ACG547"/>
      <c r="ACH547"/>
      <c r="ACI547"/>
      <c r="ACJ547"/>
      <c r="ACK547"/>
      <c r="ACL547"/>
      <c r="ACM547"/>
      <c r="ACN547"/>
      <c r="ACO547"/>
      <c r="ACP547"/>
      <c r="ACQ547"/>
      <c r="ACR547"/>
      <c r="ACS547"/>
      <c r="ACT547"/>
      <c r="ACU547"/>
      <c r="ACV547"/>
      <c r="ACW547"/>
      <c r="ACX547"/>
      <c r="ACY547"/>
      <c r="ACZ547"/>
      <c r="ADA547"/>
      <c r="ADB547"/>
      <c r="ADC547"/>
      <c r="ADD547"/>
      <c r="ADE547"/>
      <c r="ADF547"/>
      <c r="ADG547"/>
      <c r="ADH547"/>
      <c r="ADI547"/>
      <c r="ADJ547"/>
      <c r="ADK547"/>
      <c r="ADL547"/>
      <c r="ADM547"/>
      <c r="ADN547"/>
      <c r="ADO547"/>
      <c r="ADP547"/>
      <c r="ADQ547"/>
      <c r="ADR547"/>
      <c r="ADS547"/>
      <c r="ADT547"/>
      <c r="ADU547"/>
      <c r="ADV547"/>
      <c r="ADW547"/>
      <c r="ADX547"/>
      <c r="ADY547"/>
      <c r="ADZ547"/>
      <c r="AEA547"/>
      <c r="AEB547"/>
      <c r="AEC547"/>
      <c r="AED547"/>
      <c r="AEE547"/>
      <c r="AEF547"/>
      <c r="AEG547"/>
      <c r="AEH547"/>
      <c r="AEI547"/>
      <c r="AEJ547"/>
      <c r="AEK547"/>
      <c r="AEL547"/>
      <c r="AEM547"/>
      <c r="AEN547"/>
      <c r="AEO547"/>
      <c r="AEP547"/>
      <c r="AEQ547"/>
      <c r="AER547"/>
      <c r="AES547"/>
      <c r="AET547"/>
      <c r="AEU547"/>
      <c r="AEV547"/>
      <c r="AEW547"/>
      <c r="AEX547"/>
      <c r="AEY547"/>
      <c r="AEZ547"/>
      <c r="AFA547"/>
      <c r="AFB547"/>
      <c r="AFC547"/>
      <c r="AFD547"/>
      <c r="AFE547"/>
      <c r="AFF547"/>
      <c r="AFG547"/>
      <c r="AFH547"/>
      <c r="AFI547"/>
      <c r="AFJ547"/>
      <c r="AFK547"/>
      <c r="AFL547"/>
      <c r="AFM547"/>
      <c r="AFN547"/>
      <c r="AFO547"/>
      <c r="AFP547"/>
      <c r="AFQ547"/>
      <c r="AFR547"/>
      <c r="AFS547"/>
      <c r="AFT547"/>
      <c r="AFU547"/>
      <c r="AFV547"/>
      <c r="AFW547"/>
      <c r="AFX547"/>
      <c r="AFY547"/>
      <c r="AFZ547"/>
      <c r="AGA547"/>
      <c r="AGB547"/>
      <c r="AGC547"/>
      <c r="AGD547"/>
      <c r="AGE547"/>
      <c r="AGF547"/>
      <c r="AGG547"/>
      <c r="AGH547"/>
      <c r="AGI547"/>
      <c r="AGJ547"/>
      <c r="AGK547"/>
      <c r="AGL547"/>
      <c r="AGM547"/>
      <c r="AGN547"/>
      <c r="AGO547"/>
      <c r="AGP547"/>
      <c r="AGQ547"/>
      <c r="AGR547"/>
      <c r="AGS547"/>
      <c r="AGT547"/>
      <c r="AGU547"/>
      <c r="AGV547"/>
      <c r="AGW547"/>
      <c r="AGX547"/>
      <c r="AGY547"/>
      <c r="AGZ547"/>
      <c r="AHA547"/>
      <c r="AHB547"/>
      <c r="AHC547"/>
      <c r="AHD547"/>
      <c r="AHE547"/>
      <c r="AHF547"/>
      <c r="AHG547"/>
      <c r="AHH547"/>
      <c r="AHI547"/>
      <c r="AHJ547"/>
      <c r="AHK547"/>
      <c r="AHL547"/>
      <c r="AHM547"/>
      <c r="AHN547"/>
      <c r="AHO547"/>
      <c r="AHP547"/>
      <c r="AHQ547"/>
      <c r="AHR547"/>
      <c r="AHS547"/>
      <c r="AHT547"/>
      <c r="AHU547"/>
      <c r="AHV547"/>
      <c r="AHW547"/>
      <c r="AHX547"/>
      <c r="AHY547"/>
      <c r="AHZ547"/>
      <c r="AIA547"/>
      <c r="AIB547"/>
      <c r="AIC547"/>
      <c r="AID547"/>
      <c r="AIE547"/>
      <c r="AIF547"/>
      <c r="AIG547"/>
      <c r="AIH547"/>
      <c r="AII547"/>
      <c r="AIJ547"/>
      <c r="AIK547"/>
      <c r="AIL547"/>
      <c r="AIM547"/>
      <c r="AIN547"/>
      <c r="AIO547"/>
      <c r="AIP547"/>
      <c r="AIQ547"/>
      <c r="AIR547"/>
      <c r="AIS547"/>
      <c r="AIT547"/>
      <c r="AIU547"/>
      <c r="AIV547"/>
      <c r="AIW547"/>
      <c r="AIX547"/>
      <c r="AIY547"/>
      <c r="AIZ547"/>
      <c r="AJA547"/>
      <c r="AJB547"/>
      <c r="AJC547"/>
      <c r="AJD547"/>
      <c r="AJE547"/>
      <c r="AJF547"/>
      <c r="AJG547"/>
      <c r="AJH547"/>
      <c r="AJI547"/>
      <c r="AJJ547"/>
      <c r="AJK547"/>
      <c r="AJL547"/>
      <c r="AJM547"/>
      <c r="AJN547"/>
      <c r="AJO547"/>
      <c r="AJP547"/>
      <c r="AJQ547"/>
      <c r="AJR547"/>
      <c r="AJS547"/>
      <c r="AJT547"/>
      <c r="AJU547"/>
      <c r="AJV547"/>
      <c r="AJW547"/>
      <c r="AJX547"/>
      <c r="AJY547"/>
      <c r="AJZ547"/>
      <c r="AKA547"/>
      <c r="AKB547"/>
      <c r="AKC547"/>
      <c r="AKD547"/>
      <c r="AKE547"/>
      <c r="AKF547"/>
      <c r="AKG547"/>
      <c r="AKH547"/>
      <c r="AKI547"/>
      <c r="AKJ547"/>
      <c r="AKK547"/>
      <c r="AKL547"/>
      <c r="AKM547"/>
      <c r="AKN547"/>
      <c r="AKO547"/>
      <c r="AKP547"/>
      <c r="AKQ547"/>
      <c r="AKR547"/>
      <c r="AKS547"/>
      <c r="AKT547"/>
      <c r="AKU547"/>
      <c r="AKV547"/>
      <c r="AKW547"/>
      <c r="AKX547"/>
      <c r="AKY547"/>
      <c r="AKZ547"/>
      <c r="ALA547"/>
      <c r="ALB547"/>
      <c r="ALC547"/>
      <c r="ALD547"/>
      <c r="ALE547"/>
      <c r="ALF547"/>
      <c r="ALG547"/>
      <c r="ALH547"/>
      <c r="ALI547"/>
      <c r="ALJ547"/>
      <c r="ALK547"/>
      <c r="ALL547"/>
      <c r="ALM547"/>
      <c r="ALN547"/>
      <c r="ALO547"/>
      <c r="ALP547"/>
      <c r="ALQ547"/>
      <c r="ALR547"/>
      <c r="ALS547"/>
      <c r="ALT547"/>
      <c r="ALU547"/>
      <c r="ALV547"/>
      <c r="ALW547"/>
      <c r="ALX547"/>
      <c r="ALY547"/>
      <c r="ALZ547"/>
      <c r="AMA547"/>
      <c r="AMB547"/>
      <c r="AMC547"/>
      <c r="AMD547"/>
    </row>
    <row r="548" spans="1:1018">
      <c r="A548" s="421" t="s">
        <v>1461</v>
      </c>
      <c r="B548" s="282"/>
      <c r="C548" s="282"/>
      <c r="D548" s="282"/>
      <c r="E548" s="178">
        <f t="shared" si="57"/>
        <v>5</v>
      </c>
      <c r="F548" s="277" t="s">
        <v>1462</v>
      </c>
      <c r="G548" s="282">
        <v>0.15</v>
      </c>
      <c r="H548" s="282">
        <v>10</v>
      </c>
      <c r="I548" s="282"/>
      <c r="J548" s="175"/>
      <c r="K548" s="201">
        <v>3735.33</v>
      </c>
      <c r="L548" s="201"/>
      <c r="M548" s="201"/>
      <c r="N548" s="420">
        <f t="shared" si="56"/>
        <v>3735.33</v>
      </c>
      <c r="O548" s="303">
        <v>13424</v>
      </c>
      <c r="P548" s="304">
        <v>1800</v>
      </c>
      <c r="Q548" s="304">
        <v>300</v>
      </c>
      <c r="R548" s="305">
        <v>2908</v>
      </c>
      <c r="S548" s="306">
        <v>4090</v>
      </c>
      <c r="T548" s="306"/>
      <c r="U548" s="9"/>
      <c r="V548" s="9"/>
      <c r="W548" s="308">
        <v>0</v>
      </c>
      <c r="X548" s="290">
        <f>3526+209.33</f>
        <v>3735.33</v>
      </c>
      <c r="Y548" s="290">
        <f>3526+209.33</f>
        <v>3735.33</v>
      </c>
      <c r="Z548" s="290">
        <v>3735.33</v>
      </c>
      <c r="AA548" s="290">
        <v>3735.33</v>
      </c>
      <c r="AB548" s="290"/>
      <c r="AC548" s="290"/>
      <c r="AD548" s="290"/>
      <c r="AE548" s="290"/>
      <c r="AF548" s="290"/>
      <c r="AG548" s="291"/>
      <c r="AH548" s="291">
        <v>0</v>
      </c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/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/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/>
      <c r="AGN548"/>
      <c r="AGO548"/>
      <c r="AGP548"/>
      <c r="AGQ548"/>
      <c r="AGR548"/>
      <c r="AGS548"/>
      <c r="AGT548"/>
      <c r="AGU548"/>
      <c r="AGV548"/>
      <c r="AGW548"/>
      <c r="AGX548"/>
      <c r="AGY548"/>
      <c r="AGZ548"/>
      <c r="AHA548"/>
      <c r="AHB548"/>
      <c r="AHC548"/>
      <c r="AHD548"/>
      <c r="AHE548"/>
      <c r="AHF548"/>
      <c r="AHG548"/>
      <c r="AHH548"/>
      <c r="AHI548"/>
      <c r="AHJ548"/>
      <c r="AHK548"/>
      <c r="AHL548"/>
      <c r="AHM548"/>
      <c r="AHN548"/>
      <c r="AHO548"/>
      <c r="AHP548"/>
      <c r="AHQ548"/>
      <c r="AHR548"/>
      <c r="AHS548"/>
      <c r="AHT548"/>
      <c r="AHU548"/>
      <c r="AHV548"/>
      <c r="AHW548"/>
      <c r="AHX548"/>
      <c r="AHY548"/>
      <c r="AHZ548"/>
      <c r="AIA548"/>
      <c r="AIB548"/>
      <c r="AIC548"/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/>
      <c r="AJQ548"/>
      <c r="AJR548"/>
      <c r="AJS548"/>
      <c r="AJT548"/>
      <c r="AJU548"/>
      <c r="AJV548"/>
      <c r="AJW548"/>
      <c r="AJX548"/>
      <c r="AJY548"/>
      <c r="AJZ548"/>
      <c r="AKA548"/>
      <c r="AKB548"/>
      <c r="AKC548"/>
      <c r="AKD548"/>
      <c r="AKE548"/>
      <c r="AKF548"/>
      <c r="AKG548"/>
      <c r="AKH548"/>
      <c r="AKI548"/>
      <c r="AKJ548"/>
      <c r="AKK548"/>
      <c r="AKL548"/>
      <c r="AKM548"/>
      <c r="AKN548"/>
      <c r="AKO548"/>
      <c r="AKP548"/>
      <c r="AKQ548"/>
      <c r="AKR548"/>
      <c r="AKS548"/>
      <c r="AKT548"/>
      <c r="AKU548"/>
      <c r="AKV548"/>
      <c r="AKW548"/>
      <c r="AKX548"/>
      <c r="AKY548"/>
      <c r="AKZ548"/>
      <c r="ALA548"/>
      <c r="ALB548"/>
      <c r="ALC548"/>
      <c r="ALD548"/>
      <c r="ALE548"/>
      <c r="ALF548"/>
      <c r="ALG548"/>
      <c r="ALH548"/>
      <c r="ALI548"/>
      <c r="ALJ548"/>
      <c r="ALK548"/>
      <c r="ALL548"/>
      <c r="ALM548"/>
      <c r="ALN548"/>
      <c r="ALO548"/>
      <c r="ALP548"/>
      <c r="ALQ548"/>
      <c r="ALR548"/>
      <c r="ALS548"/>
      <c r="ALT548"/>
      <c r="ALU548"/>
      <c r="ALV548"/>
      <c r="ALW548"/>
      <c r="ALX548"/>
      <c r="ALY548"/>
      <c r="ALZ548"/>
      <c r="AMA548"/>
      <c r="AMB548"/>
      <c r="AMC548"/>
      <c r="AMD548"/>
    </row>
    <row r="549" spans="1:1018">
      <c r="A549" s="547" t="s">
        <v>1463</v>
      </c>
      <c r="B549" s="282"/>
      <c r="C549" s="282" t="s">
        <v>378</v>
      </c>
      <c r="D549" s="282"/>
      <c r="E549" s="178">
        <f t="shared" si="57"/>
        <v>6</v>
      </c>
      <c r="F549" s="277" t="s">
        <v>1464</v>
      </c>
      <c r="G549" s="282"/>
      <c r="H549" s="282">
        <v>11</v>
      </c>
      <c r="I549" s="282"/>
      <c r="J549" s="282"/>
      <c r="K549" s="407">
        <v>4395</v>
      </c>
      <c r="L549" s="407">
        <v>375</v>
      </c>
      <c r="M549" s="406"/>
      <c r="N549" s="420">
        <f t="shared" si="56"/>
        <v>4770</v>
      </c>
      <c r="O549" s="303">
        <v>13557</v>
      </c>
      <c r="P549" s="304">
        <v>0</v>
      </c>
      <c r="Q549" s="304">
        <v>300</v>
      </c>
      <c r="R549" s="305">
        <v>3493</v>
      </c>
      <c r="S549" s="306">
        <v>4090</v>
      </c>
      <c r="T549" s="306"/>
      <c r="U549" s="9">
        <v>370</v>
      </c>
      <c r="V549" s="9">
        <v>370</v>
      </c>
      <c r="W549" s="291">
        <v>0</v>
      </c>
      <c r="X549" s="291">
        <f>1600+3170</f>
        <v>4770</v>
      </c>
      <c r="Y549" s="291">
        <v>5008.5</v>
      </c>
      <c r="Z549" s="291">
        <v>2251.5</v>
      </c>
      <c r="AA549" s="291" t="s">
        <v>1465</v>
      </c>
      <c r="AB549" s="291"/>
      <c r="AC549" s="291"/>
      <c r="AD549" s="291"/>
      <c r="AE549" s="291"/>
      <c r="AF549" s="291"/>
      <c r="AG549" s="291"/>
      <c r="AH549" s="291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  <c r="ZU549"/>
      <c r="ZV549"/>
      <c r="ZW549"/>
      <c r="ZX549"/>
      <c r="ZY549"/>
      <c r="ZZ549"/>
      <c r="AAA549"/>
      <c r="AAB549"/>
      <c r="AAC549"/>
      <c r="AAD549"/>
      <c r="AAE549"/>
      <c r="AAF549"/>
      <c r="AAG549"/>
      <c r="AAH549"/>
      <c r="AAI549"/>
      <c r="AAJ549"/>
      <c r="AAK549"/>
      <c r="AAL549"/>
      <c r="AAM549"/>
      <c r="AAN549"/>
      <c r="AAO549"/>
      <c r="AAP549"/>
      <c r="AAQ549"/>
      <c r="AAR549"/>
      <c r="AAS549"/>
      <c r="AAT549"/>
      <c r="AAU549"/>
      <c r="AAV549"/>
      <c r="AAW549"/>
      <c r="AAX549"/>
      <c r="AAY549"/>
      <c r="AAZ549"/>
      <c r="ABA549"/>
      <c r="ABB549"/>
      <c r="ABC549"/>
      <c r="ABD549"/>
      <c r="ABE549"/>
      <c r="ABF549"/>
      <c r="ABG549"/>
      <c r="ABH549"/>
      <c r="ABI549"/>
      <c r="ABJ549"/>
      <c r="ABK549"/>
      <c r="ABL549"/>
      <c r="ABM549"/>
      <c r="ABN549"/>
      <c r="ABO549"/>
      <c r="ABP549"/>
      <c r="ABQ549"/>
      <c r="ABR549"/>
      <c r="ABS549"/>
      <c r="ABT549"/>
      <c r="ABU549"/>
      <c r="ABV549"/>
      <c r="ABW549"/>
      <c r="ABX549"/>
      <c r="ABY549"/>
      <c r="ABZ549"/>
      <c r="ACA549"/>
      <c r="ACB549"/>
      <c r="ACC549"/>
      <c r="ACD549"/>
      <c r="ACE549"/>
      <c r="ACF549"/>
      <c r="ACG549"/>
      <c r="ACH549"/>
      <c r="ACI549"/>
      <c r="ACJ549"/>
      <c r="ACK549"/>
      <c r="ACL549"/>
      <c r="ACM549"/>
      <c r="ACN549"/>
      <c r="ACO549"/>
      <c r="ACP549"/>
      <c r="ACQ549"/>
      <c r="ACR549"/>
      <c r="ACS549"/>
      <c r="ACT549"/>
      <c r="ACU549"/>
      <c r="ACV549"/>
      <c r="ACW549"/>
      <c r="ACX549"/>
      <c r="ACY549"/>
      <c r="ACZ549"/>
      <c r="ADA549"/>
      <c r="ADB549"/>
      <c r="ADC549"/>
      <c r="ADD549"/>
      <c r="ADE549"/>
      <c r="ADF549"/>
      <c r="ADG549"/>
      <c r="ADH549"/>
      <c r="ADI549"/>
      <c r="ADJ549"/>
      <c r="ADK549"/>
      <c r="ADL549"/>
      <c r="ADM549"/>
      <c r="ADN549"/>
      <c r="ADO549"/>
      <c r="ADP549"/>
      <c r="ADQ549"/>
      <c r="ADR549"/>
      <c r="ADS549"/>
      <c r="ADT549"/>
      <c r="ADU549"/>
      <c r="ADV549"/>
      <c r="ADW549"/>
      <c r="ADX549"/>
      <c r="ADY549"/>
      <c r="ADZ549"/>
      <c r="AEA549"/>
      <c r="AEB549"/>
      <c r="AEC549"/>
      <c r="AED549"/>
      <c r="AEE549"/>
      <c r="AEF549"/>
      <c r="AEG549"/>
      <c r="AEH549"/>
      <c r="AEI549"/>
      <c r="AEJ549"/>
      <c r="AEK549"/>
      <c r="AEL549"/>
      <c r="AEM549"/>
      <c r="AEN549"/>
      <c r="AEO549"/>
      <c r="AEP549"/>
      <c r="AEQ549"/>
      <c r="AER549"/>
      <c r="AES549"/>
      <c r="AET549"/>
      <c r="AEU549"/>
      <c r="AEV549"/>
      <c r="AEW549"/>
      <c r="AEX549"/>
      <c r="AEY549"/>
      <c r="AEZ549"/>
      <c r="AFA549"/>
      <c r="AFB549"/>
      <c r="AFC549"/>
      <c r="AFD549"/>
      <c r="AFE549"/>
      <c r="AFF549"/>
      <c r="AFG549"/>
      <c r="AFH549"/>
      <c r="AFI549"/>
      <c r="AFJ549"/>
      <c r="AFK549"/>
      <c r="AFL549"/>
      <c r="AFM549"/>
      <c r="AFN549"/>
      <c r="AFO549"/>
      <c r="AFP549"/>
      <c r="AFQ549"/>
      <c r="AFR549"/>
      <c r="AFS549"/>
      <c r="AFT549"/>
      <c r="AFU549"/>
      <c r="AFV549"/>
      <c r="AFW549"/>
      <c r="AFX549"/>
      <c r="AFY549"/>
      <c r="AFZ549"/>
      <c r="AGA549"/>
      <c r="AGB549"/>
      <c r="AGC549"/>
      <c r="AGD549"/>
      <c r="AGE549"/>
      <c r="AGF549"/>
      <c r="AGG549"/>
      <c r="AGH549"/>
      <c r="AGI549"/>
      <c r="AGJ549"/>
      <c r="AGK549"/>
      <c r="AGL549"/>
      <c r="AGM549"/>
      <c r="AGN549"/>
      <c r="AGO549"/>
      <c r="AGP549"/>
      <c r="AGQ549"/>
      <c r="AGR549"/>
      <c r="AGS549"/>
      <c r="AGT549"/>
      <c r="AGU549"/>
      <c r="AGV549"/>
      <c r="AGW549"/>
      <c r="AGX549"/>
      <c r="AGY549"/>
      <c r="AGZ549"/>
      <c r="AHA549"/>
      <c r="AHB549"/>
      <c r="AHC549"/>
      <c r="AHD549"/>
      <c r="AHE549"/>
      <c r="AHF549"/>
      <c r="AHG549"/>
      <c r="AHH549"/>
      <c r="AHI549"/>
      <c r="AHJ549"/>
      <c r="AHK549"/>
      <c r="AHL549"/>
      <c r="AHM549"/>
      <c r="AHN549"/>
      <c r="AHO549"/>
      <c r="AHP549"/>
      <c r="AHQ549"/>
      <c r="AHR549"/>
      <c r="AHS549"/>
      <c r="AHT549"/>
      <c r="AHU549"/>
      <c r="AHV549"/>
      <c r="AHW549"/>
      <c r="AHX549"/>
      <c r="AHY549"/>
      <c r="AHZ549"/>
      <c r="AIA549"/>
      <c r="AIB549"/>
      <c r="AIC549"/>
      <c r="AID549"/>
      <c r="AIE549"/>
      <c r="AIF549"/>
      <c r="AIG549"/>
      <c r="AIH549"/>
      <c r="AII549"/>
      <c r="AIJ549"/>
      <c r="AIK549"/>
      <c r="AIL549"/>
      <c r="AIM549"/>
      <c r="AIN549"/>
      <c r="AIO549"/>
      <c r="AIP549"/>
      <c r="AIQ549"/>
      <c r="AIR549"/>
      <c r="AIS549"/>
      <c r="AIT549"/>
      <c r="AIU549"/>
      <c r="AIV549"/>
      <c r="AIW549"/>
      <c r="AIX549"/>
      <c r="AIY549"/>
      <c r="AIZ549"/>
      <c r="AJA549"/>
      <c r="AJB549"/>
      <c r="AJC549"/>
      <c r="AJD549"/>
      <c r="AJE549"/>
      <c r="AJF549"/>
      <c r="AJG549"/>
      <c r="AJH549"/>
      <c r="AJI549"/>
      <c r="AJJ549"/>
      <c r="AJK549"/>
      <c r="AJL549"/>
      <c r="AJM549"/>
      <c r="AJN549"/>
      <c r="AJO549"/>
      <c r="AJP549"/>
      <c r="AJQ549"/>
      <c r="AJR549"/>
      <c r="AJS549"/>
      <c r="AJT549"/>
      <c r="AJU549"/>
      <c r="AJV549"/>
      <c r="AJW549"/>
      <c r="AJX549"/>
      <c r="AJY549"/>
      <c r="AJZ549"/>
      <c r="AKA549"/>
      <c r="AKB549"/>
      <c r="AKC549"/>
      <c r="AKD549"/>
      <c r="AKE549"/>
      <c r="AKF549"/>
      <c r="AKG549"/>
      <c r="AKH549"/>
      <c r="AKI549"/>
      <c r="AKJ549"/>
      <c r="AKK549"/>
      <c r="AKL549"/>
      <c r="AKM549"/>
      <c r="AKN549"/>
      <c r="AKO549"/>
      <c r="AKP549"/>
      <c r="AKQ549"/>
      <c r="AKR549"/>
      <c r="AKS549"/>
      <c r="AKT549"/>
      <c r="AKU549"/>
      <c r="AKV549"/>
      <c r="AKW549"/>
      <c r="AKX549"/>
      <c r="AKY549"/>
      <c r="AKZ549"/>
      <c r="ALA549"/>
      <c r="ALB549"/>
      <c r="ALC549"/>
      <c r="ALD549"/>
      <c r="ALE549"/>
      <c r="ALF549"/>
      <c r="ALG549"/>
      <c r="ALH549"/>
      <c r="ALI549"/>
      <c r="ALJ549"/>
      <c r="ALK549"/>
      <c r="ALL549"/>
      <c r="ALM549"/>
      <c r="ALN549"/>
      <c r="ALO549"/>
      <c r="ALP549"/>
      <c r="ALQ549"/>
      <c r="ALR549"/>
      <c r="ALS549"/>
      <c r="ALT549"/>
      <c r="ALU549"/>
      <c r="ALV549"/>
      <c r="ALW549"/>
      <c r="ALX549"/>
      <c r="ALY549"/>
      <c r="ALZ549"/>
      <c r="AMA549"/>
      <c r="AMB549"/>
      <c r="AMC549"/>
      <c r="AMD549"/>
    </row>
    <row r="550" spans="1:1018">
      <c r="A550" s="421" t="s">
        <v>1466</v>
      </c>
      <c r="B550" s="282"/>
      <c r="C550" s="282"/>
      <c r="D550" s="282"/>
      <c r="E550" s="178">
        <f t="shared" si="57"/>
        <v>7</v>
      </c>
      <c r="F550" s="277" t="s">
        <v>1467</v>
      </c>
      <c r="G550" s="282">
        <v>0.1</v>
      </c>
      <c r="H550" s="282">
        <v>11</v>
      </c>
      <c r="I550" s="282"/>
      <c r="J550" s="175">
        <v>3595.5</v>
      </c>
      <c r="K550" s="201"/>
      <c r="L550" s="201"/>
      <c r="M550" s="201"/>
      <c r="N550" s="420">
        <f t="shared" si="56"/>
        <v>3595.5</v>
      </c>
      <c r="O550" s="303">
        <v>13539</v>
      </c>
      <c r="P550" s="304">
        <v>2700</v>
      </c>
      <c r="Q550" s="304">
        <v>300</v>
      </c>
      <c r="R550" s="305">
        <v>3444</v>
      </c>
      <c r="S550" s="306">
        <v>4090</v>
      </c>
      <c r="T550" s="306"/>
      <c r="U550" s="9"/>
      <c r="V550" s="9"/>
      <c r="W550" s="290">
        <v>0</v>
      </c>
      <c r="X550" s="290"/>
      <c r="Y550" s="290"/>
      <c r="Z550" s="289"/>
      <c r="AA550" s="289"/>
      <c r="AB550" s="317"/>
      <c r="AC550" s="317"/>
      <c r="AD550" s="290"/>
      <c r="AE550" s="290"/>
      <c r="AF550" s="290"/>
      <c r="AG550" s="291"/>
      <c r="AH550" s="291">
        <v>0</v>
      </c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  <c r="ZW550"/>
      <c r="ZX550"/>
      <c r="ZY550"/>
      <c r="ZZ550"/>
      <c r="AAA550"/>
      <c r="AAB550"/>
      <c r="AAC550"/>
      <c r="AAD550"/>
      <c r="AAE550"/>
      <c r="AAF550"/>
      <c r="AAG550"/>
      <c r="AAH550"/>
      <c r="AAI550"/>
      <c r="AAJ550"/>
      <c r="AAK550"/>
      <c r="AAL550"/>
      <c r="AAM550"/>
      <c r="AAN550"/>
      <c r="AAO550"/>
      <c r="AAP550"/>
      <c r="AAQ550"/>
      <c r="AAR550"/>
      <c r="AAS550"/>
      <c r="AAT550"/>
      <c r="AAU550"/>
      <c r="AAV550"/>
      <c r="AAW550"/>
      <c r="AAX550"/>
      <c r="AAY550"/>
      <c r="AAZ550"/>
      <c r="ABA550"/>
      <c r="ABB550"/>
      <c r="ABC550"/>
      <c r="ABD550"/>
      <c r="ABE550"/>
      <c r="ABF550"/>
      <c r="ABG550"/>
      <c r="ABH550"/>
      <c r="ABI550"/>
      <c r="ABJ550"/>
      <c r="ABK550"/>
      <c r="ABL550"/>
      <c r="ABM550"/>
      <c r="ABN550"/>
      <c r="ABO550"/>
      <c r="ABP550"/>
      <c r="ABQ550"/>
      <c r="ABR550"/>
      <c r="ABS550"/>
      <c r="ABT550"/>
      <c r="ABU550"/>
      <c r="ABV550"/>
      <c r="ABW550"/>
      <c r="ABX550"/>
      <c r="ABY550"/>
      <c r="ABZ550"/>
      <c r="ACA550"/>
      <c r="ACB550"/>
      <c r="ACC550"/>
      <c r="ACD550"/>
      <c r="ACE550"/>
      <c r="ACF550"/>
      <c r="ACG550"/>
      <c r="ACH550"/>
      <c r="ACI550"/>
      <c r="ACJ550"/>
      <c r="ACK550"/>
      <c r="ACL550"/>
      <c r="ACM550"/>
      <c r="ACN550"/>
      <c r="ACO550"/>
      <c r="ACP550"/>
      <c r="ACQ550"/>
      <c r="ACR550"/>
      <c r="ACS550"/>
      <c r="ACT550"/>
      <c r="ACU550"/>
      <c r="ACV550"/>
      <c r="ACW550"/>
      <c r="ACX550"/>
      <c r="ACY550"/>
      <c r="ACZ550"/>
      <c r="ADA550"/>
      <c r="ADB550"/>
      <c r="ADC550"/>
      <c r="ADD550"/>
      <c r="ADE550"/>
      <c r="ADF550"/>
      <c r="ADG550"/>
      <c r="ADH550"/>
      <c r="ADI550"/>
      <c r="ADJ550"/>
      <c r="ADK550"/>
      <c r="ADL550"/>
      <c r="ADM550"/>
      <c r="ADN550"/>
      <c r="ADO550"/>
      <c r="ADP550"/>
      <c r="ADQ550"/>
      <c r="ADR550"/>
      <c r="ADS550"/>
      <c r="ADT550"/>
      <c r="ADU550"/>
      <c r="ADV550"/>
      <c r="ADW550"/>
      <c r="ADX550"/>
      <c r="ADY550"/>
      <c r="ADZ550"/>
      <c r="AEA550"/>
      <c r="AEB550"/>
      <c r="AEC550"/>
      <c r="AED550"/>
      <c r="AEE550"/>
      <c r="AEF550"/>
      <c r="AEG550"/>
      <c r="AEH550"/>
      <c r="AEI550"/>
      <c r="AEJ550"/>
      <c r="AEK550"/>
      <c r="AEL550"/>
      <c r="AEM550"/>
      <c r="AEN550"/>
      <c r="AEO550"/>
      <c r="AEP550"/>
      <c r="AEQ550"/>
      <c r="AER550"/>
      <c r="AES550"/>
      <c r="AET550"/>
      <c r="AEU550"/>
      <c r="AEV550"/>
      <c r="AEW550"/>
      <c r="AEX550"/>
      <c r="AEY550"/>
      <c r="AEZ550"/>
      <c r="AFA550"/>
      <c r="AFB550"/>
      <c r="AFC550"/>
      <c r="AFD550"/>
      <c r="AFE550"/>
      <c r="AFF550"/>
      <c r="AFG550"/>
      <c r="AFH550"/>
      <c r="AFI550"/>
      <c r="AFJ550"/>
      <c r="AFK550"/>
      <c r="AFL550"/>
      <c r="AFM550"/>
      <c r="AFN550"/>
      <c r="AFO550"/>
      <c r="AFP550"/>
      <c r="AFQ550"/>
      <c r="AFR550"/>
      <c r="AFS550"/>
      <c r="AFT550"/>
      <c r="AFU550"/>
      <c r="AFV550"/>
      <c r="AFW550"/>
      <c r="AFX550"/>
      <c r="AFY550"/>
      <c r="AFZ550"/>
      <c r="AGA550"/>
      <c r="AGB550"/>
      <c r="AGC550"/>
      <c r="AGD550"/>
      <c r="AGE550"/>
      <c r="AGF550"/>
      <c r="AGG550"/>
      <c r="AGH550"/>
      <c r="AGI550"/>
      <c r="AGJ550"/>
      <c r="AGK550"/>
      <c r="AGL550"/>
      <c r="AGM550"/>
      <c r="AGN550"/>
      <c r="AGO550"/>
      <c r="AGP550"/>
      <c r="AGQ550"/>
      <c r="AGR550"/>
      <c r="AGS550"/>
      <c r="AGT550"/>
      <c r="AGU550"/>
      <c r="AGV550"/>
      <c r="AGW550"/>
      <c r="AGX550"/>
      <c r="AGY550"/>
      <c r="AGZ550"/>
      <c r="AHA550"/>
      <c r="AHB550"/>
      <c r="AHC550"/>
      <c r="AHD550"/>
      <c r="AHE550"/>
      <c r="AHF550"/>
      <c r="AHG550"/>
      <c r="AHH550"/>
      <c r="AHI550"/>
      <c r="AHJ550"/>
      <c r="AHK550"/>
      <c r="AHL550"/>
      <c r="AHM550"/>
      <c r="AHN550"/>
      <c r="AHO550"/>
      <c r="AHP550"/>
      <c r="AHQ550"/>
      <c r="AHR550"/>
      <c r="AHS550"/>
      <c r="AHT550"/>
      <c r="AHU550"/>
      <c r="AHV550"/>
      <c r="AHW550"/>
      <c r="AHX550"/>
      <c r="AHY550"/>
      <c r="AHZ550"/>
      <c r="AIA550"/>
      <c r="AIB550"/>
      <c r="AIC550"/>
      <c r="AID550"/>
      <c r="AIE550"/>
      <c r="AIF550"/>
      <c r="AIG550"/>
      <c r="AIH550"/>
      <c r="AII550"/>
      <c r="AIJ550"/>
      <c r="AIK550"/>
      <c r="AIL550"/>
      <c r="AIM550"/>
      <c r="AIN550"/>
      <c r="AIO550"/>
      <c r="AIP550"/>
      <c r="AIQ550"/>
      <c r="AIR550"/>
      <c r="AIS550"/>
      <c r="AIT550"/>
      <c r="AIU550"/>
      <c r="AIV550"/>
      <c r="AIW550"/>
      <c r="AIX550"/>
      <c r="AIY550"/>
      <c r="AIZ550"/>
      <c r="AJA550"/>
      <c r="AJB550"/>
      <c r="AJC550"/>
      <c r="AJD550"/>
      <c r="AJE550"/>
      <c r="AJF550"/>
      <c r="AJG550"/>
      <c r="AJH550"/>
      <c r="AJI550"/>
      <c r="AJJ550"/>
      <c r="AJK550"/>
      <c r="AJL550"/>
      <c r="AJM550"/>
      <c r="AJN550"/>
      <c r="AJO550"/>
      <c r="AJP550"/>
      <c r="AJQ550"/>
      <c r="AJR550"/>
      <c r="AJS550"/>
      <c r="AJT550"/>
      <c r="AJU550"/>
      <c r="AJV550"/>
      <c r="AJW550"/>
      <c r="AJX550"/>
      <c r="AJY550"/>
      <c r="AJZ550"/>
      <c r="AKA550"/>
      <c r="AKB550"/>
      <c r="AKC550"/>
      <c r="AKD550"/>
      <c r="AKE550"/>
      <c r="AKF550"/>
      <c r="AKG550"/>
      <c r="AKH550"/>
      <c r="AKI550"/>
      <c r="AKJ550"/>
      <c r="AKK550"/>
      <c r="AKL550"/>
      <c r="AKM550"/>
      <c r="AKN550"/>
      <c r="AKO550"/>
      <c r="AKP550"/>
      <c r="AKQ550"/>
      <c r="AKR550"/>
      <c r="AKS550"/>
      <c r="AKT550"/>
      <c r="AKU550"/>
      <c r="AKV550"/>
      <c r="AKW550"/>
      <c r="AKX550"/>
      <c r="AKY550"/>
      <c r="AKZ550"/>
      <c r="ALA550"/>
      <c r="ALB550"/>
      <c r="ALC550"/>
      <c r="ALD550"/>
      <c r="ALE550"/>
      <c r="ALF550"/>
      <c r="ALG550"/>
      <c r="ALH550"/>
      <c r="ALI550"/>
      <c r="ALJ550"/>
      <c r="ALK550"/>
      <c r="ALL550"/>
      <c r="ALM550"/>
      <c r="ALN550"/>
      <c r="ALO550"/>
      <c r="ALP550"/>
      <c r="ALQ550"/>
      <c r="ALR550"/>
      <c r="ALS550"/>
      <c r="ALT550"/>
      <c r="ALU550"/>
      <c r="ALV550"/>
      <c r="ALW550"/>
      <c r="ALX550"/>
      <c r="ALY550"/>
      <c r="ALZ550"/>
      <c r="AMA550"/>
      <c r="AMB550"/>
      <c r="AMC550"/>
      <c r="AMD550"/>
    </row>
    <row r="551" spans="1:1018">
      <c r="A551" s="547" t="s">
        <v>1468</v>
      </c>
      <c r="B551" s="282"/>
      <c r="C551" s="282" t="s">
        <v>1447</v>
      </c>
      <c r="D551" s="282"/>
      <c r="E551" s="178">
        <f t="shared" si="57"/>
        <v>8</v>
      </c>
      <c r="F551" s="277" t="s">
        <v>1469</v>
      </c>
      <c r="G551" s="282"/>
      <c r="H551" s="282">
        <v>10</v>
      </c>
      <c r="I551" s="282"/>
      <c r="J551" s="282"/>
      <c r="K551" s="407">
        <v>4395.5</v>
      </c>
      <c r="L551" s="407">
        <v>2105</v>
      </c>
      <c r="M551" s="406"/>
      <c r="N551" s="420">
        <f t="shared" si="56"/>
        <v>6500.5</v>
      </c>
      <c r="O551" s="303">
        <v>13668</v>
      </c>
      <c r="P551" s="304">
        <v>0</v>
      </c>
      <c r="Q551" s="304">
        <v>300</v>
      </c>
      <c r="R551" s="329">
        <v>3241</v>
      </c>
      <c r="S551" s="306">
        <v>4090</v>
      </c>
      <c r="T551" s="330"/>
      <c r="U551" s="6"/>
      <c r="V551" s="6"/>
      <c r="W551" s="291">
        <v>0</v>
      </c>
      <c r="X551" s="291">
        <f>4394.5+2105</f>
        <v>6499.5</v>
      </c>
      <c r="Y551" s="290">
        <v>6499.5</v>
      </c>
      <c r="Z551" s="291"/>
      <c r="AA551" s="291"/>
      <c r="AB551" s="291"/>
      <c r="AC551" s="291"/>
      <c r="AD551" s="291"/>
      <c r="AE551" s="291"/>
      <c r="AF551" s="291"/>
      <c r="AG551" s="291"/>
      <c r="AH551" s="29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  <c r="ZW551"/>
      <c r="ZX551"/>
      <c r="ZY551"/>
      <c r="ZZ551"/>
      <c r="AAA551"/>
      <c r="AAB551"/>
      <c r="AAC551"/>
      <c r="AAD551"/>
      <c r="AAE551"/>
      <c r="AAF551"/>
      <c r="AAG551"/>
      <c r="AAH551"/>
      <c r="AAI551"/>
      <c r="AAJ551"/>
      <c r="AAK551"/>
      <c r="AAL551"/>
      <c r="AAM551"/>
      <c r="AAN551"/>
      <c r="AAO551"/>
      <c r="AAP551"/>
      <c r="AAQ551"/>
      <c r="AAR551"/>
      <c r="AAS551"/>
      <c r="AAT551"/>
      <c r="AAU551"/>
      <c r="AAV551"/>
      <c r="AAW551"/>
      <c r="AAX551"/>
      <c r="AAY551"/>
      <c r="AAZ551"/>
      <c r="ABA551"/>
      <c r="ABB551"/>
      <c r="ABC551"/>
      <c r="ABD551"/>
      <c r="ABE551"/>
      <c r="ABF551"/>
      <c r="ABG551"/>
      <c r="ABH551"/>
      <c r="ABI551"/>
      <c r="ABJ551"/>
      <c r="ABK551"/>
      <c r="ABL551"/>
      <c r="ABM551"/>
      <c r="ABN551"/>
      <c r="ABO551"/>
      <c r="ABP551"/>
      <c r="ABQ551"/>
      <c r="ABR551"/>
      <c r="ABS551"/>
      <c r="ABT551"/>
      <c r="ABU551"/>
      <c r="ABV551"/>
      <c r="ABW551"/>
      <c r="ABX551"/>
      <c r="ABY551"/>
      <c r="ABZ551"/>
      <c r="ACA551"/>
      <c r="ACB551"/>
      <c r="ACC551"/>
      <c r="ACD551"/>
      <c r="ACE551"/>
      <c r="ACF551"/>
      <c r="ACG551"/>
      <c r="ACH551"/>
      <c r="ACI551"/>
      <c r="ACJ551"/>
      <c r="ACK551"/>
      <c r="ACL551"/>
      <c r="ACM551"/>
      <c r="ACN551"/>
      <c r="ACO551"/>
      <c r="ACP551"/>
      <c r="ACQ551"/>
      <c r="ACR551"/>
      <c r="ACS551"/>
      <c r="ACT551"/>
      <c r="ACU551"/>
      <c r="ACV551"/>
      <c r="ACW551"/>
      <c r="ACX551"/>
      <c r="ACY551"/>
      <c r="ACZ551"/>
      <c r="ADA551"/>
      <c r="ADB551"/>
      <c r="ADC551"/>
      <c r="ADD551"/>
      <c r="ADE551"/>
      <c r="ADF551"/>
      <c r="ADG551"/>
      <c r="ADH551"/>
      <c r="ADI551"/>
      <c r="ADJ551"/>
      <c r="ADK551"/>
      <c r="ADL551"/>
      <c r="ADM551"/>
      <c r="ADN551"/>
      <c r="ADO551"/>
      <c r="ADP551"/>
      <c r="ADQ551"/>
      <c r="ADR551"/>
      <c r="ADS551"/>
      <c r="ADT551"/>
      <c r="ADU551"/>
      <c r="ADV551"/>
      <c r="ADW551"/>
      <c r="ADX551"/>
      <c r="ADY551"/>
      <c r="ADZ551"/>
      <c r="AEA551"/>
      <c r="AEB551"/>
      <c r="AEC551"/>
      <c r="AED551"/>
      <c r="AEE551"/>
      <c r="AEF551"/>
      <c r="AEG551"/>
      <c r="AEH551"/>
      <c r="AEI551"/>
      <c r="AEJ551"/>
      <c r="AEK551"/>
      <c r="AEL551"/>
      <c r="AEM551"/>
      <c r="AEN551"/>
      <c r="AEO551"/>
      <c r="AEP551"/>
      <c r="AEQ551"/>
      <c r="AER551"/>
      <c r="AES551"/>
      <c r="AET551"/>
      <c r="AEU551"/>
      <c r="AEV551"/>
      <c r="AEW551"/>
      <c r="AEX551"/>
      <c r="AEY551"/>
      <c r="AEZ551"/>
      <c r="AFA551"/>
      <c r="AFB551"/>
      <c r="AFC551"/>
      <c r="AFD551"/>
      <c r="AFE551"/>
      <c r="AFF551"/>
      <c r="AFG551"/>
      <c r="AFH551"/>
      <c r="AFI551"/>
      <c r="AFJ551"/>
      <c r="AFK551"/>
      <c r="AFL551"/>
      <c r="AFM551"/>
      <c r="AFN551"/>
      <c r="AFO551"/>
      <c r="AFP551"/>
      <c r="AFQ551"/>
      <c r="AFR551"/>
      <c r="AFS551"/>
      <c r="AFT551"/>
      <c r="AFU551"/>
      <c r="AFV551"/>
      <c r="AFW551"/>
      <c r="AFX551"/>
      <c r="AFY551"/>
      <c r="AFZ551"/>
      <c r="AGA551"/>
      <c r="AGB551"/>
      <c r="AGC551"/>
      <c r="AGD551"/>
      <c r="AGE551"/>
      <c r="AGF551"/>
      <c r="AGG551"/>
      <c r="AGH551"/>
      <c r="AGI551"/>
      <c r="AGJ551"/>
      <c r="AGK551"/>
      <c r="AGL551"/>
      <c r="AGM551"/>
      <c r="AGN551"/>
      <c r="AGO551"/>
      <c r="AGP551"/>
      <c r="AGQ551"/>
      <c r="AGR551"/>
      <c r="AGS551"/>
      <c r="AGT551"/>
      <c r="AGU551"/>
      <c r="AGV551"/>
      <c r="AGW551"/>
      <c r="AGX551"/>
      <c r="AGY551"/>
      <c r="AGZ551"/>
      <c r="AHA551"/>
      <c r="AHB551"/>
      <c r="AHC551"/>
      <c r="AHD551"/>
      <c r="AHE551"/>
      <c r="AHF551"/>
      <c r="AHG551"/>
      <c r="AHH551"/>
      <c r="AHI551"/>
      <c r="AHJ551"/>
      <c r="AHK551"/>
      <c r="AHL551"/>
      <c r="AHM551"/>
      <c r="AHN551"/>
      <c r="AHO551"/>
      <c r="AHP551"/>
      <c r="AHQ551"/>
      <c r="AHR551"/>
      <c r="AHS551"/>
      <c r="AHT551"/>
      <c r="AHU551"/>
      <c r="AHV551"/>
      <c r="AHW551"/>
      <c r="AHX551"/>
      <c r="AHY551"/>
      <c r="AHZ551"/>
      <c r="AIA551"/>
      <c r="AIB551"/>
      <c r="AIC551"/>
      <c r="AID551"/>
      <c r="AIE551"/>
      <c r="AIF551"/>
      <c r="AIG551"/>
      <c r="AIH551"/>
      <c r="AII551"/>
      <c r="AIJ551"/>
      <c r="AIK551"/>
      <c r="AIL551"/>
      <c r="AIM551"/>
      <c r="AIN551"/>
      <c r="AIO551"/>
      <c r="AIP551"/>
      <c r="AIQ551"/>
      <c r="AIR551"/>
      <c r="AIS551"/>
      <c r="AIT551"/>
      <c r="AIU551"/>
      <c r="AIV551"/>
      <c r="AIW551"/>
      <c r="AIX551"/>
      <c r="AIY551"/>
      <c r="AIZ551"/>
      <c r="AJA551"/>
      <c r="AJB551"/>
      <c r="AJC551"/>
      <c r="AJD551"/>
      <c r="AJE551"/>
      <c r="AJF551"/>
      <c r="AJG551"/>
      <c r="AJH551"/>
      <c r="AJI551"/>
      <c r="AJJ551"/>
      <c r="AJK551"/>
      <c r="AJL551"/>
      <c r="AJM551"/>
      <c r="AJN551"/>
      <c r="AJO551"/>
      <c r="AJP551"/>
      <c r="AJQ551"/>
      <c r="AJR551"/>
      <c r="AJS551"/>
      <c r="AJT551"/>
      <c r="AJU551"/>
      <c r="AJV551"/>
      <c r="AJW551"/>
      <c r="AJX551"/>
      <c r="AJY551"/>
      <c r="AJZ551"/>
      <c r="AKA551"/>
      <c r="AKB551"/>
      <c r="AKC551"/>
      <c r="AKD551"/>
      <c r="AKE551"/>
      <c r="AKF551"/>
      <c r="AKG551"/>
      <c r="AKH551"/>
      <c r="AKI551"/>
      <c r="AKJ551"/>
      <c r="AKK551"/>
      <c r="AKL551"/>
      <c r="AKM551"/>
      <c r="AKN551"/>
      <c r="AKO551"/>
      <c r="AKP551"/>
      <c r="AKQ551"/>
      <c r="AKR551"/>
      <c r="AKS551"/>
      <c r="AKT551"/>
      <c r="AKU551"/>
      <c r="AKV551"/>
      <c r="AKW551"/>
      <c r="AKX551"/>
      <c r="AKY551"/>
      <c r="AKZ551"/>
      <c r="ALA551"/>
      <c r="ALB551"/>
      <c r="ALC551"/>
      <c r="ALD551"/>
      <c r="ALE551"/>
      <c r="ALF551"/>
      <c r="ALG551"/>
      <c r="ALH551"/>
      <c r="ALI551"/>
      <c r="ALJ551"/>
      <c r="ALK551"/>
      <c r="ALL551"/>
      <c r="ALM551"/>
      <c r="ALN551"/>
      <c r="ALO551"/>
      <c r="ALP551"/>
      <c r="ALQ551"/>
      <c r="ALR551"/>
      <c r="ALS551"/>
      <c r="ALT551"/>
      <c r="ALU551"/>
      <c r="ALV551"/>
      <c r="ALW551"/>
      <c r="ALX551"/>
      <c r="ALY551"/>
      <c r="ALZ551"/>
      <c r="AMA551"/>
      <c r="AMB551"/>
      <c r="AMC551"/>
      <c r="AMD551"/>
    </row>
    <row r="552" spans="1:1018">
      <c r="A552" s="547" t="s">
        <v>1470</v>
      </c>
      <c r="B552" s="282"/>
      <c r="C552" s="282" t="s">
        <v>378</v>
      </c>
      <c r="D552" s="282" t="s">
        <v>1424</v>
      </c>
      <c r="E552" s="178">
        <f t="shared" si="57"/>
        <v>9</v>
      </c>
      <c r="F552" s="277" t="s">
        <v>1471</v>
      </c>
      <c r="G552" s="282"/>
      <c r="H552" s="282">
        <v>10</v>
      </c>
      <c r="I552" s="282"/>
      <c r="J552" s="175"/>
      <c r="K552" s="201">
        <v>4394.5</v>
      </c>
      <c r="L552" s="201">
        <v>375</v>
      </c>
      <c r="M552" s="201">
        <v>600</v>
      </c>
      <c r="N552" s="420">
        <f>+K552+L552+M552</f>
        <v>5369.5</v>
      </c>
      <c r="O552" s="303">
        <v>13653</v>
      </c>
      <c r="P552" s="304">
        <v>2700</v>
      </c>
      <c r="Q552" s="304">
        <v>300</v>
      </c>
      <c r="R552" s="305">
        <v>2996</v>
      </c>
      <c r="S552" s="306">
        <v>3825</v>
      </c>
      <c r="T552" s="306" t="s">
        <v>1472</v>
      </c>
      <c r="U552" s="9">
        <v>370</v>
      </c>
      <c r="V552" s="9">
        <v>370</v>
      </c>
      <c r="W552" s="291">
        <v>0</v>
      </c>
      <c r="X552" s="290">
        <f>375+4394.5</f>
        <v>4769.5</v>
      </c>
      <c r="Y552" s="290">
        <v>5369.5</v>
      </c>
      <c r="Z552" s="290">
        <v>5369.5</v>
      </c>
      <c r="AA552" s="290"/>
      <c r="AB552" s="309"/>
      <c r="AC552" s="290"/>
      <c r="AD552" s="290"/>
      <c r="AE552" s="290"/>
      <c r="AF552" s="290"/>
      <c r="AG552" s="291"/>
      <c r="AH552" s="291">
        <v>0</v>
      </c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  <c r="ZW552"/>
      <c r="ZX552"/>
      <c r="ZY552"/>
      <c r="ZZ552"/>
      <c r="AAA552"/>
      <c r="AAB552"/>
      <c r="AAC552"/>
      <c r="AAD552"/>
      <c r="AAE552"/>
      <c r="AAF552"/>
      <c r="AAG552"/>
      <c r="AAH552"/>
      <c r="AAI552"/>
      <c r="AAJ552"/>
      <c r="AAK552"/>
      <c r="AAL552"/>
      <c r="AAM552"/>
      <c r="AAN552"/>
      <c r="AAO552"/>
      <c r="AAP552"/>
      <c r="AAQ552"/>
      <c r="AAR552"/>
      <c r="AAS552"/>
      <c r="AAT552"/>
      <c r="AAU552"/>
      <c r="AAV552"/>
      <c r="AAW552"/>
      <c r="AAX552"/>
      <c r="AAY552"/>
      <c r="AAZ552"/>
      <c r="ABA552"/>
      <c r="ABB552"/>
      <c r="ABC552"/>
      <c r="ABD552"/>
      <c r="ABE552"/>
      <c r="ABF552"/>
      <c r="ABG552"/>
      <c r="ABH552"/>
      <c r="ABI552"/>
      <c r="ABJ552"/>
      <c r="ABK552"/>
      <c r="ABL552"/>
      <c r="ABM552"/>
      <c r="ABN552"/>
      <c r="ABO552"/>
      <c r="ABP552"/>
      <c r="ABQ552"/>
      <c r="ABR552"/>
      <c r="ABS552"/>
      <c r="ABT552"/>
      <c r="ABU552"/>
      <c r="ABV552"/>
      <c r="ABW552"/>
      <c r="ABX552"/>
      <c r="ABY552"/>
      <c r="ABZ552"/>
      <c r="ACA552"/>
      <c r="ACB552"/>
      <c r="ACC552"/>
      <c r="ACD552"/>
      <c r="ACE552"/>
      <c r="ACF552"/>
      <c r="ACG552"/>
      <c r="ACH552"/>
      <c r="ACI552"/>
      <c r="ACJ552"/>
      <c r="ACK552"/>
      <c r="ACL552"/>
      <c r="ACM552"/>
      <c r="ACN552"/>
      <c r="ACO552"/>
      <c r="ACP552"/>
      <c r="ACQ552"/>
      <c r="ACR552"/>
      <c r="ACS552"/>
      <c r="ACT552"/>
      <c r="ACU552"/>
      <c r="ACV552"/>
      <c r="ACW552"/>
      <c r="ACX552"/>
      <c r="ACY552"/>
      <c r="ACZ552"/>
      <c r="ADA552"/>
      <c r="ADB552"/>
      <c r="ADC552"/>
      <c r="ADD552"/>
      <c r="ADE552"/>
      <c r="ADF552"/>
      <c r="ADG552"/>
      <c r="ADH552"/>
      <c r="ADI552"/>
      <c r="ADJ552"/>
      <c r="ADK552"/>
      <c r="ADL552"/>
      <c r="ADM552"/>
      <c r="ADN552"/>
      <c r="ADO552"/>
      <c r="ADP552"/>
      <c r="ADQ552"/>
      <c r="ADR552"/>
      <c r="ADS552"/>
      <c r="ADT552"/>
      <c r="ADU552"/>
      <c r="ADV552"/>
      <c r="ADW552"/>
      <c r="ADX552"/>
      <c r="ADY552"/>
      <c r="ADZ552"/>
      <c r="AEA552"/>
      <c r="AEB552"/>
      <c r="AEC552"/>
      <c r="AED552"/>
      <c r="AEE552"/>
      <c r="AEF552"/>
      <c r="AEG552"/>
      <c r="AEH552"/>
      <c r="AEI552"/>
      <c r="AEJ552"/>
      <c r="AEK552"/>
      <c r="AEL552"/>
      <c r="AEM552"/>
      <c r="AEN552"/>
      <c r="AEO552"/>
      <c r="AEP552"/>
      <c r="AEQ552"/>
      <c r="AER552"/>
      <c r="AES552"/>
      <c r="AET552"/>
      <c r="AEU552"/>
      <c r="AEV552"/>
      <c r="AEW552"/>
      <c r="AEX552"/>
      <c r="AEY552"/>
      <c r="AEZ552"/>
      <c r="AFA552"/>
      <c r="AFB552"/>
      <c r="AFC552"/>
      <c r="AFD552"/>
      <c r="AFE552"/>
      <c r="AFF552"/>
      <c r="AFG552"/>
      <c r="AFH552"/>
      <c r="AFI552"/>
      <c r="AFJ552"/>
      <c r="AFK552"/>
      <c r="AFL552"/>
      <c r="AFM552"/>
      <c r="AFN552"/>
      <c r="AFO552"/>
      <c r="AFP552"/>
      <c r="AFQ552"/>
      <c r="AFR552"/>
      <c r="AFS552"/>
      <c r="AFT552"/>
      <c r="AFU552"/>
      <c r="AFV552"/>
      <c r="AFW552"/>
      <c r="AFX552"/>
      <c r="AFY552"/>
      <c r="AFZ552"/>
      <c r="AGA552"/>
      <c r="AGB552"/>
      <c r="AGC552"/>
      <c r="AGD552"/>
      <c r="AGE552"/>
      <c r="AGF552"/>
      <c r="AGG552"/>
      <c r="AGH552"/>
      <c r="AGI552"/>
      <c r="AGJ552"/>
      <c r="AGK552"/>
      <c r="AGL552"/>
      <c r="AGM552"/>
      <c r="AGN552"/>
      <c r="AGO552"/>
      <c r="AGP552"/>
      <c r="AGQ552"/>
      <c r="AGR552"/>
      <c r="AGS552"/>
      <c r="AGT552"/>
      <c r="AGU552"/>
      <c r="AGV552"/>
      <c r="AGW552"/>
      <c r="AGX552"/>
      <c r="AGY552"/>
      <c r="AGZ552"/>
      <c r="AHA552"/>
      <c r="AHB552"/>
      <c r="AHC552"/>
      <c r="AHD552"/>
      <c r="AHE552"/>
      <c r="AHF552"/>
      <c r="AHG552"/>
      <c r="AHH552"/>
      <c r="AHI552"/>
      <c r="AHJ552"/>
      <c r="AHK552"/>
      <c r="AHL552"/>
      <c r="AHM552"/>
      <c r="AHN552"/>
      <c r="AHO552"/>
      <c r="AHP552"/>
      <c r="AHQ552"/>
      <c r="AHR552"/>
      <c r="AHS552"/>
      <c r="AHT552"/>
      <c r="AHU552"/>
      <c r="AHV552"/>
      <c r="AHW552"/>
      <c r="AHX552"/>
      <c r="AHY552"/>
      <c r="AHZ552"/>
      <c r="AIA552"/>
      <c r="AIB552"/>
      <c r="AIC552"/>
      <c r="AID552"/>
      <c r="AIE552"/>
      <c r="AIF552"/>
      <c r="AIG552"/>
      <c r="AIH552"/>
      <c r="AII552"/>
      <c r="AIJ552"/>
      <c r="AIK552"/>
      <c r="AIL552"/>
      <c r="AIM552"/>
      <c r="AIN552"/>
      <c r="AIO552"/>
      <c r="AIP552"/>
      <c r="AIQ552"/>
      <c r="AIR552"/>
      <c r="AIS552"/>
      <c r="AIT552"/>
      <c r="AIU552"/>
      <c r="AIV552"/>
      <c r="AIW552"/>
      <c r="AIX552"/>
      <c r="AIY552"/>
      <c r="AIZ552"/>
      <c r="AJA552"/>
      <c r="AJB552"/>
      <c r="AJC552"/>
      <c r="AJD552"/>
      <c r="AJE552"/>
      <c r="AJF552"/>
      <c r="AJG552"/>
      <c r="AJH552"/>
      <c r="AJI552"/>
      <c r="AJJ552"/>
      <c r="AJK552"/>
      <c r="AJL552"/>
      <c r="AJM552"/>
      <c r="AJN552"/>
      <c r="AJO552"/>
      <c r="AJP552"/>
      <c r="AJQ552"/>
      <c r="AJR552"/>
      <c r="AJS552"/>
      <c r="AJT552"/>
      <c r="AJU552"/>
      <c r="AJV552"/>
      <c r="AJW552"/>
      <c r="AJX552"/>
      <c r="AJY552"/>
      <c r="AJZ552"/>
      <c r="AKA552"/>
      <c r="AKB552"/>
      <c r="AKC552"/>
      <c r="AKD552"/>
      <c r="AKE552"/>
      <c r="AKF552"/>
      <c r="AKG552"/>
      <c r="AKH552"/>
      <c r="AKI552"/>
      <c r="AKJ552"/>
      <c r="AKK552"/>
      <c r="AKL552"/>
      <c r="AKM552"/>
      <c r="AKN552"/>
      <c r="AKO552"/>
      <c r="AKP552"/>
      <c r="AKQ552"/>
      <c r="AKR552"/>
      <c r="AKS552"/>
      <c r="AKT552"/>
      <c r="AKU552"/>
      <c r="AKV552"/>
      <c r="AKW552"/>
      <c r="AKX552"/>
      <c r="AKY552"/>
      <c r="AKZ552"/>
      <c r="ALA552"/>
      <c r="ALB552"/>
      <c r="ALC552"/>
      <c r="ALD552"/>
      <c r="ALE552"/>
      <c r="ALF552"/>
      <c r="ALG552"/>
      <c r="ALH552"/>
      <c r="ALI552"/>
      <c r="ALJ552"/>
      <c r="ALK552"/>
      <c r="ALL552"/>
      <c r="ALM552"/>
      <c r="ALN552"/>
      <c r="ALO552"/>
      <c r="ALP552"/>
      <c r="ALQ552"/>
      <c r="ALR552"/>
      <c r="ALS552"/>
      <c r="ALT552"/>
      <c r="ALU552"/>
      <c r="ALV552"/>
      <c r="ALW552"/>
      <c r="ALX552"/>
      <c r="ALY552"/>
      <c r="ALZ552"/>
      <c r="AMA552"/>
      <c r="AMB552"/>
      <c r="AMC552"/>
      <c r="AMD552"/>
    </row>
    <row r="553" spans="1:1018">
      <c r="A553" s="547" t="s">
        <v>327</v>
      </c>
      <c r="B553" s="282"/>
      <c r="C553" s="282" t="s">
        <v>1113</v>
      </c>
      <c r="D553" s="282"/>
      <c r="E553" s="178">
        <f t="shared" si="57"/>
        <v>10</v>
      </c>
      <c r="F553" s="277" t="s">
        <v>1473</v>
      </c>
      <c r="G553" s="282">
        <v>0.1</v>
      </c>
      <c r="H553" s="282">
        <v>10</v>
      </c>
      <c r="I553" s="282"/>
      <c r="J553" s="175"/>
      <c r="K553" s="201">
        <v>3955.05</v>
      </c>
      <c r="L553" s="201">
        <v>2105</v>
      </c>
      <c r="M553" s="201"/>
      <c r="N553" s="420">
        <f>+J553+K553+L553</f>
        <v>6060.05</v>
      </c>
      <c r="O553" s="303">
        <v>13265</v>
      </c>
      <c r="P553" s="304">
        <v>1800</v>
      </c>
      <c r="Q553" s="304">
        <v>300</v>
      </c>
      <c r="R553" s="305">
        <v>2836</v>
      </c>
      <c r="S553" s="306">
        <v>4090</v>
      </c>
      <c r="T553" s="306"/>
      <c r="U553" s="9">
        <v>370</v>
      </c>
      <c r="V553" s="9">
        <v>370</v>
      </c>
      <c r="W553" s="291">
        <v>0</v>
      </c>
      <c r="X553" s="291">
        <v>6060.05</v>
      </c>
      <c r="Y553" s="289">
        <v>6060.05</v>
      </c>
      <c r="Z553" s="291">
        <v>6060.05</v>
      </c>
      <c r="AA553" s="289"/>
      <c r="AB553" s="291"/>
      <c r="AC553" s="291"/>
      <c r="AD553" s="289"/>
      <c r="AE553" s="289"/>
      <c r="AF553" s="291"/>
      <c r="AG553" s="291"/>
      <c r="AH553" s="291">
        <v>0</v>
      </c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/>
      <c r="AEO553"/>
      <c r="AEP553"/>
      <c r="AEQ553"/>
      <c r="AER553"/>
      <c r="AES553"/>
      <c r="AET553"/>
      <c r="AEU553"/>
      <c r="AEV553"/>
      <c r="AEW553"/>
      <c r="AEX553"/>
      <c r="AEY553"/>
      <c r="AEZ553"/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/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/>
      <c r="AJZ553"/>
      <c r="AKA553"/>
      <c r="AKB553"/>
      <c r="AKC553"/>
      <c r="AKD553"/>
      <c r="AKE553"/>
      <c r="AKF553"/>
      <c r="AKG553"/>
      <c r="AKH553"/>
      <c r="AKI553"/>
      <c r="AKJ553"/>
      <c r="AKK553"/>
      <c r="AKL553"/>
      <c r="AKM553"/>
      <c r="AKN553"/>
      <c r="AKO553"/>
      <c r="AKP553"/>
      <c r="AKQ553"/>
      <c r="AKR553"/>
      <c r="AKS553"/>
      <c r="AKT553"/>
      <c r="AKU553"/>
      <c r="AKV553"/>
      <c r="AKW553"/>
      <c r="AKX553"/>
      <c r="AKY553"/>
      <c r="AKZ553"/>
      <c r="ALA553"/>
      <c r="ALB553"/>
      <c r="ALC553"/>
      <c r="ALD553"/>
      <c r="ALE553"/>
      <c r="ALF553"/>
      <c r="ALG553"/>
      <c r="ALH553"/>
      <c r="ALI553"/>
      <c r="ALJ553"/>
      <c r="ALK553"/>
      <c r="ALL553"/>
      <c r="ALM553"/>
      <c r="ALN553"/>
      <c r="ALO553"/>
      <c r="ALP553"/>
      <c r="ALQ553"/>
      <c r="ALR553"/>
      <c r="ALS553"/>
      <c r="ALT553"/>
      <c r="ALU553"/>
      <c r="ALV553"/>
      <c r="ALW553"/>
      <c r="ALX553"/>
      <c r="ALY553"/>
      <c r="ALZ553"/>
      <c r="AMA553"/>
      <c r="AMB553"/>
      <c r="AMC553"/>
      <c r="AMD553"/>
    </row>
    <row r="554" spans="1:1018">
      <c r="A554" s="421" t="s">
        <v>328</v>
      </c>
      <c r="B554" s="282"/>
      <c r="C554" s="282"/>
      <c r="D554" s="282"/>
      <c r="E554" s="178">
        <f t="shared" si="57"/>
        <v>11</v>
      </c>
      <c r="F554" s="277" t="s">
        <v>1474</v>
      </c>
      <c r="G554" s="282">
        <v>0.15</v>
      </c>
      <c r="H554" s="282">
        <v>10</v>
      </c>
      <c r="I554" s="282"/>
      <c r="J554" s="175"/>
      <c r="K554" s="201">
        <v>3295.88</v>
      </c>
      <c r="L554" s="201"/>
      <c r="M554" s="201"/>
      <c r="N554" s="420">
        <f>+J554+K554+L554</f>
        <v>3295.88</v>
      </c>
      <c r="O554" s="303">
        <v>13223</v>
      </c>
      <c r="P554" s="304">
        <v>1800</v>
      </c>
      <c r="Q554" s="304">
        <v>300</v>
      </c>
      <c r="R554" s="305">
        <v>2726</v>
      </c>
      <c r="S554" s="306">
        <v>4090</v>
      </c>
      <c r="T554" s="306"/>
      <c r="U554" s="9">
        <v>370</v>
      </c>
      <c r="V554" s="9">
        <v>370</v>
      </c>
      <c r="W554" s="291">
        <v>0</v>
      </c>
      <c r="X554" s="291">
        <v>3295.88</v>
      </c>
      <c r="Y554" s="291">
        <v>3295.88</v>
      </c>
      <c r="Z554" s="291">
        <v>3295.88</v>
      </c>
      <c r="AA554" s="291">
        <v>3295.88</v>
      </c>
      <c r="AB554" s="291">
        <v>3295.88</v>
      </c>
      <c r="AC554" s="291">
        <v>3295.88</v>
      </c>
      <c r="AD554" s="291"/>
      <c r="AE554" s="291"/>
      <c r="AF554" s="291"/>
      <c r="AG554" s="291"/>
      <c r="AH554" s="291">
        <v>0</v>
      </c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  <c r="ZW554"/>
      <c r="ZX554"/>
      <c r="ZY554"/>
      <c r="ZZ554"/>
      <c r="AAA554"/>
      <c r="AAB554"/>
      <c r="AAC554"/>
      <c r="AAD554"/>
      <c r="AAE554"/>
      <c r="AAF554"/>
      <c r="AAG554"/>
      <c r="AAH554"/>
      <c r="AAI554"/>
      <c r="AAJ554"/>
      <c r="AAK554"/>
      <c r="AAL554"/>
      <c r="AAM554"/>
      <c r="AAN554"/>
      <c r="AAO554"/>
      <c r="AAP554"/>
      <c r="AAQ554"/>
      <c r="AAR554"/>
      <c r="AAS554"/>
      <c r="AAT554"/>
      <c r="AAU554"/>
      <c r="AAV554"/>
      <c r="AAW554"/>
      <c r="AAX554"/>
      <c r="AAY554"/>
      <c r="AAZ554"/>
      <c r="ABA554"/>
      <c r="ABB554"/>
      <c r="ABC554"/>
      <c r="ABD554"/>
      <c r="ABE554"/>
      <c r="ABF554"/>
      <c r="ABG554"/>
      <c r="ABH554"/>
      <c r="ABI554"/>
      <c r="ABJ554"/>
      <c r="ABK554"/>
      <c r="ABL554"/>
      <c r="ABM554"/>
      <c r="ABN554"/>
      <c r="ABO554"/>
      <c r="ABP554"/>
      <c r="ABQ554"/>
      <c r="ABR554"/>
      <c r="ABS554"/>
      <c r="ABT554"/>
      <c r="ABU554"/>
      <c r="ABV554"/>
      <c r="ABW554"/>
      <c r="ABX554"/>
      <c r="ABY554"/>
      <c r="ABZ554"/>
      <c r="ACA554"/>
      <c r="ACB554"/>
      <c r="ACC554"/>
      <c r="ACD554"/>
      <c r="ACE554"/>
      <c r="ACF554"/>
      <c r="ACG554"/>
      <c r="ACH554"/>
      <c r="ACI554"/>
      <c r="ACJ554"/>
      <c r="ACK554"/>
      <c r="ACL554"/>
      <c r="ACM554"/>
      <c r="ACN554"/>
      <c r="ACO554"/>
      <c r="ACP554"/>
      <c r="ACQ554"/>
      <c r="ACR554"/>
      <c r="ACS554"/>
      <c r="ACT554"/>
      <c r="ACU554"/>
      <c r="ACV554"/>
      <c r="ACW554"/>
      <c r="ACX554"/>
      <c r="ACY554"/>
      <c r="ACZ554"/>
      <c r="ADA554"/>
      <c r="ADB554"/>
      <c r="ADC554"/>
      <c r="ADD554"/>
      <c r="ADE554"/>
      <c r="ADF554"/>
      <c r="ADG554"/>
      <c r="ADH554"/>
      <c r="ADI554"/>
      <c r="ADJ554"/>
      <c r="ADK554"/>
      <c r="ADL554"/>
      <c r="ADM554"/>
      <c r="ADN554"/>
      <c r="ADO554"/>
      <c r="ADP554"/>
      <c r="ADQ554"/>
      <c r="ADR554"/>
      <c r="ADS554"/>
      <c r="ADT554"/>
      <c r="ADU554"/>
      <c r="ADV554"/>
      <c r="ADW554"/>
      <c r="ADX554"/>
      <c r="ADY554"/>
      <c r="ADZ554"/>
      <c r="AEA554"/>
      <c r="AEB554"/>
      <c r="AEC554"/>
      <c r="AED554"/>
      <c r="AEE554"/>
      <c r="AEF554"/>
      <c r="AEG554"/>
      <c r="AEH554"/>
      <c r="AEI554"/>
      <c r="AEJ554"/>
      <c r="AEK554"/>
      <c r="AEL554"/>
      <c r="AEM554"/>
      <c r="AEN554"/>
      <c r="AEO554"/>
      <c r="AEP554"/>
      <c r="AEQ554"/>
      <c r="AER554"/>
      <c r="AES554"/>
      <c r="AET554"/>
      <c r="AEU554"/>
      <c r="AEV554"/>
      <c r="AEW554"/>
      <c r="AEX554"/>
      <c r="AEY554"/>
      <c r="AEZ554"/>
      <c r="AFA554"/>
      <c r="AFB554"/>
      <c r="AFC554"/>
      <c r="AFD554"/>
      <c r="AFE554"/>
      <c r="AFF554"/>
      <c r="AFG554"/>
      <c r="AFH554"/>
      <c r="AFI554"/>
      <c r="AFJ554"/>
      <c r="AFK554"/>
      <c r="AFL554"/>
      <c r="AFM554"/>
      <c r="AFN554"/>
      <c r="AFO554"/>
      <c r="AFP554"/>
      <c r="AFQ554"/>
      <c r="AFR554"/>
      <c r="AFS554"/>
      <c r="AFT554"/>
      <c r="AFU554"/>
      <c r="AFV554"/>
      <c r="AFW554"/>
      <c r="AFX554"/>
      <c r="AFY554"/>
      <c r="AFZ554"/>
      <c r="AGA554"/>
      <c r="AGB554"/>
      <c r="AGC554"/>
      <c r="AGD554"/>
      <c r="AGE554"/>
      <c r="AGF554"/>
      <c r="AGG554"/>
      <c r="AGH554"/>
      <c r="AGI554"/>
      <c r="AGJ554"/>
      <c r="AGK554"/>
      <c r="AGL554"/>
      <c r="AGM554"/>
      <c r="AGN554"/>
      <c r="AGO554"/>
      <c r="AGP554"/>
      <c r="AGQ554"/>
      <c r="AGR554"/>
      <c r="AGS554"/>
      <c r="AGT554"/>
      <c r="AGU554"/>
      <c r="AGV554"/>
      <c r="AGW554"/>
      <c r="AGX554"/>
      <c r="AGY554"/>
      <c r="AGZ554"/>
      <c r="AHA554"/>
      <c r="AHB554"/>
      <c r="AHC554"/>
      <c r="AHD554"/>
      <c r="AHE554"/>
      <c r="AHF554"/>
      <c r="AHG554"/>
      <c r="AHH554"/>
      <c r="AHI554"/>
      <c r="AHJ554"/>
      <c r="AHK554"/>
      <c r="AHL554"/>
      <c r="AHM554"/>
      <c r="AHN554"/>
      <c r="AHO554"/>
      <c r="AHP554"/>
      <c r="AHQ554"/>
      <c r="AHR554"/>
      <c r="AHS554"/>
      <c r="AHT554"/>
      <c r="AHU554"/>
      <c r="AHV554"/>
      <c r="AHW554"/>
      <c r="AHX554"/>
      <c r="AHY554"/>
      <c r="AHZ554"/>
      <c r="AIA554"/>
      <c r="AIB554"/>
      <c r="AIC554"/>
      <c r="AID554"/>
      <c r="AIE554"/>
      <c r="AIF554"/>
      <c r="AIG554"/>
      <c r="AIH554"/>
      <c r="AII554"/>
      <c r="AIJ554"/>
      <c r="AIK554"/>
      <c r="AIL554"/>
      <c r="AIM554"/>
      <c r="AIN554"/>
      <c r="AIO554"/>
      <c r="AIP554"/>
      <c r="AIQ554"/>
      <c r="AIR554"/>
      <c r="AIS554"/>
      <c r="AIT554"/>
      <c r="AIU554"/>
      <c r="AIV554"/>
      <c r="AIW554"/>
      <c r="AIX554"/>
      <c r="AIY554"/>
      <c r="AIZ554"/>
      <c r="AJA554"/>
      <c r="AJB554"/>
      <c r="AJC554"/>
      <c r="AJD554"/>
      <c r="AJE554"/>
      <c r="AJF554"/>
      <c r="AJG554"/>
      <c r="AJH554"/>
      <c r="AJI554"/>
      <c r="AJJ554"/>
      <c r="AJK554"/>
      <c r="AJL554"/>
      <c r="AJM554"/>
      <c r="AJN554"/>
      <c r="AJO554"/>
      <c r="AJP554"/>
      <c r="AJQ554"/>
      <c r="AJR554"/>
      <c r="AJS554"/>
      <c r="AJT554"/>
      <c r="AJU554"/>
      <c r="AJV554"/>
      <c r="AJW554"/>
      <c r="AJX554"/>
      <c r="AJY554"/>
      <c r="AJZ554"/>
      <c r="AKA554"/>
      <c r="AKB554"/>
      <c r="AKC554"/>
      <c r="AKD554"/>
      <c r="AKE554"/>
      <c r="AKF554"/>
      <c r="AKG554"/>
      <c r="AKH554"/>
      <c r="AKI554"/>
      <c r="AKJ554"/>
      <c r="AKK554"/>
      <c r="AKL554"/>
      <c r="AKM554"/>
      <c r="AKN554"/>
      <c r="AKO554"/>
      <c r="AKP554"/>
      <c r="AKQ554"/>
      <c r="AKR554"/>
      <c r="AKS554"/>
      <c r="AKT554"/>
      <c r="AKU554"/>
      <c r="AKV554"/>
      <c r="AKW554"/>
      <c r="AKX554"/>
      <c r="AKY554"/>
      <c r="AKZ554"/>
      <c r="ALA554"/>
      <c r="ALB554"/>
      <c r="ALC554"/>
      <c r="ALD554"/>
      <c r="ALE554"/>
      <c r="ALF554"/>
      <c r="ALG554"/>
      <c r="ALH554"/>
      <c r="ALI554"/>
      <c r="ALJ554"/>
      <c r="ALK554"/>
      <c r="ALL554"/>
      <c r="ALM554"/>
      <c r="ALN554"/>
      <c r="ALO554"/>
      <c r="ALP554"/>
      <c r="ALQ554"/>
      <c r="ALR554"/>
      <c r="ALS554"/>
      <c r="ALT554"/>
      <c r="ALU554"/>
      <c r="ALV554"/>
      <c r="ALW554"/>
      <c r="ALX554"/>
      <c r="ALY554"/>
      <c r="ALZ554"/>
      <c r="AMA554"/>
      <c r="AMB554"/>
      <c r="AMC554"/>
      <c r="AMD554"/>
    </row>
    <row r="555" spans="1:1018">
      <c r="A555" s="530" t="s">
        <v>329</v>
      </c>
      <c r="B555" s="282"/>
      <c r="C555" s="282" t="s">
        <v>1475</v>
      </c>
      <c r="D555" s="282"/>
      <c r="E555" s="178">
        <f t="shared" si="57"/>
        <v>12</v>
      </c>
      <c r="F555" s="277" t="s">
        <v>1476</v>
      </c>
      <c r="G555" s="282"/>
      <c r="H555" s="282">
        <v>10</v>
      </c>
      <c r="I555" s="282"/>
      <c r="J555" s="175"/>
      <c r="K555" s="201">
        <v>4394.5</v>
      </c>
      <c r="L555" s="201">
        <v>2105</v>
      </c>
      <c r="M555" s="201"/>
      <c r="N555" s="420">
        <f>+J555+K555+L555</f>
        <v>6499.5</v>
      </c>
      <c r="O555" s="303">
        <v>13664</v>
      </c>
      <c r="P555" s="304">
        <v>2700</v>
      </c>
      <c r="Q555" s="304">
        <v>300</v>
      </c>
      <c r="R555" s="305">
        <v>2824</v>
      </c>
      <c r="S555" s="306">
        <v>4090</v>
      </c>
      <c r="T555" s="306"/>
      <c r="U555" s="9">
        <v>370</v>
      </c>
      <c r="V555" s="9">
        <v>370</v>
      </c>
      <c r="W555" s="291">
        <v>0</v>
      </c>
      <c r="X555" s="289">
        <v>6499.5</v>
      </c>
      <c r="Y555" s="290">
        <v>6499.5</v>
      </c>
      <c r="Z555" s="290">
        <v>6499.5</v>
      </c>
      <c r="AA555" s="290">
        <v>6499.5</v>
      </c>
      <c r="AB555" s="290"/>
      <c r="AC555" s="290"/>
      <c r="AD555" s="290"/>
      <c r="AE555" s="290"/>
      <c r="AF555" s="290"/>
      <c r="AG555" s="291"/>
      <c r="AH555" s="291">
        <v>0</v>
      </c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  <c r="ZY555"/>
      <c r="ZZ555"/>
      <c r="AAA555"/>
      <c r="AAB555"/>
      <c r="AAC555"/>
      <c r="AAD555"/>
      <c r="AAE555"/>
      <c r="AAF555"/>
      <c r="AAG555"/>
      <c r="AAH555"/>
      <c r="AAI555"/>
      <c r="AAJ555"/>
      <c r="AAK555"/>
      <c r="AAL555"/>
      <c r="AAM555"/>
      <c r="AAN555"/>
      <c r="AAO555"/>
      <c r="AAP555"/>
      <c r="AAQ555"/>
      <c r="AAR555"/>
      <c r="AAS555"/>
      <c r="AAT555"/>
      <c r="AAU555"/>
      <c r="AAV555"/>
      <c r="AAW555"/>
      <c r="AAX555"/>
      <c r="AAY555"/>
      <c r="AAZ555"/>
      <c r="ABA555"/>
      <c r="ABB555"/>
      <c r="ABC555"/>
      <c r="ABD555"/>
      <c r="ABE555"/>
      <c r="ABF555"/>
      <c r="ABG555"/>
      <c r="ABH555"/>
      <c r="ABI555"/>
      <c r="ABJ555"/>
      <c r="ABK555"/>
      <c r="ABL555"/>
      <c r="ABM555"/>
      <c r="ABN555"/>
      <c r="ABO555"/>
      <c r="ABP555"/>
      <c r="ABQ555"/>
      <c r="ABR555"/>
      <c r="ABS555"/>
      <c r="ABT555"/>
      <c r="ABU555"/>
      <c r="ABV555"/>
      <c r="ABW555"/>
      <c r="ABX555"/>
      <c r="ABY555"/>
      <c r="ABZ555"/>
      <c r="ACA555"/>
      <c r="ACB555"/>
      <c r="ACC555"/>
      <c r="ACD555"/>
      <c r="ACE555"/>
      <c r="ACF555"/>
      <c r="ACG555"/>
      <c r="ACH555"/>
      <c r="ACI555"/>
      <c r="ACJ555"/>
      <c r="ACK555"/>
      <c r="ACL555"/>
      <c r="ACM555"/>
      <c r="ACN555"/>
      <c r="ACO555"/>
      <c r="ACP555"/>
      <c r="ACQ555"/>
      <c r="ACR555"/>
      <c r="ACS555"/>
      <c r="ACT555"/>
      <c r="ACU555"/>
      <c r="ACV555"/>
      <c r="ACW555"/>
      <c r="ACX555"/>
      <c r="ACY555"/>
      <c r="ACZ555"/>
      <c r="ADA555"/>
      <c r="ADB555"/>
      <c r="ADC555"/>
      <c r="ADD555"/>
      <c r="ADE555"/>
      <c r="ADF555"/>
      <c r="ADG555"/>
      <c r="ADH555"/>
      <c r="ADI555"/>
      <c r="ADJ555"/>
      <c r="ADK555"/>
      <c r="ADL555"/>
      <c r="ADM555"/>
      <c r="ADN555"/>
      <c r="ADO555"/>
      <c r="ADP555"/>
      <c r="ADQ555"/>
      <c r="ADR555"/>
      <c r="ADS555"/>
      <c r="ADT555"/>
      <c r="ADU555"/>
      <c r="ADV555"/>
      <c r="ADW555"/>
      <c r="ADX555"/>
      <c r="ADY555"/>
      <c r="ADZ555"/>
      <c r="AEA555"/>
      <c r="AEB555"/>
      <c r="AEC555"/>
      <c r="AED555"/>
      <c r="AEE555"/>
      <c r="AEF555"/>
      <c r="AEG555"/>
      <c r="AEH555"/>
      <c r="AEI555"/>
      <c r="AEJ555"/>
      <c r="AEK555"/>
      <c r="AEL555"/>
      <c r="AEM555"/>
      <c r="AEN555"/>
      <c r="AEO555"/>
      <c r="AEP555"/>
      <c r="AEQ555"/>
      <c r="AER555"/>
      <c r="AES555"/>
      <c r="AET555"/>
      <c r="AEU555"/>
      <c r="AEV555"/>
      <c r="AEW555"/>
      <c r="AEX555"/>
      <c r="AEY555"/>
      <c r="AEZ555"/>
      <c r="AFA555"/>
      <c r="AFB555"/>
      <c r="AFC555"/>
      <c r="AFD555"/>
      <c r="AFE555"/>
      <c r="AFF555"/>
      <c r="AFG555"/>
      <c r="AFH555"/>
      <c r="AFI555"/>
      <c r="AFJ555"/>
      <c r="AFK555"/>
      <c r="AFL555"/>
      <c r="AFM555"/>
      <c r="AFN555"/>
      <c r="AFO555"/>
      <c r="AFP555"/>
      <c r="AFQ555"/>
      <c r="AFR555"/>
      <c r="AFS555"/>
      <c r="AFT555"/>
      <c r="AFU555"/>
      <c r="AFV555"/>
      <c r="AFW555"/>
      <c r="AFX555"/>
      <c r="AFY555"/>
      <c r="AFZ555"/>
      <c r="AGA555"/>
      <c r="AGB555"/>
      <c r="AGC555"/>
      <c r="AGD555"/>
      <c r="AGE555"/>
      <c r="AGF555"/>
      <c r="AGG555"/>
      <c r="AGH555"/>
      <c r="AGI555"/>
      <c r="AGJ555"/>
      <c r="AGK555"/>
      <c r="AGL555"/>
      <c r="AGM555"/>
      <c r="AGN555"/>
      <c r="AGO555"/>
      <c r="AGP555"/>
      <c r="AGQ555"/>
      <c r="AGR555"/>
      <c r="AGS555"/>
      <c r="AGT555"/>
      <c r="AGU555"/>
      <c r="AGV555"/>
      <c r="AGW555"/>
      <c r="AGX555"/>
      <c r="AGY555"/>
      <c r="AGZ555"/>
      <c r="AHA555"/>
      <c r="AHB555"/>
      <c r="AHC555"/>
      <c r="AHD555"/>
      <c r="AHE555"/>
      <c r="AHF555"/>
      <c r="AHG555"/>
      <c r="AHH555"/>
      <c r="AHI555"/>
      <c r="AHJ555"/>
      <c r="AHK555"/>
      <c r="AHL555"/>
      <c r="AHM555"/>
      <c r="AHN555"/>
      <c r="AHO555"/>
      <c r="AHP555"/>
      <c r="AHQ555"/>
      <c r="AHR555"/>
      <c r="AHS555"/>
      <c r="AHT555"/>
      <c r="AHU555"/>
      <c r="AHV555"/>
      <c r="AHW555"/>
      <c r="AHX555"/>
      <c r="AHY555"/>
      <c r="AHZ555"/>
      <c r="AIA555"/>
      <c r="AIB555"/>
      <c r="AIC555"/>
      <c r="AID555"/>
      <c r="AIE555"/>
      <c r="AIF555"/>
      <c r="AIG555"/>
      <c r="AIH555"/>
      <c r="AII555"/>
      <c r="AIJ555"/>
      <c r="AIK555"/>
      <c r="AIL555"/>
      <c r="AIM555"/>
      <c r="AIN555"/>
      <c r="AIO555"/>
      <c r="AIP555"/>
      <c r="AIQ555"/>
      <c r="AIR555"/>
      <c r="AIS555"/>
      <c r="AIT555"/>
      <c r="AIU555"/>
      <c r="AIV555"/>
      <c r="AIW555"/>
      <c r="AIX555"/>
      <c r="AIY555"/>
      <c r="AIZ555"/>
      <c r="AJA555"/>
      <c r="AJB555"/>
      <c r="AJC555"/>
      <c r="AJD555"/>
      <c r="AJE555"/>
      <c r="AJF555"/>
      <c r="AJG555"/>
      <c r="AJH555"/>
      <c r="AJI555"/>
      <c r="AJJ555"/>
      <c r="AJK555"/>
      <c r="AJL555"/>
      <c r="AJM555"/>
      <c r="AJN555"/>
      <c r="AJO555"/>
      <c r="AJP555"/>
      <c r="AJQ555"/>
      <c r="AJR555"/>
      <c r="AJS555"/>
      <c r="AJT555"/>
      <c r="AJU555"/>
      <c r="AJV555"/>
      <c r="AJW555"/>
      <c r="AJX555"/>
      <c r="AJY555"/>
      <c r="AJZ555"/>
      <c r="AKA555"/>
      <c r="AKB555"/>
      <c r="AKC555"/>
      <c r="AKD555"/>
      <c r="AKE555"/>
      <c r="AKF555"/>
      <c r="AKG555"/>
      <c r="AKH555"/>
      <c r="AKI555"/>
      <c r="AKJ555"/>
      <c r="AKK555"/>
      <c r="AKL555"/>
      <c r="AKM555"/>
      <c r="AKN555"/>
      <c r="AKO555"/>
      <c r="AKP555"/>
      <c r="AKQ555"/>
      <c r="AKR555"/>
      <c r="AKS555"/>
      <c r="AKT555"/>
      <c r="AKU555"/>
      <c r="AKV555"/>
      <c r="AKW555"/>
      <c r="AKX555"/>
      <c r="AKY555"/>
      <c r="AKZ555"/>
      <c r="ALA555"/>
      <c r="ALB555"/>
      <c r="ALC555"/>
      <c r="ALD555"/>
      <c r="ALE555"/>
      <c r="ALF555"/>
      <c r="ALG555"/>
      <c r="ALH555"/>
      <c r="ALI555"/>
      <c r="ALJ555"/>
      <c r="ALK555"/>
      <c r="ALL555"/>
      <c r="ALM555"/>
      <c r="ALN555"/>
      <c r="ALO555"/>
      <c r="ALP555"/>
      <c r="ALQ555"/>
      <c r="ALR555"/>
      <c r="ALS555"/>
      <c r="ALT555"/>
      <c r="ALU555"/>
      <c r="ALV555"/>
      <c r="ALW555"/>
      <c r="ALX555"/>
      <c r="ALY555"/>
      <c r="ALZ555"/>
      <c r="AMA555"/>
      <c r="AMB555"/>
      <c r="AMC555"/>
      <c r="AMD555"/>
    </row>
    <row r="556" spans="1:1018">
      <c r="A556" s="530" t="s">
        <v>1477</v>
      </c>
      <c r="B556" s="282"/>
      <c r="C556" s="282" t="s">
        <v>554</v>
      </c>
      <c r="D556" s="282"/>
      <c r="E556" s="178">
        <f t="shared" si="57"/>
        <v>13</v>
      </c>
      <c r="F556" s="277" t="s">
        <v>1478</v>
      </c>
      <c r="G556" s="282">
        <v>0.1</v>
      </c>
      <c r="H556" s="282">
        <v>11</v>
      </c>
      <c r="I556" s="282"/>
      <c r="J556" s="175"/>
      <c r="K556" s="201"/>
      <c r="L556" s="201">
        <v>1900</v>
      </c>
      <c r="M556" s="201"/>
      <c r="N556" s="420">
        <f t="shared" ref="N556:N557" si="58">+J556+K556+L556</f>
        <v>1900</v>
      </c>
      <c r="O556" s="303"/>
      <c r="P556" s="304"/>
      <c r="Q556" s="304"/>
      <c r="R556" s="305">
        <v>3461</v>
      </c>
      <c r="S556" s="306">
        <f>2056+554</f>
        <v>2610</v>
      </c>
      <c r="T556" s="306" t="s">
        <v>1479</v>
      </c>
      <c r="U556" s="9"/>
      <c r="V556" s="9"/>
      <c r="W556" s="291"/>
      <c r="X556" s="291"/>
      <c r="Y556" s="290" t="s">
        <v>1480</v>
      </c>
      <c r="Z556" s="290"/>
      <c r="AA556" s="290"/>
      <c r="AB556" s="291"/>
      <c r="AC556" s="291"/>
      <c r="AD556" s="291"/>
      <c r="AE556" s="291"/>
      <c r="AF556" s="291"/>
      <c r="AG556" s="291"/>
      <c r="AH556" s="291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  <c r="ZY556"/>
      <c r="ZZ556"/>
      <c r="AAA556"/>
      <c r="AAB556"/>
      <c r="AAC556"/>
      <c r="AAD556"/>
      <c r="AAE556"/>
      <c r="AAF556"/>
      <c r="AAG556"/>
      <c r="AAH556"/>
      <c r="AAI556"/>
      <c r="AAJ556"/>
      <c r="AAK556"/>
      <c r="AAL556"/>
      <c r="AAM556"/>
      <c r="AAN556"/>
      <c r="AAO556"/>
      <c r="AAP556"/>
      <c r="AAQ556"/>
      <c r="AAR556"/>
      <c r="AAS556"/>
      <c r="AAT556"/>
      <c r="AAU556"/>
      <c r="AAV556"/>
      <c r="AAW556"/>
      <c r="AAX556"/>
      <c r="AAY556"/>
      <c r="AAZ556"/>
      <c r="ABA556"/>
      <c r="ABB556"/>
      <c r="ABC556"/>
      <c r="ABD556"/>
      <c r="ABE556"/>
      <c r="ABF556"/>
      <c r="ABG556"/>
      <c r="ABH556"/>
      <c r="ABI556"/>
      <c r="ABJ556"/>
      <c r="ABK556"/>
      <c r="ABL556"/>
      <c r="ABM556"/>
      <c r="ABN556"/>
      <c r="ABO556"/>
      <c r="ABP556"/>
      <c r="ABQ556"/>
      <c r="ABR556"/>
      <c r="ABS556"/>
      <c r="ABT556"/>
      <c r="ABU556"/>
      <c r="ABV556"/>
      <c r="ABW556"/>
      <c r="ABX556"/>
      <c r="ABY556"/>
      <c r="ABZ556"/>
      <c r="ACA556"/>
      <c r="ACB556"/>
      <c r="ACC556"/>
      <c r="ACD556"/>
      <c r="ACE556"/>
      <c r="ACF556"/>
      <c r="ACG556"/>
      <c r="ACH556"/>
      <c r="ACI556"/>
      <c r="ACJ556"/>
      <c r="ACK556"/>
      <c r="ACL556"/>
      <c r="ACM556"/>
      <c r="ACN556"/>
      <c r="ACO556"/>
      <c r="ACP556"/>
      <c r="ACQ556"/>
      <c r="ACR556"/>
      <c r="ACS556"/>
      <c r="ACT556"/>
      <c r="ACU556"/>
      <c r="ACV556"/>
      <c r="ACW556"/>
      <c r="ACX556"/>
      <c r="ACY556"/>
      <c r="ACZ556"/>
      <c r="ADA556"/>
      <c r="ADB556"/>
      <c r="ADC556"/>
      <c r="ADD556"/>
      <c r="ADE556"/>
      <c r="ADF556"/>
      <c r="ADG556"/>
      <c r="ADH556"/>
      <c r="ADI556"/>
      <c r="ADJ556"/>
      <c r="ADK556"/>
      <c r="ADL556"/>
      <c r="ADM556"/>
      <c r="ADN556"/>
      <c r="ADO556"/>
      <c r="ADP556"/>
      <c r="ADQ556"/>
      <c r="ADR556"/>
      <c r="ADS556"/>
      <c r="ADT556"/>
      <c r="ADU556"/>
      <c r="ADV556"/>
      <c r="ADW556"/>
      <c r="ADX556"/>
      <c r="ADY556"/>
      <c r="ADZ556"/>
      <c r="AEA556"/>
      <c r="AEB556"/>
      <c r="AEC556"/>
      <c r="AED556"/>
      <c r="AEE556"/>
      <c r="AEF556"/>
      <c r="AEG556"/>
      <c r="AEH556"/>
      <c r="AEI556"/>
      <c r="AEJ556"/>
      <c r="AEK556"/>
      <c r="AEL556"/>
      <c r="AEM556"/>
      <c r="AEN556"/>
      <c r="AEO556"/>
      <c r="AEP556"/>
      <c r="AEQ556"/>
      <c r="AER556"/>
      <c r="AES556"/>
      <c r="AET556"/>
      <c r="AEU556"/>
      <c r="AEV556"/>
      <c r="AEW556"/>
      <c r="AEX556"/>
      <c r="AEY556"/>
      <c r="AEZ556"/>
      <c r="AFA556"/>
      <c r="AFB556"/>
      <c r="AFC556"/>
      <c r="AFD556"/>
      <c r="AFE556"/>
      <c r="AFF556"/>
      <c r="AFG556"/>
      <c r="AFH556"/>
      <c r="AFI556"/>
      <c r="AFJ556"/>
      <c r="AFK556"/>
      <c r="AFL556"/>
      <c r="AFM556"/>
      <c r="AFN556"/>
      <c r="AFO556"/>
      <c r="AFP556"/>
      <c r="AFQ556"/>
      <c r="AFR556"/>
      <c r="AFS556"/>
      <c r="AFT556"/>
      <c r="AFU556"/>
      <c r="AFV556"/>
      <c r="AFW556"/>
      <c r="AFX556"/>
      <c r="AFY556"/>
      <c r="AFZ556"/>
      <c r="AGA556"/>
      <c r="AGB556"/>
      <c r="AGC556"/>
      <c r="AGD556"/>
      <c r="AGE556"/>
      <c r="AGF556"/>
      <c r="AGG556"/>
      <c r="AGH556"/>
      <c r="AGI556"/>
      <c r="AGJ556"/>
      <c r="AGK556"/>
      <c r="AGL556"/>
      <c r="AGM556"/>
      <c r="AGN556"/>
      <c r="AGO556"/>
      <c r="AGP556"/>
      <c r="AGQ556"/>
      <c r="AGR556"/>
      <c r="AGS556"/>
      <c r="AGT556"/>
      <c r="AGU556"/>
      <c r="AGV556"/>
      <c r="AGW556"/>
      <c r="AGX556"/>
      <c r="AGY556"/>
      <c r="AGZ556"/>
      <c r="AHA556"/>
      <c r="AHB556"/>
      <c r="AHC556"/>
      <c r="AHD556"/>
      <c r="AHE556"/>
      <c r="AHF556"/>
      <c r="AHG556"/>
      <c r="AHH556"/>
      <c r="AHI556"/>
      <c r="AHJ556"/>
      <c r="AHK556"/>
      <c r="AHL556"/>
      <c r="AHM556"/>
      <c r="AHN556"/>
      <c r="AHO556"/>
      <c r="AHP556"/>
      <c r="AHQ556"/>
      <c r="AHR556"/>
      <c r="AHS556"/>
      <c r="AHT556"/>
      <c r="AHU556"/>
      <c r="AHV556"/>
      <c r="AHW556"/>
      <c r="AHX556"/>
      <c r="AHY556"/>
      <c r="AHZ556"/>
      <c r="AIA556"/>
      <c r="AIB556"/>
      <c r="AIC556"/>
      <c r="AID556"/>
      <c r="AIE556"/>
      <c r="AIF556"/>
      <c r="AIG556"/>
      <c r="AIH556"/>
      <c r="AII556"/>
      <c r="AIJ556"/>
      <c r="AIK556"/>
      <c r="AIL556"/>
      <c r="AIM556"/>
      <c r="AIN556"/>
      <c r="AIO556"/>
      <c r="AIP556"/>
      <c r="AIQ556"/>
      <c r="AIR556"/>
      <c r="AIS556"/>
      <c r="AIT556"/>
      <c r="AIU556"/>
      <c r="AIV556"/>
      <c r="AIW556"/>
      <c r="AIX556"/>
      <c r="AIY556"/>
      <c r="AIZ556"/>
      <c r="AJA556"/>
      <c r="AJB556"/>
      <c r="AJC556"/>
      <c r="AJD556"/>
      <c r="AJE556"/>
      <c r="AJF556"/>
      <c r="AJG556"/>
      <c r="AJH556"/>
      <c r="AJI556"/>
      <c r="AJJ556"/>
      <c r="AJK556"/>
      <c r="AJL556"/>
      <c r="AJM556"/>
      <c r="AJN556"/>
      <c r="AJO556"/>
      <c r="AJP556"/>
      <c r="AJQ556"/>
      <c r="AJR556"/>
      <c r="AJS556"/>
      <c r="AJT556"/>
      <c r="AJU556"/>
      <c r="AJV556"/>
      <c r="AJW556"/>
      <c r="AJX556"/>
      <c r="AJY556"/>
      <c r="AJZ556"/>
      <c r="AKA556"/>
      <c r="AKB556"/>
      <c r="AKC556"/>
      <c r="AKD556"/>
      <c r="AKE556"/>
      <c r="AKF556"/>
      <c r="AKG556"/>
      <c r="AKH556"/>
      <c r="AKI556"/>
      <c r="AKJ556"/>
      <c r="AKK556"/>
      <c r="AKL556"/>
      <c r="AKM556"/>
      <c r="AKN556"/>
      <c r="AKO556"/>
      <c r="AKP556"/>
      <c r="AKQ556"/>
      <c r="AKR556"/>
      <c r="AKS556"/>
      <c r="AKT556"/>
      <c r="AKU556"/>
      <c r="AKV556"/>
      <c r="AKW556"/>
      <c r="AKX556"/>
      <c r="AKY556"/>
      <c r="AKZ556"/>
      <c r="ALA556"/>
      <c r="ALB556"/>
      <c r="ALC556"/>
      <c r="ALD556"/>
      <c r="ALE556"/>
      <c r="ALF556"/>
      <c r="ALG556"/>
      <c r="ALH556"/>
      <c r="ALI556"/>
      <c r="ALJ556"/>
      <c r="ALK556"/>
      <c r="ALL556"/>
      <c r="ALM556"/>
      <c r="ALN556"/>
      <c r="ALO556"/>
      <c r="ALP556"/>
      <c r="ALQ556"/>
      <c r="ALR556"/>
      <c r="ALS556"/>
      <c r="ALT556"/>
      <c r="ALU556"/>
      <c r="ALV556"/>
      <c r="ALW556"/>
      <c r="ALX556"/>
      <c r="ALY556"/>
      <c r="ALZ556"/>
      <c r="AMA556"/>
      <c r="AMB556"/>
      <c r="AMC556"/>
      <c r="AMD556"/>
    </row>
    <row r="557" spans="1:1018">
      <c r="A557" s="530" t="s">
        <v>1481</v>
      </c>
      <c r="B557" s="282"/>
      <c r="C557" s="282"/>
      <c r="D557" s="282"/>
      <c r="E557" s="178">
        <f t="shared" si="57"/>
        <v>14</v>
      </c>
      <c r="F557" s="277" t="s">
        <v>1482</v>
      </c>
      <c r="G557" s="282">
        <v>0.1</v>
      </c>
      <c r="H557" s="282">
        <v>10</v>
      </c>
      <c r="I557" s="282"/>
      <c r="J557" s="282"/>
      <c r="K557" s="407">
        <v>3995.05</v>
      </c>
      <c r="L557" s="407">
        <v>2355</v>
      </c>
      <c r="M557" s="406"/>
      <c r="N557" s="420">
        <f t="shared" si="58"/>
        <v>6350.05</v>
      </c>
      <c r="O557" s="303">
        <v>13777</v>
      </c>
      <c r="P557" s="21">
        <v>0</v>
      </c>
      <c r="Q557" s="304">
        <v>300</v>
      </c>
      <c r="R557" s="329">
        <v>3184</v>
      </c>
      <c r="S557" s="306">
        <v>4090</v>
      </c>
      <c r="T557" s="330"/>
      <c r="U557" s="6">
        <v>370</v>
      </c>
      <c r="V557" s="6">
        <v>370</v>
      </c>
      <c r="W557" s="291">
        <v>0</v>
      </c>
      <c r="X557" s="291">
        <f>3955.05+2355</f>
        <v>6310.05</v>
      </c>
      <c r="Y557" s="315">
        <v>6350.05</v>
      </c>
      <c r="Z557" s="315">
        <v>6350.05</v>
      </c>
      <c r="AA557" s="291"/>
      <c r="AB557" s="291"/>
      <c r="AC557" s="291"/>
      <c r="AD557" s="291"/>
      <c r="AE557" s="291"/>
      <c r="AF557" s="291"/>
      <c r="AG557" s="291"/>
      <c r="AH557" s="291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  <c r="ZY557"/>
      <c r="ZZ557"/>
      <c r="AAA557"/>
      <c r="AAB557"/>
      <c r="AAC557"/>
      <c r="AAD557"/>
      <c r="AAE557"/>
      <c r="AAF557"/>
      <c r="AAG557"/>
      <c r="AAH557"/>
      <c r="AAI557"/>
      <c r="AAJ557"/>
      <c r="AAK557"/>
      <c r="AAL557"/>
      <c r="AAM557"/>
      <c r="AAN557"/>
      <c r="AAO557"/>
      <c r="AAP557"/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  <c r="ABE557"/>
      <c r="ABF557"/>
      <c r="ABG557"/>
      <c r="ABH557"/>
      <c r="ABI557"/>
      <c r="ABJ557"/>
      <c r="ABK557"/>
      <c r="ABL557"/>
      <c r="ABM557"/>
      <c r="ABN557"/>
      <c r="ABO557"/>
      <c r="ABP557"/>
      <c r="ABQ557"/>
      <c r="ABR557"/>
      <c r="ABS557"/>
      <c r="ABT557"/>
      <c r="ABU557"/>
      <c r="ABV557"/>
      <c r="ABW557"/>
      <c r="ABX557"/>
      <c r="ABY557"/>
      <c r="ABZ557"/>
      <c r="ACA557"/>
      <c r="ACB557"/>
      <c r="ACC557"/>
      <c r="ACD557"/>
      <c r="ACE557"/>
      <c r="ACF557"/>
      <c r="ACG557"/>
      <c r="ACH557"/>
      <c r="ACI557"/>
      <c r="ACJ557"/>
      <c r="ACK557"/>
      <c r="ACL557"/>
      <c r="ACM557"/>
      <c r="ACN557"/>
      <c r="ACO557"/>
      <c r="ACP557"/>
      <c r="ACQ557"/>
      <c r="ACR557"/>
      <c r="ACS557"/>
      <c r="ACT557"/>
      <c r="ACU557"/>
      <c r="ACV557"/>
      <c r="ACW557"/>
      <c r="ACX557"/>
      <c r="ACY557"/>
      <c r="ACZ557"/>
      <c r="ADA557"/>
      <c r="ADB557"/>
      <c r="ADC557"/>
      <c r="ADD557"/>
      <c r="ADE557"/>
      <c r="ADF557"/>
      <c r="ADG557"/>
      <c r="ADH557"/>
      <c r="ADI557"/>
      <c r="ADJ557"/>
      <c r="ADK557"/>
      <c r="ADL557"/>
      <c r="ADM557"/>
      <c r="ADN557"/>
      <c r="ADO557"/>
      <c r="ADP557"/>
      <c r="ADQ557"/>
      <c r="ADR557"/>
      <c r="ADS557"/>
      <c r="ADT557"/>
      <c r="ADU557"/>
      <c r="ADV557"/>
      <c r="ADW557"/>
      <c r="ADX557"/>
      <c r="ADY557"/>
      <c r="ADZ557"/>
      <c r="AEA557"/>
      <c r="AEB557"/>
      <c r="AEC557"/>
      <c r="AED557"/>
      <c r="AEE557"/>
      <c r="AEF557"/>
      <c r="AEG557"/>
      <c r="AEH557"/>
      <c r="AEI557"/>
      <c r="AEJ557"/>
      <c r="AEK557"/>
      <c r="AEL557"/>
      <c r="AEM557"/>
      <c r="AEN557"/>
      <c r="AEO557"/>
      <c r="AEP557"/>
      <c r="AEQ557"/>
      <c r="AER557"/>
      <c r="AES557"/>
      <c r="AET557"/>
      <c r="AEU557"/>
      <c r="AEV557"/>
      <c r="AEW557"/>
      <c r="AEX557"/>
      <c r="AEY557"/>
      <c r="AEZ557"/>
      <c r="AFA557"/>
      <c r="AFB557"/>
      <c r="AFC557"/>
      <c r="AFD557"/>
      <c r="AFE557"/>
      <c r="AFF557"/>
      <c r="AFG557"/>
      <c r="AFH557"/>
      <c r="AFI557"/>
      <c r="AFJ557"/>
      <c r="AFK557"/>
      <c r="AFL557"/>
      <c r="AFM557"/>
      <c r="AFN557"/>
      <c r="AFO557"/>
      <c r="AFP557"/>
      <c r="AFQ557"/>
      <c r="AFR557"/>
      <c r="AFS557"/>
      <c r="AFT557"/>
      <c r="AFU557"/>
      <c r="AFV557"/>
      <c r="AFW557"/>
      <c r="AFX557"/>
      <c r="AFY557"/>
      <c r="AFZ557"/>
      <c r="AGA557"/>
      <c r="AGB557"/>
      <c r="AGC557"/>
      <c r="AGD557"/>
      <c r="AGE557"/>
      <c r="AGF557"/>
      <c r="AGG557"/>
      <c r="AGH557"/>
      <c r="AGI557"/>
      <c r="AGJ557"/>
      <c r="AGK557"/>
      <c r="AGL557"/>
      <c r="AGM557"/>
      <c r="AGN557"/>
      <c r="AGO557"/>
      <c r="AGP557"/>
      <c r="AGQ557"/>
      <c r="AGR557"/>
      <c r="AGS557"/>
      <c r="AGT557"/>
      <c r="AGU557"/>
      <c r="AGV557"/>
      <c r="AGW557"/>
      <c r="AGX557"/>
      <c r="AGY557"/>
      <c r="AGZ557"/>
      <c r="AHA557"/>
      <c r="AHB557"/>
      <c r="AHC557"/>
      <c r="AHD557"/>
      <c r="AHE557"/>
      <c r="AHF557"/>
      <c r="AHG557"/>
      <c r="AHH557"/>
      <c r="AHI557"/>
      <c r="AHJ557"/>
      <c r="AHK557"/>
      <c r="AHL557"/>
      <c r="AHM557"/>
      <c r="AHN557"/>
      <c r="AHO557"/>
      <c r="AHP557"/>
      <c r="AHQ557"/>
      <c r="AHR557"/>
      <c r="AHS557"/>
      <c r="AHT557"/>
      <c r="AHU557"/>
      <c r="AHV557"/>
      <c r="AHW557"/>
      <c r="AHX557"/>
      <c r="AHY557"/>
      <c r="AHZ557"/>
      <c r="AIA557"/>
      <c r="AIB557"/>
      <c r="AIC557"/>
      <c r="AID557"/>
      <c r="AIE557"/>
      <c r="AIF557"/>
      <c r="AIG557"/>
      <c r="AIH557"/>
      <c r="AII557"/>
      <c r="AIJ557"/>
      <c r="AIK557"/>
      <c r="AIL557"/>
      <c r="AIM557"/>
      <c r="AIN557"/>
      <c r="AIO557"/>
      <c r="AIP557"/>
      <c r="AIQ557"/>
      <c r="AIR557"/>
      <c r="AIS557"/>
      <c r="AIT557"/>
      <c r="AIU557"/>
      <c r="AIV557"/>
      <c r="AIW557"/>
      <c r="AIX557"/>
      <c r="AIY557"/>
      <c r="AIZ557"/>
      <c r="AJA557"/>
      <c r="AJB557"/>
      <c r="AJC557"/>
      <c r="AJD557"/>
      <c r="AJE557"/>
      <c r="AJF557"/>
      <c r="AJG557"/>
      <c r="AJH557"/>
      <c r="AJI557"/>
      <c r="AJJ557"/>
      <c r="AJK557"/>
      <c r="AJL557"/>
      <c r="AJM557"/>
      <c r="AJN557"/>
      <c r="AJO557"/>
      <c r="AJP557"/>
      <c r="AJQ557"/>
      <c r="AJR557"/>
      <c r="AJS557"/>
      <c r="AJT557"/>
      <c r="AJU557"/>
      <c r="AJV557"/>
      <c r="AJW557"/>
      <c r="AJX557"/>
      <c r="AJY557"/>
      <c r="AJZ557"/>
      <c r="AKA557"/>
      <c r="AKB557"/>
      <c r="AKC557"/>
      <c r="AKD557"/>
      <c r="AKE557"/>
      <c r="AKF557"/>
      <c r="AKG557"/>
      <c r="AKH557"/>
      <c r="AKI557"/>
      <c r="AKJ557"/>
      <c r="AKK557"/>
      <c r="AKL557"/>
      <c r="AKM557"/>
      <c r="AKN557"/>
      <c r="AKO557"/>
      <c r="AKP557"/>
      <c r="AKQ557"/>
      <c r="AKR557"/>
      <c r="AKS557"/>
      <c r="AKT557"/>
      <c r="AKU557"/>
      <c r="AKV557"/>
      <c r="AKW557"/>
      <c r="AKX557"/>
      <c r="AKY557"/>
      <c r="AKZ557"/>
      <c r="ALA557"/>
      <c r="ALB557"/>
      <c r="ALC557"/>
      <c r="ALD557"/>
      <c r="ALE557"/>
      <c r="ALF557"/>
      <c r="ALG557"/>
      <c r="ALH557"/>
      <c r="ALI557"/>
      <c r="ALJ557"/>
      <c r="ALK557"/>
      <c r="ALL557"/>
      <c r="ALM557"/>
      <c r="ALN557"/>
      <c r="ALO557"/>
      <c r="ALP557"/>
      <c r="ALQ557"/>
      <c r="ALR557"/>
      <c r="ALS557"/>
      <c r="ALT557"/>
      <c r="ALU557"/>
      <c r="ALV557"/>
      <c r="ALW557"/>
      <c r="ALX557"/>
      <c r="ALY557"/>
      <c r="ALZ557"/>
      <c r="AMA557"/>
      <c r="AMB557"/>
      <c r="AMC557"/>
      <c r="AMD557"/>
    </row>
    <row r="558" spans="1:1018">
      <c r="A558" s="282"/>
      <c r="B558" s="282"/>
      <c r="C558" s="282"/>
      <c r="D558" s="282"/>
      <c r="E558" s="282"/>
      <c r="F558" s="277"/>
      <c r="G558" s="282"/>
      <c r="H558" s="282"/>
      <c r="I558" s="282"/>
      <c r="J558" s="282"/>
      <c r="K558" s="407"/>
      <c r="L558" s="407"/>
      <c r="M558" s="406"/>
      <c r="N558" s="420"/>
      <c r="O558" s="303"/>
      <c r="P558" s="21"/>
      <c r="Q558" s="21"/>
      <c r="R558" s="329"/>
      <c r="S558" s="330"/>
      <c r="T558" s="330"/>
      <c r="U558" s="6"/>
      <c r="V558" s="6"/>
      <c r="W558" s="291"/>
      <c r="X558" s="291"/>
      <c r="Y558" s="291"/>
      <c r="Z558" s="291"/>
      <c r="AA558" s="291"/>
      <c r="AB558" s="291"/>
      <c r="AC558" s="291"/>
      <c r="AD558" s="291"/>
      <c r="AE558" s="291"/>
      <c r="AF558" s="291"/>
      <c r="AG558" s="291"/>
      <c r="AH558" s="291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  <c r="ZU558"/>
      <c r="ZV558"/>
      <c r="ZW558"/>
      <c r="ZX558"/>
      <c r="ZY558"/>
      <c r="ZZ558"/>
      <c r="AAA558"/>
      <c r="AAB558"/>
      <c r="AAC558"/>
      <c r="AAD558"/>
      <c r="AAE558"/>
      <c r="AAF558"/>
      <c r="AAG558"/>
      <c r="AAH558"/>
      <c r="AAI558"/>
      <c r="AAJ558"/>
      <c r="AAK558"/>
      <c r="AAL558"/>
      <c r="AAM558"/>
      <c r="AAN558"/>
      <c r="AAO558"/>
      <c r="AAP558"/>
      <c r="AAQ558"/>
      <c r="AAR558"/>
      <c r="AAS558"/>
      <c r="AAT558"/>
      <c r="AAU558"/>
      <c r="AAV558"/>
      <c r="AAW558"/>
      <c r="AAX558"/>
      <c r="AAY558"/>
      <c r="AAZ558"/>
      <c r="ABA558"/>
      <c r="ABB558"/>
      <c r="ABC558"/>
      <c r="ABD558"/>
      <c r="ABE558"/>
      <c r="ABF558"/>
      <c r="ABG558"/>
      <c r="ABH558"/>
      <c r="ABI558"/>
      <c r="ABJ558"/>
      <c r="ABK558"/>
      <c r="ABL558"/>
      <c r="ABM558"/>
      <c r="ABN558"/>
      <c r="ABO558"/>
      <c r="ABP558"/>
      <c r="ABQ558"/>
      <c r="ABR558"/>
      <c r="ABS558"/>
      <c r="ABT558"/>
      <c r="ABU558"/>
      <c r="ABV558"/>
      <c r="ABW558"/>
      <c r="ABX558"/>
      <c r="ABY558"/>
      <c r="ABZ558"/>
      <c r="ACA558"/>
      <c r="ACB558"/>
      <c r="ACC558"/>
      <c r="ACD558"/>
      <c r="ACE558"/>
      <c r="ACF558"/>
      <c r="ACG558"/>
      <c r="ACH558"/>
      <c r="ACI558"/>
      <c r="ACJ558"/>
      <c r="ACK558"/>
      <c r="ACL558"/>
      <c r="ACM558"/>
      <c r="ACN558"/>
      <c r="ACO558"/>
      <c r="ACP558"/>
      <c r="ACQ558"/>
      <c r="ACR558"/>
      <c r="ACS558"/>
      <c r="ACT558"/>
      <c r="ACU558"/>
      <c r="ACV558"/>
      <c r="ACW558"/>
      <c r="ACX558"/>
      <c r="ACY558"/>
      <c r="ACZ558"/>
      <c r="ADA558"/>
      <c r="ADB558"/>
      <c r="ADC558"/>
      <c r="ADD558"/>
      <c r="ADE558"/>
      <c r="ADF558"/>
      <c r="ADG558"/>
      <c r="ADH558"/>
      <c r="ADI558"/>
      <c r="ADJ558"/>
      <c r="ADK558"/>
      <c r="ADL558"/>
      <c r="ADM558"/>
      <c r="ADN558"/>
      <c r="ADO558"/>
      <c r="ADP558"/>
      <c r="ADQ558"/>
      <c r="ADR558"/>
      <c r="ADS558"/>
      <c r="ADT558"/>
      <c r="ADU558"/>
      <c r="ADV558"/>
      <c r="ADW558"/>
      <c r="ADX558"/>
      <c r="ADY558"/>
      <c r="ADZ558"/>
      <c r="AEA558"/>
      <c r="AEB558"/>
      <c r="AEC558"/>
      <c r="AED558"/>
      <c r="AEE558"/>
      <c r="AEF558"/>
      <c r="AEG558"/>
      <c r="AEH558"/>
      <c r="AEI558"/>
      <c r="AEJ558"/>
      <c r="AEK558"/>
      <c r="AEL558"/>
      <c r="AEM558"/>
      <c r="AEN558"/>
      <c r="AEO558"/>
      <c r="AEP558"/>
      <c r="AEQ558"/>
      <c r="AER558"/>
      <c r="AES558"/>
      <c r="AET558"/>
      <c r="AEU558"/>
      <c r="AEV558"/>
      <c r="AEW558"/>
      <c r="AEX558"/>
      <c r="AEY558"/>
      <c r="AEZ558"/>
      <c r="AFA558"/>
      <c r="AFB558"/>
      <c r="AFC558"/>
      <c r="AFD558"/>
      <c r="AFE558"/>
      <c r="AFF558"/>
      <c r="AFG558"/>
      <c r="AFH558"/>
      <c r="AFI558"/>
      <c r="AFJ558"/>
      <c r="AFK558"/>
      <c r="AFL558"/>
      <c r="AFM558"/>
      <c r="AFN558"/>
      <c r="AFO558"/>
      <c r="AFP558"/>
      <c r="AFQ558"/>
      <c r="AFR558"/>
      <c r="AFS558"/>
      <c r="AFT558"/>
      <c r="AFU558"/>
      <c r="AFV558"/>
      <c r="AFW558"/>
      <c r="AFX558"/>
      <c r="AFY558"/>
      <c r="AFZ558"/>
      <c r="AGA558"/>
      <c r="AGB558"/>
      <c r="AGC558"/>
      <c r="AGD558"/>
      <c r="AGE558"/>
      <c r="AGF558"/>
      <c r="AGG558"/>
      <c r="AGH558"/>
      <c r="AGI558"/>
      <c r="AGJ558"/>
      <c r="AGK558"/>
      <c r="AGL558"/>
      <c r="AGM558"/>
      <c r="AGN558"/>
      <c r="AGO558"/>
      <c r="AGP558"/>
      <c r="AGQ558"/>
      <c r="AGR558"/>
      <c r="AGS558"/>
      <c r="AGT558"/>
      <c r="AGU558"/>
      <c r="AGV558"/>
      <c r="AGW558"/>
      <c r="AGX558"/>
      <c r="AGY558"/>
      <c r="AGZ558"/>
      <c r="AHA558"/>
      <c r="AHB558"/>
      <c r="AHC558"/>
      <c r="AHD558"/>
      <c r="AHE558"/>
      <c r="AHF558"/>
      <c r="AHG558"/>
      <c r="AHH558"/>
      <c r="AHI558"/>
      <c r="AHJ558"/>
      <c r="AHK558"/>
      <c r="AHL558"/>
      <c r="AHM558"/>
      <c r="AHN558"/>
      <c r="AHO558"/>
      <c r="AHP558"/>
      <c r="AHQ558"/>
      <c r="AHR558"/>
      <c r="AHS558"/>
      <c r="AHT558"/>
      <c r="AHU558"/>
      <c r="AHV558"/>
      <c r="AHW558"/>
      <c r="AHX558"/>
      <c r="AHY558"/>
      <c r="AHZ558"/>
      <c r="AIA558"/>
      <c r="AIB558"/>
      <c r="AIC558"/>
      <c r="AID558"/>
      <c r="AIE558"/>
      <c r="AIF558"/>
      <c r="AIG558"/>
      <c r="AIH558"/>
      <c r="AII558"/>
      <c r="AIJ558"/>
      <c r="AIK558"/>
      <c r="AIL558"/>
      <c r="AIM558"/>
      <c r="AIN558"/>
      <c r="AIO558"/>
      <c r="AIP558"/>
      <c r="AIQ558"/>
      <c r="AIR558"/>
      <c r="AIS558"/>
      <c r="AIT558"/>
      <c r="AIU558"/>
      <c r="AIV558"/>
      <c r="AIW558"/>
      <c r="AIX558"/>
      <c r="AIY558"/>
      <c r="AIZ558"/>
      <c r="AJA558"/>
      <c r="AJB558"/>
      <c r="AJC558"/>
      <c r="AJD558"/>
      <c r="AJE558"/>
      <c r="AJF558"/>
      <c r="AJG558"/>
      <c r="AJH558"/>
      <c r="AJI558"/>
      <c r="AJJ558"/>
      <c r="AJK558"/>
      <c r="AJL558"/>
      <c r="AJM558"/>
      <c r="AJN558"/>
      <c r="AJO558"/>
      <c r="AJP558"/>
      <c r="AJQ558"/>
      <c r="AJR558"/>
      <c r="AJS558"/>
      <c r="AJT558"/>
      <c r="AJU558"/>
      <c r="AJV558"/>
      <c r="AJW558"/>
      <c r="AJX558"/>
      <c r="AJY558"/>
      <c r="AJZ558"/>
      <c r="AKA558"/>
      <c r="AKB558"/>
      <c r="AKC558"/>
      <c r="AKD558"/>
      <c r="AKE558"/>
      <c r="AKF558"/>
      <c r="AKG558"/>
      <c r="AKH558"/>
      <c r="AKI558"/>
      <c r="AKJ558"/>
      <c r="AKK558"/>
      <c r="AKL558"/>
      <c r="AKM558"/>
      <c r="AKN558"/>
      <c r="AKO558"/>
      <c r="AKP558"/>
      <c r="AKQ558"/>
      <c r="AKR558"/>
      <c r="AKS558"/>
      <c r="AKT558"/>
      <c r="AKU558"/>
      <c r="AKV558"/>
      <c r="AKW558"/>
      <c r="AKX558"/>
      <c r="AKY558"/>
      <c r="AKZ558"/>
      <c r="ALA558"/>
      <c r="ALB558"/>
      <c r="ALC558"/>
      <c r="ALD558"/>
      <c r="ALE558"/>
      <c r="ALF558"/>
      <c r="ALG558"/>
      <c r="ALH558"/>
      <c r="ALI558"/>
      <c r="ALJ558"/>
      <c r="ALK558"/>
      <c r="ALL558"/>
      <c r="ALM558"/>
      <c r="ALN558"/>
      <c r="ALO558"/>
      <c r="ALP558"/>
      <c r="ALQ558"/>
      <c r="ALR558"/>
      <c r="ALS558"/>
      <c r="ALT558"/>
      <c r="ALU558"/>
      <c r="ALV558"/>
      <c r="ALW558"/>
      <c r="ALX558"/>
      <c r="ALY558"/>
      <c r="ALZ558"/>
      <c r="AMA558"/>
      <c r="AMB558"/>
      <c r="AMC558"/>
      <c r="AMD558"/>
    </row>
    <row r="559" spans="1:1018">
      <c r="A559" s="282"/>
      <c r="B559" s="282"/>
      <c r="C559" s="282"/>
      <c r="D559" s="282"/>
      <c r="E559" s="282"/>
      <c r="F559" s="277"/>
      <c r="G559" s="282"/>
      <c r="H559" s="282"/>
      <c r="I559" s="282"/>
      <c r="J559" s="282"/>
      <c r="K559" s="407"/>
      <c r="L559" s="407"/>
      <c r="M559" s="406"/>
      <c r="N559" s="420"/>
      <c r="O559" s="303"/>
      <c r="P559" s="21"/>
      <c r="Q559" s="21"/>
      <c r="R559" s="329"/>
      <c r="S559" s="330"/>
      <c r="T559" s="330"/>
      <c r="U559" s="6"/>
      <c r="V559" s="6"/>
      <c r="W559" s="291"/>
      <c r="X559" s="291"/>
      <c r="Y559" s="291"/>
      <c r="Z559" s="291"/>
      <c r="AA559" s="291"/>
      <c r="AB559" s="291"/>
      <c r="AC559" s="291"/>
      <c r="AD559" s="291"/>
      <c r="AE559" s="291"/>
      <c r="AF559" s="291"/>
      <c r="AG559" s="291"/>
      <c r="AH559" s="291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/>
      <c r="AAW559"/>
      <c r="AAX559"/>
      <c r="AAY559"/>
      <c r="AAZ559"/>
      <c r="ABA559"/>
      <c r="ABB559"/>
      <c r="ABC559"/>
      <c r="ABD559"/>
      <c r="ABE559"/>
      <c r="ABF559"/>
      <c r="ABG559"/>
      <c r="ABH559"/>
      <c r="ABI559"/>
      <c r="ABJ559"/>
      <c r="ABK559"/>
      <c r="ABL559"/>
      <c r="ABM559"/>
      <c r="ABN559"/>
      <c r="ABO559"/>
      <c r="ABP559"/>
      <c r="ABQ559"/>
      <c r="ABR559"/>
      <c r="ABS559"/>
      <c r="ABT559"/>
      <c r="ABU559"/>
      <c r="ABV559"/>
      <c r="ABW559"/>
      <c r="ABX559"/>
      <c r="ABY559"/>
      <c r="ABZ559"/>
      <c r="ACA559"/>
      <c r="ACB559"/>
      <c r="ACC559"/>
      <c r="ACD559"/>
      <c r="ACE559"/>
      <c r="ACF559"/>
      <c r="ACG559"/>
      <c r="ACH559"/>
      <c r="ACI559"/>
      <c r="ACJ559"/>
      <c r="ACK559"/>
      <c r="ACL559"/>
      <c r="ACM559"/>
      <c r="ACN559"/>
      <c r="ACO559"/>
      <c r="ACP559"/>
      <c r="ACQ559"/>
      <c r="ACR559"/>
      <c r="ACS559"/>
      <c r="ACT559"/>
      <c r="ACU559"/>
      <c r="ACV559"/>
      <c r="ACW559"/>
      <c r="ACX559"/>
      <c r="ACY559"/>
      <c r="ACZ559"/>
      <c r="ADA559"/>
      <c r="ADB559"/>
      <c r="ADC559"/>
      <c r="ADD559"/>
      <c r="ADE559"/>
      <c r="ADF559"/>
      <c r="ADG559"/>
      <c r="ADH559"/>
      <c r="ADI559"/>
      <c r="ADJ559"/>
      <c r="ADK559"/>
      <c r="ADL559"/>
      <c r="ADM559"/>
      <c r="ADN559"/>
      <c r="ADO559"/>
      <c r="ADP559"/>
      <c r="ADQ559"/>
      <c r="ADR559"/>
      <c r="ADS559"/>
      <c r="ADT559"/>
      <c r="ADU559"/>
      <c r="ADV559"/>
      <c r="ADW559"/>
      <c r="ADX559"/>
      <c r="ADY559"/>
      <c r="ADZ559"/>
      <c r="AEA559"/>
      <c r="AEB559"/>
      <c r="AEC559"/>
      <c r="AED559"/>
      <c r="AEE559"/>
      <c r="AEF559"/>
      <c r="AEG559"/>
      <c r="AEH559"/>
      <c r="AEI559"/>
      <c r="AEJ559"/>
      <c r="AEK559"/>
      <c r="AEL559"/>
      <c r="AEM559"/>
      <c r="AEN559"/>
      <c r="AEO559"/>
      <c r="AEP559"/>
      <c r="AEQ559"/>
      <c r="AER559"/>
      <c r="AES559"/>
      <c r="AET559"/>
      <c r="AEU559"/>
      <c r="AEV559"/>
      <c r="AEW559"/>
      <c r="AEX559"/>
      <c r="AEY559"/>
      <c r="AEZ559"/>
      <c r="AFA559"/>
      <c r="AFB559"/>
      <c r="AFC559"/>
      <c r="AFD559"/>
      <c r="AFE559"/>
      <c r="AFF559"/>
      <c r="AFG559"/>
      <c r="AFH559"/>
      <c r="AFI559"/>
      <c r="AFJ559"/>
      <c r="AFK559"/>
      <c r="AFL559"/>
      <c r="AFM559"/>
      <c r="AFN559"/>
      <c r="AFO559"/>
      <c r="AFP559"/>
      <c r="AFQ559"/>
      <c r="AFR559"/>
      <c r="AFS559"/>
      <c r="AFT559"/>
      <c r="AFU559"/>
      <c r="AFV559"/>
      <c r="AFW559"/>
      <c r="AFX559"/>
      <c r="AFY559"/>
      <c r="AFZ559"/>
      <c r="AGA559"/>
      <c r="AGB559"/>
      <c r="AGC559"/>
      <c r="AGD559"/>
      <c r="AGE559"/>
      <c r="AGF559"/>
      <c r="AGG559"/>
      <c r="AGH559"/>
      <c r="AGI559"/>
      <c r="AGJ559"/>
      <c r="AGK559"/>
      <c r="AGL559"/>
      <c r="AGM559"/>
      <c r="AGN559"/>
      <c r="AGO559"/>
      <c r="AGP559"/>
      <c r="AGQ559"/>
      <c r="AGR559"/>
      <c r="AGS559"/>
      <c r="AGT559"/>
      <c r="AGU559"/>
      <c r="AGV559"/>
      <c r="AGW559"/>
      <c r="AGX559"/>
      <c r="AGY559"/>
      <c r="AGZ559"/>
      <c r="AHA559"/>
      <c r="AHB559"/>
      <c r="AHC559"/>
      <c r="AHD559"/>
      <c r="AHE559"/>
      <c r="AHF559"/>
      <c r="AHG559"/>
      <c r="AHH559"/>
      <c r="AHI559"/>
      <c r="AHJ559"/>
      <c r="AHK559"/>
      <c r="AHL559"/>
      <c r="AHM559"/>
      <c r="AHN559"/>
      <c r="AHO559"/>
      <c r="AHP559"/>
      <c r="AHQ559"/>
      <c r="AHR559"/>
      <c r="AHS559"/>
      <c r="AHT559"/>
      <c r="AHU559"/>
      <c r="AHV559"/>
      <c r="AHW559"/>
      <c r="AHX559"/>
      <c r="AHY559"/>
      <c r="AHZ559"/>
      <c r="AIA559"/>
      <c r="AIB559"/>
      <c r="AIC559"/>
      <c r="AID559"/>
      <c r="AIE559"/>
      <c r="AIF559"/>
      <c r="AIG559"/>
      <c r="AIH559"/>
      <c r="AII559"/>
      <c r="AIJ559"/>
      <c r="AIK559"/>
      <c r="AIL559"/>
      <c r="AIM559"/>
      <c r="AIN559"/>
      <c r="AIO559"/>
      <c r="AIP559"/>
      <c r="AIQ559"/>
      <c r="AIR559"/>
      <c r="AIS559"/>
      <c r="AIT559"/>
      <c r="AIU559"/>
      <c r="AIV559"/>
      <c r="AIW559"/>
      <c r="AIX559"/>
      <c r="AIY559"/>
      <c r="AIZ559"/>
      <c r="AJA559"/>
      <c r="AJB559"/>
      <c r="AJC559"/>
      <c r="AJD559"/>
      <c r="AJE559"/>
      <c r="AJF559"/>
      <c r="AJG559"/>
      <c r="AJH559"/>
      <c r="AJI559"/>
      <c r="AJJ559"/>
      <c r="AJK559"/>
      <c r="AJL559"/>
      <c r="AJM559"/>
      <c r="AJN559"/>
      <c r="AJO559"/>
      <c r="AJP559"/>
      <c r="AJQ559"/>
      <c r="AJR559"/>
      <c r="AJS559"/>
      <c r="AJT559"/>
      <c r="AJU559"/>
      <c r="AJV559"/>
      <c r="AJW559"/>
      <c r="AJX559"/>
      <c r="AJY559"/>
      <c r="AJZ559"/>
      <c r="AKA559"/>
      <c r="AKB559"/>
      <c r="AKC559"/>
      <c r="AKD559"/>
      <c r="AKE559"/>
      <c r="AKF559"/>
      <c r="AKG559"/>
      <c r="AKH559"/>
      <c r="AKI559"/>
      <c r="AKJ559"/>
      <c r="AKK559"/>
      <c r="AKL559"/>
      <c r="AKM559"/>
      <c r="AKN559"/>
      <c r="AKO559"/>
      <c r="AKP559"/>
      <c r="AKQ559"/>
      <c r="AKR559"/>
      <c r="AKS559"/>
      <c r="AKT559"/>
      <c r="AKU559"/>
      <c r="AKV559"/>
      <c r="AKW559"/>
      <c r="AKX559"/>
      <c r="AKY559"/>
      <c r="AKZ559"/>
      <c r="ALA559"/>
      <c r="ALB559"/>
      <c r="ALC559"/>
      <c r="ALD559"/>
      <c r="ALE559"/>
      <c r="ALF559"/>
      <c r="ALG559"/>
      <c r="ALH559"/>
      <c r="ALI559"/>
      <c r="ALJ559"/>
      <c r="ALK559"/>
      <c r="ALL559"/>
      <c r="ALM559"/>
      <c r="ALN559"/>
      <c r="ALO559"/>
      <c r="ALP559"/>
      <c r="ALQ559"/>
      <c r="ALR559"/>
      <c r="ALS559"/>
      <c r="ALT559"/>
      <c r="ALU559"/>
      <c r="ALV559"/>
      <c r="ALW559"/>
      <c r="ALX559"/>
      <c r="ALY559"/>
      <c r="ALZ559"/>
      <c r="AMA559"/>
      <c r="AMB559"/>
      <c r="AMC559"/>
      <c r="AMD559"/>
    </row>
    <row r="560" spans="1:1018">
      <c r="K560" s="412"/>
      <c r="L560" s="412"/>
      <c r="M560" s="423"/>
      <c r="N560" s="222"/>
      <c r="O560" s="303"/>
      <c r="P560" s="21"/>
      <c r="Q560" s="21"/>
      <c r="R560" s="329"/>
      <c r="S560" s="330"/>
      <c r="T560" s="330"/>
      <c r="U560" s="6"/>
      <c r="V560" s="6"/>
      <c r="W560" s="291"/>
      <c r="X560" s="291"/>
      <c r="Y560" s="291"/>
      <c r="Z560" s="291"/>
      <c r="AA560" s="291"/>
      <c r="AB560" s="291"/>
      <c r="AC560" s="291"/>
      <c r="AD560" s="291"/>
      <c r="AE560" s="291"/>
      <c r="AF560" s="291"/>
      <c r="AG560" s="291"/>
      <c r="AH560" s="291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  <c r="ZW560"/>
      <c r="ZX560"/>
      <c r="ZY560"/>
      <c r="ZZ560"/>
      <c r="AAA560"/>
      <c r="AAB560"/>
      <c r="AAC560"/>
      <c r="AAD560"/>
      <c r="AAE560"/>
      <c r="AAF560"/>
      <c r="AAG560"/>
      <c r="AAH560"/>
      <c r="AAI560"/>
      <c r="AAJ560"/>
      <c r="AAK560"/>
      <c r="AAL560"/>
      <c r="AAM560"/>
      <c r="AAN560"/>
      <c r="AAO560"/>
      <c r="AAP560"/>
      <c r="AAQ560"/>
      <c r="AAR560"/>
      <c r="AAS560"/>
      <c r="AAT560"/>
      <c r="AAU560"/>
      <c r="AAV560"/>
      <c r="AAW560"/>
      <c r="AAX560"/>
      <c r="AAY560"/>
      <c r="AAZ560"/>
      <c r="ABA560"/>
      <c r="ABB560"/>
      <c r="ABC560"/>
      <c r="ABD560"/>
      <c r="ABE560"/>
      <c r="ABF560"/>
      <c r="ABG560"/>
      <c r="ABH560"/>
      <c r="ABI560"/>
      <c r="ABJ560"/>
      <c r="ABK560"/>
      <c r="ABL560"/>
      <c r="ABM560"/>
      <c r="ABN560"/>
      <c r="ABO560"/>
      <c r="ABP560"/>
      <c r="ABQ560"/>
      <c r="ABR560"/>
      <c r="ABS560"/>
      <c r="ABT560"/>
      <c r="ABU560"/>
      <c r="ABV560"/>
      <c r="ABW560"/>
      <c r="ABX560"/>
      <c r="ABY560"/>
      <c r="ABZ560"/>
      <c r="ACA560"/>
      <c r="ACB560"/>
      <c r="ACC560"/>
      <c r="ACD560"/>
      <c r="ACE560"/>
      <c r="ACF560"/>
      <c r="ACG560"/>
      <c r="ACH560"/>
      <c r="ACI560"/>
      <c r="ACJ560"/>
      <c r="ACK560"/>
      <c r="ACL560"/>
      <c r="ACM560"/>
      <c r="ACN560"/>
      <c r="ACO560"/>
      <c r="ACP560"/>
      <c r="ACQ560"/>
      <c r="ACR560"/>
      <c r="ACS560"/>
      <c r="ACT560"/>
      <c r="ACU560"/>
      <c r="ACV560"/>
      <c r="ACW560"/>
      <c r="ACX560"/>
      <c r="ACY560"/>
      <c r="ACZ560"/>
      <c r="ADA560"/>
      <c r="ADB560"/>
      <c r="ADC560"/>
      <c r="ADD560"/>
      <c r="ADE560"/>
      <c r="ADF560"/>
      <c r="ADG560"/>
      <c r="ADH560"/>
      <c r="ADI560"/>
      <c r="ADJ560"/>
      <c r="ADK560"/>
      <c r="ADL560"/>
      <c r="ADM560"/>
      <c r="ADN560"/>
      <c r="ADO560"/>
      <c r="ADP560"/>
      <c r="ADQ560"/>
      <c r="ADR560"/>
      <c r="ADS560"/>
      <c r="ADT560"/>
      <c r="ADU560"/>
      <c r="ADV560"/>
      <c r="ADW560"/>
      <c r="ADX560"/>
      <c r="ADY560"/>
      <c r="ADZ560"/>
      <c r="AEA560"/>
      <c r="AEB560"/>
      <c r="AEC560"/>
      <c r="AED560"/>
      <c r="AEE560"/>
      <c r="AEF560"/>
      <c r="AEG560"/>
      <c r="AEH560"/>
      <c r="AEI560"/>
      <c r="AEJ560"/>
      <c r="AEK560"/>
      <c r="AEL560"/>
      <c r="AEM560"/>
      <c r="AEN560"/>
      <c r="AEO560"/>
      <c r="AEP560"/>
      <c r="AEQ560"/>
      <c r="AER560"/>
      <c r="AES560"/>
      <c r="AET560"/>
      <c r="AEU560"/>
      <c r="AEV560"/>
      <c r="AEW560"/>
      <c r="AEX560"/>
      <c r="AEY560"/>
      <c r="AEZ560"/>
      <c r="AFA560"/>
      <c r="AFB560"/>
      <c r="AFC560"/>
      <c r="AFD560"/>
      <c r="AFE560"/>
      <c r="AFF560"/>
      <c r="AFG560"/>
      <c r="AFH560"/>
      <c r="AFI560"/>
      <c r="AFJ560"/>
      <c r="AFK560"/>
      <c r="AFL560"/>
      <c r="AFM560"/>
      <c r="AFN560"/>
      <c r="AFO560"/>
      <c r="AFP560"/>
      <c r="AFQ560"/>
      <c r="AFR560"/>
      <c r="AFS560"/>
      <c r="AFT560"/>
      <c r="AFU560"/>
      <c r="AFV560"/>
      <c r="AFW560"/>
      <c r="AFX560"/>
      <c r="AFY560"/>
      <c r="AFZ560"/>
      <c r="AGA560"/>
      <c r="AGB560"/>
      <c r="AGC560"/>
      <c r="AGD560"/>
      <c r="AGE560"/>
      <c r="AGF560"/>
      <c r="AGG560"/>
      <c r="AGH560"/>
      <c r="AGI560"/>
      <c r="AGJ560"/>
      <c r="AGK560"/>
      <c r="AGL560"/>
      <c r="AGM560"/>
      <c r="AGN560"/>
      <c r="AGO560"/>
      <c r="AGP560"/>
      <c r="AGQ560"/>
      <c r="AGR560"/>
      <c r="AGS560"/>
      <c r="AGT560"/>
      <c r="AGU560"/>
      <c r="AGV560"/>
      <c r="AGW560"/>
      <c r="AGX560"/>
      <c r="AGY560"/>
      <c r="AGZ560"/>
      <c r="AHA560"/>
      <c r="AHB560"/>
      <c r="AHC560"/>
      <c r="AHD560"/>
      <c r="AHE560"/>
      <c r="AHF560"/>
      <c r="AHG560"/>
      <c r="AHH560"/>
      <c r="AHI560"/>
      <c r="AHJ560"/>
      <c r="AHK560"/>
      <c r="AHL560"/>
      <c r="AHM560"/>
      <c r="AHN560"/>
      <c r="AHO560"/>
      <c r="AHP560"/>
      <c r="AHQ560"/>
      <c r="AHR560"/>
      <c r="AHS560"/>
      <c r="AHT560"/>
      <c r="AHU560"/>
      <c r="AHV560"/>
      <c r="AHW560"/>
      <c r="AHX560"/>
      <c r="AHY560"/>
      <c r="AHZ560"/>
      <c r="AIA560"/>
      <c r="AIB560"/>
      <c r="AIC560"/>
      <c r="AID560"/>
      <c r="AIE560"/>
      <c r="AIF560"/>
      <c r="AIG560"/>
      <c r="AIH560"/>
      <c r="AII560"/>
      <c r="AIJ560"/>
      <c r="AIK560"/>
      <c r="AIL560"/>
      <c r="AIM560"/>
      <c r="AIN560"/>
      <c r="AIO560"/>
      <c r="AIP560"/>
      <c r="AIQ560"/>
      <c r="AIR560"/>
      <c r="AIS560"/>
      <c r="AIT560"/>
      <c r="AIU560"/>
      <c r="AIV560"/>
      <c r="AIW560"/>
      <c r="AIX560"/>
      <c r="AIY560"/>
      <c r="AIZ560"/>
      <c r="AJA560"/>
      <c r="AJB560"/>
      <c r="AJC560"/>
      <c r="AJD560"/>
      <c r="AJE560"/>
      <c r="AJF560"/>
      <c r="AJG560"/>
      <c r="AJH560"/>
      <c r="AJI560"/>
      <c r="AJJ560"/>
      <c r="AJK560"/>
      <c r="AJL560"/>
      <c r="AJM560"/>
      <c r="AJN560"/>
      <c r="AJO560"/>
      <c r="AJP560"/>
      <c r="AJQ560"/>
      <c r="AJR560"/>
      <c r="AJS560"/>
      <c r="AJT560"/>
      <c r="AJU560"/>
      <c r="AJV560"/>
      <c r="AJW560"/>
      <c r="AJX560"/>
      <c r="AJY560"/>
      <c r="AJZ560"/>
      <c r="AKA560"/>
      <c r="AKB560"/>
      <c r="AKC560"/>
      <c r="AKD560"/>
      <c r="AKE560"/>
      <c r="AKF560"/>
      <c r="AKG560"/>
      <c r="AKH560"/>
      <c r="AKI560"/>
      <c r="AKJ560"/>
      <c r="AKK560"/>
      <c r="AKL560"/>
      <c r="AKM560"/>
      <c r="AKN560"/>
      <c r="AKO560"/>
      <c r="AKP560"/>
      <c r="AKQ560"/>
      <c r="AKR560"/>
      <c r="AKS560"/>
      <c r="AKT560"/>
      <c r="AKU560"/>
      <c r="AKV560"/>
      <c r="AKW560"/>
      <c r="AKX560"/>
      <c r="AKY560"/>
      <c r="AKZ560"/>
      <c r="ALA560"/>
      <c r="ALB560"/>
      <c r="ALC560"/>
      <c r="ALD560"/>
      <c r="ALE560"/>
      <c r="ALF560"/>
      <c r="ALG560"/>
      <c r="ALH560"/>
      <c r="ALI560"/>
      <c r="ALJ560"/>
      <c r="ALK560"/>
      <c r="ALL560"/>
      <c r="ALM560"/>
      <c r="ALN560"/>
      <c r="ALO560"/>
      <c r="ALP560"/>
      <c r="ALQ560"/>
      <c r="ALR560"/>
      <c r="ALS560"/>
      <c r="ALT560"/>
      <c r="ALU560"/>
      <c r="ALV560"/>
      <c r="ALW560"/>
      <c r="ALX560"/>
      <c r="ALY560"/>
      <c r="ALZ560"/>
      <c r="AMA560"/>
      <c r="AMB560"/>
      <c r="AMC560"/>
      <c r="AMD560"/>
    </row>
    <row r="561" spans="1:1019" ht="45">
      <c r="A561" s="414" t="s">
        <v>330</v>
      </c>
      <c r="B561" s="417"/>
      <c r="C561" s="135" t="s">
        <v>339</v>
      </c>
      <c r="D561" s="362"/>
      <c r="E561" s="417"/>
      <c r="F561" s="418" t="s">
        <v>961</v>
      </c>
      <c r="G561" s="417" t="s">
        <v>426</v>
      </c>
      <c r="H561" s="419" t="s">
        <v>427</v>
      </c>
      <c r="I561" s="245"/>
      <c r="J561" s="235" t="s">
        <v>429</v>
      </c>
      <c r="K561" s="236" t="s">
        <v>441</v>
      </c>
      <c r="L561" s="237"/>
      <c r="M561" s="238" t="s">
        <v>431</v>
      </c>
      <c r="N561" s="239" t="s">
        <v>432</v>
      </c>
      <c r="O561" s="144"/>
      <c r="P561" s="145"/>
      <c r="Q561" s="145"/>
      <c r="R561" s="240"/>
      <c r="S561" s="241"/>
      <c r="T561" s="241"/>
      <c r="U561" s="242"/>
      <c r="V561" s="242"/>
      <c r="W561" s="150" t="s">
        <v>437</v>
      </c>
      <c r="X561" s="150" t="s">
        <v>438</v>
      </c>
      <c r="Y561" s="150" t="s">
        <v>2</v>
      </c>
      <c r="Z561" s="150" t="s">
        <v>4</v>
      </c>
      <c r="AA561" s="150" t="s">
        <v>5</v>
      </c>
      <c r="AB561" s="150" t="s">
        <v>6</v>
      </c>
      <c r="AC561" s="150" t="s">
        <v>7</v>
      </c>
      <c r="AD561" s="150" t="s">
        <v>8</v>
      </c>
      <c r="AE561" s="150" t="s">
        <v>9</v>
      </c>
      <c r="AF561" s="150" t="s">
        <v>10</v>
      </c>
      <c r="AG561" s="150" t="s">
        <v>340</v>
      </c>
      <c r="AH561" s="150" t="s">
        <v>439</v>
      </c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  <c r="ZY561"/>
      <c r="ZZ561"/>
      <c r="AAA561"/>
      <c r="AAB561"/>
      <c r="AAC561"/>
      <c r="AAD561"/>
      <c r="AAE561"/>
      <c r="AAF561"/>
      <c r="AAG561"/>
      <c r="AAH561"/>
      <c r="AAI561"/>
      <c r="AAJ561"/>
      <c r="AAK561"/>
      <c r="AAL561"/>
      <c r="AAM561"/>
      <c r="AAN561"/>
      <c r="AAO561"/>
      <c r="AAP561"/>
      <c r="AAQ561"/>
      <c r="AAR561"/>
      <c r="AAS561"/>
      <c r="AAT561"/>
      <c r="AAU561"/>
      <c r="AAV561"/>
      <c r="AAW561"/>
      <c r="AAX561"/>
      <c r="AAY561"/>
      <c r="AAZ561"/>
      <c r="ABA561"/>
      <c r="ABB561"/>
      <c r="ABC561"/>
      <c r="ABD561"/>
      <c r="ABE561"/>
      <c r="ABF561"/>
      <c r="ABG561"/>
      <c r="ABH561"/>
      <c r="ABI561"/>
      <c r="ABJ561"/>
      <c r="ABK561"/>
      <c r="ABL561"/>
      <c r="ABM561"/>
      <c r="ABN561"/>
      <c r="ABO561"/>
      <c r="ABP561"/>
      <c r="ABQ561"/>
      <c r="ABR561"/>
      <c r="ABS561"/>
      <c r="ABT561"/>
      <c r="ABU561"/>
      <c r="ABV561"/>
      <c r="ABW561"/>
      <c r="ABX561"/>
      <c r="ABY561"/>
      <c r="ABZ561"/>
      <c r="ACA561"/>
      <c r="ACB561"/>
      <c r="ACC561"/>
      <c r="ACD561"/>
      <c r="ACE561"/>
      <c r="ACF561"/>
      <c r="ACG561"/>
      <c r="ACH561"/>
      <c r="ACI561"/>
      <c r="ACJ561"/>
      <c r="ACK561"/>
      <c r="ACL561"/>
      <c r="ACM561"/>
      <c r="ACN561"/>
      <c r="ACO561"/>
      <c r="ACP561"/>
      <c r="ACQ561"/>
      <c r="ACR561"/>
      <c r="ACS561"/>
      <c r="ACT561"/>
      <c r="ACU561"/>
      <c r="ACV561"/>
      <c r="ACW561"/>
      <c r="ACX561"/>
      <c r="ACY561"/>
      <c r="ACZ561"/>
      <c r="ADA561"/>
      <c r="ADB561"/>
      <c r="ADC561"/>
      <c r="ADD561"/>
      <c r="ADE561"/>
      <c r="ADF561"/>
      <c r="ADG561"/>
      <c r="ADH561"/>
      <c r="ADI561"/>
      <c r="ADJ561"/>
      <c r="ADK561"/>
      <c r="ADL561"/>
      <c r="ADM561"/>
      <c r="ADN561"/>
      <c r="ADO561"/>
      <c r="ADP561"/>
      <c r="ADQ561"/>
      <c r="ADR561"/>
      <c r="ADS561"/>
      <c r="ADT561"/>
      <c r="ADU561"/>
      <c r="ADV561"/>
      <c r="ADW561"/>
      <c r="ADX561"/>
      <c r="ADY561"/>
      <c r="ADZ561"/>
      <c r="AEA561"/>
      <c r="AEB561"/>
      <c r="AEC561"/>
      <c r="AED561"/>
      <c r="AEE561"/>
      <c r="AEF561"/>
      <c r="AEG561"/>
      <c r="AEH561"/>
      <c r="AEI561"/>
      <c r="AEJ561"/>
      <c r="AEK561"/>
      <c r="AEL561"/>
      <c r="AEM561"/>
      <c r="AEN561"/>
      <c r="AEO561"/>
      <c r="AEP561"/>
      <c r="AEQ561"/>
      <c r="AER561"/>
      <c r="AES561"/>
      <c r="AET561"/>
      <c r="AEU561"/>
      <c r="AEV561"/>
      <c r="AEW561"/>
      <c r="AEX561"/>
      <c r="AEY561"/>
      <c r="AEZ561"/>
      <c r="AFA561"/>
      <c r="AFB561"/>
      <c r="AFC561"/>
      <c r="AFD561"/>
      <c r="AFE561"/>
      <c r="AFF561"/>
      <c r="AFG561"/>
      <c r="AFH561"/>
      <c r="AFI561"/>
      <c r="AFJ561"/>
      <c r="AFK561"/>
      <c r="AFL561"/>
      <c r="AFM561"/>
      <c r="AFN561"/>
      <c r="AFO561"/>
      <c r="AFP561"/>
      <c r="AFQ561"/>
      <c r="AFR561"/>
      <c r="AFS561"/>
      <c r="AFT561"/>
      <c r="AFU561"/>
      <c r="AFV561"/>
      <c r="AFW561"/>
      <c r="AFX561"/>
      <c r="AFY561"/>
      <c r="AFZ561"/>
      <c r="AGA561"/>
      <c r="AGB561"/>
      <c r="AGC561"/>
      <c r="AGD561"/>
      <c r="AGE561"/>
      <c r="AGF561"/>
      <c r="AGG561"/>
      <c r="AGH561"/>
      <c r="AGI561"/>
      <c r="AGJ561"/>
      <c r="AGK561"/>
      <c r="AGL561"/>
      <c r="AGM561"/>
      <c r="AGN561"/>
      <c r="AGO561"/>
      <c r="AGP561"/>
      <c r="AGQ561"/>
      <c r="AGR561"/>
      <c r="AGS561"/>
      <c r="AGT561"/>
      <c r="AGU561"/>
      <c r="AGV561"/>
      <c r="AGW561"/>
      <c r="AGX561"/>
      <c r="AGY561"/>
      <c r="AGZ561"/>
      <c r="AHA561"/>
      <c r="AHB561"/>
      <c r="AHC561"/>
      <c r="AHD561"/>
      <c r="AHE561"/>
      <c r="AHF561"/>
      <c r="AHG561"/>
      <c r="AHH561"/>
      <c r="AHI561"/>
      <c r="AHJ561"/>
      <c r="AHK561"/>
      <c r="AHL561"/>
      <c r="AHM561"/>
      <c r="AHN561"/>
      <c r="AHO561"/>
      <c r="AHP561"/>
      <c r="AHQ561"/>
      <c r="AHR561"/>
      <c r="AHS561"/>
      <c r="AHT561"/>
      <c r="AHU561"/>
      <c r="AHV561"/>
      <c r="AHW561"/>
      <c r="AHX561"/>
      <c r="AHY561"/>
      <c r="AHZ561"/>
      <c r="AIA561"/>
      <c r="AIB561"/>
      <c r="AIC561"/>
      <c r="AID561"/>
      <c r="AIE561"/>
      <c r="AIF561"/>
      <c r="AIG561"/>
      <c r="AIH561"/>
      <c r="AII561"/>
      <c r="AIJ561"/>
      <c r="AIK561"/>
      <c r="AIL561"/>
      <c r="AIM561"/>
      <c r="AIN561"/>
      <c r="AIO561"/>
      <c r="AIP561"/>
      <c r="AIQ561"/>
      <c r="AIR561"/>
      <c r="AIS561"/>
      <c r="AIT561"/>
      <c r="AIU561"/>
      <c r="AIV561"/>
      <c r="AIW561"/>
      <c r="AIX561"/>
      <c r="AIY561"/>
      <c r="AIZ561"/>
      <c r="AJA561"/>
      <c r="AJB561"/>
      <c r="AJC561"/>
      <c r="AJD561"/>
      <c r="AJE561"/>
      <c r="AJF561"/>
      <c r="AJG561"/>
      <c r="AJH561"/>
      <c r="AJI561"/>
      <c r="AJJ561"/>
      <c r="AJK561"/>
      <c r="AJL561"/>
      <c r="AJM561"/>
      <c r="AJN561"/>
      <c r="AJO561"/>
      <c r="AJP561"/>
      <c r="AJQ561"/>
      <c r="AJR561"/>
      <c r="AJS561"/>
      <c r="AJT561"/>
      <c r="AJU561"/>
      <c r="AJV561"/>
      <c r="AJW561"/>
      <c r="AJX561"/>
      <c r="AJY561"/>
      <c r="AJZ561"/>
      <c r="AKA561"/>
      <c r="AKB561"/>
      <c r="AKC561"/>
      <c r="AKD561"/>
      <c r="AKE561"/>
      <c r="AKF561"/>
      <c r="AKG561"/>
      <c r="AKH561"/>
      <c r="AKI561"/>
      <c r="AKJ561"/>
      <c r="AKK561"/>
      <c r="AKL561"/>
      <c r="AKM561"/>
      <c r="AKN561"/>
      <c r="AKO561"/>
      <c r="AKP561"/>
      <c r="AKQ561"/>
      <c r="AKR561"/>
      <c r="AKS561"/>
      <c r="AKT561"/>
      <c r="AKU561"/>
      <c r="AKV561"/>
      <c r="AKW561"/>
      <c r="AKX561"/>
      <c r="AKY561"/>
      <c r="AKZ561"/>
      <c r="ALA561"/>
      <c r="ALB561"/>
      <c r="ALC561"/>
      <c r="ALD561"/>
      <c r="ALE561"/>
      <c r="ALF561"/>
      <c r="ALG561"/>
      <c r="ALH561"/>
      <c r="ALI561"/>
      <c r="ALJ561"/>
      <c r="ALK561"/>
      <c r="ALL561"/>
      <c r="ALM561"/>
      <c r="ALN561"/>
      <c r="ALO561"/>
      <c r="ALP561"/>
      <c r="ALQ561"/>
      <c r="ALR561"/>
      <c r="ALS561"/>
      <c r="ALT561"/>
      <c r="ALU561"/>
      <c r="ALV561"/>
      <c r="ALW561"/>
      <c r="ALX561"/>
      <c r="ALY561"/>
      <c r="ALZ561"/>
      <c r="AMA561"/>
      <c r="AMB561"/>
      <c r="AMC561"/>
      <c r="AMD561"/>
    </row>
    <row r="562" spans="1:1019">
      <c r="A562" s="547" t="s">
        <v>1483</v>
      </c>
      <c r="B562" s="282"/>
      <c r="C562" s="282" t="s">
        <v>374</v>
      </c>
      <c r="D562" s="282"/>
      <c r="E562" s="178">
        <v>1</v>
      </c>
      <c r="F562" s="277" t="s">
        <v>1484</v>
      </c>
      <c r="G562" s="282"/>
      <c r="H562" s="282">
        <v>10</v>
      </c>
      <c r="I562" s="282"/>
      <c r="J562" s="282"/>
      <c r="K562" s="201">
        <v>4834.5</v>
      </c>
      <c r="L562" s="201">
        <v>2105</v>
      </c>
      <c r="M562" s="201"/>
      <c r="N562" s="195">
        <f>+K562+L562+M562</f>
        <v>6939.5</v>
      </c>
      <c r="O562" s="303">
        <v>13750</v>
      </c>
      <c r="P562" s="304">
        <v>2700</v>
      </c>
      <c r="Q562" s="304">
        <v>300</v>
      </c>
      <c r="R562" s="305">
        <v>2891</v>
      </c>
      <c r="S562" s="306">
        <v>4190</v>
      </c>
      <c r="T562" s="306"/>
      <c r="U562" s="9">
        <v>370</v>
      </c>
      <c r="V562" s="9"/>
      <c r="W562" s="291">
        <v>0</v>
      </c>
      <c r="X562" s="289">
        <v>6939.5</v>
      </c>
      <c r="Y562" s="290">
        <v>6939.5</v>
      </c>
      <c r="Z562" s="289"/>
      <c r="AA562" s="289"/>
      <c r="AB562" s="289"/>
      <c r="AC562" s="290"/>
      <c r="AD562" s="289"/>
      <c r="AE562" s="291"/>
      <c r="AF562" s="291"/>
      <c r="AG562" s="291"/>
      <c r="AH562" s="291">
        <v>0</v>
      </c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  <c r="ZW562"/>
      <c r="ZX562"/>
      <c r="ZY562"/>
      <c r="ZZ562"/>
      <c r="AAA562"/>
      <c r="AAB562"/>
      <c r="AAC562"/>
      <c r="AAD562"/>
      <c r="AAE562"/>
      <c r="AAF562"/>
      <c r="AAG562"/>
      <c r="AAH562"/>
      <c r="AAI562"/>
      <c r="AAJ562"/>
      <c r="AAK562"/>
      <c r="AAL562"/>
      <c r="AAM562"/>
      <c r="AAN562"/>
      <c r="AAO562"/>
      <c r="AAP562"/>
      <c r="AAQ562"/>
      <c r="AAR562"/>
      <c r="AAS562"/>
      <c r="AAT562"/>
      <c r="AAU562"/>
      <c r="AAV562"/>
      <c r="AAW562"/>
      <c r="AAX562"/>
      <c r="AAY562"/>
      <c r="AAZ562"/>
      <c r="ABA562"/>
      <c r="ABB562"/>
      <c r="ABC562"/>
      <c r="ABD562"/>
      <c r="ABE562"/>
      <c r="ABF562"/>
      <c r="ABG562"/>
      <c r="ABH562"/>
      <c r="ABI562"/>
      <c r="ABJ562"/>
      <c r="ABK562"/>
      <c r="ABL562"/>
      <c r="ABM562"/>
      <c r="ABN562"/>
      <c r="ABO562"/>
      <c r="ABP562"/>
      <c r="ABQ562"/>
      <c r="ABR562"/>
      <c r="ABS562"/>
      <c r="ABT562"/>
      <c r="ABU562"/>
      <c r="ABV562"/>
      <c r="ABW562"/>
      <c r="ABX562"/>
      <c r="ABY562"/>
      <c r="ABZ562"/>
      <c r="ACA562"/>
      <c r="ACB562"/>
      <c r="ACC562"/>
      <c r="ACD562"/>
      <c r="ACE562"/>
      <c r="ACF562"/>
      <c r="ACG562"/>
      <c r="ACH562"/>
      <c r="ACI562"/>
      <c r="ACJ562"/>
      <c r="ACK562"/>
      <c r="ACL562"/>
      <c r="ACM562"/>
      <c r="ACN562"/>
      <c r="ACO562"/>
      <c r="ACP562"/>
      <c r="ACQ562"/>
      <c r="ACR562"/>
      <c r="ACS562"/>
      <c r="ACT562"/>
      <c r="ACU562"/>
      <c r="ACV562"/>
      <c r="ACW562"/>
      <c r="ACX562"/>
      <c r="ACY562"/>
      <c r="ACZ562"/>
      <c r="ADA562"/>
      <c r="ADB562"/>
      <c r="ADC562"/>
      <c r="ADD562"/>
      <c r="ADE562"/>
      <c r="ADF562"/>
      <c r="ADG562"/>
      <c r="ADH562"/>
      <c r="ADI562"/>
      <c r="ADJ562"/>
      <c r="ADK562"/>
      <c r="ADL562"/>
      <c r="ADM562"/>
      <c r="ADN562"/>
      <c r="ADO562"/>
      <c r="ADP562"/>
      <c r="ADQ562"/>
      <c r="ADR562"/>
      <c r="ADS562"/>
      <c r="ADT562"/>
      <c r="ADU562"/>
      <c r="ADV562"/>
      <c r="ADW562"/>
      <c r="ADX562"/>
      <c r="ADY562"/>
      <c r="ADZ562"/>
      <c r="AEA562"/>
      <c r="AEB562"/>
      <c r="AEC562"/>
      <c r="AED562"/>
      <c r="AEE562"/>
      <c r="AEF562"/>
      <c r="AEG562"/>
      <c r="AEH562"/>
      <c r="AEI562"/>
      <c r="AEJ562"/>
      <c r="AEK562"/>
      <c r="AEL562"/>
      <c r="AEM562"/>
      <c r="AEN562"/>
      <c r="AEO562"/>
      <c r="AEP562"/>
      <c r="AEQ562"/>
      <c r="AER562"/>
      <c r="AES562"/>
      <c r="AET562"/>
      <c r="AEU562"/>
      <c r="AEV562"/>
      <c r="AEW562"/>
      <c r="AEX562"/>
      <c r="AEY562"/>
      <c r="AEZ562"/>
      <c r="AFA562"/>
      <c r="AFB562"/>
      <c r="AFC562"/>
      <c r="AFD562"/>
      <c r="AFE562"/>
      <c r="AFF562"/>
      <c r="AFG562"/>
      <c r="AFH562"/>
      <c r="AFI562"/>
      <c r="AFJ562"/>
      <c r="AFK562"/>
      <c r="AFL562"/>
      <c r="AFM562"/>
      <c r="AFN562"/>
      <c r="AFO562"/>
      <c r="AFP562"/>
      <c r="AFQ562"/>
      <c r="AFR562"/>
      <c r="AFS562"/>
      <c r="AFT562"/>
      <c r="AFU562"/>
      <c r="AFV562"/>
      <c r="AFW562"/>
      <c r="AFX562"/>
      <c r="AFY562"/>
      <c r="AFZ562"/>
      <c r="AGA562"/>
      <c r="AGB562"/>
      <c r="AGC562"/>
      <c r="AGD562"/>
      <c r="AGE562"/>
      <c r="AGF562"/>
      <c r="AGG562"/>
      <c r="AGH562"/>
      <c r="AGI562"/>
      <c r="AGJ562"/>
      <c r="AGK562"/>
      <c r="AGL562"/>
      <c r="AGM562"/>
      <c r="AGN562"/>
      <c r="AGO562"/>
      <c r="AGP562"/>
      <c r="AGQ562"/>
      <c r="AGR562"/>
      <c r="AGS562"/>
      <c r="AGT562"/>
      <c r="AGU562"/>
      <c r="AGV562"/>
      <c r="AGW562"/>
      <c r="AGX562"/>
      <c r="AGY562"/>
      <c r="AGZ562"/>
      <c r="AHA562"/>
      <c r="AHB562"/>
      <c r="AHC562"/>
      <c r="AHD562"/>
      <c r="AHE562"/>
      <c r="AHF562"/>
      <c r="AHG562"/>
      <c r="AHH562"/>
      <c r="AHI562"/>
      <c r="AHJ562"/>
      <c r="AHK562"/>
      <c r="AHL562"/>
      <c r="AHM562"/>
      <c r="AHN562"/>
      <c r="AHO562"/>
      <c r="AHP562"/>
      <c r="AHQ562"/>
      <c r="AHR562"/>
      <c r="AHS562"/>
      <c r="AHT562"/>
      <c r="AHU562"/>
      <c r="AHV562"/>
      <c r="AHW562"/>
      <c r="AHX562"/>
      <c r="AHY562"/>
      <c r="AHZ562"/>
      <c r="AIA562"/>
      <c r="AIB562"/>
      <c r="AIC562"/>
      <c r="AID562"/>
      <c r="AIE562"/>
      <c r="AIF562"/>
      <c r="AIG562"/>
      <c r="AIH562"/>
      <c r="AII562"/>
      <c r="AIJ562"/>
      <c r="AIK562"/>
      <c r="AIL562"/>
      <c r="AIM562"/>
      <c r="AIN562"/>
      <c r="AIO562"/>
      <c r="AIP562"/>
      <c r="AIQ562"/>
      <c r="AIR562"/>
      <c r="AIS562"/>
      <c r="AIT562"/>
      <c r="AIU562"/>
      <c r="AIV562"/>
      <c r="AIW562"/>
      <c r="AIX562"/>
      <c r="AIY562"/>
      <c r="AIZ562"/>
      <c r="AJA562"/>
      <c r="AJB562"/>
      <c r="AJC562"/>
      <c r="AJD562"/>
      <c r="AJE562"/>
      <c r="AJF562"/>
      <c r="AJG562"/>
      <c r="AJH562"/>
      <c r="AJI562"/>
      <c r="AJJ562"/>
      <c r="AJK562"/>
      <c r="AJL562"/>
      <c r="AJM562"/>
      <c r="AJN562"/>
      <c r="AJO562"/>
      <c r="AJP562"/>
      <c r="AJQ562"/>
      <c r="AJR562"/>
      <c r="AJS562"/>
      <c r="AJT562"/>
      <c r="AJU562"/>
      <c r="AJV562"/>
      <c r="AJW562"/>
      <c r="AJX562"/>
      <c r="AJY562"/>
      <c r="AJZ562"/>
      <c r="AKA562"/>
      <c r="AKB562"/>
      <c r="AKC562"/>
      <c r="AKD562"/>
      <c r="AKE562"/>
      <c r="AKF562"/>
      <c r="AKG562"/>
      <c r="AKH562"/>
      <c r="AKI562"/>
      <c r="AKJ562"/>
      <c r="AKK562"/>
      <c r="AKL562"/>
      <c r="AKM562"/>
      <c r="AKN562"/>
      <c r="AKO562"/>
      <c r="AKP562"/>
      <c r="AKQ562"/>
      <c r="AKR562"/>
      <c r="AKS562"/>
      <c r="AKT562"/>
      <c r="AKU562"/>
      <c r="AKV562"/>
      <c r="AKW562"/>
      <c r="AKX562"/>
      <c r="AKY562"/>
      <c r="AKZ562"/>
      <c r="ALA562"/>
      <c r="ALB562"/>
      <c r="ALC562"/>
      <c r="ALD562"/>
      <c r="ALE562"/>
      <c r="ALF562"/>
      <c r="ALG562"/>
      <c r="ALH562"/>
      <c r="ALI562"/>
      <c r="ALJ562"/>
      <c r="ALK562"/>
      <c r="ALL562"/>
      <c r="ALM562"/>
      <c r="ALN562"/>
      <c r="ALO562"/>
      <c r="ALP562"/>
      <c r="ALQ562"/>
      <c r="ALR562"/>
      <c r="ALS562"/>
      <c r="ALT562"/>
      <c r="ALU562"/>
      <c r="ALV562"/>
      <c r="ALW562"/>
      <c r="ALX562"/>
      <c r="ALY562"/>
      <c r="ALZ562"/>
      <c r="AMA562"/>
      <c r="AMB562"/>
      <c r="AMC562"/>
      <c r="AMD562"/>
    </row>
    <row r="563" spans="1:1019">
      <c r="A563" s="547" t="s">
        <v>1485</v>
      </c>
      <c r="B563" s="282"/>
      <c r="C563" s="282" t="s">
        <v>1486</v>
      </c>
      <c r="D563" s="282"/>
      <c r="E563" s="286">
        <f t="shared" ref="E563:E575" si="59">+E562+1</f>
        <v>2</v>
      </c>
      <c r="F563" s="277" t="s">
        <v>1487</v>
      </c>
      <c r="G563" s="282"/>
      <c r="H563" s="282">
        <v>10</v>
      </c>
      <c r="I563" s="282"/>
      <c r="J563" s="282"/>
      <c r="K563" s="201">
        <v>4834.5</v>
      </c>
      <c r="L563" s="201">
        <v>2105</v>
      </c>
      <c r="M563" s="406"/>
      <c r="N563" s="195">
        <f>+K563+L563+M563</f>
        <v>6939.5</v>
      </c>
      <c r="O563" s="303">
        <v>13288</v>
      </c>
      <c r="P563" s="304">
        <v>1800</v>
      </c>
      <c r="Q563" s="304">
        <v>300</v>
      </c>
      <c r="R563" s="305">
        <v>2926</v>
      </c>
      <c r="S563" s="306">
        <v>4190</v>
      </c>
      <c r="T563" s="306"/>
      <c r="U563" s="9">
        <v>370</v>
      </c>
      <c r="V563" s="9"/>
      <c r="W563" s="291">
        <v>0</v>
      </c>
      <c r="X563" s="315">
        <v>6939.5</v>
      </c>
      <c r="Y563" s="315">
        <v>6939.5</v>
      </c>
      <c r="Z563" s="315">
        <v>6769.5</v>
      </c>
      <c r="AA563" s="307" t="s">
        <v>1488</v>
      </c>
      <c r="AB563" s="307"/>
      <c r="AC563" s="307"/>
      <c r="AD563" s="307"/>
      <c r="AE563" s="291"/>
      <c r="AF563" s="307"/>
      <c r="AG563" s="291"/>
      <c r="AH563" s="291">
        <v>0</v>
      </c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  <c r="ZY563"/>
      <c r="ZZ563"/>
      <c r="AAA563"/>
      <c r="AAB563"/>
      <c r="AAC563"/>
      <c r="AAD563"/>
      <c r="AAE563"/>
      <c r="AAF563"/>
      <c r="AAG563"/>
      <c r="AAH563"/>
      <c r="AAI563"/>
      <c r="AAJ563"/>
      <c r="AAK563"/>
      <c r="AAL563"/>
      <c r="AAM563"/>
      <c r="AAN563"/>
      <c r="AAO563"/>
      <c r="AAP563"/>
      <c r="AAQ563"/>
      <c r="AAR563"/>
      <c r="AAS563"/>
      <c r="AAT563"/>
      <c r="AAU563"/>
      <c r="AAV563"/>
      <c r="AAW563"/>
      <c r="AAX563"/>
      <c r="AAY563"/>
      <c r="AAZ563"/>
      <c r="ABA563"/>
      <c r="ABB563"/>
      <c r="ABC563"/>
      <c r="ABD563"/>
      <c r="ABE563"/>
      <c r="ABF563"/>
      <c r="ABG563"/>
      <c r="ABH563"/>
      <c r="ABI563"/>
      <c r="ABJ563"/>
      <c r="ABK563"/>
      <c r="ABL563"/>
      <c r="ABM563"/>
      <c r="ABN563"/>
      <c r="ABO563"/>
      <c r="ABP563"/>
      <c r="ABQ563"/>
      <c r="ABR563"/>
      <c r="ABS563"/>
      <c r="ABT563"/>
      <c r="ABU563"/>
      <c r="ABV563"/>
      <c r="ABW563"/>
      <c r="ABX563"/>
      <c r="ABY563"/>
      <c r="ABZ563"/>
      <c r="ACA563"/>
      <c r="ACB563"/>
      <c r="ACC563"/>
      <c r="ACD563"/>
      <c r="ACE563"/>
      <c r="ACF563"/>
      <c r="ACG563"/>
      <c r="ACH563"/>
      <c r="ACI563"/>
      <c r="ACJ563"/>
      <c r="ACK563"/>
      <c r="ACL563"/>
      <c r="ACM563"/>
      <c r="ACN563"/>
      <c r="ACO563"/>
      <c r="ACP563"/>
      <c r="ACQ563"/>
      <c r="ACR563"/>
      <c r="ACS563"/>
      <c r="ACT563"/>
      <c r="ACU563"/>
      <c r="ACV563"/>
      <c r="ACW563"/>
      <c r="ACX563"/>
      <c r="ACY563"/>
      <c r="ACZ563"/>
      <c r="ADA563"/>
      <c r="ADB563"/>
      <c r="ADC563"/>
      <c r="ADD563"/>
      <c r="ADE563"/>
      <c r="ADF563"/>
      <c r="ADG563"/>
      <c r="ADH563"/>
      <c r="ADI563"/>
      <c r="ADJ563"/>
      <c r="ADK563"/>
      <c r="ADL563"/>
      <c r="ADM563"/>
      <c r="ADN563"/>
      <c r="ADO563"/>
      <c r="ADP563"/>
      <c r="ADQ563"/>
      <c r="ADR563"/>
      <c r="ADS563"/>
      <c r="ADT563"/>
      <c r="ADU563"/>
      <c r="ADV563"/>
      <c r="ADW563"/>
      <c r="ADX563"/>
      <c r="ADY563"/>
      <c r="ADZ563"/>
      <c r="AEA563"/>
      <c r="AEB563"/>
      <c r="AEC563"/>
      <c r="AED563"/>
      <c r="AEE563"/>
      <c r="AEF563"/>
      <c r="AEG563"/>
      <c r="AEH563"/>
      <c r="AEI563"/>
      <c r="AEJ563"/>
      <c r="AEK563"/>
      <c r="AEL563"/>
      <c r="AEM563"/>
      <c r="AEN563"/>
      <c r="AEO563"/>
      <c r="AEP563"/>
      <c r="AEQ563"/>
      <c r="AER563"/>
      <c r="AES563"/>
      <c r="AET563"/>
      <c r="AEU563"/>
      <c r="AEV563"/>
      <c r="AEW563"/>
      <c r="AEX563"/>
      <c r="AEY563"/>
      <c r="AEZ563"/>
      <c r="AFA563"/>
      <c r="AFB563"/>
      <c r="AFC563"/>
      <c r="AFD563"/>
      <c r="AFE563"/>
      <c r="AFF563"/>
      <c r="AFG563"/>
      <c r="AFH563"/>
      <c r="AFI563"/>
      <c r="AFJ563"/>
      <c r="AFK563"/>
      <c r="AFL563"/>
      <c r="AFM563"/>
      <c r="AFN563"/>
      <c r="AFO563"/>
      <c r="AFP563"/>
      <c r="AFQ563"/>
      <c r="AFR563"/>
      <c r="AFS563"/>
      <c r="AFT563"/>
      <c r="AFU563"/>
      <c r="AFV563"/>
      <c r="AFW563"/>
      <c r="AFX563"/>
      <c r="AFY563"/>
      <c r="AFZ563"/>
      <c r="AGA563"/>
      <c r="AGB563"/>
      <c r="AGC563"/>
      <c r="AGD563"/>
      <c r="AGE563"/>
      <c r="AGF563"/>
      <c r="AGG563"/>
      <c r="AGH563"/>
      <c r="AGI563"/>
      <c r="AGJ563"/>
      <c r="AGK563"/>
      <c r="AGL563"/>
      <c r="AGM563"/>
      <c r="AGN563"/>
      <c r="AGO563"/>
      <c r="AGP563"/>
      <c r="AGQ563"/>
      <c r="AGR563"/>
      <c r="AGS563"/>
      <c r="AGT563"/>
      <c r="AGU563"/>
      <c r="AGV563"/>
      <c r="AGW563"/>
      <c r="AGX563"/>
      <c r="AGY563"/>
      <c r="AGZ563"/>
      <c r="AHA563"/>
      <c r="AHB563"/>
      <c r="AHC563"/>
      <c r="AHD563"/>
      <c r="AHE563"/>
      <c r="AHF563"/>
      <c r="AHG563"/>
      <c r="AHH563"/>
      <c r="AHI563"/>
      <c r="AHJ563"/>
      <c r="AHK563"/>
      <c r="AHL563"/>
      <c r="AHM563"/>
      <c r="AHN563"/>
      <c r="AHO563"/>
      <c r="AHP563"/>
      <c r="AHQ563"/>
      <c r="AHR563"/>
      <c r="AHS563"/>
      <c r="AHT563"/>
      <c r="AHU563"/>
      <c r="AHV563"/>
      <c r="AHW563"/>
      <c r="AHX563"/>
      <c r="AHY563"/>
      <c r="AHZ563"/>
      <c r="AIA563"/>
      <c r="AIB563"/>
      <c r="AIC563"/>
      <c r="AID563"/>
      <c r="AIE563"/>
      <c r="AIF563"/>
      <c r="AIG563"/>
      <c r="AIH563"/>
      <c r="AII563"/>
      <c r="AIJ563"/>
      <c r="AIK563"/>
      <c r="AIL563"/>
      <c r="AIM563"/>
      <c r="AIN563"/>
      <c r="AIO563"/>
      <c r="AIP563"/>
      <c r="AIQ563"/>
      <c r="AIR563"/>
      <c r="AIS563"/>
      <c r="AIT563"/>
      <c r="AIU563"/>
      <c r="AIV563"/>
      <c r="AIW563"/>
      <c r="AIX563"/>
      <c r="AIY563"/>
      <c r="AIZ563"/>
      <c r="AJA563"/>
      <c r="AJB563"/>
      <c r="AJC563"/>
      <c r="AJD563"/>
      <c r="AJE563"/>
      <c r="AJF563"/>
      <c r="AJG563"/>
      <c r="AJH563"/>
      <c r="AJI563"/>
      <c r="AJJ563"/>
      <c r="AJK563"/>
      <c r="AJL563"/>
      <c r="AJM563"/>
      <c r="AJN563"/>
      <c r="AJO563"/>
      <c r="AJP563"/>
      <c r="AJQ563"/>
      <c r="AJR563"/>
      <c r="AJS563"/>
      <c r="AJT563"/>
      <c r="AJU563"/>
      <c r="AJV563"/>
      <c r="AJW563"/>
      <c r="AJX563"/>
      <c r="AJY563"/>
      <c r="AJZ563"/>
      <c r="AKA563"/>
      <c r="AKB563"/>
      <c r="AKC563"/>
      <c r="AKD563"/>
      <c r="AKE563"/>
      <c r="AKF563"/>
      <c r="AKG563"/>
      <c r="AKH563"/>
      <c r="AKI563"/>
      <c r="AKJ563"/>
      <c r="AKK563"/>
      <c r="AKL563"/>
      <c r="AKM563"/>
      <c r="AKN563"/>
      <c r="AKO563"/>
      <c r="AKP563"/>
      <c r="AKQ563"/>
      <c r="AKR563"/>
      <c r="AKS563"/>
      <c r="AKT563"/>
      <c r="AKU563"/>
      <c r="AKV563"/>
      <c r="AKW563"/>
      <c r="AKX563"/>
      <c r="AKY563"/>
      <c r="AKZ563"/>
      <c r="ALA563"/>
      <c r="ALB563"/>
      <c r="ALC563"/>
      <c r="ALD563"/>
      <c r="ALE563"/>
      <c r="ALF563"/>
      <c r="ALG563"/>
      <c r="ALH563"/>
      <c r="ALI563"/>
      <c r="ALJ563"/>
      <c r="ALK563"/>
      <c r="ALL563"/>
      <c r="ALM563"/>
      <c r="ALN563"/>
      <c r="ALO563"/>
      <c r="ALP563"/>
      <c r="ALQ563"/>
      <c r="ALR563"/>
      <c r="ALS563"/>
      <c r="ALT563"/>
      <c r="ALU563"/>
      <c r="ALV563"/>
      <c r="ALW563"/>
      <c r="ALX563"/>
      <c r="ALY563"/>
      <c r="ALZ563"/>
      <c r="AMA563"/>
      <c r="AMB563"/>
      <c r="AMC563"/>
      <c r="AMD563"/>
    </row>
    <row r="564" spans="1:1019">
      <c r="A564" s="547" t="s">
        <v>1489</v>
      </c>
      <c r="B564" s="282"/>
      <c r="C564" s="282" t="s">
        <v>1129</v>
      </c>
      <c r="D564" s="282"/>
      <c r="E564" s="286">
        <f t="shared" si="59"/>
        <v>3</v>
      </c>
      <c r="F564" s="277" t="s">
        <v>1490</v>
      </c>
      <c r="G564" s="254"/>
      <c r="H564" s="263">
        <v>10</v>
      </c>
      <c r="I564" s="282"/>
      <c r="J564" s="282"/>
      <c r="K564" s="201">
        <v>4834.5</v>
      </c>
      <c r="L564" s="201">
        <v>2105</v>
      </c>
      <c r="M564" s="406"/>
      <c r="N564" s="195">
        <f>+J564+K564+L564</f>
        <v>6939.5</v>
      </c>
      <c r="O564" s="303">
        <v>13646</v>
      </c>
      <c r="P564" s="304">
        <v>0</v>
      </c>
      <c r="Q564" s="304">
        <v>300</v>
      </c>
      <c r="R564" s="329">
        <v>3230</v>
      </c>
      <c r="S564" s="306">
        <v>4190</v>
      </c>
      <c r="T564" s="330" t="s">
        <v>1491</v>
      </c>
      <c r="U564" s="9">
        <v>370</v>
      </c>
      <c r="V564" s="6">
        <v>370</v>
      </c>
      <c r="W564" s="291">
        <v>0</v>
      </c>
      <c r="X564" s="291">
        <f>4834.5+2105</f>
        <v>6939.5</v>
      </c>
      <c r="Y564" s="290">
        <v>6940</v>
      </c>
      <c r="Z564" s="290">
        <v>6940</v>
      </c>
      <c r="AA564" s="291"/>
      <c r="AB564" s="291"/>
      <c r="AC564" s="291"/>
      <c r="AD564" s="291"/>
      <c r="AE564" s="291"/>
      <c r="AF564" s="291"/>
      <c r="AG564" s="291"/>
      <c r="AH564" s="291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  <c r="ZW564"/>
      <c r="ZX564"/>
      <c r="ZY564"/>
      <c r="ZZ564"/>
      <c r="AAA564"/>
      <c r="AAB564"/>
      <c r="AAC564"/>
      <c r="AAD564"/>
      <c r="AAE564"/>
      <c r="AAF564"/>
      <c r="AAG564"/>
      <c r="AAH564"/>
      <c r="AAI564"/>
      <c r="AAJ564"/>
      <c r="AAK564"/>
      <c r="AAL564"/>
      <c r="AAM564"/>
      <c r="AAN564"/>
      <c r="AAO564"/>
      <c r="AAP564"/>
      <c r="AAQ564"/>
      <c r="AAR564"/>
      <c r="AAS564"/>
      <c r="AAT564"/>
      <c r="AAU564"/>
      <c r="AAV564"/>
      <c r="AAW564"/>
      <c r="AAX564"/>
      <c r="AAY564"/>
      <c r="AAZ564"/>
      <c r="ABA564"/>
      <c r="ABB564"/>
      <c r="ABC564"/>
      <c r="ABD564"/>
      <c r="ABE564"/>
      <c r="ABF564"/>
      <c r="ABG564"/>
      <c r="ABH564"/>
      <c r="ABI564"/>
      <c r="ABJ564"/>
      <c r="ABK564"/>
      <c r="ABL564"/>
      <c r="ABM564"/>
      <c r="ABN564"/>
      <c r="ABO564"/>
      <c r="ABP564"/>
      <c r="ABQ564"/>
      <c r="ABR564"/>
      <c r="ABS564"/>
      <c r="ABT564"/>
      <c r="ABU564"/>
      <c r="ABV564"/>
      <c r="ABW564"/>
      <c r="ABX564"/>
      <c r="ABY564"/>
      <c r="ABZ564"/>
      <c r="ACA564"/>
      <c r="ACB564"/>
      <c r="ACC564"/>
      <c r="ACD564"/>
      <c r="ACE564"/>
      <c r="ACF564"/>
      <c r="ACG564"/>
      <c r="ACH564"/>
      <c r="ACI564"/>
      <c r="ACJ564"/>
      <c r="ACK564"/>
      <c r="ACL564"/>
      <c r="ACM564"/>
      <c r="ACN564"/>
      <c r="ACO564"/>
      <c r="ACP564"/>
      <c r="ACQ564"/>
      <c r="ACR564"/>
      <c r="ACS564"/>
      <c r="ACT564"/>
      <c r="ACU564"/>
      <c r="ACV564"/>
      <c r="ACW564"/>
      <c r="ACX564"/>
      <c r="ACY564"/>
      <c r="ACZ564"/>
      <c r="ADA564"/>
      <c r="ADB564"/>
      <c r="ADC564"/>
      <c r="ADD564"/>
      <c r="ADE564"/>
      <c r="ADF564"/>
      <c r="ADG564"/>
      <c r="ADH564"/>
      <c r="ADI564"/>
      <c r="ADJ564"/>
      <c r="ADK564"/>
      <c r="ADL564"/>
      <c r="ADM564"/>
      <c r="ADN564"/>
      <c r="ADO564"/>
      <c r="ADP564"/>
      <c r="ADQ564"/>
      <c r="ADR564"/>
      <c r="ADS564"/>
      <c r="ADT564"/>
      <c r="ADU564"/>
      <c r="ADV564"/>
      <c r="ADW564"/>
      <c r="ADX564"/>
      <c r="ADY564"/>
      <c r="ADZ564"/>
      <c r="AEA564"/>
      <c r="AEB564"/>
      <c r="AEC564"/>
      <c r="AED564"/>
      <c r="AEE564"/>
      <c r="AEF564"/>
      <c r="AEG564"/>
      <c r="AEH564"/>
      <c r="AEI564"/>
      <c r="AEJ564"/>
      <c r="AEK564"/>
      <c r="AEL564"/>
      <c r="AEM564"/>
      <c r="AEN564"/>
      <c r="AEO564"/>
      <c r="AEP564"/>
      <c r="AEQ564"/>
      <c r="AER564"/>
      <c r="AES564"/>
      <c r="AET564"/>
      <c r="AEU564"/>
      <c r="AEV564"/>
      <c r="AEW564"/>
      <c r="AEX564"/>
      <c r="AEY564"/>
      <c r="AEZ564"/>
      <c r="AFA564"/>
      <c r="AFB564"/>
      <c r="AFC564"/>
      <c r="AFD564"/>
      <c r="AFE564"/>
      <c r="AFF564"/>
      <c r="AFG564"/>
      <c r="AFH564"/>
      <c r="AFI564"/>
      <c r="AFJ564"/>
      <c r="AFK564"/>
      <c r="AFL564"/>
      <c r="AFM564"/>
      <c r="AFN564"/>
      <c r="AFO564"/>
      <c r="AFP564"/>
      <c r="AFQ564"/>
      <c r="AFR564"/>
      <c r="AFS564"/>
      <c r="AFT564"/>
      <c r="AFU564"/>
      <c r="AFV564"/>
      <c r="AFW564"/>
      <c r="AFX564"/>
      <c r="AFY564"/>
      <c r="AFZ564"/>
      <c r="AGA564"/>
      <c r="AGB564"/>
      <c r="AGC564"/>
      <c r="AGD564"/>
      <c r="AGE564"/>
      <c r="AGF564"/>
      <c r="AGG564"/>
      <c r="AGH564"/>
      <c r="AGI564"/>
      <c r="AGJ564"/>
      <c r="AGK564"/>
      <c r="AGL564"/>
      <c r="AGM564"/>
      <c r="AGN564"/>
      <c r="AGO564"/>
      <c r="AGP564"/>
      <c r="AGQ564"/>
      <c r="AGR564"/>
      <c r="AGS564"/>
      <c r="AGT564"/>
      <c r="AGU564"/>
      <c r="AGV564"/>
      <c r="AGW564"/>
      <c r="AGX564"/>
      <c r="AGY564"/>
      <c r="AGZ564"/>
      <c r="AHA564"/>
      <c r="AHB564"/>
      <c r="AHC564"/>
      <c r="AHD564"/>
      <c r="AHE564"/>
      <c r="AHF564"/>
      <c r="AHG564"/>
      <c r="AHH564"/>
      <c r="AHI564"/>
      <c r="AHJ564"/>
      <c r="AHK564"/>
      <c r="AHL564"/>
      <c r="AHM564"/>
      <c r="AHN564"/>
      <c r="AHO564"/>
      <c r="AHP564"/>
      <c r="AHQ564"/>
      <c r="AHR564"/>
      <c r="AHS564"/>
      <c r="AHT564"/>
      <c r="AHU564"/>
      <c r="AHV564"/>
      <c r="AHW564"/>
      <c r="AHX564"/>
      <c r="AHY564"/>
      <c r="AHZ564"/>
      <c r="AIA564"/>
      <c r="AIB564"/>
      <c r="AIC564"/>
      <c r="AID564"/>
      <c r="AIE564"/>
      <c r="AIF564"/>
      <c r="AIG564"/>
      <c r="AIH564"/>
      <c r="AII564"/>
      <c r="AIJ564"/>
      <c r="AIK564"/>
      <c r="AIL564"/>
      <c r="AIM564"/>
      <c r="AIN564"/>
      <c r="AIO564"/>
      <c r="AIP564"/>
      <c r="AIQ564"/>
      <c r="AIR564"/>
      <c r="AIS564"/>
      <c r="AIT564"/>
      <c r="AIU564"/>
      <c r="AIV564"/>
      <c r="AIW564"/>
      <c r="AIX564"/>
      <c r="AIY564"/>
      <c r="AIZ564"/>
      <c r="AJA564"/>
      <c r="AJB564"/>
      <c r="AJC564"/>
      <c r="AJD564"/>
      <c r="AJE564"/>
      <c r="AJF564"/>
      <c r="AJG564"/>
      <c r="AJH564"/>
      <c r="AJI564"/>
      <c r="AJJ564"/>
      <c r="AJK564"/>
      <c r="AJL564"/>
      <c r="AJM564"/>
      <c r="AJN564"/>
      <c r="AJO564"/>
      <c r="AJP564"/>
      <c r="AJQ564"/>
      <c r="AJR564"/>
      <c r="AJS564"/>
      <c r="AJT564"/>
      <c r="AJU564"/>
      <c r="AJV564"/>
      <c r="AJW564"/>
      <c r="AJX564"/>
      <c r="AJY564"/>
      <c r="AJZ564"/>
      <c r="AKA564"/>
      <c r="AKB564"/>
      <c r="AKC564"/>
      <c r="AKD564"/>
      <c r="AKE564"/>
      <c r="AKF564"/>
      <c r="AKG564"/>
      <c r="AKH564"/>
      <c r="AKI564"/>
      <c r="AKJ564"/>
      <c r="AKK564"/>
      <c r="AKL564"/>
      <c r="AKM564"/>
      <c r="AKN564"/>
      <c r="AKO564"/>
      <c r="AKP564"/>
      <c r="AKQ564"/>
      <c r="AKR564"/>
      <c r="AKS564"/>
      <c r="AKT564"/>
      <c r="AKU564"/>
      <c r="AKV564"/>
      <c r="AKW564"/>
      <c r="AKX564"/>
      <c r="AKY564"/>
      <c r="AKZ564"/>
      <c r="ALA564"/>
      <c r="ALB564"/>
      <c r="ALC564"/>
      <c r="ALD564"/>
      <c r="ALE564"/>
      <c r="ALF564"/>
      <c r="ALG564"/>
      <c r="ALH564"/>
      <c r="ALI564"/>
      <c r="ALJ564"/>
      <c r="ALK564"/>
      <c r="ALL564"/>
      <c r="ALM564"/>
      <c r="ALN564"/>
      <c r="ALO564"/>
      <c r="ALP564"/>
      <c r="ALQ564"/>
      <c r="ALR564"/>
      <c r="ALS564"/>
      <c r="ALT564"/>
      <c r="ALU564"/>
      <c r="ALV564"/>
      <c r="ALW564"/>
      <c r="ALX564"/>
      <c r="ALY564"/>
      <c r="ALZ564"/>
      <c r="AMA564"/>
      <c r="AMB564"/>
      <c r="AMC564"/>
      <c r="AMD564"/>
    </row>
    <row r="565" spans="1:1019" s="151" customFormat="1" ht="15.75" customHeight="1">
      <c r="A565" s="549" t="s">
        <v>1492</v>
      </c>
      <c r="B565" s="293"/>
      <c r="C565" s="293" t="s">
        <v>1108</v>
      </c>
      <c r="D565" s="293"/>
      <c r="E565" s="286">
        <f t="shared" si="59"/>
        <v>4</v>
      </c>
      <c r="F565" s="277" t="s">
        <v>1493</v>
      </c>
      <c r="G565" s="282"/>
      <c r="H565" s="282">
        <v>10</v>
      </c>
      <c r="I565" s="282"/>
      <c r="J565" s="282"/>
      <c r="K565" s="201">
        <v>4834.5</v>
      </c>
      <c r="L565" s="201">
        <v>2105</v>
      </c>
      <c r="M565" s="201"/>
      <c r="N565" s="195">
        <f>+K565+L565+M565</f>
        <v>6939.5</v>
      </c>
      <c r="O565" s="303">
        <v>13768</v>
      </c>
      <c r="P565" s="304">
        <v>2700</v>
      </c>
      <c r="Q565" s="304">
        <v>300</v>
      </c>
      <c r="R565" s="305"/>
      <c r="S565" s="306"/>
      <c r="T565" s="306"/>
      <c r="U565" s="9">
        <v>370</v>
      </c>
      <c r="V565" s="9"/>
      <c r="W565" s="291">
        <v>0</v>
      </c>
      <c r="X565" s="289">
        <v>7286.47</v>
      </c>
      <c r="Y565" s="289">
        <v>7286.47</v>
      </c>
      <c r="Z565" s="315"/>
      <c r="AA565" s="315"/>
      <c r="AB565" s="315"/>
      <c r="AC565" s="316"/>
      <c r="AD565" s="315"/>
      <c r="AE565" s="289"/>
      <c r="AF565" s="289"/>
      <c r="AG565" s="289"/>
      <c r="AH565" s="291">
        <v>0</v>
      </c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  <c r="ZW565"/>
      <c r="ZX565"/>
      <c r="ZY565"/>
      <c r="ZZ565"/>
      <c r="AAA565"/>
      <c r="AAB565"/>
      <c r="AAC565"/>
      <c r="AAD565"/>
      <c r="AAE565"/>
      <c r="AAF565"/>
      <c r="AAG565"/>
      <c r="AAH565"/>
      <c r="AAI565"/>
      <c r="AAJ565"/>
      <c r="AAK565"/>
      <c r="AAL565"/>
      <c r="AAM565"/>
      <c r="AAN565"/>
      <c r="AAO565"/>
      <c r="AAP565"/>
      <c r="AAQ565"/>
      <c r="AAR565"/>
      <c r="AAS565"/>
      <c r="AAT565"/>
      <c r="AAU565"/>
      <c r="AAV565"/>
      <c r="AAW565"/>
      <c r="AAX565"/>
      <c r="AAY565"/>
      <c r="AAZ565"/>
      <c r="ABA565"/>
      <c r="ABB565"/>
      <c r="ABC565"/>
      <c r="ABD565"/>
      <c r="ABE565"/>
      <c r="ABF565"/>
      <c r="ABG565"/>
      <c r="ABH565"/>
      <c r="ABI565"/>
      <c r="ABJ565"/>
      <c r="ABK565"/>
      <c r="ABL565"/>
      <c r="ABM565"/>
      <c r="ABN565"/>
      <c r="ABO565"/>
      <c r="ABP565"/>
      <c r="ABQ565"/>
      <c r="ABR565"/>
      <c r="ABS565"/>
      <c r="ABT565"/>
      <c r="ABU565"/>
      <c r="ABV565"/>
      <c r="ABW565"/>
      <c r="ABX565"/>
      <c r="ABY565"/>
      <c r="ABZ565"/>
      <c r="ACA565"/>
      <c r="ACB565"/>
      <c r="ACC565"/>
      <c r="ACD565"/>
      <c r="ACE565"/>
      <c r="ACF565"/>
      <c r="ACG565"/>
      <c r="ACH565"/>
      <c r="ACI565"/>
      <c r="ACJ565"/>
      <c r="ACK565"/>
      <c r="ACL565"/>
      <c r="ACM565"/>
      <c r="ACN565"/>
      <c r="ACO565"/>
      <c r="ACP565"/>
      <c r="ACQ565"/>
      <c r="ACR565"/>
      <c r="ACS565"/>
      <c r="ACT565"/>
      <c r="ACU565"/>
      <c r="ACV565"/>
      <c r="ACW565"/>
      <c r="ACX565"/>
      <c r="ACY565"/>
      <c r="ACZ565"/>
      <c r="ADA565"/>
      <c r="ADB565"/>
      <c r="ADC565"/>
      <c r="ADD565"/>
      <c r="ADE565"/>
      <c r="ADF565"/>
      <c r="ADG565"/>
      <c r="ADH565"/>
      <c r="ADI565"/>
      <c r="ADJ565"/>
      <c r="ADK565"/>
      <c r="ADL565"/>
      <c r="ADM565"/>
      <c r="ADN565"/>
      <c r="ADO565"/>
      <c r="ADP565"/>
      <c r="ADQ565"/>
      <c r="ADR565"/>
      <c r="ADS565"/>
      <c r="ADT565"/>
      <c r="ADU565"/>
      <c r="ADV565"/>
      <c r="ADW565"/>
      <c r="ADX565"/>
      <c r="ADY565"/>
      <c r="ADZ565"/>
      <c r="AEA565"/>
      <c r="AEB565"/>
      <c r="AEC565"/>
      <c r="AED565"/>
      <c r="AEE565"/>
      <c r="AEF565"/>
      <c r="AEG565"/>
      <c r="AEH565"/>
      <c r="AEI565"/>
      <c r="AEJ565"/>
      <c r="AEK565"/>
      <c r="AEL565"/>
      <c r="AEM565"/>
      <c r="AEN565"/>
      <c r="AEO565"/>
      <c r="AEP565"/>
      <c r="AEQ565"/>
      <c r="AER565"/>
      <c r="AES565"/>
      <c r="AET565"/>
      <c r="AEU565"/>
      <c r="AEV565"/>
      <c r="AEW565"/>
      <c r="AEX565"/>
      <c r="AEY565"/>
      <c r="AEZ565"/>
      <c r="AFA565"/>
      <c r="AFB565"/>
      <c r="AFC565"/>
      <c r="AFD565"/>
      <c r="AFE565"/>
      <c r="AFF565"/>
      <c r="AFG565"/>
      <c r="AFH565"/>
      <c r="AFI565"/>
      <c r="AFJ565"/>
      <c r="AFK565"/>
      <c r="AFL565"/>
      <c r="AFM565"/>
      <c r="AFN565"/>
      <c r="AFO565"/>
      <c r="AFP565"/>
      <c r="AFQ565"/>
      <c r="AFR565"/>
      <c r="AFS565"/>
      <c r="AFT565"/>
      <c r="AFU565"/>
      <c r="AFV565"/>
      <c r="AFW565"/>
      <c r="AFX565"/>
      <c r="AFY565"/>
      <c r="AFZ565"/>
      <c r="AGA565"/>
      <c r="AGB565"/>
      <c r="AGC565"/>
      <c r="AGD565"/>
      <c r="AGE565"/>
      <c r="AGF565"/>
      <c r="AGG565"/>
      <c r="AGH565"/>
      <c r="AGI565"/>
      <c r="AGJ565"/>
      <c r="AGK565"/>
      <c r="AGL565"/>
      <c r="AGM565"/>
      <c r="AGN565"/>
      <c r="AGO565"/>
      <c r="AGP565"/>
      <c r="AGQ565"/>
      <c r="AGR565"/>
      <c r="AGS565"/>
      <c r="AGT565"/>
      <c r="AGU565"/>
      <c r="AGV565"/>
      <c r="AGW565"/>
      <c r="AGX565"/>
      <c r="AGY565"/>
      <c r="AGZ565"/>
      <c r="AHA565"/>
      <c r="AHB565"/>
      <c r="AHC565"/>
      <c r="AHD565"/>
      <c r="AHE565"/>
      <c r="AHF565"/>
      <c r="AHG565"/>
      <c r="AHH565"/>
      <c r="AHI565"/>
      <c r="AHJ565"/>
      <c r="AHK565"/>
      <c r="AHL565"/>
      <c r="AHM565"/>
      <c r="AHN565"/>
      <c r="AHO565"/>
      <c r="AHP565"/>
      <c r="AHQ565"/>
      <c r="AHR565"/>
      <c r="AHS565"/>
      <c r="AHT565"/>
      <c r="AHU565"/>
      <c r="AHV565"/>
      <c r="AHW565"/>
      <c r="AHX565"/>
      <c r="AHY565"/>
      <c r="AHZ565"/>
      <c r="AIA565"/>
      <c r="AIB565"/>
      <c r="AIC565"/>
      <c r="AID565"/>
      <c r="AIE565"/>
      <c r="AIF565"/>
      <c r="AIG565"/>
      <c r="AIH565"/>
      <c r="AII565"/>
      <c r="AIJ565"/>
      <c r="AIK565"/>
      <c r="AIL565"/>
      <c r="AIM565"/>
      <c r="AIN565"/>
      <c r="AIO565"/>
      <c r="AIP565"/>
      <c r="AIQ565"/>
      <c r="AIR565"/>
      <c r="AIS565"/>
      <c r="AIT565"/>
      <c r="AIU565"/>
      <c r="AIV565"/>
      <c r="AIW565"/>
      <c r="AIX565"/>
      <c r="AIY565"/>
      <c r="AIZ565"/>
      <c r="AJA565"/>
      <c r="AJB565"/>
      <c r="AJC565"/>
      <c r="AJD565"/>
      <c r="AJE565"/>
      <c r="AJF565"/>
      <c r="AJG565"/>
      <c r="AJH565"/>
      <c r="AJI565"/>
      <c r="AJJ565"/>
      <c r="AJK565"/>
      <c r="AJL565"/>
      <c r="AJM565"/>
      <c r="AJN565"/>
      <c r="AJO565"/>
      <c r="AJP565"/>
      <c r="AJQ565"/>
      <c r="AJR565"/>
      <c r="AJS565"/>
      <c r="AJT565"/>
      <c r="AJU565"/>
      <c r="AJV565"/>
      <c r="AJW565"/>
      <c r="AJX565"/>
      <c r="AJY565"/>
      <c r="AJZ565"/>
      <c r="AKA565"/>
      <c r="AKB565"/>
      <c r="AKC565"/>
      <c r="AKD565"/>
      <c r="AKE565"/>
      <c r="AKF565"/>
      <c r="AKG565"/>
      <c r="AKH565"/>
      <c r="AKI565"/>
      <c r="AKJ565"/>
      <c r="AKK565"/>
      <c r="AKL565"/>
      <c r="AKM565"/>
      <c r="AKN565"/>
      <c r="AKO565"/>
      <c r="AKP565"/>
      <c r="AKQ565"/>
      <c r="AKR565"/>
      <c r="AKS565"/>
      <c r="AKT565"/>
      <c r="AKU565"/>
      <c r="AKV565"/>
      <c r="AKW565"/>
      <c r="AKX565"/>
      <c r="AKY565"/>
      <c r="AKZ565"/>
      <c r="ALA565"/>
      <c r="ALB565"/>
      <c r="ALC565"/>
      <c r="ALD565"/>
      <c r="ALE565"/>
      <c r="ALF565"/>
      <c r="ALG565"/>
      <c r="ALH565"/>
      <c r="ALI565"/>
      <c r="ALJ565"/>
      <c r="ALK565"/>
      <c r="ALL565"/>
      <c r="ALM565"/>
      <c r="ALN565"/>
      <c r="ALO565"/>
      <c r="ALP565"/>
      <c r="ALQ565"/>
      <c r="ALR565"/>
      <c r="ALS565"/>
      <c r="ALT565"/>
      <c r="ALU565"/>
      <c r="ALV565"/>
      <c r="ALW565"/>
      <c r="ALX565"/>
      <c r="ALY565"/>
      <c r="ALZ565"/>
      <c r="AMA565"/>
      <c r="AMB565"/>
      <c r="AMC565"/>
      <c r="AMD565"/>
      <c r="AME565"/>
    </row>
    <row r="566" spans="1:1019">
      <c r="A566" s="547" t="s">
        <v>1494</v>
      </c>
      <c r="B566" s="282"/>
      <c r="C566" s="282" t="s">
        <v>363</v>
      </c>
      <c r="D566" s="282"/>
      <c r="E566" s="286">
        <f t="shared" si="59"/>
        <v>5</v>
      </c>
      <c r="F566" s="277" t="s">
        <v>1495</v>
      </c>
      <c r="G566" s="282">
        <v>0.1</v>
      </c>
      <c r="H566" s="282">
        <v>10</v>
      </c>
      <c r="I566" s="282"/>
      <c r="J566" s="282"/>
      <c r="K566" s="201">
        <v>4351.05</v>
      </c>
      <c r="L566" s="201">
        <v>375</v>
      </c>
      <c r="M566" s="201"/>
      <c r="N566" s="195">
        <f>+K566+L566+M566</f>
        <v>4726.05</v>
      </c>
      <c r="O566" s="303">
        <v>13817</v>
      </c>
      <c r="P566" s="304">
        <v>2700</v>
      </c>
      <c r="Q566" s="304">
        <v>300</v>
      </c>
      <c r="R566" s="305"/>
      <c r="S566" s="306"/>
      <c r="T566" s="306"/>
      <c r="U566" s="9"/>
      <c r="V566" s="9"/>
      <c r="W566" s="291">
        <v>0</v>
      </c>
      <c r="X566" s="290">
        <f>4200+526.05</f>
        <v>4726.05</v>
      </c>
      <c r="Y566" s="290">
        <v>3673.95</v>
      </c>
      <c r="Z566" s="291"/>
      <c r="AA566" s="291"/>
      <c r="AB566" s="291"/>
      <c r="AC566" s="291"/>
      <c r="AD566" s="290"/>
      <c r="AE566" s="291"/>
      <c r="AF566" s="291"/>
      <c r="AG566" s="291"/>
      <c r="AH566" s="291">
        <v>0</v>
      </c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/>
      <c r="ABC566"/>
      <c r="ABD566"/>
      <c r="ABE566"/>
      <c r="ABF566"/>
      <c r="ABG566"/>
      <c r="ABH566"/>
      <c r="ABI566"/>
      <c r="ABJ566"/>
      <c r="ABK566"/>
      <c r="ABL566"/>
      <c r="ABM566"/>
      <c r="ABN566"/>
      <c r="ABO566"/>
      <c r="ABP566"/>
      <c r="ABQ566"/>
      <c r="ABR566"/>
      <c r="ABS566"/>
      <c r="ABT566"/>
      <c r="ABU566"/>
      <c r="ABV566"/>
      <c r="ABW566"/>
      <c r="ABX566"/>
      <c r="ABY566"/>
      <c r="ABZ566"/>
      <c r="ACA566"/>
      <c r="ACB566"/>
      <c r="ACC566"/>
      <c r="ACD566"/>
      <c r="ACE566"/>
      <c r="ACF566"/>
      <c r="ACG566"/>
      <c r="ACH566"/>
      <c r="ACI566"/>
      <c r="ACJ566"/>
      <c r="ACK566"/>
      <c r="ACL566"/>
      <c r="ACM566"/>
      <c r="ACN566"/>
      <c r="ACO566"/>
      <c r="ACP566"/>
      <c r="ACQ566"/>
      <c r="ACR566"/>
      <c r="ACS566"/>
      <c r="ACT566"/>
      <c r="ACU566"/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/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/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/>
      <c r="AGZ566"/>
      <c r="AHA566"/>
      <c r="AHB566"/>
      <c r="AHC566"/>
      <c r="AHD566"/>
      <c r="AHE566"/>
      <c r="AHF566"/>
      <c r="AHG566"/>
      <c r="AHH566"/>
      <c r="AHI566"/>
      <c r="AHJ566"/>
      <c r="AHK566"/>
      <c r="AHL566"/>
      <c r="AHM566"/>
      <c r="AHN566"/>
      <c r="AHO566"/>
      <c r="AHP566"/>
      <c r="AHQ566"/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/>
      <c r="AIJ566"/>
      <c r="AIK566"/>
      <c r="AIL566"/>
      <c r="AIM566"/>
      <c r="AIN566"/>
      <c r="AIO566"/>
      <c r="AIP566"/>
      <c r="AIQ566"/>
      <c r="AIR566"/>
      <c r="AIS566"/>
      <c r="AIT566"/>
      <c r="AIU566"/>
      <c r="AIV566"/>
      <c r="AIW566"/>
      <c r="AIX566"/>
      <c r="AIY566"/>
      <c r="AIZ566"/>
      <c r="AJA566"/>
      <c r="AJB566"/>
      <c r="AJC566"/>
      <c r="AJD566"/>
      <c r="AJE566"/>
      <c r="AJF566"/>
      <c r="AJG566"/>
      <c r="AJH566"/>
      <c r="AJI566"/>
      <c r="AJJ566"/>
      <c r="AJK566"/>
      <c r="AJL566"/>
      <c r="AJM566"/>
      <c r="AJN566"/>
      <c r="AJO566"/>
      <c r="AJP566"/>
      <c r="AJQ566"/>
      <c r="AJR566"/>
      <c r="AJS566"/>
      <c r="AJT566"/>
      <c r="AJU566"/>
      <c r="AJV566"/>
      <c r="AJW566"/>
      <c r="AJX566"/>
      <c r="AJY566"/>
      <c r="AJZ566"/>
      <c r="AKA566"/>
      <c r="AKB566"/>
      <c r="AKC566"/>
      <c r="AKD566"/>
      <c r="AKE566"/>
      <c r="AKF566"/>
      <c r="AKG566"/>
      <c r="AKH566"/>
      <c r="AKI566"/>
      <c r="AKJ566"/>
      <c r="AKK566"/>
      <c r="AKL566"/>
      <c r="AKM566"/>
      <c r="AKN566"/>
      <c r="AKO566"/>
      <c r="AKP566"/>
      <c r="AKQ566"/>
      <c r="AKR566"/>
      <c r="AKS566"/>
      <c r="AKT566"/>
      <c r="AKU566"/>
      <c r="AKV566"/>
      <c r="AKW566"/>
      <c r="AKX566"/>
      <c r="AKY566"/>
      <c r="AKZ566"/>
      <c r="ALA566"/>
      <c r="ALB566"/>
      <c r="ALC566"/>
      <c r="ALD566"/>
      <c r="ALE566"/>
      <c r="ALF566"/>
      <c r="ALG566"/>
      <c r="ALH566"/>
      <c r="ALI566"/>
      <c r="ALJ566"/>
      <c r="ALK566"/>
      <c r="ALL566"/>
      <c r="ALM566"/>
      <c r="ALN566"/>
      <c r="ALO566"/>
      <c r="ALP566"/>
      <c r="ALQ566"/>
      <c r="ALR566"/>
      <c r="ALS566"/>
      <c r="ALT566"/>
      <c r="ALU566"/>
      <c r="ALV566"/>
      <c r="ALW566"/>
      <c r="ALX566"/>
      <c r="ALY566"/>
      <c r="ALZ566"/>
      <c r="AMA566"/>
      <c r="AMB566"/>
      <c r="AMC566"/>
      <c r="AMD566"/>
      <c r="AME566" s="151"/>
    </row>
    <row r="567" spans="1:1019" ht="15" customHeight="1">
      <c r="A567" s="547" t="s">
        <v>1496</v>
      </c>
      <c r="B567" s="282"/>
      <c r="C567" s="282" t="s">
        <v>420</v>
      </c>
      <c r="D567" s="282"/>
      <c r="E567" s="286">
        <f t="shared" si="59"/>
        <v>6</v>
      </c>
      <c r="F567" s="277" t="s">
        <v>1497</v>
      </c>
      <c r="G567" s="282"/>
      <c r="H567" s="282">
        <v>0.15</v>
      </c>
      <c r="I567" s="282"/>
      <c r="J567" s="282">
        <v>3735.75</v>
      </c>
      <c r="K567" s="201"/>
      <c r="L567" s="201">
        <v>1710</v>
      </c>
      <c r="M567" s="406"/>
      <c r="N567" s="195">
        <f>+J567+K567+L567</f>
        <v>5445.75</v>
      </c>
      <c r="O567" s="303">
        <v>13727</v>
      </c>
      <c r="P567" s="304">
        <v>0</v>
      </c>
      <c r="Q567" s="304">
        <v>300</v>
      </c>
      <c r="R567" s="329">
        <v>2992</v>
      </c>
      <c r="S567" s="306">
        <v>4190</v>
      </c>
      <c r="T567" s="330"/>
      <c r="U567" s="577">
        <v>370</v>
      </c>
      <c r="V567" s="6"/>
      <c r="W567" s="291">
        <v>3735.75</v>
      </c>
      <c r="X567" s="291">
        <f>1710+3735.75</f>
        <v>5445.75</v>
      </c>
      <c r="Y567" s="291">
        <f>1710+3735.75</f>
        <v>5445.75</v>
      </c>
      <c r="Z567" s="291">
        <v>1710</v>
      </c>
      <c r="AA567" s="291"/>
      <c r="AB567" s="291"/>
      <c r="AC567" s="291"/>
      <c r="AD567" s="291"/>
      <c r="AE567" s="291"/>
      <c r="AF567" s="291"/>
      <c r="AG567" s="291"/>
      <c r="AH567" s="291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/>
      <c r="XX567"/>
      <c r="XY567"/>
      <c r="XZ567"/>
      <c r="YA567"/>
      <c r="YB567"/>
      <c r="YC567"/>
      <c r="YD567"/>
      <c r="YE567"/>
      <c r="YF567"/>
      <c r="YG567"/>
      <c r="YH567"/>
      <c r="YI567"/>
      <c r="YJ567"/>
      <c r="YK567"/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/>
      <c r="ZI567"/>
      <c r="ZJ567"/>
      <c r="ZK567"/>
      <c r="ZL567"/>
      <c r="ZM567"/>
      <c r="ZN567"/>
      <c r="ZO567"/>
      <c r="ZP567"/>
      <c r="ZQ567"/>
      <c r="ZR567"/>
      <c r="ZS567"/>
      <c r="ZT567"/>
      <c r="ZU567"/>
      <c r="ZV567"/>
      <c r="ZW567"/>
      <c r="ZX567"/>
      <c r="ZY567"/>
      <c r="ZZ567"/>
      <c r="AAA567"/>
      <c r="AAB567"/>
      <c r="AAC567"/>
      <c r="AAD567"/>
      <c r="AAE567"/>
      <c r="AAF567"/>
      <c r="AAG567"/>
      <c r="AAH567"/>
      <c r="AAI567"/>
      <c r="AAJ567"/>
      <c r="AAK567"/>
      <c r="AAL567"/>
      <c r="AAM567"/>
      <c r="AAN567"/>
      <c r="AAO567"/>
      <c r="AAP567"/>
      <c r="AAQ567"/>
      <c r="AAR567"/>
      <c r="AAS567"/>
      <c r="AAT567"/>
      <c r="AAU567"/>
      <c r="AAV567"/>
      <c r="AAW567"/>
      <c r="AAX567"/>
      <c r="AAY567"/>
      <c r="AAZ567"/>
      <c r="ABA567"/>
      <c r="ABB567"/>
      <c r="ABC567"/>
      <c r="ABD567"/>
      <c r="ABE567"/>
      <c r="ABF567"/>
      <c r="ABG567"/>
      <c r="ABH567"/>
      <c r="ABI567"/>
      <c r="ABJ567"/>
      <c r="ABK567"/>
      <c r="ABL567"/>
      <c r="ABM567"/>
      <c r="ABN567"/>
      <c r="ABO567"/>
      <c r="ABP567"/>
      <c r="ABQ567"/>
      <c r="ABR567"/>
      <c r="ABS567"/>
      <c r="ABT567"/>
      <c r="ABU567"/>
      <c r="ABV567"/>
      <c r="ABW567"/>
      <c r="ABX567"/>
      <c r="ABY567"/>
      <c r="ABZ567"/>
      <c r="ACA567"/>
      <c r="ACB567"/>
      <c r="ACC567"/>
      <c r="ACD567"/>
      <c r="ACE567"/>
      <c r="ACF567"/>
      <c r="ACG567"/>
      <c r="ACH567"/>
      <c r="ACI567"/>
      <c r="ACJ567"/>
      <c r="ACK567"/>
      <c r="ACL567"/>
      <c r="ACM567"/>
      <c r="ACN567"/>
      <c r="ACO567"/>
      <c r="ACP567"/>
      <c r="ACQ567"/>
      <c r="ACR567"/>
      <c r="ACS567"/>
      <c r="ACT567"/>
      <c r="ACU567"/>
      <c r="ACV567"/>
      <c r="ACW567"/>
      <c r="ACX567"/>
      <c r="ACY567"/>
      <c r="ACZ567"/>
      <c r="ADA567"/>
      <c r="ADB567"/>
      <c r="ADC567"/>
      <c r="ADD567"/>
      <c r="ADE567"/>
      <c r="ADF567"/>
      <c r="ADG567"/>
      <c r="ADH567"/>
      <c r="ADI567"/>
      <c r="ADJ567"/>
      <c r="ADK567"/>
      <c r="ADL567"/>
      <c r="ADM567"/>
      <c r="ADN567"/>
      <c r="ADO567"/>
      <c r="ADP567"/>
      <c r="ADQ567"/>
      <c r="ADR567"/>
      <c r="ADS567"/>
      <c r="ADT567"/>
      <c r="ADU567"/>
      <c r="ADV567"/>
      <c r="ADW567"/>
      <c r="ADX567"/>
      <c r="ADY567"/>
      <c r="ADZ567"/>
      <c r="AEA567"/>
      <c r="AEB567"/>
      <c r="AEC567"/>
      <c r="AED567"/>
      <c r="AEE567"/>
      <c r="AEF567"/>
      <c r="AEG567"/>
      <c r="AEH567"/>
      <c r="AEI567"/>
      <c r="AEJ567"/>
      <c r="AEK567"/>
      <c r="AEL567"/>
      <c r="AEM567"/>
      <c r="AEN567"/>
      <c r="AEO567"/>
      <c r="AEP567"/>
      <c r="AEQ567"/>
      <c r="AER567"/>
      <c r="AES567"/>
      <c r="AET567"/>
      <c r="AEU567"/>
      <c r="AEV567"/>
      <c r="AEW567"/>
      <c r="AEX567"/>
      <c r="AEY567"/>
      <c r="AEZ567"/>
      <c r="AFA567"/>
      <c r="AFB567"/>
      <c r="AFC567"/>
      <c r="AFD567"/>
      <c r="AFE567"/>
      <c r="AFF567"/>
      <c r="AFG567"/>
      <c r="AFH567"/>
      <c r="AFI567"/>
      <c r="AFJ567"/>
      <c r="AFK567"/>
      <c r="AFL567"/>
      <c r="AFM567"/>
      <c r="AFN567"/>
      <c r="AFO567"/>
      <c r="AFP567"/>
      <c r="AFQ567"/>
      <c r="AFR567"/>
      <c r="AFS567"/>
      <c r="AFT567"/>
      <c r="AFU567"/>
      <c r="AFV567"/>
      <c r="AFW567"/>
      <c r="AFX567"/>
      <c r="AFY567"/>
      <c r="AFZ567"/>
      <c r="AGA567"/>
      <c r="AGB567"/>
      <c r="AGC567"/>
      <c r="AGD567"/>
      <c r="AGE567"/>
      <c r="AGF567"/>
      <c r="AGG567"/>
      <c r="AGH567"/>
      <c r="AGI567"/>
      <c r="AGJ567"/>
      <c r="AGK567"/>
      <c r="AGL567"/>
      <c r="AGM567"/>
      <c r="AGN567"/>
      <c r="AGO567"/>
      <c r="AGP567"/>
      <c r="AGQ567"/>
      <c r="AGR567"/>
      <c r="AGS567"/>
      <c r="AGT567"/>
      <c r="AGU567"/>
      <c r="AGV567"/>
      <c r="AGW567"/>
      <c r="AGX567"/>
      <c r="AGY567"/>
      <c r="AGZ567"/>
      <c r="AHA567"/>
      <c r="AHB567"/>
      <c r="AHC567"/>
      <c r="AHD567"/>
      <c r="AHE567"/>
      <c r="AHF567"/>
      <c r="AHG567"/>
      <c r="AHH567"/>
      <c r="AHI567"/>
      <c r="AHJ567"/>
      <c r="AHK567"/>
      <c r="AHL567"/>
      <c r="AHM567"/>
      <c r="AHN567"/>
      <c r="AHO567"/>
      <c r="AHP567"/>
      <c r="AHQ567"/>
      <c r="AHR567"/>
      <c r="AHS567"/>
      <c r="AHT567"/>
      <c r="AHU567"/>
      <c r="AHV567"/>
      <c r="AHW567"/>
      <c r="AHX567"/>
      <c r="AHY567"/>
      <c r="AHZ567"/>
      <c r="AIA567"/>
      <c r="AIB567"/>
      <c r="AIC567"/>
      <c r="AID567"/>
      <c r="AIE567"/>
      <c r="AIF567"/>
      <c r="AIG567"/>
      <c r="AIH567"/>
      <c r="AII567"/>
      <c r="AIJ567"/>
      <c r="AIK567"/>
      <c r="AIL567"/>
      <c r="AIM567"/>
      <c r="AIN567"/>
      <c r="AIO567"/>
      <c r="AIP567"/>
      <c r="AIQ567"/>
      <c r="AIR567"/>
      <c r="AIS567"/>
      <c r="AIT567"/>
      <c r="AIU567"/>
      <c r="AIV567"/>
      <c r="AIW567"/>
      <c r="AIX567"/>
      <c r="AIY567"/>
      <c r="AIZ567"/>
      <c r="AJA567"/>
      <c r="AJB567"/>
      <c r="AJC567"/>
      <c r="AJD567"/>
      <c r="AJE567"/>
      <c r="AJF567"/>
      <c r="AJG567"/>
      <c r="AJH567"/>
      <c r="AJI567"/>
      <c r="AJJ567"/>
      <c r="AJK567"/>
      <c r="AJL567"/>
      <c r="AJM567"/>
      <c r="AJN567"/>
      <c r="AJO567"/>
      <c r="AJP567"/>
      <c r="AJQ567"/>
      <c r="AJR567"/>
      <c r="AJS567"/>
      <c r="AJT567"/>
      <c r="AJU567"/>
      <c r="AJV567"/>
      <c r="AJW567"/>
      <c r="AJX567"/>
      <c r="AJY567"/>
      <c r="AJZ567"/>
      <c r="AKA567"/>
      <c r="AKB567"/>
      <c r="AKC567"/>
      <c r="AKD567"/>
      <c r="AKE567"/>
      <c r="AKF567"/>
      <c r="AKG567"/>
      <c r="AKH567"/>
      <c r="AKI567"/>
      <c r="AKJ567"/>
      <c r="AKK567"/>
      <c r="AKL567"/>
      <c r="AKM567"/>
      <c r="AKN567"/>
      <c r="AKO567"/>
      <c r="AKP567"/>
      <c r="AKQ567"/>
      <c r="AKR567"/>
      <c r="AKS567"/>
      <c r="AKT567"/>
      <c r="AKU567"/>
      <c r="AKV567"/>
      <c r="AKW567"/>
      <c r="AKX567"/>
      <c r="AKY567"/>
      <c r="AKZ567"/>
      <c r="ALA567"/>
      <c r="ALB567"/>
      <c r="ALC567"/>
      <c r="ALD567"/>
      <c r="ALE567"/>
      <c r="ALF567"/>
      <c r="ALG567"/>
      <c r="ALH567"/>
      <c r="ALI567"/>
      <c r="ALJ567"/>
      <c r="ALK567"/>
      <c r="ALL567"/>
      <c r="ALM567"/>
      <c r="ALN567"/>
      <c r="ALO567"/>
      <c r="ALP567"/>
      <c r="ALQ567"/>
      <c r="ALR567"/>
      <c r="ALS567"/>
      <c r="ALT567"/>
      <c r="ALU567"/>
      <c r="ALV567"/>
      <c r="ALW567"/>
      <c r="ALX567"/>
      <c r="ALY567"/>
      <c r="ALZ567"/>
      <c r="AMA567"/>
      <c r="AMB567"/>
      <c r="AMC567"/>
      <c r="AMD567"/>
    </row>
    <row r="568" spans="1:1019">
      <c r="A568" s="421" t="s">
        <v>1498</v>
      </c>
      <c r="B568" s="282"/>
      <c r="C568" s="282"/>
      <c r="D568" s="282"/>
      <c r="E568" s="286">
        <f t="shared" si="59"/>
        <v>7</v>
      </c>
      <c r="F568" s="277" t="s">
        <v>1499</v>
      </c>
      <c r="G568" s="282">
        <v>0.15</v>
      </c>
      <c r="H568" s="282">
        <v>10</v>
      </c>
      <c r="I568" s="282"/>
      <c r="J568" s="282"/>
      <c r="K568" s="201">
        <v>4109.33</v>
      </c>
      <c r="L568" s="201"/>
      <c r="M568" s="406"/>
      <c r="N568" s="195">
        <f>+K568+L568+M568</f>
        <v>4109.33</v>
      </c>
      <c r="O568" s="303">
        <v>13411</v>
      </c>
      <c r="P568" s="304">
        <v>1920</v>
      </c>
      <c r="Q568" s="304">
        <v>300</v>
      </c>
      <c r="R568" s="305">
        <v>2909</v>
      </c>
      <c r="S568" s="306">
        <v>4190</v>
      </c>
      <c r="T568" s="306"/>
      <c r="U568" s="9">
        <v>370</v>
      </c>
      <c r="V568" s="9">
        <v>370</v>
      </c>
      <c r="W568" s="291">
        <v>0</v>
      </c>
      <c r="X568" s="291">
        <v>4109.33</v>
      </c>
      <c r="Y568" s="291">
        <v>4109.33</v>
      </c>
      <c r="Z568" s="291">
        <f>3923.85+185.48</f>
        <v>4109.33</v>
      </c>
      <c r="AA568" s="291"/>
      <c r="AB568" s="291"/>
      <c r="AC568" s="291"/>
      <c r="AD568" s="291"/>
      <c r="AE568" s="291"/>
      <c r="AF568" s="291"/>
      <c r="AG568" s="291"/>
      <c r="AH568" s="291">
        <v>0</v>
      </c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/>
      <c r="ABC568"/>
      <c r="ABD568"/>
      <c r="ABE568"/>
      <c r="ABF568"/>
      <c r="ABG568"/>
      <c r="ABH568"/>
      <c r="ABI568"/>
      <c r="ABJ568"/>
      <c r="ABK568"/>
      <c r="ABL568"/>
      <c r="ABM568"/>
      <c r="ABN568"/>
      <c r="ABO568"/>
      <c r="ABP568"/>
      <c r="ABQ568"/>
      <c r="ABR568"/>
      <c r="ABS568"/>
      <c r="ABT568"/>
      <c r="ABU568"/>
      <c r="ABV568"/>
      <c r="ABW568"/>
      <c r="ABX568"/>
      <c r="ABY568"/>
      <c r="ABZ568"/>
      <c r="ACA568"/>
      <c r="ACB568"/>
      <c r="ACC568"/>
      <c r="ACD568"/>
      <c r="ACE568"/>
      <c r="ACF568"/>
      <c r="ACG568"/>
      <c r="ACH568"/>
      <c r="ACI568"/>
      <c r="ACJ568"/>
      <c r="ACK568"/>
      <c r="ACL568"/>
      <c r="ACM568"/>
      <c r="ACN568"/>
      <c r="ACO568"/>
      <c r="ACP568"/>
      <c r="ACQ568"/>
      <c r="ACR568"/>
      <c r="ACS568"/>
      <c r="ACT568"/>
      <c r="ACU568"/>
      <c r="ACV568"/>
      <c r="ACW568"/>
      <c r="ACX568"/>
      <c r="ACY568"/>
      <c r="ACZ568"/>
      <c r="ADA568"/>
      <c r="ADB568"/>
      <c r="ADC568"/>
      <c r="ADD568"/>
      <c r="ADE568"/>
      <c r="ADF568"/>
      <c r="ADG568"/>
      <c r="ADH568"/>
      <c r="ADI568"/>
      <c r="ADJ568"/>
      <c r="ADK568"/>
      <c r="ADL568"/>
      <c r="ADM568"/>
      <c r="ADN568"/>
      <c r="ADO568"/>
      <c r="ADP568"/>
      <c r="ADQ568"/>
      <c r="ADR568"/>
      <c r="ADS568"/>
      <c r="ADT568"/>
      <c r="ADU568"/>
      <c r="ADV568"/>
      <c r="ADW568"/>
      <c r="ADX568"/>
      <c r="ADY568"/>
      <c r="ADZ568"/>
      <c r="AEA568"/>
      <c r="AEB568"/>
      <c r="AEC568"/>
      <c r="AED568"/>
      <c r="AEE568"/>
      <c r="AEF568"/>
      <c r="AEG568"/>
      <c r="AEH568"/>
      <c r="AEI568"/>
      <c r="AEJ568"/>
      <c r="AEK568"/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/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/>
      <c r="AIM568"/>
      <c r="AIN568"/>
      <c r="AIO568"/>
      <c r="AIP568"/>
      <c r="AIQ568"/>
      <c r="AIR568"/>
      <c r="AIS568"/>
      <c r="AIT568"/>
      <c r="AIU568"/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/>
      <c r="AJZ568"/>
      <c r="AKA568"/>
      <c r="AKB568"/>
      <c r="AKC568"/>
      <c r="AKD568"/>
      <c r="AKE568"/>
      <c r="AKF568"/>
      <c r="AKG568"/>
      <c r="AKH568"/>
      <c r="AKI568"/>
      <c r="AKJ568"/>
      <c r="AKK568"/>
      <c r="AKL568"/>
      <c r="AKM568"/>
      <c r="AKN568"/>
      <c r="AKO568"/>
      <c r="AKP568"/>
      <c r="AKQ568"/>
      <c r="AKR568"/>
      <c r="AKS568"/>
      <c r="AKT568"/>
      <c r="AKU568"/>
      <c r="AKV568"/>
      <c r="AKW568"/>
      <c r="AKX568"/>
      <c r="AKY568"/>
      <c r="AKZ568"/>
      <c r="ALA568"/>
      <c r="ALB568"/>
      <c r="ALC568"/>
      <c r="ALD568"/>
      <c r="ALE568"/>
      <c r="ALF568"/>
      <c r="ALG568"/>
      <c r="ALH568"/>
      <c r="ALI568"/>
      <c r="ALJ568"/>
      <c r="ALK568"/>
      <c r="ALL568"/>
      <c r="ALM568"/>
      <c r="ALN568"/>
      <c r="ALO568"/>
      <c r="ALP568"/>
      <c r="ALQ568"/>
      <c r="ALR568"/>
      <c r="ALS568"/>
      <c r="ALT568"/>
      <c r="ALU568"/>
      <c r="ALV568"/>
      <c r="ALW568"/>
      <c r="ALX568"/>
      <c r="ALY568"/>
      <c r="ALZ568"/>
      <c r="AMA568"/>
      <c r="AMB568"/>
      <c r="AMC568"/>
      <c r="AMD568"/>
    </row>
    <row r="569" spans="1:1019">
      <c r="A569" s="530" t="s">
        <v>331</v>
      </c>
      <c r="B569" s="282"/>
      <c r="C569" s="282" t="s">
        <v>359</v>
      </c>
      <c r="D569" s="282"/>
      <c r="E569" s="286">
        <f t="shared" si="59"/>
        <v>8</v>
      </c>
      <c r="F569" s="277" t="s">
        <v>1500</v>
      </c>
      <c r="G569" s="282">
        <f>0.15+0.05</f>
        <v>0.2</v>
      </c>
      <c r="H569" s="282">
        <v>10</v>
      </c>
      <c r="I569" s="282"/>
      <c r="J569" s="282"/>
      <c r="K569" s="201">
        <v>4109.33</v>
      </c>
      <c r="L569" s="201">
        <v>1710</v>
      </c>
      <c r="M569" s="201"/>
      <c r="N569" s="223">
        <f>+K569+L569+M569</f>
        <v>5819.33</v>
      </c>
      <c r="O569" s="303">
        <v>13709</v>
      </c>
      <c r="P569" s="304">
        <v>2700</v>
      </c>
      <c r="Q569" s="304">
        <v>0</v>
      </c>
      <c r="R569" s="305">
        <v>2742</v>
      </c>
      <c r="S569" s="306">
        <v>4190</v>
      </c>
      <c r="T569" s="306"/>
      <c r="U569" s="9"/>
      <c r="V569" s="9"/>
      <c r="W569" s="291">
        <v>0</v>
      </c>
      <c r="X569" s="291">
        <f>3903.86+1710</f>
        <v>5613.8600000000006</v>
      </c>
      <c r="Y569" s="291">
        <v>3903.86</v>
      </c>
      <c r="Z569" s="291">
        <v>3903.86</v>
      </c>
      <c r="AA569" s="291">
        <v>3903.86</v>
      </c>
      <c r="AB569" s="291">
        <v>3903.86</v>
      </c>
      <c r="AC569" s="291"/>
      <c r="AD569" s="291"/>
      <c r="AE569" s="291"/>
      <c r="AF569" s="291"/>
      <c r="AG569" s="291"/>
      <c r="AH569" s="291">
        <v>0</v>
      </c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  <c r="ZW569"/>
      <c r="ZX569"/>
      <c r="ZY569"/>
      <c r="ZZ569"/>
      <c r="AAA569"/>
      <c r="AAB569"/>
      <c r="AAC569"/>
      <c r="AAD569"/>
      <c r="AAE569"/>
      <c r="AAF569"/>
      <c r="AAG569"/>
      <c r="AAH569"/>
      <c r="AAI569"/>
      <c r="AAJ569"/>
      <c r="AAK569"/>
      <c r="AAL569"/>
      <c r="AAM569"/>
      <c r="AAN569"/>
      <c r="AAO569"/>
      <c r="AAP569"/>
      <c r="AAQ569"/>
      <c r="AAR569"/>
      <c r="AAS569"/>
      <c r="AAT569"/>
      <c r="AAU569"/>
      <c r="AAV569"/>
      <c r="AAW569"/>
      <c r="AAX569"/>
      <c r="AAY569"/>
      <c r="AAZ569"/>
      <c r="ABA569"/>
      <c r="ABB569"/>
      <c r="ABC569"/>
      <c r="ABD569"/>
      <c r="ABE569"/>
      <c r="ABF569"/>
      <c r="ABG569"/>
      <c r="ABH569"/>
      <c r="ABI569"/>
      <c r="ABJ569"/>
      <c r="ABK569"/>
      <c r="ABL569"/>
      <c r="ABM569"/>
      <c r="ABN569"/>
      <c r="ABO569"/>
      <c r="ABP569"/>
      <c r="ABQ569"/>
      <c r="ABR569"/>
      <c r="ABS569"/>
      <c r="ABT569"/>
      <c r="ABU569"/>
      <c r="ABV569"/>
      <c r="ABW569"/>
      <c r="ABX569"/>
      <c r="ABY569"/>
      <c r="ABZ569"/>
      <c r="ACA569"/>
      <c r="ACB569"/>
      <c r="ACC569"/>
      <c r="ACD569"/>
      <c r="ACE569"/>
      <c r="ACF569"/>
      <c r="ACG569"/>
      <c r="ACH569"/>
      <c r="ACI569"/>
      <c r="ACJ569"/>
      <c r="ACK569"/>
      <c r="ACL569"/>
      <c r="ACM569"/>
      <c r="ACN569"/>
      <c r="ACO569"/>
      <c r="ACP569"/>
      <c r="ACQ569"/>
      <c r="ACR569"/>
      <c r="ACS569"/>
      <c r="ACT569"/>
      <c r="ACU569"/>
      <c r="ACV569"/>
      <c r="ACW569"/>
      <c r="ACX569"/>
      <c r="ACY569"/>
      <c r="ACZ569"/>
      <c r="ADA569"/>
      <c r="ADB569"/>
      <c r="ADC569"/>
      <c r="ADD569"/>
      <c r="ADE569"/>
      <c r="ADF569"/>
      <c r="ADG569"/>
      <c r="ADH569"/>
      <c r="ADI569"/>
      <c r="ADJ569"/>
      <c r="ADK569"/>
      <c r="ADL569"/>
      <c r="ADM569"/>
      <c r="ADN569"/>
      <c r="ADO569"/>
      <c r="ADP569"/>
      <c r="ADQ569"/>
      <c r="ADR569"/>
      <c r="ADS569"/>
      <c r="ADT569"/>
      <c r="ADU569"/>
      <c r="ADV569"/>
      <c r="ADW569"/>
      <c r="ADX569"/>
      <c r="ADY569"/>
      <c r="ADZ569"/>
      <c r="AEA569"/>
      <c r="AEB569"/>
      <c r="AEC569"/>
      <c r="AED569"/>
      <c r="AEE569"/>
      <c r="AEF569"/>
      <c r="AEG569"/>
      <c r="AEH569"/>
      <c r="AEI569"/>
      <c r="AEJ569"/>
      <c r="AEK569"/>
      <c r="AEL569"/>
      <c r="AEM569"/>
      <c r="AEN569"/>
      <c r="AEO569"/>
      <c r="AEP569"/>
      <c r="AEQ569"/>
      <c r="AER569"/>
      <c r="AES569"/>
      <c r="AET569"/>
      <c r="AEU569"/>
      <c r="AEV569"/>
      <c r="AEW569"/>
      <c r="AEX569"/>
      <c r="AEY569"/>
      <c r="AEZ569"/>
      <c r="AFA569"/>
      <c r="AFB569"/>
      <c r="AFC569"/>
      <c r="AFD569"/>
      <c r="AFE569"/>
      <c r="AFF569"/>
      <c r="AFG569"/>
      <c r="AFH569"/>
      <c r="AFI569"/>
      <c r="AFJ569"/>
      <c r="AFK569"/>
      <c r="AFL569"/>
      <c r="AFM569"/>
      <c r="AFN569"/>
      <c r="AFO569"/>
      <c r="AFP569"/>
      <c r="AFQ569"/>
      <c r="AFR569"/>
      <c r="AFS569"/>
      <c r="AFT569"/>
      <c r="AFU569"/>
      <c r="AFV569"/>
      <c r="AFW569"/>
      <c r="AFX569"/>
      <c r="AFY569"/>
      <c r="AFZ569"/>
      <c r="AGA569"/>
      <c r="AGB569"/>
      <c r="AGC569"/>
      <c r="AGD569"/>
      <c r="AGE569"/>
      <c r="AGF569"/>
      <c r="AGG569"/>
      <c r="AGH569"/>
      <c r="AGI569"/>
      <c r="AGJ569"/>
      <c r="AGK569"/>
      <c r="AGL569"/>
      <c r="AGM569"/>
      <c r="AGN569"/>
      <c r="AGO569"/>
      <c r="AGP569"/>
      <c r="AGQ569"/>
      <c r="AGR569"/>
      <c r="AGS569"/>
      <c r="AGT569"/>
      <c r="AGU569"/>
      <c r="AGV569"/>
      <c r="AGW569"/>
      <c r="AGX569"/>
      <c r="AGY569"/>
      <c r="AGZ569"/>
      <c r="AHA569"/>
      <c r="AHB569"/>
      <c r="AHC569"/>
      <c r="AHD569"/>
      <c r="AHE569"/>
      <c r="AHF569"/>
      <c r="AHG569"/>
      <c r="AHH569"/>
      <c r="AHI569"/>
      <c r="AHJ569"/>
      <c r="AHK569"/>
      <c r="AHL569"/>
      <c r="AHM569"/>
      <c r="AHN569"/>
      <c r="AHO569"/>
      <c r="AHP569"/>
      <c r="AHQ569"/>
      <c r="AHR569"/>
      <c r="AHS569"/>
      <c r="AHT569"/>
      <c r="AHU569"/>
      <c r="AHV569"/>
      <c r="AHW569"/>
      <c r="AHX569"/>
      <c r="AHY569"/>
      <c r="AHZ569"/>
      <c r="AIA569"/>
      <c r="AIB569"/>
      <c r="AIC569"/>
      <c r="AID569"/>
      <c r="AIE569"/>
      <c r="AIF569"/>
      <c r="AIG569"/>
      <c r="AIH569"/>
      <c r="AII569"/>
      <c r="AIJ569"/>
      <c r="AIK569"/>
      <c r="AIL569"/>
      <c r="AIM569"/>
      <c r="AIN569"/>
      <c r="AIO569"/>
      <c r="AIP569"/>
      <c r="AIQ569"/>
      <c r="AIR569"/>
      <c r="AIS569"/>
      <c r="AIT569"/>
      <c r="AIU569"/>
      <c r="AIV569"/>
      <c r="AIW569"/>
      <c r="AIX569"/>
      <c r="AIY569"/>
      <c r="AIZ569"/>
      <c r="AJA569"/>
      <c r="AJB569"/>
      <c r="AJC569"/>
      <c r="AJD569"/>
      <c r="AJE569"/>
      <c r="AJF569"/>
      <c r="AJG569"/>
      <c r="AJH569"/>
      <c r="AJI569"/>
      <c r="AJJ569"/>
      <c r="AJK569"/>
      <c r="AJL569"/>
      <c r="AJM569"/>
      <c r="AJN569"/>
      <c r="AJO569"/>
      <c r="AJP569"/>
      <c r="AJQ569"/>
      <c r="AJR569"/>
      <c r="AJS569"/>
      <c r="AJT569"/>
      <c r="AJU569"/>
      <c r="AJV569"/>
      <c r="AJW569"/>
      <c r="AJX569"/>
      <c r="AJY569"/>
      <c r="AJZ569"/>
      <c r="AKA569"/>
      <c r="AKB569"/>
      <c r="AKC569"/>
      <c r="AKD569"/>
      <c r="AKE569"/>
      <c r="AKF569"/>
      <c r="AKG569"/>
      <c r="AKH569"/>
      <c r="AKI569"/>
      <c r="AKJ569"/>
      <c r="AKK569"/>
      <c r="AKL569"/>
      <c r="AKM569"/>
      <c r="AKN569"/>
      <c r="AKO569"/>
      <c r="AKP569"/>
      <c r="AKQ569"/>
      <c r="AKR569"/>
      <c r="AKS569"/>
      <c r="AKT569"/>
      <c r="AKU569"/>
      <c r="AKV569"/>
      <c r="AKW569"/>
      <c r="AKX569"/>
      <c r="AKY569"/>
      <c r="AKZ569"/>
      <c r="ALA569"/>
      <c r="ALB569"/>
      <c r="ALC569"/>
      <c r="ALD569"/>
      <c r="ALE569"/>
      <c r="ALF569"/>
      <c r="ALG569"/>
      <c r="ALH569"/>
      <c r="ALI569"/>
      <c r="ALJ569"/>
      <c r="ALK569"/>
      <c r="ALL569"/>
      <c r="ALM569"/>
      <c r="ALN569"/>
      <c r="ALO569"/>
      <c r="ALP569"/>
      <c r="ALQ569"/>
      <c r="ALR569"/>
      <c r="ALS569"/>
      <c r="ALT569"/>
      <c r="ALU569"/>
      <c r="ALV569"/>
      <c r="ALW569"/>
      <c r="ALX569"/>
      <c r="ALY569"/>
      <c r="ALZ569"/>
      <c r="AMA569"/>
      <c r="AMB569"/>
      <c r="AMC569"/>
      <c r="AMD569"/>
    </row>
    <row r="570" spans="1:1019">
      <c r="A570" s="282" t="s">
        <v>332</v>
      </c>
      <c r="B570" s="282"/>
      <c r="C570" s="282"/>
      <c r="D570" s="282"/>
      <c r="E570" s="286">
        <f t="shared" si="59"/>
        <v>9</v>
      </c>
      <c r="F570" s="277" t="s">
        <v>1501</v>
      </c>
      <c r="G570" s="282">
        <v>0.25</v>
      </c>
      <c r="H570" s="282">
        <v>10</v>
      </c>
      <c r="I570" s="282"/>
      <c r="J570" s="282"/>
      <c r="K570" s="201">
        <v>3625.88</v>
      </c>
      <c r="L570" s="201"/>
      <c r="M570" s="201"/>
      <c r="N570" s="223">
        <f>+K570+L570+M570</f>
        <v>3625.88</v>
      </c>
      <c r="O570" s="303">
        <v>13387</v>
      </c>
      <c r="P570" s="304">
        <v>1800</v>
      </c>
      <c r="Q570" s="304">
        <v>300</v>
      </c>
      <c r="R570" s="305">
        <v>2779</v>
      </c>
      <c r="S570" s="306">
        <v>4190</v>
      </c>
      <c r="T570" s="306"/>
      <c r="U570" s="9">
        <v>370</v>
      </c>
      <c r="V570" s="9"/>
      <c r="W570" s="291">
        <v>0</v>
      </c>
      <c r="X570" s="291">
        <v>3625.88</v>
      </c>
      <c r="Y570" s="291">
        <v>3625.88</v>
      </c>
      <c r="Z570" s="291">
        <v>3625.88</v>
      </c>
      <c r="AA570" s="291"/>
      <c r="AB570" s="291"/>
      <c r="AC570" s="291"/>
      <c r="AD570" s="291"/>
      <c r="AE570" s="291"/>
      <c r="AF570" s="291"/>
      <c r="AG570" s="291"/>
      <c r="AH570" s="291">
        <v>0</v>
      </c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  <c r="ZW570"/>
      <c r="ZX570"/>
      <c r="ZY570"/>
      <c r="ZZ570"/>
      <c r="AAA570"/>
      <c r="AAB570"/>
      <c r="AAC570"/>
      <c r="AAD570"/>
      <c r="AAE570"/>
      <c r="AAF570"/>
      <c r="AAG570"/>
      <c r="AAH570"/>
      <c r="AAI570"/>
      <c r="AAJ570"/>
      <c r="AAK570"/>
      <c r="AAL570"/>
      <c r="AAM570"/>
      <c r="AAN570"/>
      <c r="AAO570"/>
      <c r="AAP570"/>
      <c r="AAQ570"/>
      <c r="AAR570"/>
      <c r="AAS570"/>
      <c r="AAT570"/>
      <c r="AAU570"/>
      <c r="AAV570"/>
      <c r="AAW570"/>
      <c r="AAX570"/>
      <c r="AAY570"/>
      <c r="AAZ570"/>
      <c r="ABA570"/>
      <c r="ABB570"/>
      <c r="ABC570"/>
      <c r="ABD570"/>
      <c r="ABE570"/>
      <c r="ABF570"/>
      <c r="ABG570"/>
      <c r="ABH570"/>
      <c r="ABI570"/>
      <c r="ABJ570"/>
      <c r="ABK570"/>
      <c r="ABL570"/>
      <c r="ABM570"/>
      <c r="ABN570"/>
      <c r="ABO570"/>
      <c r="ABP570"/>
      <c r="ABQ570"/>
      <c r="ABR570"/>
      <c r="ABS570"/>
      <c r="ABT570"/>
      <c r="ABU570"/>
      <c r="ABV570"/>
      <c r="ABW570"/>
      <c r="ABX570"/>
      <c r="ABY570"/>
      <c r="ABZ570"/>
      <c r="ACA570"/>
      <c r="ACB570"/>
      <c r="ACC570"/>
      <c r="ACD570"/>
      <c r="ACE570"/>
      <c r="ACF570"/>
      <c r="ACG570"/>
      <c r="ACH570"/>
      <c r="ACI570"/>
      <c r="ACJ570"/>
      <c r="ACK570"/>
      <c r="ACL570"/>
      <c r="ACM570"/>
      <c r="ACN570"/>
      <c r="ACO570"/>
      <c r="ACP570"/>
      <c r="ACQ570"/>
      <c r="ACR570"/>
      <c r="ACS570"/>
      <c r="ACT570"/>
      <c r="ACU570"/>
      <c r="ACV570"/>
      <c r="ACW570"/>
      <c r="ACX570"/>
      <c r="ACY570"/>
      <c r="ACZ570"/>
      <c r="ADA570"/>
      <c r="ADB570"/>
      <c r="ADC570"/>
      <c r="ADD570"/>
      <c r="ADE570"/>
      <c r="ADF570"/>
      <c r="ADG570"/>
      <c r="ADH570"/>
      <c r="ADI570"/>
      <c r="ADJ570"/>
      <c r="ADK570"/>
      <c r="ADL570"/>
      <c r="ADM570"/>
      <c r="ADN570"/>
      <c r="ADO570"/>
      <c r="ADP570"/>
      <c r="ADQ570"/>
      <c r="ADR570"/>
      <c r="ADS570"/>
      <c r="ADT570"/>
      <c r="ADU570"/>
      <c r="ADV570"/>
      <c r="ADW570"/>
      <c r="ADX570"/>
      <c r="ADY570"/>
      <c r="ADZ570"/>
      <c r="AEA570"/>
      <c r="AEB570"/>
      <c r="AEC570"/>
      <c r="AED570"/>
      <c r="AEE570"/>
      <c r="AEF570"/>
      <c r="AEG570"/>
      <c r="AEH570"/>
      <c r="AEI570"/>
      <c r="AEJ570"/>
      <c r="AEK570"/>
      <c r="AEL570"/>
      <c r="AEM570"/>
      <c r="AEN570"/>
      <c r="AEO570"/>
      <c r="AEP570"/>
      <c r="AEQ570"/>
      <c r="AER570"/>
      <c r="AES570"/>
      <c r="AET570"/>
      <c r="AEU570"/>
      <c r="AEV570"/>
      <c r="AEW570"/>
      <c r="AEX570"/>
      <c r="AEY570"/>
      <c r="AEZ570"/>
      <c r="AFA570"/>
      <c r="AFB570"/>
      <c r="AFC570"/>
      <c r="AFD570"/>
      <c r="AFE570"/>
      <c r="AFF570"/>
      <c r="AFG570"/>
      <c r="AFH570"/>
      <c r="AFI570"/>
      <c r="AFJ570"/>
      <c r="AFK570"/>
      <c r="AFL570"/>
      <c r="AFM570"/>
      <c r="AFN570"/>
      <c r="AFO570"/>
      <c r="AFP570"/>
      <c r="AFQ570"/>
      <c r="AFR570"/>
      <c r="AFS570"/>
      <c r="AFT570"/>
      <c r="AFU570"/>
      <c r="AFV570"/>
      <c r="AFW570"/>
      <c r="AFX570"/>
      <c r="AFY570"/>
      <c r="AFZ570"/>
      <c r="AGA570"/>
      <c r="AGB570"/>
      <c r="AGC570"/>
      <c r="AGD570"/>
      <c r="AGE570"/>
      <c r="AGF570"/>
      <c r="AGG570"/>
      <c r="AGH570"/>
      <c r="AGI570"/>
      <c r="AGJ570"/>
      <c r="AGK570"/>
      <c r="AGL570"/>
      <c r="AGM570"/>
      <c r="AGN570"/>
      <c r="AGO570"/>
      <c r="AGP570"/>
      <c r="AGQ570"/>
      <c r="AGR570"/>
      <c r="AGS570"/>
      <c r="AGT570"/>
      <c r="AGU570"/>
      <c r="AGV570"/>
      <c r="AGW570"/>
      <c r="AGX570"/>
      <c r="AGY570"/>
      <c r="AGZ570"/>
      <c r="AHA570"/>
      <c r="AHB570"/>
      <c r="AHC570"/>
      <c r="AHD570"/>
      <c r="AHE570"/>
      <c r="AHF570"/>
      <c r="AHG570"/>
      <c r="AHH570"/>
      <c r="AHI570"/>
      <c r="AHJ570"/>
      <c r="AHK570"/>
      <c r="AHL570"/>
      <c r="AHM570"/>
      <c r="AHN570"/>
      <c r="AHO570"/>
      <c r="AHP570"/>
      <c r="AHQ570"/>
      <c r="AHR570"/>
      <c r="AHS570"/>
      <c r="AHT570"/>
      <c r="AHU570"/>
      <c r="AHV570"/>
      <c r="AHW570"/>
      <c r="AHX570"/>
      <c r="AHY570"/>
      <c r="AHZ570"/>
      <c r="AIA570"/>
      <c r="AIB570"/>
      <c r="AIC570"/>
      <c r="AID570"/>
      <c r="AIE570"/>
      <c r="AIF570"/>
      <c r="AIG570"/>
      <c r="AIH570"/>
      <c r="AII570"/>
      <c r="AIJ570"/>
      <c r="AIK570"/>
      <c r="AIL570"/>
      <c r="AIM570"/>
      <c r="AIN570"/>
      <c r="AIO570"/>
      <c r="AIP570"/>
      <c r="AIQ570"/>
      <c r="AIR570"/>
      <c r="AIS570"/>
      <c r="AIT570"/>
      <c r="AIU570"/>
      <c r="AIV570"/>
      <c r="AIW570"/>
      <c r="AIX570"/>
      <c r="AIY570"/>
      <c r="AIZ570"/>
      <c r="AJA570"/>
      <c r="AJB570"/>
      <c r="AJC570"/>
      <c r="AJD570"/>
      <c r="AJE570"/>
      <c r="AJF570"/>
      <c r="AJG570"/>
      <c r="AJH570"/>
      <c r="AJI570"/>
      <c r="AJJ570"/>
      <c r="AJK570"/>
      <c r="AJL570"/>
      <c r="AJM570"/>
      <c r="AJN570"/>
      <c r="AJO570"/>
      <c r="AJP570"/>
      <c r="AJQ570"/>
      <c r="AJR570"/>
      <c r="AJS570"/>
      <c r="AJT570"/>
      <c r="AJU570"/>
      <c r="AJV570"/>
      <c r="AJW570"/>
      <c r="AJX570"/>
      <c r="AJY570"/>
      <c r="AJZ570"/>
      <c r="AKA570"/>
      <c r="AKB570"/>
      <c r="AKC570"/>
      <c r="AKD570"/>
      <c r="AKE570"/>
      <c r="AKF570"/>
      <c r="AKG570"/>
      <c r="AKH570"/>
      <c r="AKI570"/>
      <c r="AKJ570"/>
      <c r="AKK570"/>
      <c r="AKL570"/>
      <c r="AKM570"/>
      <c r="AKN570"/>
      <c r="AKO570"/>
      <c r="AKP570"/>
      <c r="AKQ570"/>
      <c r="AKR570"/>
      <c r="AKS570"/>
      <c r="AKT570"/>
      <c r="AKU570"/>
      <c r="AKV570"/>
      <c r="AKW570"/>
      <c r="AKX570"/>
      <c r="AKY570"/>
      <c r="AKZ570"/>
      <c r="ALA570"/>
      <c r="ALB570"/>
      <c r="ALC570"/>
      <c r="ALD570"/>
      <c r="ALE570"/>
      <c r="ALF570"/>
      <c r="ALG570"/>
      <c r="ALH570"/>
      <c r="ALI570"/>
      <c r="ALJ570"/>
      <c r="ALK570"/>
      <c r="ALL570"/>
      <c r="ALM570"/>
      <c r="ALN570"/>
      <c r="ALO570"/>
      <c r="ALP570"/>
      <c r="ALQ570"/>
      <c r="ALR570"/>
      <c r="ALS570"/>
      <c r="ALT570"/>
      <c r="ALU570"/>
      <c r="ALV570"/>
      <c r="ALW570"/>
      <c r="ALX570"/>
      <c r="ALY570"/>
      <c r="ALZ570"/>
      <c r="AMA570"/>
      <c r="AMB570"/>
      <c r="AMC570"/>
      <c r="AMD570"/>
    </row>
    <row r="571" spans="1:1019">
      <c r="A571" s="547" t="s">
        <v>334</v>
      </c>
      <c r="B571" s="282"/>
      <c r="C571" s="282" t="s">
        <v>392</v>
      </c>
      <c r="D571" s="282"/>
      <c r="E571" s="286">
        <f t="shared" si="59"/>
        <v>10</v>
      </c>
      <c r="F571" s="277" t="s">
        <v>1502</v>
      </c>
      <c r="G571" s="254"/>
      <c r="H571" s="263">
        <v>11</v>
      </c>
      <c r="I571" s="263"/>
      <c r="J571" s="424">
        <v>4395</v>
      </c>
      <c r="K571" s="201"/>
      <c r="L571" s="201">
        <v>2105</v>
      </c>
      <c r="M571" s="406"/>
      <c r="N571" s="223">
        <f>+J571+K571+L571</f>
        <v>6500</v>
      </c>
      <c r="O571" s="347">
        <v>13563</v>
      </c>
      <c r="P571" s="376">
        <v>2700</v>
      </c>
      <c r="Q571" s="376">
        <v>300</v>
      </c>
      <c r="R571" s="349">
        <v>2637</v>
      </c>
      <c r="S571" s="344">
        <v>3355</v>
      </c>
      <c r="T571" s="344" t="s">
        <v>1503</v>
      </c>
      <c r="U571" s="345">
        <v>370</v>
      </c>
      <c r="V571" s="345">
        <v>370</v>
      </c>
      <c r="W571" s="291">
        <f>180+4215</f>
        <v>4395</v>
      </c>
      <c r="X571" s="291">
        <v>6500</v>
      </c>
      <c r="Y571" s="315">
        <v>6500</v>
      </c>
      <c r="Z571" s="315">
        <v>6500</v>
      </c>
      <c r="AA571" s="307"/>
      <c r="AB571" s="307"/>
      <c r="AC571" s="290"/>
      <c r="AD571" s="291"/>
      <c r="AE571" s="307"/>
      <c r="AF571" s="307"/>
      <c r="AG571" s="291"/>
      <c r="AH571" s="291">
        <v>0</v>
      </c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  <c r="ZW571"/>
      <c r="ZX571"/>
      <c r="ZY571"/>
      <c r="ZZ571"/>
      <c r="AAA571"/>
      <c r="AAB571"/>
      <c r="AAC571"/>
      <c r="AAD571"/>
      <c r="AAE571"/>
      <c r="AAF571"/>
      <c r="AAG571"/>
      <c r="AAH571"/>
      <c r="AAI571"/>
      <c r="AAJ571"/>
      <c r="AAK571"/>
      <c r="AAL571"/>
      <c r="AAM571"/>
      <c r="AAN571"/>
      <c r="AAO571"/>
      <c r="AAP571"/>
      <c r="AAQ571"/>
      <c r="AAR571"/>
      <c r="AAS571"/>
      <c r="AAT571"/>
      <c r="AAU571"/>
      <c r="AAV571"/>
      <c r="AAW571"/>
      <c r="AAX571"/>
      <c r="AAY571"/>
      <c r="AAZ571"/>
      <c r="ABA571"/>
      <c r="ABB571"/>
      <c r="ABC571"/>
      <c r="ABD571"/>
      <c r="ABE571"/>
      <c r="ABF571"/>
      <c r="ABG571"/>
      <c r="ABH571"/>
      <c r="ABI571"/>
      <c r="ABJ571"/>
      <c r="ABK571"/>
      <c r="ABL571"/>
      <c r="ABM571"/>
      <c r="ABN571"/>
      <c r="ABO571"/>
      <c r="ABP571"/>
      <c r="ABQ571"/>
      <c r="ABR571"/>
      <c r="ABS571"/>
      <c r="ABT571"/>
      <c r="ABU571"/>
      <c r="ABV571"/>
      <c r="ABW571"/>
      <c r="ABX571"/>
      <c r="ABY571"/>
      <c r="ABZ571"/>
      <c r="ACA571"/>
      <c r="ACB571"/>
      <c r="ACC571"/>
      <c r="ACD571"/>
      <c r="ACE571"/>
      <c r="ACF571"/>
      <c r="ACG571"/>
      <c r="ACH571"/>
      <c r="ACI571"/>
      <c r="ACJ571"/>
      <c r="ACK571"/>
      <c r="ACL571"/>
      <c r="ACM571"/>
      <c r="ACN571"/>
      <c r="ACO571"/>
      <c r="ACP571"/>
      <c r="ACQ571"/>
      <c r="ACR571"/>
      <c r="ACS571"/>
      <c r="ACT571"/>
      <c r="ACU571"/>
      <c r="ACV571"/>
      <c r="ACW571"/>
      <c r="ACX571"/>
      <c r="ACY571"/>
      <c r="ACZ571"/>
      <c r="ADA571"/>
      <c r="ADB571"/>
      <c r="ADC571"/>
      <c r="ADD571"/>
      <c r="ADE571"/>
      <c r="ADF571"/>
      <c r="ADG571"/>
      <c r="ADH571"/>
      <c r="ADI571"/>
      <c r="ADJ571"/>
      <c r="ADK571"/>
      <c r="ADL571"/>
      <c r="ADM571"/>
      <c r="ADN571"/>
      <c r="ADO571"/>
      <c r="ADP571"/>
      <c r="ADQ571"/>
      <c r="ADR571"/>
      <c r="ADS571"/>
      <c r="ADT571"/>
      <c r="ADU571"/>
      <c r="ADV571"/>
      <c r="ADW571"/>
      <c r="ADX571"/>
      <c r="ADY571"/>
      <c r="ADZ571"/>
      <c r="AEA571"/>
      <c r="AEB571"/>
      <c r="AEC571"/>
      <c r="AED571"/>
      <c r="AEE571"/>
      <c r="AEF571"/>
      <c r="AEG571"/>
      <c r="AEH571"/>
      <c r="AEI571"/>
      <c r="AEJ571"/>
      <c r="AEK571"/>
      <c r="AEL571"/>
      <c r="AEM571"/>
      <c r="AEN571"/>
      <c r="AEO571"/>
      <c r="AEP571"/>
      <c r="AEQ571"/>
      <c r="AER571"/>
      <c r="AES571"/>
      <c r="AET571"/>
      <c r="AEU571"/>
      <c r="AEV571"/>
      <c r="AEW571"/>
      <c r="AEX571"/>
      <c r="AEY571"/>
      <c r="AEZ571"/>
      <c r="AFA571"/>
      <c r="AFB571"/>
      <c r="AFC571"/>
      <c r="AFD571"/>
      <c r="AFE571"/>
      <c r="AFF571"/>
      <c r="AFG571"/>
      <c r="AFH571"/>
      <c r="AFI571"/>
      <c r="AFJ571"/>
      <c r="AFK571"/>
      <c r="AFL571"/>
      <c r="AFM571"/>
      <c r="AFN571"/>
      <c r="AFO571"/>
      <c r="AFP571"/>
      <c r="AFQ571"/>
      <c r="AFR571"/>
      <c r="AFS571"/>
      <c r="AFT571"/>
      <c r="AFU571"/>
      <c r="AFV571"/>
      <c r="AFW571"/>
      <c r="AFX571"/>
      <c r="AFY571"/>
      <c r="AFZ571"/>
      <c r="AGA571"/>
      <c r="AGB571"/>
      <c r="AGC571"/>
      <c r="AGD571"/>
      <c r="AGE571"/>
      <c r="AGF571"/>
      <c r="AGG571"/>
      <c r="AGH571"/>
      <c r="AGI571"/>
      <c r="AGJ571"/>
      <c r="AGK571"/>
      <c r="AGL571"/>
      <c r="AGM571"/>
      <c r="AGN571"/>
      <c r="AGO571"/>
      <c r="AGP571"/>
      <c r="AGQ571"/>
      <c r="AGR571"/>
      <c r="AGS571"/>
      <c r="AGT571"/>
      <c r="AGU571"/>
      <c r="AGV571"/>
      <c r="AGW571"/>
      <c r="AGX571"/>
      <c r="AGY571"/>
      <c r="AGZ571"/>
      <c r="AHA571"/>
      <c r="AHB571"/>
      <c r="AHC571"/>
      <c r="AHD571"/>
      <c r="AHE571"/>
      <c r="AHF571"/>
      <c r="AHG571"/>
      <c r="AHH571"/>
      <c r="AHI571"/>
      <c r="AHJ571"/>
      <c r="AHK571"/>
      <c r="AHL571"/>
      <c r="AHM571"/>
      <c r="AHN571"/>
      <c r="AHO571"/>
      <c r="AHP571"/>
      <c r="AHQ571"/>
      <c r="AHR571"/>
      <c r="AHS571"/>
      <c r="AHT571"/>
      <c r="AHU571"/>
      <c r="AHV571"/>
      <c r="AHW571"/>
      <c r="AHX571"/>
      <c r="AHY571"/>
      <c r="AHZ571"/>
      <c r="AIA571"/>
      <c r="AIB571"/>
      <c r="AIC571"/>
      <c r="AID571"/>
      <c r="AIE571"/>
      <c r="AIF571"/>
      <c r="AIG571"/>
      <c r="AIH571"/>
      <c r="AII571"/>
      <c r="AIJ571"/>
      <c r="AIK571"/>
      <c r="AIL571"/>
      <c r="AIM571"/>
      <c r="AIN571"/>
      <c r="AIO571"/>
      <c r="AIP571"/>
      <c r="AIQ571"/>
      <c r="AIR571"/>
      <c r="AIS571"/>
      <c r="AIT571"/>
      <c r="AIU571"/>
      <c r="AIV571"/>
      <c r="AIW571"/>
      <c r="AIX571"/>
      <c r="AIY571"/>
      <c r="AIZ571"/>
      <c r="AJA571"/>
      <c r="AJB571"/>
      <c r="AJC571"/>
      <c r="AJD571"/>
      <c r="AJE571"/>
      <c r="AJF571"/>
      <c r="AJG571"/>
      <c r="AJH571"/>
      <c r="AJI571"/>
      <c r="AJJ571"/>
      <c r="AJK571"/>
      <c r="AJL571"/>
      <c r="AJM571"/>
      <c r="AJN571"/>
      <c r="AJO571"/>
      <c r="AJP571"/>
      <c r="AJQ571"/>
      <c r="AJR571"/>
      <c r="AJS571"/>
      <c r="AJT571"/>
      <c r="AJU571"/>
      <c r="AJV571"/>
      <c r="AJW571"/>
      <c r="AJX571"/>
      <c r="AJY571"/>
      <c r="AJZ571"/>
      <c r="AKA571"/>
      <c r="AKB571"/>
      <c r="AKC571"/>
      <c r="AKD571"/>
      <c r="AKE571"/>
      <c r="AKF571"/>
      <c r="AKG571"/>
      <c r="AKH571"/>
      <c r="AKI571"/>
      <c r="AKJ571"/>
      <c r="AKK571"/>
      <c r="AKL571"/>
      <c r="AKM571"/>
      <c r="AKN571"/>
      <c r="AKO571"/>
      <c r="AKP571"/>
      <c r="AKQ571"/>
      <c r="AKR571"/>
      <c r="AKS571"/>
      <c r="AKT571"/>
      <c r="AKU571"/>
      <c r="AKV571"/>
      <c r="AKW571"/>
      <c r="AKX571"/>
      <c r="AKY571"/>
      <c r="AKZ571"/>
      <c r="ALA571"/>
      <c r="ALB571"/>
      <c r="ALC571"/>
      <c r="ALD571"/>
      <c r="ALE571"/>
      <c r="ALF571"/>
      <c r="ALG571"/>
      <c r="ALH571"/>
      <c r="ALI571"/>
      <c r="ALJ571"/>
      <c r="ALK571"/>
      <c r="ALL571"/>
      <c r="ALM571"/>
      <c r="ALN571"/>
      <c r="ALO571"/>
      <c r="ALP571"/>
      <c r="ALQ571"/>
      <c r="ALR571"/>
      <c r="ALS571"/>
      <c r="ALT571"/>
      <c r="ALU571"/>
      <c r="ALV571"/>
      <c r="ALW571"/>
      <c r="ALX571"/>
      <c r="ALY571"/>
      <c r="ALZ571"/>
      <c r="AMA571"/>
      <c r="AMB571"/>
      <c r="AMC571"/>
      <c r="AMD571"/>
    </row>
    <row r="572" spans="1:1019">
      <c r="A572" s="530" t="s">
        <v>1504</v>
      </c>
      <c r="B572" s="282"/>
      <c r="C572" s="282" t="s">
        <v>359</v>
      </c>
      <c r="D572" s="282"/>
      <c r="E572" s="286">
        <f t="shared" si="59"/>
        <v>11</v>
      </c>
      <c r="F572" s="277" t="s">
        <v>1505</v>
      </c>
      <c r="G572" s="282"/>
      <c r="H572" s="282">
        <v>10</v>
      </c>
      <c r="I572" s="282"/>
      <c r="J572" s="282"/>
      <c r="K572" s="201">
        <v>4834.5</v>
      </c>
      <c r="L572" s="201">
        <v>1800</v>
      </c>
      <c r="M572" s="201"/>
      <c r="N572" s="223">
        <f>+K572+L572+M572</f>
        <v>6634.5</v>
      </c>
      <c r="O572" s="303">
        <v>13212</v>
      </c>
      <c r="P572" s="304">
        <v>1800</v>
      </c>
      <c r="Q572" s="304">
        <v>300</v>
      </c>
      <c r="R572" s="305">
        <v>2993</v>
      </c>
      <c r="S572" s="306">
        <v>4190</v>
      </c>
      <c r="T572" s="306"/>
      <c r="U572" s="9">
        <v>370</v>
      </c>
      <c r="V572" s="9">
        <v>370</v>
      </c>
      <c r="W572" s="291">
        <v>0</v>
      </c>
      <c r="X572" s="291">
        <v>6634.5</v>
      </c>
      <c r="Y572" s="291">
        <v>6634.5</v>
      </c>
      <c r="Z572" s="291">
        <v>6634.5</v>
      </c>
      <c r="AA572" s="291"/>
      <c r="AB572" s="291"/>
      <c r="AC572" s="291"/>
      <c r="AD572" s="291"/>
      <c r="AE572" s="291"/>
      <c r="AF572" s="291"/>
      <c r="AG572" s="291"/>
      <c r="AH572" s="291">
        <v>0</v>
      </c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  <c r="ZY572"/>
      <c r="ZZ572"/>
      <c r="AAA572"/>
      <c r="AAB572"/>
      <c r="AAC572"/>
      <c r="AAD572"/>
      <c r="AAE572"/>
      <c r="AAF572"/>
      <c r="AAG572"/>
      <c r="AAH572"/>
      <c r="AAI572"/>
      <c r="AAJ572"/>
      <c r="AAK572"/>
      <c r="AAL572"/>
      <c r="AAM572"/>
      <c r="AAN572"/>
      <c r="AAO572"/>
      <c r="AAP572"/>
      <c r="AAQ572"/>
      <c r="AAR572"/>
      <c r="AAS572"/>
      <c r="AAT572"/>
      <c r="AAU572"/>
      <c r="AAV572"/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/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/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/>
      <c r="AID572"/>
      <c r="AIE572"/>
      <c r="AIF572"/>
      <c r="AIG572"/>
      <c r="AIH572"/>
      <c r="AII572"/>
      <c r="AIJ572"/>
      <c r="AIK572"/>
      <c r="AIL572"/>
      <c r="AIM572"/>
      <c r="AIN572"/>
      <c r="AIO572"/>
      <c r="AIP572"/>
      <c r="AIQ572"/>
      <c r="AIR572"/>
      <c r="AIS572"/>
      <c r="AIT572"/>
      <c r="AIU572"/>
      <c r="AIV572"/>
      <c r="AIW572"/>
      <c r="AIX572"/>
      <c r="AIY572"/>
      <c r="AIZ572"/>
      <c r="AJA572"/>
      <c r="AJB572"/>
      <c r="AJC572"/>
      <c r="AJD572"/>
      <c r="AJE572"/>
      <c r="AJF572"/>
      <c r="AJG572"/>
      <c r="AJH572"/>
      <c r="AJI572"/>
      <c r="AJJ572"/>
      <c r="AJK572"/>
      <c r="AJL572"/>
      <c r="AJM572"/>
      <c r="AJN572"/>
      <c r="AJO572"/>
      <c r="AJP572"/>
      <c r="AJQ572"/>
      <c r="AJR572"/>
      <c r="AJS572"/>
      <c r="AJT572"/>
      <c r="AJU572"/>
      <c r="AJV572"/>
      <c r="AJW572"/>
      <c r="AJX572"/>
      <c r="AJY572"/>
      <c r="AJZ572"/>
      <c r="AKA572"/>
      <c r="AKB572"/>
      <c r="AKC572"/>
      <c r="AKD572"/>
      <c r="AKE572"/>
      <c r="AKF572"/>
      <c r="AKG572"/>
      <c r="AKH572"/>
      <c r="AKI572"/>
      <c r="AKJ572"/>
      <c r="AKK572"/>
      <c r="AKL572"/>
      <c r="AKM572"/>
      <c r="AKN572"/>
      <c r="AKO572"/>
      <c r="AKP572"/>
      <c r="AKQ572"/>
      <c r="AKR572"/>
      <c r="AKS572"/>
      <c r="AKT572"/>
      <c r="AKU572"/>
      <c r="AKV572"/>
      <c r="AKW572"/>
      <c r="AKX572"/>
      <c r="AKY572"/>
      <c r="AKZ572"/>
      <c r="ALA572"/>
      <c r="ALB572"/>
      <c r="ALC572"/>
      <c r="ALD572"/>
      <c r="ALE572"/>
      <c r="ALF572"/>
      <c r="ALG572"/>
      <c r="ALH572"/>
      <c r="ALI572"/>
      <c r="ALJ572"/>
      <c r="ALK572"/>
      <c r="ALL572"/>
      <c r="ALM572"/>
      <c r="ALN572"/>
      <c r="ALO572"/>
      <c r="ALP572"/>
      <c r="ALQ572"/>
      <c r="ALR572"/>
      <c r="ALS572"/>
      <c r="ALT572"/>
      <c r="ALU572"/>
      <c r="ALV572"/>
      <c r="ALW572"/>
      <c r="ALX572"/>
      <c r="ALY572"/>
      <c r="ALZ572"/>
      <c r="AMA572"/>
      <c r="AMB572"/>
      <c r="AMC572"/>
      <c r="AMD572"/>
    </row>
    <row r="573" spans="1:1019">
      <c r="A573" s="282" t="s">
        <v>1506</v>
      </c>
      <c r="B573" s="282"/>
      <c r="C573" s="282"/>
      <c r="D573" s="282"/>
      <c r="E573" s="286">
        <f t="shared" si="59"/>
        <v>12</v>
      </c>
      <c r="F573" s="277" t="s">
        <v>1507</v>
      </c>
      <c r="G573" s="282">
        <v>0.1</v>
      </c>
      <c r="H573" s="282">
        <v>10</v>
      </c>
      <c r="I573" s="282"/>
      <c r="J573" s="282"/>
      <c r="K573" s="201">
        <v>4351.05</v>
      </c>
      <c r="L573" s="201"/>
      <c r="M573" s="406"/>
      <c r="N573" s="223">
        <f>+J573+K573+L573</f>
        <v>4351.05</v>
      </c>
      <c r="O573" s="303">
        <v>13407</v>
      </c>
      <c r="P573" s="304">
        <v>0</v>
      </c>
      <c r="Q573" s="304">
        <v>300</v>
      </c>
      <c r="R573" s="305">
        <v>2889</v>
      </c>
      <c r="S573" s="306">
        <v>4190</v>
      </c>
      <c r="T573" s="306"/>
      <c r="U573" s="9">
        <v>370</v>
      </c>
      <c r="V573" s="9">
        <v>370</v>
      </c>
      <c r="W573" s="291">
        <v>0</v>
      </c>
      <c r="X573" s="291">
        <v>4351.05</v>
      </c>
      <c r="Y573" s="291">
        <v>4351.05</v>
      </c>
      <c r="Z573" s="291">
        <f>4301.05+50</f>
        <v>4351.05</v>
      </c>
      <c r="AA573" s="291"/>
      <c r="AB573" s="291"/>
      <c r="AC573" s="291"/>
      <c r="AD573" s="291"/>
      <c r="AE573" s="291"/>
      <c r="AF573" s="291"/>
      <c r="AG573" s="291"/>
      <c r="AH573" s="291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  <c r="ZW573"/>
      <c r="ZX573"/>
      <c r="ZY573"/>
      <c r="ZZ573"/>
      <c r="AAA573"/>
      <c r="AAB573"/>
      <c r="AAC573"/>
      <c r="AAD573"/>
      <c r="AAE573"/>
      <c r="AAF573"/>
      <c r="AAG573"/>
      <c r="AAH573"/>
      <c r="AAI573"/>
      <c r="AAJ573"/>
      <c r="AAK573"/>
      <c r="AAL573"/>
      <c r="AAM573"/>
      <c r="AAN573"/>
      <c r="AAO573"/>
      <c r="AAP573"/>
      <c r="AAQ573"/>
      <c r="AAR573"/>
      <c r="AAS573"/>
      <c r="AAT573"/>
      <c r="AAU573"/>
      <c r="AAV573"/>
      <c r="AAW573"/>
      <c r="AAX573"/>
      <c r="AAY573"/>
      <c r="AAZ573"/>
      <c r="ABA573"/>
      <c r="ABB573"/>
      <c r="ABC573"/>
      <c r="ABD573"/>
      <c r="ABE573"/>
      <c r="ABF573"/>
      <c r="ABG573"/>
      <c r="ABH573"/>
      <c r="ABI573"/>
      <c r="ABJ573"/>
      <c r="ABK573"/>
      <c r="ABL573"/>
      <c r="ABM573"/>
      <c r="ABN573"/>
      <c r="ABO573"/>
      <c r="ABP573"/>
      <c r="ABQ573"/>
      <c r="ABR573"/>
      <c r="ABS573"/>
      <c r="ABT573"/>
      <c r="ABU573"/>
      <c r="ABV573"/>
      <c r="ABW573"/>
      <c r="ABX573"/>
      <c r="ABY573"/>
      <c r="ABZ573"/>
      <c r="ACA573"/>
      <c r="ACB573"/>
      <c r="ACC573"/>
      <c r="ACD573"/>
      <c r="ACE573"/>
      <c r="ACF573"/>
      <c r="ACG573"/>
      <c r="ACH573"/>
      <c r="ACI573"/>
      <c r="ACJ573"/>
      <c r="ACK573"/>
      <c r="ACL573"/>
      <c r="ACM573"/>
      <c r="ACN573"/>
      <c r="ACO573"/>
      <c r="ACP573"/>
      <c r="ACQ573"/>
      <c r="ACR573"/>
      <c r="ACS573"/>
      <c r="ACT573"/>
      <c r="ACU573"/>
      <c r="ACV573"/>
      <c r="ACW573"/>
      <c r="ACX573"/>
      <c r="ACY573"/>
      <c r="ACZ573"/>
      <c r="ADA573"/>
      <c r="ADB573"/>
      <c r="ADC573"/>
      <c r="ADD573"/>
      <c r="ADE573"/>
      <c r="ADF573"/>
      <c r="ADG573"/>
      <c r="ADH573"/>
      <c r="ADI573"/>
      <c r="ADJ573"/>
      <c r="ADK573"/>
      <c r="ADL573"/>
      <c r="ADM573"/>
      <c r="ADN573"/>
      <c r="ADO573"/>
      <c r="ADP573"/>
      <c r="ADQ573"/>
      <c r="ADR573"/>
      <c r="ADS573"/>
      <c r="ADT573"/>
      <c r="ADU573"/>
      <c r="ADV573"/>
      <c r="ADW573"/>
      <c r="ADX573"/>
      <c r="ADY573"/>
      <c r="ADZ573"/>
      <c r="AEA573"/>
      <c r="AEB573"/>
      <c r="AEC573"/>
      <c r="AED573"/>
      <c r="AEE573"/>
      <c r="AEF573"/>
      <c r="AEG573"/>
      <c r="AEH573"/>
      <c r="AEI573"/>
      <c r="AEJ573"/>
      <c r="AEK573"/>
      <c r="AEL573"/>
      <c r="AEM573"/>
      <c r="AEN573"/>
      <c r="AEO573"/>
      <c r="AEP573"/>
      <c r="AEQ573"/>
      <c r="AER573"/>
      <c r="AES573"/>
      <c r="AET573"/>
      <c r="AEU573"/>
      <c r="AEV573"/>
      <c r="AEW573"/>
      <c r="AEX573"/>
      <c r="AEY573"/>
      <c r="AEZ573"/>
      <c r="AFA573"/>
      <c r="AFB573"/>
      <c r="AFC573"/>
      <c r="AFD573"/>
      <c r="AFE573"/>
      <c r="AFF573"/>
      <c r="AFG573"/>
      <c r="AFH573"/>
      <c r="AFI573"/>
      <c r="AFJ573"/>
      <c r="AFK573"/>
      <c r="AFL573"/>
      <c r="AFM573"/>
      <c r="AFN573"/>
      <c r="AFO573"/>
      <c r="AFP573"/>
      <c r="AFQ573"/>
      <c r="AFR573"/>
      <c r="AFS573"/>
      <c r="AFT573"/>
      <c r="AFU573"/>
      <c r="AFV573"/>
      <c r="AFW573"/>
      <c r="AFX573"/>
      <c r="AFY573"/>
      <c r="AFZ573"/>
      <c r="AGA573"/>
      <c r="AGB573"/>
      <c r="AGC573"/>
      <c r="AGD573"/>
      <c r="AGE573"/>
      <c r="AGF573"/>
      <c r="AGG573"/>
      <c r="AGH573"/>
      <c r="AGI573"/>
      <c r="AGJ573"/>
      <c r="AGK573"/>
      <c r="AGL573"/>
      <c r="AGM573"/>
      <c r="AGN573"/>
      <c r="AGO573"/>
      <c r="AGP573"/>
      <c r="AGQ573"/>
      <c r="AGR573"/>
      <c r="AGS573"/>
      <c r="AGT573"/>
      <c r="AGU573"/>
      <c r="AGV573"/>
      <c r="AGW573"/>
      <c r="AGX573"/>
      <c r="AGY573"/>
      <c r="AGZ573"/>
      <c r="AHA573"/>
      <c r="AHB573"/>
      <c r="AHC573"/>
      <c r="AHD573"/>
      <c r="AHE573"/>
      <c r="AHF573"/>
      <c r="AHG573"/>
      <c r="AHH573"/>
      <c r="AHI573"/>
      <c r="AHJ573"/>
      <c r="AHK573"/>
      <c r="AHL573"/>
      <c r="AHM573"/>
      <c r="AHN573"/>
      <c r="AHO573"/>
      <c r="AHP573"/>
      <c r="AHQ573"/>
      <c r="AHR573"/>
      <c r="AHS573"/>
      <c r="AHT573"/>
      <c r="AHU573"/>
      <c r="AHV573"/>
      <c r="AHW573"/>
      <c r="AHX573"/>
      <c r="AHY573"/>
      <c r="AHZ573"/>
      <c r="AIA573"/>
      <c r="AIB573"/>
      <c r="AIC573"/>
      <c r="AID573"/>
      <c r="AIE573"/>
      <c r="AIF573"/>
      <c r="AIG573"/>
      <c r="AIH573"/>
      <c r="AII573"/>
      <c r="AIJ573"/>
      <c r="AIK573"/>
      <c r="AIL573"/>
      <c r="AIM573"/>
      <c r="AIN573"/>
      <c r="AIO573"/>
      <c r="AIP573"/>
      <c r="AIQ573"/>
      <c r="AIR573"/>
      <c r="AIS573"/>
      <c r="AIT573"/>
      <c r="AIU573"/>
      <c r="AIV573"/>
      <c r="AIW573"/>
      <c r="AIX573"/>
      <c r="AIY573"/>
      <c r="AIZ573"/>
      <c r="AJA573"/>
      <c r="AJB573"/>
      <c r="AJC573"/>
      <c r="AJD573"/>
      <c r="AJE573"/>
      <c r="AJF573"/>
      <c r="AJG573"/>
      <c r="AJH573"/>
      <c r="AJI573"/>
      <c r="AJJ573"/>
      <c r="AJK573"/>
      <c r="AJL573"/>
      <c r="AJM573"/>
      <c r="AJN573"/>
      <c r="AJO573"/>
      <c r="AJP573"/>
      <c r="AJQ573"/>
      <c r="AJR573"/>
      <c r="AJS573"/>
      <c r="AJT573"/>
      <c r="AJU573"/>
      <c r="AJV573"/>
      <c r="AJW573"/>
      <c r="AJX573"/>
      <c r="AJY573"/>
      <c r="AJZ573"/>
      <c r="AKA573"/>
      <c r="AKB573"/>
      <c r="AKC573"/>
      <c r="AKD573"/>
      <c r="AKE573"/>
      <c r="AKF573"/>
      <c r="AKG573"/>
      <c r="AKH573"/>
      <c r="AKI573"/>
      <c r="AKJ573"/>
      <c r="AKK573"/>
      <c r="AKL573"/>
      <c r="AKM573"/>
      <c r="AKN573"/>
      <c r="AKO573"/>
      <c r="AKP573"/>
      <c r="AKQ573"/>
      <c r="AKR573"/>
      <c r="AKS573"/>
      <c r="AKT573"/>
      <c r="AKU573"/>
      <c r="AKV573"/>
      <c r="AKW573"/>
      <c r="AKX573"/>
      <c r="AKY573"/>
      <c r="AKZ573"/>
      <c r="ALA573"/>
      <c r="ALB573"/>
      <c r="ALC573"/>
      <c r="ALD573"/>
      <c r="ALE573"/>
      <c r="ALF573"/>
      <c r="ALG573"/>
      <c r="ALH573"/>
      <c r="ALI573"/>
      <c r="ALJ573"/>
      <c r="ALK573"/>
      <c r="ALL573"/>
      <c r="ALM573"/>
      <c r="ALN573"/>
      <c r="ALO573"/>
      <c r="ALP573"/>
      <c r="ALQ573"/>
      <c r="ALR573"/>
      <c r="ALS573"/>
      <c r="ALT573"/>
      <c r="ALU573"/>
      <c r="ALV573"/>
      <c r="ALW573"/>
      <c r="ALX573"/>
      <c r="ALY573"/>
      <c r="ALZ573"/>
      <c r="AMA573"/>
      <c r="AMB573"/>
      <c r="AMC573"/>
      <c r="AMD573"/>
    </row>
    <row r="574" spans="1:1019">
      <c r="A574" s="282" t="s">
        <v>333</v>
      </c>
      <c r="B574" s="282"/>
      <c r="C574" s="282"/>
      <c r="D574" s="282"/>
      <c r="E574" s="286">
        <f t="shared" si="59"/>
        <v>13</v>
      </c>
      <c r="F574" s="277" t="s">
        <v>1508</v>
      </c>
      <c r="G574" s="282">
        <v>0.2</v>
      </c>
      <c r="H574" s="282">
        <v>10</v>
      </c>
      <c r="I574" s="282"/>
      <c r="J574" s="282"/>
      <c r="K574" s="295">
        <v>3867.6</v>
      </c>
      <c r="L574" s="295"/>
      <c r="M574" s="201"/>
      <c r="N574" s="223">
        <f>+K574+L574+M574</f>
        <v>3867.6</v>
      </c>
      <c r="O574" s="303">
        <v>13386</v>
      </c>
      <c r="P574" s="304">
        <v>1800</v>
      </c>
      <c r="Q574" s="304">
        <v>300</v>
      </c>
      <c r="R574" s="305">
        <v>2860</v>
      </c>
      <c r="S574" s="306">
        <v>4190</v>
      </c>
      <c r="T574" s="306"/>
      <c r="U574" s="9">
        <v>370</v>
      </c>
      <c r="V574" s="9"/>
      <c r="W574" s="291">
        <v>0</v>
      </c>
      <c r="X574" s="291">
        <v>3867</v>
      </c>
      <c r="Y574" s="291">
        <v>3867.6</v>
      </c>
      <c r="Z574" s="291">
        <v>3867</v>
      </c>
      <c r="AA574" s="291"/>
      <c r="AB574" s="291"/>
      <c r="AC574" s="291"/>
      <c r="AD574" s="291"/>
      <c r="AE574" s="291"/>
      <c r="AF574" s="291"/>
      <c r="AG574" s="291"/>
      <c r="AH574" s="291">
        <v>0</v>
      </c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  <c r="ZW574"/>
      <c r="ZX574"/>
      <c r="ZY574"/>
      <c r="ZZ574"/>
      <c r="AAA574"/>
      <c r="AAB574"/>
      <c r="AAC574"/>
      <c r="AAD574"/>
      <c r="AAE574"/>
      <c r="AAF574"/>
      <c r="AAG574"/>
      <c r="AAH574"/>
      <c r="AAI574"/>
      <c r="AAJ574"/>
      <c r="AAK574"/>
      <c r="AAL574"/>
      <c r="AAM574"/>
      <c r="AAN574"/>
      <c r="AAO574"/>
      <c r="AAP574"/>
      <c r="AAQ574"/>
      <c r="AAR574"/>
      <c r="AAS574"/>
      <c r="AAT574"/>
      <c r="AAU574"/>
      <c r="AAV574"/>
      <c r="AAW574"/>
      <c r="AAX574"/>
      <c r="AAY574"/>
      <c r="AAZ574"/>
      <c r="ABA574"/>
      <c r="ABB574"/>
      <c r="ABC574"/>
      <c r="ABD574"/>
      <c r="ABE574"/>
      <c r="ABF574"/>
      <c r="ABG574"/>
      <c r="ABH574"/>
      <c r="ABI574"/>
      <c r="ABJ574"/>
      <c r="ABK574"/>
      <c r="ABL574"/>
      <c r="ABM574"/>
      <c r="ABN574"/>
      <c r="ABO574"/>
      <c r="ABP574"/>
      <c r="ABQ574"/>
      <c r="ABR574"/>
      <c r="ABS574"/>
      <c r="ABT574"/>
      <c r="ABU574"/>
      <c r="ABV574"/>
      <c r="ABW574"/>
      <c r="ABX574"/>
      <c r="ABY574"/>
      <c r="ABZ574"/>
      <c r="ACA574"/>
      <c r="ACB574"/>
      <c r="ACC574"/>
      <c r="ACD574"/>
      <c r="ACE574"/>
      <c r="ACF574"/>
      <c r="ACG574"/>
      <c r="ACH574"/>
      <c r="ACI574"/>
      <c r="ACJ574"/>
      <c r="ACK574"/>
      <c r="ACL574"/>
      <c r="ACM574"/>
      <c r="ACN574"/>
      <c r="ACO574"/>
      <c r="ACP574"/>
      <c r="ACQ574"/>
      <c r="ACR574"/>
      <c r="ACS574"/>
      <c r="ACT574"/>
      <c r="ACU574"/>
      <c r="ACV574"/>
      <c r="ACW574"/>
      <c r="ACX574"/>
      <c r="ACY574"/>
      <c r="ACZ574"/>
      <c r="ADA574"/>
      <c r="ADB574"/>
      <c r="ADC574"/>
      <c r="ADD574"/>
      <c r="ADE574"/>
      <c r="ADF574"/>
      <c r="ADG574"/>
      <c r="ADH574"/>
      <c r="ADI574"/>
      <c r="ADJ574"/>
      <c r="ADK574"/>
      <c r="ADL574"/>
      <c r="ADM574"/>
      <c r="ADN574"/>
      <c r="ADO574"/>
      <c r="ADP574"/>
      <c r="ADQ574"/>
      <c r="ADR574"/>
      <c r="ADS574"/>
      <c r="ADT574"/>
      <c r="ADU574"/>
      <c r="ADV574"/>
      <c r="ADW574"/>
      <c r="ADX574"/>
      <c r="ADY574"/>
      <c r="ADZ574"/>
      <c r="AEA574"/>
      <c r="AEB574"/>
      <c r="AEC574"/>
      <c r="AED574"/>
      <c r="AEE574"/>
      <c r="AEF574"/>
      <c r="AEG574"/>
      <c r="AEH574"/>
      <c r="AEI574"/>
      <c r="AEJ574"/>
      <c r="AEK574"/>
      <c r="AEL574"/>
      <c r="AEM574"/>
      <c r="AEN574"/>
      <c r="AEO574"/>
      <c r="AEP574"/>
      <c r="AEQ574"/>
      <c r="AER574"/>
      <c r="AES574"/>
      <c r="AET574"/>
      <c r="AEU574"/>
      <c r="AEV574"/>
      <c r="AEW574"/>
      <c r="AEX574"/>
      <c r="AEY574"/>
      <c r="AEZ574"/>
      <c r="AFA574"/>
      <c r="AFB574"/>
      <c r="AFC574"/>
      <c r="AFD574"/>
      <c r="AFE574"/>
      <c r="AFF574"/>
      <c r="AFG574"/>
      <c r="AFH574"/>
      <c r="AFI574"/>
      <c r="AFJ574"/>
      <c r="AFK574"/>
      <c r="AFL574"/>
      <c r="AFM574"/>
      <c r="AFN574"/>
      <c r="AFO574"/>
      <c r="AFP574"/>
      <c r="AFQ574"/>
      <c r="AFR574"/>
      <c r="AFS574"/>
      <c r="AFT574"/>
      <c r="AFU574"/>
      <c r="AFV574"/>
      <c r="AFW574"/>
      <c r="AFX574"/>
      <c r="AFY574"/>
      <c r="AFZ574"/>
      <c r="AGA574"/>
      <c r="AGB574"/>
      <c r="AGC574"/>
      <c r="AGD574"/>
      <c r="AGE574"/>
      <c r="AGF574"/>
      <c r="AGG574"/>
      <c r="AGH574"/>
      <c r="AGI574"/>
      <c r="AGJ574"/>
      <c r="AGK574"/>
      <c r="AGL574"/>
      <c r="AGM574"/>
      <c r="AGN574"/>
      <c r="AGO574"/>
      <c r="AGP574"/>
      <c r="AGQ574"/>
      <c r="AGR574"/>
      <c r="AGS574"/>
      <c r="AGT574"/>
      <c r="AGU574"/>
      <c r="AGV574"/>
      <c r="AGW574"/>
      <c r="AGX574"/>
      <c r="AGY574"/>
      <c r="AGZ574"/>
      <c r="AHA574"/>
      <c r="AHB574"/>
      <c r="AHC574"/>
      <c r="AHD574"/>
      <c r="AHE574"/>
      <c r="AHF574"/>
      <c r="AHG574"/>
      <c r="AHH574"/>
      <c r="AHI574"/>
      <c r="AHJ574"/>
      <c r="AHK574"/>
      <c r="AHL574"/>
      <c r="AHM574"/>
      <c r="AHN574"/>
      <c r="AHO574"/>
      <c r="AHP574"/>
      <c r="AHQ574"/>
      <c r="AHR574"/>
      <c r="AHS574"/>
      <c r="AHT574"/>
      <c r="AHU574"/>
      <c r="AHV574"/>
      <c r="AHW574"/>
      <c r="AHX574"/>
      <c r="AHY574"/>
      <c r="AHZ574"/>
      <c r="AIA574"/>
      <c r="AIB574"/>
      <c r="AIC574"/>
      <c r="AID574"/>
      <c r="AIE574"/>
      <c r="AIF574"/>
      <c r="AIG574"/>
      <c r="AIH574"/>
      <c r="AII574"/>
      <c r="AIJ574"/>
      <c r="AIK574"/>
      <c r="AIL574"/>
      <c r="AIM574"/>
      <c r="AIN574"/>
      <c r="AIO574"/>
      <c r="AIP574"/>
      <c r="AIQ574"/>
      <c r="AIR574"/>
      <c r="AIS574"/>
      <c r="AIT574"/>
      <c r="AIU574"/>
      <c r="AIV574"/>
      <c r="AIW574"/>
      <c r="AIX574"/>
      <c r="AIY574"/>
      <c r="AIZ574"/>
      <c r="AJA574"/>
      <c r="AJB574"/>
      <c r="AJC574"/>
      <c r="AJD574"/>
      <c r="AJE574"/>
      <c r="AJF574"/>
      <c r="AJG574"/>
      <c r="AJH574"/>
      <c r="AJI574"/>
      <c r="AJJ574"/>
      <c r="AJK574"/>
      <c r="AJL574"/>
      <c r="AJM574"/>
      <c r="AJN574"/>
      <c r="AJO574"/>
      <c r="AJP574"/>
      <c r="AJQ574"/>
      <c r="AJR574"/>
      <c r="AJS574"/>
      <c r="AJT574"/>
      <c r="AJU574"/>
      <c r="AJV574"/>
      <c r="AJW574"/>
      <c r="AJX574"/>
      <c r="AJY574"/>
      <c r="AJZ574"/>
      <c r="AKA574"/>
      <c r="AKB574"/>
      <c r="AKC574"/>
      <c r="AKD574"/>
      <c r="AKE574"/>
      <c r="AKF574"/>
      <c r="AKG574"/>
      <c r="AKH574"/>
      <c r="AKI574"/>
      <c r="AKJ574"/>
      <c r="AKK574"/>
      <c r="AKL574"/>
      <c r="AKM574"/>
      <c r="AKN574"/>
      <c r="AKO574"/>
      <c r="AKP574"/>
      <c r="AKQ574"/>
      <c r="AKR574"/>
      <c r="AKS574"/>
      <c r="AKT574"/>
      <c r="AKU574"/>
      <c r="AKV574"/>
      <c r="AKW574"/>
      <c r="AKX574"/>
      <c r="AKY574"/>
      <c r="AKZ574"/>
      <c r="ALA574"/>
      <c r="ALB574"/>
      <c r="ALC574"/>
      <c r="ALD574"/>
      <c r="ALE574"/>
      <c r="ALF574"/>
      <c r="ALG574"/>
      <c r="ALH574"/>
      <c r="ALI574"/>
      <c r="ALJ574"/>
      <c r="ALK574"/>
      <c r="ALL574"/>
      <c r="ALM574"/>
      <c r="ALN574"/>
      <c r="ALO574"/>
      <c r="ALP574"/>
      <c r="ALQ574"/>
      <c r="ALR574"/>
      <c r="ALS574"/>
      <c r="ALT574"/>
      <c r="ALU574"/>
      <c r="ALV574"/>
      <c r="ALW574"/>
      <c r="ALX574"/>
      <c r="ALY574"/>
      <c r="ALZ574"/>
      <c r="AMA574"/>
      <c r="AMB574"/>
      <c r="AMC574"/>
      <c r="AMD574"/>
    </row>
    <row r="575" spans="1:1019">
      <c r="A575" s="530" t="s">
        <v>1509</v>
      </c>
      <c r="B575" s="282"/>
      <c r="C575" s="282" t="s">
        <v>350</v>
      </c>
      <c r="D575" s="282"/>
      <c r="E575" s="286">
        <f t="shared" si="59"/>
        <v>14</v>
      </c>
      <c r="F575" s="277" t="s">
        <v>1510</v>
      </c>
      <c r="G575" s="282"/>
      <c r="H575" s="282">
        <v>10</v>
      </c>
      <c r="I575" s="282"/>
      <c r="J575" s="282"/>
      <c r="K575" s="201">
        <v>4834.5</v>
      </c>
      <c r="L575" s="201">
        <v>2105</v>
      </c>
      <c r="M575" s="406"/>
      <c r="N575" s="223">
        <f>+J575+K575+L575</f>
        <v>6939.5</v>
      </c>
      <c r="O575" s="303">
        <v>13652</v>
      </c>
      <c r="P575" s="304">
        <v>0</v>
      </c>
      <c r="Q575" s="304">
        <v>300</v>
      </c>
      <c r="R575" s="329">
        <v>3169</v>
      </c>
      <c r="S575" s="306">
        <v>4190</v>
      </c>
      <c r="T575" s="330"/>
      <c r="U575" s="577">
        <v>370</v>
      </c>
      <c r="V575" s="6"/>
      <c r="W575" s="291">
        <v>0</v>
      </c>
      <c r="X575" s="291">
        <f>4834.5+2105</f>
        <v>6939.5</v>
      </c>
      <c r="Y575" s="315">
        <v>6939.5</v>
      </c>
      <c r="Z575" s="291"/>
      <c r="AA575" s="291"/>
      <c r="AB575" s="291"/>
      <c r="AC575" s="291"/>
      <c r="AD575" s="291"/>
      <c r="AE575" s="291"/>
      <c r="AF575" s="291"/>
      <c r="AG575" s="291"/>
      <c r="AH575" s="291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  <c r="ZW575"/>
      <c r="ZX575"/>
      <c r="ZY575"/>
      <c r="ZZ575"/>
      <c r="AAA575"/>
      <c r="AAB575"/>
      <c r="AAC575"/>
      <c r="AAD575"/>
      <c r="AAE575"/>
      <c r="AAF575"/>
      <c r="AAG575"/>
      <c r="AAH575"/>
      <c r="AAI575"/>
      <c r="AAJ575"/>
      <c r="AAK575"/>
      <c r="AAL575"/>
      <c r="AAM575"/>
      <c r="AAN575"/>
      <c r="AAO575"/>
      <c r="AAP575"/>
      <c r="AAQ575"/>
      <c r="AAR575"/>
      <c r="AAS575"/>
      <c r="AAT575"/>
      <c r="AAU575"/>
      <c r="AAV575"/>
      <c r="AAW575"/>
      <c r="AAX575"/>
      <c r="AAY575"/>
      <c r="AAZ575"/>
      <c r="ABA575"/>
      <c r="ABB575"/>
      <c r="ABC575"/>
      <c r="ABD575"/>
      <c r="ABE575"/>
      <c r="ABF575"/>
      <c r="ABG575"/>
      <c r="ABH575"/>
      <c r="ABI575"/>
      <c r="ABJ575"/>
      <c r="ABK575"/>
      <c r="ABL575"/>
      <c r="ABM575"/>
      <c r="ABN575"/>
      <c r="ABO575"/>
      <c r="ABP575"/>
      <c r="ABQ575"/>
      <c r="ABR575"/>
      <c r="ABS575"/>
      <c r="ABT575"/>
      <c r="ABU575"/>
      <c r="ABV575"/>
      <c r="ABW575"/>
      <c r="ABX575"/>
      <c r="ABY575"/>
      <c r="ABZ575"/>
      <c r="ACA575"/>
      <c r="ACB575"/>
      <c r="ACC575"/>
      <c r="ACD575"/>
      <c r="ACE575"/>
      <c r="ACF575"/>
      <c r="ACG575"/>
      <c r="ACH575"/>
      <c r="ACI575"/>
      <c r="ACJ575"/>
      <c r="ACK575"/>
      <c r="ACL575"/>
      <c r="ACM575"/>
      <c r="ACN575"/>
      <c r="ACO575"/>
      <c r="ACP575"/>
      <c r="ACQ575"/>
      <c r="ACR575"/>
      <c r="ACS575"/>
      <c r="ACT575"/>
      <c r="ACU575"/>
      <c r="ACV575"/>
      <c r="ACW575"/>
      <c r="ACX575"/>
      <c r="ACY575"/>
      <c r="ACZ575"/>
      <c r="ADA575"/>
      <c r="ADB575"/>
      <c r="ADC575"/>
      <c r="ADD575"/>
      <c r="ADE575"/>
      <c r="ADF575"/>
      <c r="ADG575"/>
      <c r="ADH575"/>
      <c r="ADI575"/>
      <c r="ADJ575"/>
      <c r="ADK575"/>
      <c r="ADL575"/>
      <c r="ADM575"/>
      <c r="ADN575"/>
      <c r="ADO575"/>
      <c r="ADP575"/>
      <c r="ADQ575"/>
      <c r="ADR575"/>
      <c r="ADS575"/>
      <c r="ADT575"/>
      <c r="ADU575"/>
      <c r="ADV575"/>
      <c r="ADW575"/>
      <c r="ADX575"/>
      <c r="ADY575"/>
      <c r="ADZ575"/>
      <c r="AEA575"/>
      <c r="AEB575"/>
      <c r="AEC575"/>
      <c r="AED575"/>
      <c r="AEE575"/>
      <c r="AEF575"/>
      <c r="AEG575"/>
      <c r="AEH575"/>
      <c r="AEI575"/>
      <c r="AEJ575"/>
      <c r="AEK575"/>
      <c r="AEL575"/>
      <c r="AEM575"/>
      <c r="AEN575"/>
      <c r="AEO575"/>
      <c r="AEP575"/>
      <c r="AEQ575"/>
      <c r="AER575"/>
      <c r="AES575"/>
      <c r="AET575"/>
      <c r="AEU575"/>
      <c r="AEV575"/>
      <c r="AEW575"/>
      <c r="AEX575"/>
      <c r="AEY575"/>
      <c r="AEZ575"/>
      <c r="AFA575"/>
      <c r="AFB575"/>
      <c r="AFC575"/>
      <c r="AFD575"/>
      <c r="AFE575"/>
      <c r="AFF575"/>
      <c r="AFG575"/>
      <c r="AFH575"/>
      <c r="AFI575"/>
      <c r="AFJ575"/>
      <c r="AFK575"/>
      <c r="AFL575"/>
      <c r="AFM575"/>
      <c r="AFN575"/>
      <c r="AFO575"/>
      <c r="AFP575"/>
      <c r="AFQ575"/>
      <c r="AFR575"/>
      <c r="AFS575"/>
      <c r="AFT575"/>
      <c r="AFU575"/>
      <c r="AFV575"/>
      <c r="AFW575"/>
      <c r="AFX575"/>
      <c r="AFY575"/>
      <c r="AFZ575"/>
      <c r="AGA575"/>
      <c r="AGB575"/>
      <c r="AGC575"/>
      <c r="AGD575"/>
      <c r="AGE575"/>
      <c r="AGF575"/>
      <c r="AGG575"/>
      <c r="AGH575"/>
      <c r="AGI575"/>
      <c r="AGJ575"/>
      <c r="AGK575"/>
      <c r="AGL575"/>
      <c r="AGM575"/>
      <c r="AGN575"/>
      <c r="AGO575"/>
      <c r="AGP575"/>
      <c r="AGQ575"/>
      <c r="AGR575"/>
      <c r="AGS575"/>
      <c r="AGT575"/>
      <c r="AGU575"/>
      <c r="AGV575"/>
      <c r="AGW575"/>
      <c r="AGX575"/>
      <c r="AGY575"/>
      <c r="AGZ575"/>
      <c r="AHA575"/>
      <c r="AHB575"/>
      <c r="AHC575"/>
      <c r="AHD575"/>
      <c r="AHE575"/>
      <c r="AHF575"/>
      <c r="AHG575"/>
      <c r="AHH575"/>
      <c r="AHI575"/>
      <c r="AHJ575"/>
      <c r="AHK575"/>
      <c r="AHL575"/>
      <c r="AHM575"/>
      <c r="AHN575"/>
      <c r="AHO575"/>
      <c r="AHP575"/>
      <c r="AHQ575"/>
      <c r="AHR575"/>
      <c r="AHS575"/>
      <c r="AHT575"/>
      <c r="AHU575"/>
      <c r="AHV575"/>
      <c r="AHW575"/>
      <c r="AHX575"/>
      <c r="AHY575"/>
      <c r="AHZ575"/>
      <c r="AIA575"/>
      <c r="AIB575"/>
      <c r="AIC575"/>
      <c r="AID575"/>
      <c r="AIE575"/>
      <c r="AIF575"/>
      <c r="AIG575"/>
      <c r="AIH575"/>
      <c r="AII575"/>
      <c r="AIJ575"/>
      <c r="AIK575"/>
      <c r="AIL575"/>
      <c r="AIM575"/>
      <c r="AIN575"/>
      <c r="AIO575"/>
      <c r="AIP575"/>
      <c r="AIQ575"/>
      <c r="AIR575"/>
      <c r="AIS575"/>
      <c r="AIT575"/>
      <c r="AIU575"/>
      <c r="AIV575"/>
      <c r="AIW575"/>
      <c r="AIX575"/>
      <c r="AIY575"/>
      <c r="AIZ575"/>
      <c r="AJA575"/>
      <c r="AJB575"/>
      <c r="AJC575"/>
      <c r="AJD575"/>
      <c r="AJE575"/>
      <c r="AJF575"/>
      <c r="AJG575"/>
      <c r="AJH575"/>
      <c r="AJI575"/>
      <c r="AJJ575"/>
      <c r="AJK575"/>
      <c r="AJL575"/>
      <c r="AJM575"/>
      <c r="AJN575"/>
      <c r="AJO575"/>
      <c r="AJP575"/>
      <c r="AJQ575"/>
      <c r="AJR575"/>
      <c r="AJS575"/>
      <c r="AJT575"/>
      <c r="AJU575"/>
      <c r="AJV575"/>
      <c r="AJW575"/>
      <c r="AJX575"/>
      <c r="AJY575"/>
      <c r="AJZ575"/>
      <c r="AKA575"/>
      <c r="AKB575"/>
      <c r="AKC575"/>
      <c r="AKD575"/>
      <c r="AKE575"/>
      <c r="AKF575"/>
      <c r="AKG575"/>
      <c r="AKH575"/>
      <c r="AKI575"/>
      <c r="AKJ575"/>
      <c r="AKK575"/>
      <c r="AKL575"/>
      <c r="AKM575"/>
      <c r="AKN575"/>
      <c r="AKO575"/>
      <c r="AKP575"/>
      <c r="AKQ575"/>
      <c r="AKR575"/>
      <c r="AKS575"/>
      <c r="AKT575"/>
      <c r="AKU575"/>
      <c r="AKV575"/>
      <c r="AKW575"/>
      <c r="AKX575"/>
      <c r="AKY575"/>
      <c r="AKZ575"/>
      <c r="ALA575"/>
      <c r="ALB575"/>
      <c r="ALC575"/>
      <c r="ALD575"/>
      <c r="ALE575"/>
      <c r="ALF575"/>
      <c r="ALG575"/>
      <c r="ALH575"/>
      <c r="ALI575"/>
      <c r="ALJ575"/>
      <c r="ALK575"/>
      <c r="ALL575"/>
      <c r="ALM575"/>
      <c r="ALN575"/>
      <c r="ALO575"/>
      <c r="ALP575"/>
      <c r="ALQ575"/>
      <c r="ALR575"/>
      <c r="ALS575"/>
      <c r="ALT575"/>
      <c r="ALU575"/>
      <c r="ALV575"/>
      <c r="ALW575"/>
      <c r="ALX575"/>
      <c r="ALY575"/>
      <c r="ALZ575"/>
      <c r="AMA575"/>
      <c r="AMB575"/>
      <c r="AMC575"/>
      <c r="AMD575"/>
    </row>
    <row r="576" spans="1:1019">
      <c r="A576" s="282"/>
      <c r="B576" s="282"/>
      <c r="C576" s="282"/>
      <c r="D576" s="282"/>
      <c r="E576" s="282"/>
      <c r="F576" s="277"/>
      <c r="G576" s="282"/>
      <c r="H576" s="282"/>
      <c r="I576" s="282"/>
      <c r="J576" s="282"/>
      <c r="K576" s="201"/>
      <c r="L576" s="201"/>
      <c r="M576" s="406"/>
      <c r="N576" s="223"/>
      <c r="O576" s="303"/>
      <c r="P576" s="304"/>
      <c r="Q576" s="304"/>
      <c r="R576" s="329"/>
      <c r="S576" s="330"/>
      <c r="T576" s="330"/>
      <c r="U576" s="6"/>
      <c r="V576" s="6"/>
      <c r="W576" s="291"/>
      <c r="X576" s="291"/>
      <c r="Y576" s="291"/>
      <c r="Z576" s="291"/>
      <c r="AA576" s="291"/>
      <c r="AB576" s="291"/>
      <c r="AC576" s="291"/>
      <c r="AD576" s="291"/>
      <c r="AE576" s="291"/>
      <c r="AF576" s="291"/>
      <c r="AG576" s="291"/>
      <c r="AH576" s="291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  <c r="ZW576"/>
      <c r="ZX576"/>
      <c r="ZY576"/>
      <c r="ZZ576"/>
      <c r="AAA576"/>
      <c r="AAB576"/>
      <c r="AAC576"/>
      <c r="AAD576"/>
      <c r="AAE576"/>
      <c r="AAF576"/>
      <c r="AAG576"/>
      <c r="AAH576"/>
      <c r="AAI576"/>
      <c r="AAJ576"/>
      <c r="AAK576"/>
      <c r="AAL576"/>
      <c r="AAM576"/>
      <c r="AAN576"/>
      <c r="AAO576"/>
      <c r="AAP576"/>
      <c r="AAQ576"/>
      <c r="AAR576"/>
      <c r="AAS576"/>
      <c r="AAT576"/>
      <c r="AAU576"/>
      <c r="AAV576"/>
      <c r="AAW576"/>
      <c r="AAX576"/>
      <c r="AAY576"/>
      <c r="AAZ576"/>
      <c r="ABA576"/>
      <c r="ABB576"/>
      <c r="ABC576"/>
      <c r="ABD576"/>
      <c r="ABE576"/>
      <c r="ABF576"/>
      <c r="ABG576"/>
      <c r="ABH576"/>
      <c r="ABI576"/>
      <c r="ABJ576"/>
      <c r="ABK576"/>
      <c r="ABL576"/>
      <c r="ABM576"/>
      <c r="ABN576"/>
      <c r="ABO576"/>
      <c r="ABP576"/>
      <c r="ABQ576"/>
      <c r="ABR576"/>
      <c r="ABS576"/>
      <c r="ABT576"/>
      <c r="ABU576"/>
      <c r="ABV576"/>
      <c r="ABW576"/>
      <c r="ABX576"/>
      <c r="ABY576"/>
      <c r="ABZ576"/>
      <c r="ACA576"/>
      <c r="ACB576"/>
      <c r="ACC576"/>
      <c r="ACD576"/>
      <c r="ACE576"/>
      <c r="ACF576"/>
      <c r="ACG576"/>
      <c r="ACH576"/>
      <c r="ACI576"/>
      <c r="ACJ576"/>
      <c r="ACK576"/>
      <c r="ACL576"/>
      <c r="ACM576"/>
      <c r="ACN576"/>
      <c r="ACO576"/>
      <c r="ACP576"/>
      <c r="ACQ576"/>
      <c r="ACR576"/>
      <c r="ACS576"/>
      <c r="ACT576"/>
      <c r="ACU576"/>
      <c r="ACV576"/>
      <c r="ACW576"/>
      <c r="ACX576"/>
      <c r="ACY576"/>
      <c r="ACZ576"/>
      <c r="ADA576"/>
      <c r="ADB576"/>
      <c r="ADC576"/>
      <c r="ADD576"/>
      <c r="ADE576"/>
      <c r="ADF576"/>
      <c r="ADG576"/>
      <c r="ADH576"/>
      <c r="ADI576"/>
      <c r="ADJ576"/>
      <c r="ADK576"/>
      <c r="ADL576"/>
      <c r="ADM576"/>
      <c r="ADN576"/>
      <c r="ADO576"/>
      <c r="ADP576"/>
      <c r="ADQ576"/>
      <c r="ADR576"/>
      <c r="ADS576"/>
      <c r="ADT576"/>
      <c r="ADU576"/>
      <c r="ADV576"/>
      <c r="ADW576"/>
      <c r="ADX576"/>
      <c r="ADY576"/>
      <c r="ADZ576"/>
      <c r="AEA576"/>
      <c r="AEB576"/>
      <c r="AEC576"/>
      <c r="AED576"/>
      <c r="AEE576"/>
      <c r="AEF576"/>
      <c r="AEG576"/>
      <c r="AEH576"/>
      <c r="AEI576"/>
      <c r="AEJ576"/>
      <c r="AEK576"/>
      <c r="AEL576"/>
      <c r="AEM576"/>
      <c r="AEN576"/>
      <c r="AEO576"/>
      <c r="AEP576"/>
      <c r="AEQ576"/>
      <c r="AER576"/>
      <c r="AES576"/>
      <c r="AET576"/>
      <c r="AEU576"/>
      <c r="AEV576"/>
      <c r="AEW576"/>
      <c r="AEX576"/>
      <c r="AEY576"/>
      <c r="AEZ576"/>
      <c r="AFA576"/>
      <c r="AFB576"/>
      <c r="AFC576"/>
      <c r="AFD576"/>
      <c r="AFE576"/>
      <c r="AFF576"/>
      <c r="AFG576"/>
      <c r="AFH576"/>
      <c r="AFI576"/>
      <c r="AFJ576"/>
      <c r="AFK576"/>
      <c r="AFL576"/>
      <c r="AFM576"/>
      <c r="AFN576"/>
      <c r="AFO576"/>
      <c r="AFP576"/>
      <c r="AFQ576"/>
      <c r="AFR576"/>
      <c r="AFS576"/>
      <c r="AFT576"/>
      <c r="AFU576"/>
      <c r="AFV576"/>
      <c r="AFW576"/>
      <c r="AFX576"/>
      <c r="AFY576"/>
      <c r="AFZ576"/>
      <c r="AGA576"/>
      <c r="AGB576"/>
      <c r="AGC576"/>
      <c r="AGD576"/>
      <c r="AGE576"/>
      <c r="AGF576"/>
      <c r="AGG576"/>
      <c r="AGH576"/>
      <c r="AGI576"/>
      <c r="AGJ576"/>
      <c r="AGK576"/>
      <c r="AGL576"/>
      <c r="AGM576"/>
      <c r="AGN576"/>
      <c r="AGO576"/>
      <c r="AGP576"/>
      <c r="AGQ576"/>
      <c r="AGR576"/>
      <c r="AGS576"/>
      <c r="AGT576"/>
      <c r="AGU576"/>
      <c r="AGV576"/>
      <c r="AGW576"/>
      <c r="AGX576"/>
      <c r="AGY576"/>
      <c r="AGZ576"/>
      <c r="AHA576"/>
      <c r="AHB576"/>
      <c r="AHC576"/>
      <c r="AHD576"/>
      <c r="AHE576"/>
      <c r="AHF576"/>
      <c r="AHG576"/>
      <c r="AHH576"/>
      <c r="AHI576"/>
      <c r="AHJ576"/>
      <c r="AHK576"/>
      <c r="AHL576"/>
      <c r="AHM576"/>
      <c r="AHN576"/>
      <c r="AHO576"/>
      <c r="AHP576"/>
      <c r="AHQ576"/>
      <c r="AHR576"/>
      <c r="AHS576"/>
      <c r="AHT576"/>
      <c r="AHU576"/>
      <c r="AHV576"/>
      <c r="AHW576"/>
      <c r="AHX576"/>
      <c r="AHY576"/>
      <c r="AHZ576"/>
      <c r="AIA576"/>
      <c r="AIB576"/>
      <c r="AIC576"/>
      <c r="AID576"/>
      <c r="AIE576"/>
      <c r="AIF576"/>
      <c r="AIG576"/>
      <c r="AIH576"/>
      <c r="AII576"/>
      <c r="AIJ576"/>
      <c r="AIK576"/>
      <c r="AIL576"/>
      <c r="AIM576"/>
      <c r="AIN576"/>
      <c r="AIO576"/>
      <c r="AIP576"/>
      <c r="AIQ576"/>
      <c r="AIR576"/>
      <c r="AIS576"/>
      <c r="AIT576"/>
      <c r="AIU576"/>
      <c r="AIV576"/>
      <c r="AIW576"/>
      <c r="AIX576"/>
      <c r="AIY576"/>
      <c r="AIZ576"/>
      <c r="AJA576"/>
      <c r="AJB576"/>
      <c r="AJC576"/>
      <c r="AJD576"/>
      <c r="AJE576"/>
      <c r="AJF576"/>
      <c r="AJG576"/>
      <c r="AJH576"/>
      <c r="AJI576"/>
      <c r="AJJ576"/>
      <c r="AJK576"/>
      <c r="AJL576"/>
      <c r="AJM576"/>
      <c r="AJN576"/>
      <c r="AJO576"/>
      <c r="AJP576"/>
      <c r="AJQ576"/>
      <c r="AJR576"/>
      <c r="AJS576"/>
      <c r="AJT576"/>
      <c r="AJU576"/>
      <c r="AJV576"/>
      <c r="AJW576"/>
      <c r="AJX576"/>
      <c r="AJY576"/>
      <c r="AJZ576"/>
      <c r="AKA576"/>
      <c r="AKB576"/>
      <c r="AKC576"/>
      <c r="AKD576"/>
      <c r="AKE576"/>
      <c r="AKF576"/>
      <c r="AKG576"/>
      <c r="AKH576"/>
      <c r="AKI576"/>
      <c r="AKJ576"/>
      <c r="AKK576"/>
      <c r="AKL576"/>
      <c r="AKM576"/>
      <c r="AKN576"/>
      <c r="AKO576"/>
      <c r="AKP576"/>
      <c r="AKQ576"/>
      <c r="AKR576"/>
      <c r="AKS576"/>
      <c r="AKT576"/>
      <c r="AKU576"/>
      <c r="AKV576"/>
      <c r="AKW576"/>
      <c r="AKX576"/>
      <c r="AKY576"/>
      <c r="AKZ576"/>
      <c r="ALA576"/>
      <c r="ALB576"/>
      <c r="ALC576"/>
      <c r="ALD576"/>
      <c r="ALE576"/>
      <c r="ALF576"/>
      <c r="ALG576"/>
      <c r="ALH576"/>
      <c r="ALI576"/>
      <c r="ALJ576"/>
      <c r="ALK576"/>
      <c r="ALL576"/>
      <c r="ALM576"/>
      <c r="ALN576"/>
      <c r="ALO576"/>
      <c r="ALP576"/>
      <c r="ALQ576"/>
      <c r="ALR576"/>
      <c r="ALS576"/>
      <c r="ALT576"/>
      <c r="ALU576"/>
      <c r="ALV576"/>
      <c r="ALW576"/>
      <c r="ALX576"/>
      <c r="ALY576"/>
      <c r="ALZ576"/>
      <c r="AMA576"/>
      <c r="AMB576"/>
      <c r="AMC576"/>
      <c r="AMD576"/>
    </row>
    <row r="577" spans="1:1018">
      <c r="A577" s="282"/>
      <c r="B577" s="282"/>
      <c r="C577" s="282"/>
      <c r="D577" s="282"/>
      <c r="E577" s="282"/>
      <c r="F577" s="277"/>
      <c r="G577" s="282"/>
      <c r="H577" s="282"/>
      <c r="I577" s="282"/>
      <c r="J577" s="282"/>
      <c r="K577" s="407"/>
      <c r="L577" s="407"/>
      <c r="M577" s="406"/>
      <c r="N577" s="223">
        <f>+K577+L577+M577</f>
        <v>0</v>
      </c>
      <c r="O577" s="303"/>
      <c r="P577" s="21"/>
      <c r="Q577" s="21"/>
      <c r="R577" s="329"/>
      <c r="S577" s="330"/>
      <c r="T577" s="330"/>
      <c r="U577" s="6"/>
      <c r="V577" s="6"/>
      <c r="W577" s="291"/>
      <c r="X577" s="291"/>
      <c r="Y577" s="291"/>
      <c r="Z577" s="291"/>
      <c r="AA577" s="291"/>
      <c r="AB577" s="291"/>
      <c r="AC577" s="291"/>
      <c r="AD577" s="291"/>
      <c r="AE577" s="291"/>
      <c r="AF577" s="291"/>
      <c r="AG577" s="291"/>
      <c r="AH577" s="291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  <c r="ZW577"/>
      <c r="ZX577"/>
      <c r="ZY577"/>
      <c r="ZZ577"/>
      <c r="AAA577"/>
      <c r="AAB577"/>
      <c r="AAC577"/>
      <c r="AAD577"/>
      <c r="AAE577"/>
      <c r="AAF577"/>
      <c r="AAG577"/>
      <c r="AAH577"/>
      <c r="AAI577"/>
      <c r="AAJ577"/>
      <c r="AAK577"/>
      <c r="AAL577"/>
      <c r="AAM577"/>
      <c r="AAN577"/>
      <c r="AAO577"/>
      <c r="AAP577"/>
      <c r="AAQ577"/>
      <c r="AAR577"/>
      <c r="AAS577"/>
      <c r="AAT577"/>
      <c r="AAU577"/>
      <c r="AAV577"/>
      <c r="AAW577"/>
      <c r="AAX577"/>
      <c r="AAY577"/>
      <c r="AAZ577"/>
      <c r="ABA577"/>
      <c r="ABB577"/>
      <c r="ABC577"/>
      <c r="ABD577"/>
      <c r="ABE577"/>
      <c r="ABF577"/>
      <c r="ABG577"/>
      <c r="ABH577"/>
      <c r="ABI577"/>
      <c r="ABJ577"/>
      <c r="ABK577"/>
      <c r="ABL577"/>
      <c r="ABM577"/>
      <c r="ABN577"/>
      <c r="ABO577"/>
      <c r="ABP577"/>
      <c r="ABQ577"/>
      <c r="ABR577"/>
      <c r="ABS577"/>
      <c r="ABT577"/>
      <c r="ABU577"/>
      <c r="ABV577"/>
      <c r="ABW577"/>
      <c r="ABX577"/>
      <c r="ABY577"/>
      <c r="ABZ577"/>
      <c r="ACA577"/>
      <c r="ACB577"/>
      <c r="ACC577"/>
      <c r="ACD577"/>
      <c r="ACE577"/>
      <c r="ACF577"/>
      <c r="ACG577"/>
      <c r="ACH577"/>
      <c r="ACI577"/>
      <c r="ACJ577"/>
      <c r="ACK577"/>
      <c r="ACL577"/>
      <c r="ACM577"/>
      <c r="ACN577"/>
      <c r="ACO577"/>
      <c r="ACP577"/>
      <c r="ACQ577"/>
      <c r="ACR577"/>
      <c r="ACS577"/>
      <c r="ACT577"/>
      <c r="ACU577"/>
      <c r="ACV577"/>
      <c r="ACW577"/>
      <c r="ACX577"/>
      <c r="ACY577"/>
      <c r="ACZ577"/>
      <c r="ADA577"/>
      <c r="ADB577"/>
      <c r="ADC577"/>
      <c r="ADD577"/>
      <c r="ADE577"/>
      <c r="ADF577"/>
      <c r="ADG577"/>
      <c r="ADH577"/>
      <c r="ADI577"/>
      <c r="ADJ577"/>
      <c r="ADK577"/>
      <c r="ADL577"/>
      <c r="ADM577"/>
      <c r="ADN577"/>
      <c r="ADO577"/>
      <c r="ADP577"/>
      <c r="ADQ577"/>
      <c r="ADR577"/>
      <c r="ADS577"/>
      <c r="ADT577"/>
      <c r="ADU577"/>
      <c r="ADV577"/>
      <c r="ADW577"/>
      <c r="ADX577"/>
      <c r="ADY577"/>
      <c r="ADZ577"/>
      <c r="AEA577"/>
      <c r="AEB577"/>
      <c r="AEC577"/>
      <c r="AED577"/>
      <c r="AEE577"/>
      <c r="AEF577"/>
      <c r="AEG577"/>
      <c r="AEH577"/>
      <c r="AEI577"/>
      <c r="AEJ577"/>
      <c r="AEK577"/>
      <c r="AEL577"/>
      <c r="AEM577"/>
      <c r="AEN577"/>
      <c r="AEO577"/>
      <c r="AEP577"/>
      <c r="AEQ577"/>
      <c r="AER577"/>
      <c r="AES577"/>
      <c r="AET577"/>
      <c r="AEU577"/>
      <c r="AEV577"/>
      <c r="AEW577"/>
      <c r="AEX577"/>
      <c r="AEY577"/>
      <c r="AEZ577"/>
      <c r="AFA577"/>
      <c r="AFB577"/>
      <c r="AFC577"/>
      <c r="AFD577"/>
      <c r="AFE577"/>
      <c r="AFF577"/>
      <c r="AFG577"/>
      <c r="AFH577"/>
      <c r="AFI577"/>
      <c r="AFJ577"/>
      <c r="AFK577"/>
      <c r="AFL577"/>
      <c r="AFM577"/>
      <c r="AFN577"/>
      <c r="AFO577"/>
      <c r="AFP577"/>
      <c r="AFQ577"/>
      <c r="AFR577"/>
      <c r="AFS577"/>
      <c r="AFT577"/>
      <c r="AFU577"/>
      <c r="AFV577"/>
      <c r="AFW577"/>
      <c r="AFX577"/>
      <c r="AFY577"/>
      <c r="AFZ577"/>
      <c r="AGA577"/>
      <c r="AGB577"/>
      <c r="AGC577"/>
      <c r="AGD577"/>
      <c r="AGE577"/>
      <c r="AGF577"/>
      <c r="AGG577"/>
      <c r="AGH577"/>
      <c r="AGI577"/>
      <c r="AGJ577"/>
      <c r="AGK577"/>
      <c r="AGL577"/>
      <c r="AGM577"/>
      <c r="AGN577"/>
      <c r="AGO577"/>
      <c r="AGP577"/>
      <c r="AGQ577"/>
      <c r="AGR577"/>
      <c r="AGS577"/>
      <c r="AGT577"/>
      <c r="AGU577"/>
      <c r="AGV577"/>
      <c r="AGW577"/>
      <c r="AGX577"/>
      <c r="AGY577"/>
      <c r="AGZ577"/>
      <c r="AHA577"/>
      <c r="AHB577"/>
      <c r="AHC577"/>
      <c r="AHD577"/>
      <c r="AHE577"/>
      <c r="AHF577"/>
      <c r="AHG577"/>
      <c r="AHH577"/>
      <c r="AHI577"/>
      <c r="AHJ577"/>
      <c r="AHK577"/>
      <c r="AHL577"/>
      <c r="AHM577"/>
      <c r="AHN577"/>
      <c r="AHO577"/>
      <c r="AHP577"/>
      <c r="AHQ577"/>
      <c r="AHR577"/>
      <c r="AHS577"/>
      <c r="AHT577"/>
      <c r="AHU577"/>
      <c r="AHV577"/>
      <c r="AHW577"/>
      <c r="AHX577"/>
      <c r="AHY577"/>
      <c r="AHZ577"/>
      <c r="AIA577"/>
      <c r="AIB577"/>
      <c r="AIC577"/>
      <c r="AID577"/>
      <c r="AIE577"/>
      <c r="AIF577"/>
      <c r="AIG577"/>
      <c r="AIH577"/>
      <c r="AII577"/>
      <c r="AIJ577"/>
      <c r="AIK577"/>
      <c r="AIL577"/>
      <c r="AIM577"/>
      <c r="AIN577"/>
      <c r="AIO577"/>
      <c r="AIP577"/>
      <c r="AIQ577"/>
      <c r="AIR577"/>
      <c r="AIS577"/>
      <c r="AIT577"/>
      <c r="AIU577"/>
      <c r="AIV577"/>
      <c r="AIW577"/>
      <c r="AIX577"/>
      <c r="AIY577"/>
      <c r="AIZ577"/>
      <c r="AJA577"/>
      <c r="AJB577"/>
      <c r="AJC577"/>
      <c r="AJD577"/>
      <c r="AJE577"/>
      <c r="AJF577"/>
      <c r="AJG577"/>
      <c r="AJH577"/>
      <c r="AJI577"/>
      <c r="AJJ577"/>
      <c r="AJK577"/>
      <c r="AJL577"/>
      <c r="AJM577"/>
      <c r="AJN577"/>
      <c r="AJO577"/>
      <c r="AJP577"/>
      <c r="AJQ577"/>
      <c r="AJR577"/>
      <c r="AJS577"/>
      <c r="AJT577"/>
      <c r="AJU577"/>
      <c r="AJV577"/>
      <c r="AJW577"/>
      <c r="AJX577"/>
      <c r="AJY577"/>
      <c r="AJZ577"/>
      <c r="AKA577"/>
      <c r="AKB577"/>
      <c r="AKC577"/>
      <c r="AKD577"/>
      <c r="AKE577"/>
      <c r="AKF577"/>
      <c r="AKG577"/>
      <c r="AKH577"/>
      <c r="AKI577"/>
      <c r="AKJ577"/>
      <c r="AKK577"/>
      <c r="AKL577"/>
      <c r="AKM577"/>
      <c r="AKN577"/>
      <c r="AKO577"/>
      <c r="AKP577"/>
      <c r="AKQ577"/>
      <c r="AKR577"/>
      <c r="AKS577"/>
      <c r="AKT577"/>
      <c r="AKU577"/>
      <c r="AKV577"/>
      <c r="AKW577"/>
      <c r="AKX577"/>
      <c r="AKY577"/>
      <c r="AKZ577"/>
      <c r="ALA577"/>
      <c r="ALB577"/>
      <c r="ALC577"/>
      <c r="ALD577"/>
      <c r="ALE577"/>
      <c r="ALF577"/>
      <c r="ALG577"/>
      <c r="ALH577"/>
      <c r="ALI577"/>
      <c r="ALJ577"/>
      <c r="ALK577"/>
      <c r="ALL577"/>
      <c r="ALM577"/>
      <c r="ALN577"/>
      <c r="ALO577"/>
      <c r="ALP577"/>
      <c r="ALQ577"/>
      <c r="ALR577"/>
      <c r="ALS577"/>
      <c r="ALT577"/>
      <c r="ALU577"/>
      <c r="ALV577"/>
      <c r="ALW577"/>
      <c r="ALX577"/>
      <c r="ALY577"/>
      <c r="ALZ577"/>
      <c r="AMA577"/>
      <c r="AMB577"/>
      <c r="AMC577"/>
      <c r="AMD577"/>
    </row>
    <row r="578" spans="1:1018">
      <c r="G578" s="151">
        <f>SUM(G562:G577)</f>
        <v>1</v>
      </c>
      <c r="K578" s="425"/>
      <c r="L578" s="425"/>
      <c r="M578" s="423"/>
      <c r="N578" s="222">
        <f>SUM(N562:N577)</f>
        <v>79776.990000000005</v>
      </c>
      <c r="O578" s="426"/>
      <c r="P578" s="13"/>
      <c r="Q578" s="13"/>
      <c r="R578" s="427"/>
      <c r="S578" s="428"/>
      <c r="T578" s="428"/>
      <c r="U578" s="429"/>
      <c r="V578" s="429"/>
      <c r="W578" s="430"/>
      <c r="X578" s="430"/>
      <c r="Y578" s="430"/>
      <c r="Z578" s="430"/>
      <c r="AA578" s="430"/>
      <c r="AB578" s="430"/>
      <c r="AC578" s="430"/>
      <c r="AD578" s="430"/>
      <c r="AE578" s="430"/>
      <c r="AF578" s="430"/>
      <c r="AG578" s="430"/>
      <c r="AH578" s="430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/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/>
      <c r="ABO578"/>
      <c r="ABP578"/>
      <c r="ABQ578"/>
      <c r="ABR578"/>
      <c r="ABS578"/>
      <c r="ABT578"/>
      <c r="ABU578"/>
      <c r="ABV578"/>
      <c r="ABW578"/>
      <c r="ABX578"/>
      <c r="ABY578"/>
      <c r="ABZ578"/>
      <c r="ACA578"/>
      <c r="ACB578"/>
      <c r="ACC578"/>
      <c r="ACD578"/>
      <c r="ACE578"/>
      <c r="ACF578"/>
      <c r="ACG578"/>
      <c r="ACH578"/>
      <c r="ACI578"/>
      <c r="ACJ578"/>
      <c r="ACK578"/>
      <c r="ACL578"/>
      <c r="ACM578"/>
      <c r="ACN578"/>
      <c r="ACO578"/>
      <c r="ACP578"/>
      <c r="ACQ578"/>
      <c r="ACR578"/>
      <c r="ACS578"/>
      <c r="ACT578"/>
      <c r="ACU578"/>
      <c r="ACV578"/>
      <c r="ACW578"/>
      <c r="ACX578"/>
      <c r="ACY578"/>
      <c r="ACZ578"/>
      <c r="ADA578"/>
      <c r="ADB578"/>
      <c r="ADC578"/>
      <c r="ADD578"/>
      <c r="ADE578"/>
      <c r="ADF578"/>
      <c r="ADG578"/>
      <c r="ADH578"/>
      <c r="ADI578"/>
      <c r="ADJ578"/>
      <c r="ADK578"/>
      <c r="ADL578"/>
      <c r="ADM578"/>
      <c r="ADN578"/>
      <c r="ADO578"/>
      <c r="ADP578"/>
      <c r="ADQ578"/>
      <c r="ADR578"/>
      <c r="ADS578"/>
      <c r="ADT578"/>
      <c r="ADU578"/>
      <c r="ADV578"/>
      <c r="ADW578"/>
      <c r="ADX578"/>
      <c r="ADY578"/>
      <c r="ADZ578"/>
      <c r="AEA578"/>
      <c r="AEB578"/>
      <c r="AEC578"/>
      <c r="AED578"/>
      <c r="AEE578"/>
      <c r="AEF578"/>
      <c r="AEG578"/>
      <c r="AEH578"/>
      <c r="AEI578"/>
      <c r="AEJ578"/>
      <c r="AEK578"/>
      <c r="AEL578"/>
      <c r="AEM578"/>
      <c r="AEN578"/>
      <c r="AEO578"/>
      <c r="AEP578"/>
      <c r="AEQ578"/>
      <c r="AER578"/>
      <c r="AES578"/>
      <c r="AET578"/>
      <c r="AEU578"/>
      <c r="AEV578"/>
      <c r="AEW578"/>
      <c r="AEX578"/>
      <c r="AEY578"/>
      <c r="AEZ578"/>
      <c r="AFA578"/>
      <c r="AFB578"/>
      <c r="AFC578"/>
      <c r="AFD578"/>
      <c r="AFE578"/>
      <c r="AFF578"/>
      <c r="AFG578"/>
      <c r="AFH578"/>
      <c r="AFI578"/>
      <c r="AFJ578"/>
      <c r="AFK578"/>
      <c r="AFL578"/>
      <c r="AFM578"/>
      <c r="AFN578"/>
      <c r="AFO578"/>
      <c r="AFP578"/>
      <c r="AFQ578"/>
      <c r="AFR578"/>
      <c r="AFS578"/>
      <c r="AFT578"/>
      <c r="AFU578"/>
      <c r="AFV578"/>
      <c r="AFW578"/>
      <c r="AFX578"/>
      <c r="AFY578"/>
      <c r="AFZ578"/>
      <c r="AGA578"/>
      <c r="AGB578"/>
      <c r="AGC578"/>
      <c r="AGD578"/>
      <c r="AGE578"/>
      <c r="AGF578"/>
      <c r="AGG578"/>
      <c r="AGH578"/>
      <c r="AGI578"/>
      <c r="AGJ578"/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/>
      <c r="AHU578"/>
      <c r="AHV578"/>
      <c r="AHW578"/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/>
      <c r="AIP578"/>
      <c r="AIQ578"/>
      <c r="AIR578"/>
      <c r="AIS578"/>
      <c r="AIT578"/>
      <c r="AIU578"/>
      <c r="AIV578"/>
      <c r="AIW578"/>
      <c r="AIX578"/>
      <c r="AIY578"/>
      <c r="AIZ578"/>
      <c r="AJA578"/>
      <c r="AJB578"/>
      <c r="AJC578"/>
      <c r="AJD578"/>
      <c r="AJE578"/>
      <c r="AJF578"/>
      <c r="AJG578"/>
      <c r="AJH578"/>
      <c r="AJI578"/>
      <c r="AJJ578"/>
      <c r="AJK578"/>
      <c r="AJL578"/>
      <c r="AJM578"/>
      <c r="AJN578"/>
      <c r="AJO578"/>
      <c r="AJP578"/>
      <c r="AJQ578"/>
      <c r="AJR578"/>
      <c r="AJS578"/>
      <c r="AJT578"/>
      <c r="AJU578"/>
      <c r="AJV578"/>
      <c r="AJW578"/>
      <c r="AJX578"/>
      <c r="AJY578"/>
      <c r="AJZ578"/>
      <c r="AKA578"/>
      <c r="AKB578"/>
      <c r="AKC578"/>
      <c r="AKD578"/>
      <c r="AKE578"/>
      <c r="AKF578"/>
      <c r="AKG578"/>
      <c r="AKH578"/>
      <c r="AKI578"/>
      <c r="AKJ578"/>
      <c r="AKK578"/>
      <c r="AKL578"/>
      <c r="AKM578"/>
      <c r="AKN578"/>
      <c r="AKO578"/>
      <c r="AKP578"/>
      <c r="AKQ578"/>
      <c r="AKR578"/>
      <c r="AKS578"/>
      <c r="AKT578"/>
      <c r="AKU578"/>
      <c r="AKV578"/>
      <c r="AKW578"/>
      <c r="AKX578"/>
      <c r="AKY578"/>
      <c r="AKZ578"/>
      <c r="ALA578"/>
      <c r="ALB578"/>
      <c r="ALC578"/>
      <c r="ALD578"/>
      <c r="ALE578"/>
      <c r="ALF578"/>
      <c r="ALG578"/>
      <c r="ALH578"/>
      <c r="ALI578"/>
      <c r="ALJ578"/>
      <c r="ALK578"/>
      <c r="ALL578"/>
      <c r="ALM578"/>
      <c r="ALN578"/>
      <c r="ALO578"/>
      <c r="ALP578"/>
      <c r="ALQ578"/>
      <c r="ALR578"/>
      <c r="ALS578"/>
      <c r="ALT578"/>
      <c r="ALU578"/>
      <c r="ALV578"/>
      <c r="ALW578"/>
      <c r="ALX578"/>
      <c r="ALY578"/>
      <c r="ALZ578"/>
      <c r="AMA578"/>
      <c r="AMB578"/>
      <c r="AMC578"/>
      <c r="AMD578"/>
    </row>
    <row r="579" spans="1:1018">
      <c r="K579" s="412"/>
      <c r="L579" s="412"/>
      <c r="M579" s="423"/>
      <c r="N579" s="222"/>
      <c r="O579" s="426"/>
      <c r="P579" s="13"/>
      <c r="Q579" s="13"/>
      <c r="R579" s="427"/>
      <c r="S579" s="428"/>
      <c r="T579" s="428"/>
      <c r="U579" s="429"/>
      <c r="V579" s="429"/>
      <c r="W579" s="430"/>
      <c r="X579" s="430"/>
      <c r="Y579" s="430"/>
      <c r="Z579" s="430"/>
      <c r="AA579" s="430"/>
      <c r="AB579" s="430"/>
      <c r="AC579" s="430"/>
      <c r="AD579" s="430"/>
      <c r="AE579" s="430"/>
      <c r="AF579" s="430"/>
      <c r="AG579" s="430"/>
      <c r="AH579" s="430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  <c r="ZW579"/>
      <c r="ZX579"/>
      <c r="ZY579"/>
      <c r="ZZ579"/>
      <c r="AAA579"/>
      <c r="AAB579"/>
      <c r="AAC579"/>
      <c r="AAD579"/>
      <c r="AAE579"/>
      <c r="AAF579"/>
      <c r="AAG579"/>
      <c r="AAH579"/>
      <c r="AAI579"/>
      <c r="AAJ579"/>
      <c r="AAK579"/>
      <c r="AAL579"/>
      <c r="AAM579"/>
      <c r="AAN579"/>
      <c r="AAO579"/>
      <c r="AAP579"/>
      <c r="AAQ579"/>
      <c r="AAR579"/>
      <c r="AAS579"/>
      <c r="AAT579"/>
      <c r="AAU579"/>
      <c r="AAV579"/>
      <c r="AAW579"/>
      <c r="AAX579"/>
      <c r="AAY579"/>
      <c r="AAZ579"/>
      <c r="ABA579"/>
      <c r="ABB579"/>
      <c r="ABC579"/>
      <c r="ABD579"/>
      <c r="ABE579"/>
      <c r="ABF579"/>
      <c r="ABG579"/>
      <c r="ABH579"/>
      <c r="ABI579"/>
      <c r="ABJ579"/>
      <c r="ABK579"/>
      <c r="ABL579"/>
      <c r="ABM579"/>
      <c r="ABN579"/>
      <c r="ABO579"/>
      <c r="ABP579"/>
      <c r="ABQ579"/>
      <c r="ABR579"/>
      <c r="ABS579"/>
      <c r="ABT579"/>
      <c r="ABU579"/>
      <c r="ABV579"/>
      <c r="ABW579"/>
      <c r="ABX579"/>
      <c r="ABY579"/>
      <c r="ABZ579"/>
      <c r="ACA579"/>
      <c r="ACB579"/>
      <c r="ACC579"/>
      <c r="ACD579"/>
      <c r="ACE579"/>
      <c r="ACF579"/>
      <c r="ACG579"/>
      <c r="ACH579"/>
      <c r="ACI579"/>
      <c r="ACJ579"/>
      <c r="ACK579"/>
      <c r="ACL579"/>
      <c r="ACM579"/>
      <c r="ACN579"/>
      <c r="ACO579"/>
      <c r="ACP579"/>
      <c r="ACQ579"/>
      <c r="ACR579"/>
      <c r="ACS579"/>
      <c r="ACT579"/>
      <c r="ACU579"/>
      <c r="ACV579"/>
      <c r="ACW579"/>
      <c r="ACX579"/>
      <c r="ACY579"/>
      <c r="ACZ579"/>
      <c r="ADA579"/>
      <c r="ADB579"/>
      <c r="ADC579"/>
      <c r="ADD579"/>
      <c r="ADE579"/>
      <c r="ADF579"/>
      <c r="ADG579"/>
      <c r="ADH579"/>
      <c r="ADI579"/>
      <c r="ADJ579"/>
      <c r="ADK579"/>
      <c r="ADL579"/>
      <c r="ADM579"/>
      <c r="ADN579"/>
      <c r="ADO579"/>
      <c r="ADP579"/>
      <c r="ADQ579"/>
      <c r="ADR579"/>
      <c r="ADS579"/>
      <c r="ADT579"/>
      <c r="ADU579"/>
      <c r="ADV579"/>
      <c r="ADW579"/>
      <c r="ADX579"/>
      <c r="ADY579"/>
      <c r="ADZ579"/>
      <c r="AEA579"/>
      <c r="AEB579"/>
      <c r="AEC579"/>
      <c r="AED579"/>
      <c r="AEE579"/>
      <c r="AEF579"/>
      <c r="AEG579"/>
      <c r="AEH579"/>
      <c r="AEI579"/>
      <c r="AEJ579"/>
      <c r="AEK579"/>
      <c r="AEL579"/>
      <c r="AEM579"/>
      <c r="AEN579"/>
      <c r="AEO579"/>
      <c r="AEP579"/>
      <c r="AEQ579"/>
      <c r="AER579"/>
      <c r="AES579"/>
      <c r="AET579"/>
      <c r="AEU579"/>
      <c r="AEV579"/>
      <c r="AEW579"/>
      <c r="AEX579"/>
      <c r="AEY579"/>
      <c r="AEZ579"/>
      <c r="AFA579"/>
      <c r="AFB579"/>
      <c r="AFC579"/>
      <c r="AFD579"/>
      <c r="AFE579"/>
      <c r="AFF579"/>
      <c r="AFG579"/>
      <c r="AFH579"/>
      <c r="AFI579"/>
      <c r="AFJ579"/>
      <c r="AFK579"/>
      <c r="AFL579"/>
      <c r="AFM579"/>
      <c r="AFN579"/>
      <c r="AFO579"/>
      <c r="AFP579"/>
      <c r="AFQ579"/>
      <c r="AFR579"/>
      <c r="AFS579"/>
      <c r="AFT579"/>
      <c r="AFU579"/>
      <c r="AFV579"/>
      <c r="AFW579"/>
      <c r="AFX579"/>
      <c r="AFY579"/>
      <c r="AFZ579"/>
      <c r="AGA579"/>
      <c r="AGB579"/>
      <c r="AGC579"/>
      <c r="AGD579"/>
      <c r="AGE579"/>
      <c r="AGF579"/>
      <c r="AGG579"/>
      <c r="AGH579"/>
      <c r="AGI579"/>
      <c r="AGJ579"/>
      <c r="AGK579"/>
      <c r="AGL579"/>
      <c r="AGM579"/>
      <c r="AGN579"/>
      <c r="AGO579"/>
      <c r="AGP579"/>
      <c r="AGQ579"/>
      <c r="AGR579"/>
      <c r="AGS579"/>
      <c r="AGT579"/>
      <c r="AGU579"/>
      <c r="AGV579"/>
      <c r="AGW579"/>
      <c r="AGX579"/>
      <c r="AGY579"/>
      <c r="AGZ579"/>
      <c r="AHA579"/>
      <c r="AHB579"/>
      <c r="AHC579"/>
      <c r="AHD579"/>
      <c r="AHE579"/>
      <c r="AHF579"/>
      <c r="AHG579"/>
      <c r="AHH579"/>
      <c r="AHI579"/>
      <c r="AHJ579"/>
      <c r="AHK579"/>
      <c r="AHL579"/>
      <c r="AHM579"/>
      <c r="AHN579"/>
      <c r="AHO579"/>
      <c r="AHP579"/>
      <c r="AHQ579"/>
      <c r="AHR579"/>
      <c r="AHS579"/>
      <c r="AHT579"/>
      <c r="AHU579"/>
      <c r="AHV579"/>
      <c r="AHW579"/>
      <c r="AHX579"/>
      <c r="AHY579"/>
      <c r="AHZ579"/>
      <c r="AIA579"/>
      <c r="AIB579"/>
      <c r="AIC579"/>
      <c r="AID579"/>
      <c r="AIE579"/>
      <c r="AIF579"/>
      <c r="AIG579"/>
      <c r="AIH579"/>
      <c r="AII579"/>
      <c r="AIJ579"/>
      <c r="AIK579"/>
      <c r="AIL579"/>
      <c r="AIM579"/>
      <c r="AIN579"/>
      <c r="AIO579"/>
      <c r="AIP579"/>
      <c r="AIQ579"/>
      <c r="AIR579"/>
      <c r="AIS579"/>
      <c r="AIT579"/>
      <c r="AIU579"/>
      <c r="AIV579"/>
      <c r="AIW579"/>
      <c r="AIX579"/>
      <c r="AIY579"/>
      <c r="AIZ579"/>
      <c r="AJA579"/>
      <c r="AJB579"/>
      <c r="AJC579"/>
      <c r="AJD579"/>
      <c r="AJE579"/>
      <c r="AJF579"/>
      <c r="AJG579"/>
      <c r="AJH579"/>
      <c r="AJI579"/>
      <c r="AJJ579"/>
      <c r="AJK579"/>
      <c r="AJL579"/>
      <c r="AJM579"/>
      <c r="AJN579"/>
      <c r="AJO579"/>
      <c r="AJP579"/>
      <c r="AJQ579"/>
      <c r="AJR579"/>
      <c r="AJS579"/>
      <c r="AJT579"/>
      <c r="AJU579"/>
      <c r="AJV579"/>
      <c r="AJW579"/>
      <c r="AJX579"/>
      <c r="AJY579"/>
      <c r="AJZ579"/>
      <c r="AKA579"/>
      <c r="AKB579"/>
      <c r="AKC579"/>
      <c r="AKD579"/>
      <c r="AKE579"/>
      <c r="AKF579"/>
      <c r="AKG579"/>
      <c r="AKH579"/>
      <c r="AKI579"/>
      <c r="AKJ579"/>
      <c r="AKK579"/>
      <c r="AKL579"/>
      <c r="AKM579"/>
      <c r="AKN579"/>
      <c r="AKO579"/>
      <c r="AKP579"/>
      <c r="AKQ579"/>
      <c r="AKR579"/>
      <c r="AKS579"/>
      <c r="AKT579"/>
      <c r="AKU579"/>
      <c r="AKV579"/>
      <c r="AKW579"/>
      <c r="AKX579"/>
      <c r="AKY579"/>
      <c r="AKZ579"/>
      <c r="ALA579"/>
      <c r="ALB579"/>
      <c r="ALC579"/>
      <c r="ALD579"/>
      <c r="ALE579"/>
      <c r="ALF579"/>
      <c r="ALG579"/>
      <c r="ALH579"/>
      <c r="ALI579"/>
      <c r="ALJ579"/>
      <c r="ALK579"/>
      <c r="ALL579"/>
      <c r="ALM579"/>
      <c r="ALN579"/>
      <c r="ALO579"/>
      <c r="ALP579"/>
      <c r="ALQ579"/>
      <c r="ALR579"/>
      <c r="ALS579"/>
      <c r="ALT579"/>
      <c r="ALU579"/>
      <c r="ALV579"/>
      <c r="ALW579"/>
      <c r="ALX579"/>
      <c r="ALY579"/>
      <c r="ALZ579"/>
      <c r="AMA579"/>
      <c r="AMB579"/>
      <c r="AMC579"/>
      <c r="AMD579"/>
    </row>
    <row r="580" spans="1:1018">
      <c r="K580" s="412"/>
      <c r="L580" s="412"/>
      <c r="M580" s="423"/>
      <c r="N580" s="222"/>
      <c r="O580" s="426"/>
      <c r="P580" s="13"/>
      <c r="Q580" s="13"/>
      <c r="R580" s="427"/>
      <c r="S580" s="428"/>
      <c r="T580" s="428"/>
      <c r="U580" s="429"/>
      <c r="V580" s="429"/>
      <c r="W580" s="430"/>
      <c r="X580" s="430"/>
      <c r="Y580" s="430"/>
      <c r="Z580" s="430"/>
      <c r="AA580" s="430"/>
      <c r="AB580" s="430"/>
      <c r="AC580" s="430"/>
      <c r="AD580" s="430"/>
      <c r="AE580" s="430"/>
      <c r="AF580" s="430"/>
      <c r="AG580" s="430"/>
      <c r="AH580" s="43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  <c r="ZW580"/>
      <c r="ZX580"/>
      <c r="ZY580"/>
      <c r="ZZ580"/>
      <c r="AAA580"/>
      <c r="AAB580"/>
      <c r="AAC580"/>
      <c r="AAD580"/>
      <c r="AAE580"/>
      <c r="AAF580"/>
      <c r="AAG580"/>
      <c r="AAH580"/>
      <c r="AAI580"/>
      <c r="AAJ580"/>
      <c r="AAK580"/>
      <c r="AAL580"/>
      <c r="AAM580"/>
      <c r="AAN580"/>
      <c r="AAO580"/>
      <c r="AAP580"/>
      <c r="AAQ580"/>
      <c r="AAR580"/>
      <c r="AAS580"/>
      <c r="AAT580"/>
      <c r="AAU580"/>
      <c r="AAV580"/>
      <c r="AAW580"/>
      <c r="AAX580"/>
      <c r="AAY580"/>
      <c r="AAZ580"/>
      <c r="ABA580"/>
      <c r="ABB580"/>
      <c r="ABC580"/>
      <c r="ABD580"/>
      <c r="ABE580"/>
      <c r="ABF580"/>
      <c r="ABG580"/>
      <c r="ABH580"/>
      <c r="ABI580"/>
      <c r="ABJ580"/>
      <c r="ABK580"/>
      <c r="ABL580"/>
      <c r="ABM580"/>
      <c r="ABN580"/>
      <c r="ABO580"/>
      <c r="ABP580"/>
      <c r="ABQ580"/>
      <c r="ABR580"/>
      <c r="ABS580"/>
      <c r="ABT580"/>
      <c r="ABU580"/>
      <c r="ABV580"/>
      <c r="ABW580"/>
      <c r="ABX580"/>
      <c r="ABY580"/>
      <c r="ABZ580"/>
      <c r="ACA580"/>
      <c r="ACB580"/>
      <c r="ACC580"/>
      <c r="ACD580"/>
      <c r="ACE580"/>
      <c r="ACF580"/>
      <c r="ACG580"/>
      <c r="ACH580"/>
      <c r="ACI580"/>
      <c r="ACJ580"/>
      <c r="ACK580"/>
      <c r="ACL580"/>
      <c r="ACM580"/>
      <c r="ACN580"/>
      <c r="ACO580"/>
      <c r="ACP580"/>
      <c r="ACQ580"/>
      <c r="ACR580"/>
      <c r="ACS580"/>
      <c r="ACT580"/>
      <c r="ACU580"/>
      <c r="ACV580"/>
      <c r="ACW580"/>
      <c r="ACX580"/>
      <c r="ACY580"/>
      <c r="ACZ580"/>
      <c r="ADA580"/>
      <c r="ADB580"/>
      <c r="ADC580"/>
      <c r="ADD580"/>
      <c r="ADE580"/>
      <c r="ADF580"/>
      <c r="ADG580"/>
      <c r="ADH580"/>
      <c r="ADI580"/>
      <c r="ADJ580"/>
      <c r="ADK580"/>
      <c r="ADL580"/>
      <c r="ADM580"/>
      <c r="ADN580"/>
      <c r="ADO580"/>
      <c r="ADP580"/>
      <c r="ADQ580"/>
      <c r="ADR580"/>
      <c r="ADS580"/>
      <c r="ADT580"/>
      <c r="ADU580"/>
      <c r="ADV580"/>
      <c r="ADW580"/>
      <c r="ADX580"/>
      <c r="ADY580"/>
      <c r="ADZ580"/>
      <c r="AEA580"/>
      <c r="AEB580"/>
      <c r="AEC580"/>
      <c r="AED580"/>
      <c r="AEE580"/>
      <c r="AEF580"/>
      <c r="AEG580"/>
      <c r="AEH580"/>
      <c r="AEI580"/>
      <c r="AEJ580"/>
      <c r="AEK580"/>
      <c r="AEL580"/>
      <c r="AEM580"/>
      <c r="AEN580"/>
      <c r="AEO580"/>
      <c r="AEP580"/>
      <c r="AEQ580"/>
      <c r="AER580"/>
      <c r="AES580"/>
      <c r="AET580"/>
      <c r="AEU580"/>
      <c r="AEV580"/>
      <c r="AEW580"/>
      <c r="AEX580"/>
      <c r="AEY580"/>
      <c r="AEZ580"/>
      <c r="AFA580"/>
      <c r="AFB580"/>
      <c r="AFC580"/>
      <c r="AFD580"/>
      <c r="AFE580"/>
      <c r="AFF580"/>
      <c r="AFG580"/>
      <c r="AFH580"/>
      <c r="AFI580"/>
      <c r="AFJ580"/>
      <c r="AFK580"/>
      <c r="AFL580"/>
      <c r="AFM580"/>
      <c r="AFN580"/>
      <c r="AFO580"/>
      <c r="AFP580"/>
      <c r="AFQ580"/>
      <c r="AFR580"/>
      <c r="AFS580"/>
      <c r="AFT580"/>
      <c r="AFU580"/>
      <c r="AFV580"/>
      <c r="AFW580"/>
      <c r="AFX580"/>
      <c r="AFY580"/>
      <c r="AFZ580"/>
      <c r="AGA580"/>
      <c r="AGB580"/>
      <c r="AGC580"/>
      <c r="AGD580"/>
      <c r="AGE580"/>
      <c r="AGF580"/>
      <c r="AGG580"/>
      <c r="AGH580"/>
      <c r="AGI580"/>
      <c r="AGJ580"/>
      <c r="AGK580"/>
      <c r="AGL580"/>
      <c r="AGM580"/>
      <c r="AGN580"/>
      <c r="AGO580"/>
      <c r="AGP580"/>
      <c r="AGQ580"/>
      <c r="AGR580"/>
      <c r="AGS580"/>
      <c r="AGT580"/>
      <c r="AGU580"/>
      <c r="AGV580"/>
      <c r="AGW580"/>
      <c r="AGX580"/>
      <c r="AGY580"/>
      <c r="AGZ580"/>
      <c r="AHA580"/>
      <c r="AHB580"/>
      <c r="AHC580"/>
      <c r="AHD580"/>
      <c r="AHE580"/>
      <c r="AHF580"/>
      <c r="AHG580"/>
      <c r="AHH580"/>
      <c r="AHI580"/>
      <c r="AHJ580"/>
      <c r="AHK580"/>
      <c r="AHL580"/>
      <c r="AHM580"/>
      <c r="AHN580"/>
      <c r="AHO580"/>
      <c r="AHP580"/>
      <c r="AHQ580"/>
      <c r="AHR580"/>
      <c r="AHS580"/>
      <c r="AHT580"/>
      <c r="AHU580"/>
      <c r="AHV580"/>
      <c r="AHW580"/>
      <c r="AHX580"/>
      <c r="AHY580"/>
      <c r="AHZ580"/>
      <c r="AIA580"/>
      <c r="AIB580"/>
      <c r="AIC580"/>
      <c r="AID580"/>
      <c r="AIE580"/>
      <c r="AIF580"/>
      <c r="AIG580"/>
      <c r="AIH580"/>
      <c r="AII580"/>
      <c r="AIJ580"/>
      <c r="AIK580"/>
      <c r="AIL580"/>
      <c r="AIM580"/>
      <c r="AIN580"/>
      <c r="AIO580"/>
      <c r="AIP580"/>
      <c r="AIQ580"/>
      <c r="AIR580"/>
      <c r="AIS580"/>
      <c r="AIT580"/>
      <c r="AIU580"/>
      <c r="AIV580"/>
      <c r="AIW580"/>
      <c r="AIX580"/>
      <c r="AIY580"/>
      <c r="AIZ580"/>
      <c r="AJA580"/>
      <c r="AJB580"/>
      <c r="AJC580"/>
      <c r="AJD580"/>
      <c r="AJE580"/>
      <c r="AJF580"/>
      <c r="AJG580"/>
      <c r="AJH580"/>
      <c r="AJI580"/>
      <c r="AJJ580"/>
      <c r="AJK580"/>
      <c r="AJL580"/>
      <c r="AJM580"/>
      <c r="AJN580"/>
      <c r="AJO580"/>
      <c r="AJP580"/>
      <c r="AJQ580"/>
      <c r="AJR580"/>
      <c r="AJS580"/>
      <c r="AJT580"/>
      <c r="AJU580"/>
      <c r="AJV580"/>
      <c r="AJW580"/>
      <c r="AJX580"/>
      <c r="AJY580"/>
      <c r="AJZ580"/>
      <c r="AKA580"/>
      <c r="AKB580"/>
      <c r="AKC580"/>
      <c r="AKD580"/>
      <c r="AKE580"/>
      <c r="AKF580"/>
      <c r="AKG580"/>
      <c r="AKH580"/>
      <c r="AKI580"/>
      <c r="AKJ580"/>
      <c r="AKK580"/>
      <c r="AKL580"/>
      <c r="AKM580"/>
      <c r="AKN580"/>
      <c r="AKO580"/>
      <c r="AKP580"/>
      <c r="AKQ580"/>
      <c r="AKR580"/>
      <c r="AKS580"/>
      <c r="AKT580"/>
      <c r="AKU580"/>
      <c r="AKV580"/>
      <c r="AKW580"/>
      <c r="AKX580"/>
      <c r="AKY580"/>
      <c r="AKZ580"/>
      <c r="ALA580"/>
      <c r="ALB580"/>
      <c r="ALC580"/>
      <c r="ALD580"/>
      <c r="ALE580"/>
      <c r="ALF580"/>
      <c r="ALG580"/>
      <c r="ALH580"/>
      <c r="ALI580"/>
      <c r="ALJ580"/>
      <c r="ALK580"/>
      <c r="ALL580"/>
      <c r="ALM580"/>
      <c r="ALN580"/>
      <c r="ALO580"/>
      <c r="ALP580"/>
      <c r="ALQ580"/>
      <c r="ALR580"/>
      <c r="ALS580"/>
      <c r="ALT580"/>
      <c r="ALU580"/>
      <c r="ALV580"/>
      <c r="ALW580"/>
      <c r="ALX580"/>
      <c r="ALY580"/>
      <c r="ALZ580"/>
      <c r="AMA580"/>
      <c r="AMB580"/>
      <c r="AMC580"/>
      <c r="AMD580"/>
    </row>
    <row r="581" spans="1:1018" s="151" customFormat="1" ht="45">
      <c r="A581" s="153" t="s">
        <v>335</v>
      </c>
      <c r="B581" s="133"/>
      <c r="C581" s="135" t="s">
        <v>339</v>
      </c>
      <c r="D581" s="135"/>
      <c r="E581" s="133"/>
      <c r="F581" s="136" t="s">
        <v>961</v>
      </c>
      <c r="G581" s="133" t="s">
        <v>426</v>
      </c>
      <c r="H581" s="137" t="s">
        <v>427</v>
      </c>
      <c r="I581" s="138"/>
      <c r="J581" s="235" t="s">
        <v>429</v>
      </c>
      <c r="K581" s="236" t="s">
        <v>441</v>
      </c>
      <c r="L581" s="237"/>
      <c r="M581" s="238" t="s">
        <v>431</v>
      </c>
      <c r="N581" s="239" t="s">
        <v>432</v>
      </c>
      <c r="O581" s="144"/>
      <c r="P581" s="145"/>
      <c r="Q581" s="145"/>
      <c r="R581" s="240"/>
      <c r="S581" s="241"/>
      <c r="T581" s="241"/>
      <c r="U581" s="242"/>
      <c r="V581" s="242"/>
      <c r="W581" s="150" t="s">
        <v>437</v>
      </c>
      <c r="X581" s="150" t="s">
        <v>438</v>
      </c>
      <c r="Y581" s="150" t="s">
        <v>2</v>
      </c>
      <c r="Z581" s="150" t="s">
        <v>4</v>
      </c>
      <c r="AA581" s="150" t="s">
        <v>5</v>
      </c>
      <c r="AB581" s="150" t="s">
        <v>6</v>
      </c>
      <c r="AC581" s="150" t="s">
        <v>7</v>
      </c>
      <c r="AD581" s="150" t="s">
        <v>8</v>
      </c>
      <c r="AE581" s="150" t="s">
        <v>9</v>
      </c>
      <c r="AF581" s="150" t="s">
        <v>10</v>
      </c>
      <c r="AG581" s="150" t="s">
        <v>340</v>
      </c>
      <c r="AH581" s="150" t="s">
        <v>439</v>
      </c>
    </row>
    <row r="582" spans="1:1018">
      <c r="A582" s="547" t="s">
        <v>383</v>
      </c>
      <c r="B582" s="282"/>
      <c r="C582" s="282" t="s">
        <v>378</v>
      </c>
      <c r="D582" s="282"/>
      <c r="E582" s="178">
        <f>+E581+1</f>
        <v>1</v>
      </c>
      <c r="F582" s="277" t="s">
        <v>1511</v>
      </c>
      <c r="G582" s="282">
        <v>0.2</v>
      </c>
      <c r="H582" s="282">
        <v>10</v>
      </c>
      <c r="I582" s="282"/>
      <c r="J582" s="175"/>
      <c r="K582" s="201">
        <v>3867</v>
      </c>
      <c r="L582" s="201">
        <v>375</v>
      </c>
      <c r="M582" s="201"/>
      <c r="N582" s="195">
        <f t="shared" ref="N582:N609" si="60">+J582+K582+L582+M582</f>
        <v>4242</v>
      </c>
      <c r="O582" s="303">
        <v>13814</v>
      </c>
      <c r="P582" s="304">
        <v>0</v>
      </c>
      <c r="Q582" s="304">
        <v>300</v>
      </c>
      <c r="R582" s="305">
        <v>3529</v>
      </c>
      <c r="S582" s="306">
        <v>3620</v>
      </c>
      <c r="T582" s="306" t="s">
        <v>1512</v>
      </c>
      <c r="U582" s="9"/>
      <c r="V582" s="9"/>
      <c r="W582" s="291">
        <v>0</v>
      </c>
      <c r="X582" s="291">
        <f>3867.6+375</f>
        <v>4242.6000000000004</v>
      </c>
      <c r="Y582" s="290">
        <v>4242</v>
      </c>
      <c r="Z582" s="291">
        <v>375</v>
      </c>
      <c r="AA582" s="291"/>
      <c r="AB582" s="291"/>
      <c r="AC582" s="291"/>
      <c r="AD582" s="291"/>
      <c r="AE582" s="291"/>
      <c r="AF582" s="291"/>
      <c r="AG582" s="291"/>
      <c r="AH582" s="291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  <c r="ZW582"/>
      <c r="ZX582"/>
      <c r="ZY582"/>
      <c r="ZZ582"/>
      <c r="AAA582"/>
      <c r="AAB582"/>
      <c r="AAC582"/>
      <c r="AAD582"/>
      <c r="AAE582"/>
      <c r="AAF582"/>
      <c r="AAG582"/>
      <c r="AAH582"/>
      <c r="AAI582"/>
      <c r="AAJ582"/>
      <c r="AAK582"/>
      <c r="AAL582"/>
      <c r="AAM582"/>
      <c r="AAN582"/>
      <c r="AAO582"/>
      <c r="AAP582"/>
      <c r="AAQ582"/>
      <c r="AAR582"/>
      <c r="AAS582"/>
      <c r="AAT582"/>
      <c r="AAU582"/>
      <c r="AAV582"/>
      <c r="AAW582"/>
      <c r="AAX582"/>
      <c r="AAY582"/>
      <c r="AAZ582"/>
      <c r="ABA582"/>
      <c r="ABB582"/>
      <c r="ABC582"/>
      <c r="ABD582"/>
      <c r="ABE582"/>
      <c r="ABF582"/>
      <c r="ABG582"/>
      <c r="ABH582"/>
      <c r="ABI582"/>
      <c r="ABJ582"/>
      <c r="ABK582"/>
      <c r="ABL582"/>
      <c r="ABM582"/>
      <c r="ABN582"/>
      <c r="ABO582"/>
      <c r="ABP582"/>
      <c r="ABQ582"/>
      <c r="ABR582"/>
      <c r="ABS582"/>
      <c r="ABT582"/>
      <c r="ABU582"/>
      <c r="ABV582"/>
      <c r="ABW582"/>
      <c r="ABX582"/>
      <c r="ABY582"/>
      <c r="ABZ582"/>
      <c r="ACA582"/>
      <c r="ACB582"/>
      <c r="ACC582"/>
      <c r="ACD582"/>
      <c r="ACE582"/>
      <c r="ACF582"/>
      <c r="ACG582"/>
      <c r="ACH582"/>
      <c r="ACI582"/>
      <c r="ACJ582"/>
      <c r="ACK582"/>
      <c r="ACL582"/>
      <c r="ACM582"/>
      <c r="ACN582"/>
      <c r="ACO582"/>
      <c r="ACP582"/>
      <c r="ACQ582"/>
      <c r="ACR582"/>
      <c r="ACS582"/>
      <c r="ACT582"/>
      <c r="ACU582"/>
      <c r="ACV582"/>
      <c r="ACW582"/>
      <c r="ACX582"/>
      <c r="ACY582"/>
      <c r="ACZ582"/>
      <c r="ADA582"/>
      <c r="ADB582"/>
      <c r="ADC582"/>
      <c r="ADD582"/>
      <c r="ADE582"/>
      <c r="ADF582"/>
      <c r="ADG582"/>
      <c r="ADH582"/>
      <c r="ADI582"/>
      <c r="ADJ582"/>
      <c r="ADK582"/>
      <c r="ADL582"/>
      <c r="ADM582"/>
      <c r="ADN582"/>
      <c r="ADO582"/>
      <c r="ADP582"/>
      <c r="ADQ582"/>
      <c r="ADR582"/>
      <c r="ADS582"/>
      <c r="ADT582"/>
      <c r="ADU582"/>
      <c r="ADV582"/>
      <c r="ADW582"/>
      <c r="ADX582"/>
      <c r="ADY582"/>
      <c r="ADZ582"/>
      <c r="AEA582"/>
      <c r="AEB582"/>
      <c r="AEC582"/>
      <c r="AED582"/>
      <c r="AEE582"/>
      <c r="AEF582"/>
      <c r="AEG582"/>
      <c r="AEH582"/>
      <c r="AEI582"/>
      <c r="AEJ582"/>
      <c r="AEK582"/>
      <c r="AEL582"/>
      <c r="AEM582"/>
      <c r="AEN582"/>
      <c r="AEO582"/>
      <c r="AEP582"/>
      <c r="AEQ582"/>
      <c r="AER582"/>
      <c r="AES582"/>
      <c r="AET582"/>
      <c r="AEU582"/>
      <c r="AEV582"/>
      <c r="AEW582"/>
      <c r="AEX582"/>
      <c r="AEY582"/>
      <c r="AEZ582"/>
      <c r="AFA582"/>
      <c r="AFB582"/>
      <c r="AFC582"/>
      <c r="AFD582"/>
      <c r="AFE582"/>
      <c r="AFF582"/>
      <c r="AFG582"/>
      <c r="AFH582"/>
      <c r="AFI582"/>
      <c r="AFJ582"/>
      <c r="AFK582"/>
      <c r="AFL582"/>
      <c r="AFM582"/>
      <c r="AFN582"/>
      <c r="AFO582"/>
      <c r="AFP582"/>
      <c r="AFQ582"/>
      <c r="AFR582"/>
      <c r="AFS582"/>
      <c r="AFT582"/>
      <c r="AFU582"/>
      <c r="AFV582"/>
      <c r="AFW582"/>
      <c r="AFX582"/>
      <c r="AFY582"/>
      <c r="AFZ582"/>
      <c r="AGA582"/>
      <c r="AGB582"/>
      <c r="AGC582"/>
      <c r="AGD582"/>
      <c r="AGE582"/>
      <c r="AGF582"/>
      <c r="AGG582"/>
      <c r="AGH582"/>
      <c r="AGI582"/>
      <c r="AGJ582"/>
      <c r="AGK582"/>
      <c r="AGL582"/>
      <c r="AGM582"/>
      <c r="AGN582"/>
      <c r="AGO582"/>
      <c r="AGP582"/>
      <c r="AGQ582"/>
      <c r="AGR582"/>
      <c r="AGS582"/>
      <c r="AGT582"/>
      <c r="AGU582"/>
      <c r="AGV582"/>
      <c r="AGW582"/>
      <c r="AGX582"/>
      <c r="AGY582"/>
      <c r="AGZ582"/>
      <c r="AHA582"/>
      <c r="AHB582"/>
      <c r="AHC582"/>
      <c r="AHD582"/>
      <c r="AHE582"/>
      <c r="AHF582"/>
      <c r="AHG582"/>
      <c r="AHH582"/>
      <c r="AHI582"/>
      <c r="AHJ582"/>
      <c r="AHK582"/>
      <c r="AHL582"/>
      <c r="AHM582"/>
      <c r="AHN582"/>
      <c r="AHO582"/>
      <c r="AHP582"/>
      <c r="AHQ582"/>
      <c r="AHR582"/>
      <c r="AHS582"/>
      <c r="AHT582"/>
      <c r="AHU582"/>
      <c r="AHV582"/>
      <c r="AHW582"/>
      <c r="AHX582"/>
      <c r="AHY582"/>
      <c r="AHZ582"/>
      <c r="AIA582"/>
      <c r="AIB582"/>
      <c r="AIC582"/>
      <c r="AID582"/>
      <c r="AIE582"/>
      <c r="AIF582"/>
      <c r="AIG582"/>
      <c r="AIH582"/>
      <c r="AII582"/>
      <c r="AIJ582"/>
      <c r="AIK582"/>
      <c r="AIL582"/>
      <c r="AIM582"/>
      <c r="AIN582"/>
      <c r="AIO582"/>
      <c r="AIP582"/>
      <c r="AIQ582"/>
      <c r="AIR582"/>
      <c r="AIS582"/>
      <c r="AIT582"/>
      <c r="AIU582"/>
      <c r="AIV582"/>
      <c r="AIW582"/>
      <c r="AIX582"/>
      <c r="AIY582"/>
      <c r="AIZ582"/>
      <c r="AJA582"/>
      <c r="AJB582"/>
      <c r="AJC582"/>
      <c r="AJD582"/>
      <c r="AJE582"/>
      <c r="AJF582"/>
      <c r="AJG582"/>
      <c r="AJH582"/>
      <c r="AJI582"/>
      <c r="AJJ582"/>
      <c r="AJK582"/>
      <c r="AJL582"/>
      <c r="AJM582"/>
      <c r="AJN582"/>
      <c r="AJO582"/>
      <c r="AJP582"/>
      <c r="AJQ582"/>
      <c r="AJR582"/>
      <c r="AJS582"/>
      <c r="AJT582"/>
      <c r="AJU582"/>
      <c r="AJV582"/>
      <c r="AJW582"/>
      <c r="AJX582"/>
      <c r="AJY582"/>
      <c r="AJZ582"/>
      <c r="AKA582"/>
      <c r="AKB582"/>
      <c r="AKC582"/>
      <c r="AKD582"/>
      <c r="AKE582"/>
      <c r="AKF582"/>
      <c r="AKG582"/>
      <c r="AKH582"/>
      <c r="AKI582"/>
      <c r="AKJ582"/>
      <c r="AKK582"/>
      <c r="AKL582"/>
      <c r="AKM582"/>
      <c r="AKN582"/>
      <c r="AKO582"/>
      <c r="AKP582"/>
      <c r="AKQ582"/>
      <c r="AKR582"/>
      <c r="AKS582"/>
      <c r="AKT582"/>
      <c r="AKU582"/>
      <c r="AKV582"/>
      <c r="AKW582"/>
      <c r="AKX582"/>
      <c r="AKY582"/>
      <c r="AKZ582"/>
      <c r="ALA582"/>
      <c r="ALB582"/>
      <c r="ALC582"/>
      <c r="ALD582"/>
      <c r="ALE582"/>
      <c r="ALF582"/>
      <c r="ALG582"/>
      <c r="ALH582"/>
      <c r="ALI582"/>
      <c r="ALJ582"/>
      <c r="ALK582"/>
      <c r="ALL582"/>
      <c r="ALM582"/>
      <c r="ALN582"/>
      <c r="ALO582"/>
      <c r="ALP582"/>
      <c r="ALQ582"/>
      <c r="ALR582"/>
      <c r="ALS582"/>
      <c r="ALT582"/>
      <c r="ALU582"/>
      <c r="ALV582"/>
      <c r="ALW582"/>
      <c r="ALX582"/>
      <c r="ALY582"/>
      <c r="ALZ582"/>
      <c r="AMA582"/>
      <c r="AMB582"/>
      <c r="AMC582"/>
      <c r="AMD582"/>
    </row>
    <row r="583" spans="1:1018">
      <c r="A583" s="547" t="s">
        <v>384</v>
      </c>
      <c r="B583" s="282"/>
      <c r="C583" s="282" t="s">
        <v>385</v>
      </c>
      <c r="D583" s="282"/>
      <c r="E583" s="178">
        <f>+E582+1</f>
        <v>2</v>
      </c>
      <c r="F583" s="277" t="s">
        <v>1513</v>
      </c>
      <c r="G583" s="282"/>
      <c r="H583" s="282">
        <v>10</v>
      </c>
      <c r="I583" s="282"/>
      <c r="J583" s="175"/>
      <c r="K583" s="201">
        <v>4834.5</v>
      </c>
      <c r="L583" s="201">
        <v>2105</v>
      </c>
      <c r="M583" s="201"/>
      <c r="N583" s="195">
        <f t="shared" si="60"/>
        <v>6939.5</v>
      </c>
      <c r="O583" s="303">
        <v>13535</v>
      </c>
      <c r="P583" s="304">
        <v>2700</v>
      </c>
      <c r="Q583" s="304">
        <v>300</v>
      </c>
      <c r="R583" s="305">
        <v>3480</v>
      </c>
      <c r="S583" s="306">
        <v>3620</v>
      </c>
      <c r="T583" s="306"/>
      <c r="U583" s="9">
        <v>370</v>
      </c>
      <c r="V583" s="9"/>
      <c r="W583" s="291">
        <v>0</v>
      </c>
      <c r="X583" s="289">
        <v>6939.5</v>
      </c>
      <c r="Y583" s="289">
        <f>790.5+6149</f>
        <v>6939.5</v>
      </c>
      <c r="Z583" s="315">
        <v>6519</v>
      </c>
      <c r="AA583" s="315">
        <v>6939.5</v>
      </c>
      <c r="AB583" s="315" t="s">
        <v>1514</v>
      </c>
      <c r="AC583" s="291"/>
      <c r="AD583" s="291"/>
      <c r="AE583" s="291"/>
      <c r="AF583" s="315"/>
      <c r="AG583" s="291"/>
      <c r="AH583" s="291">
        <v>0</v>
      </c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  <c r="ZW583"/>
      <c r="ZX583"/>
      <c r="ZY583"/>
      <c r="ZZ583"/>
      <c r="AAA583"/>
      <c r="AAB583"/>
      <c r="AAC583"/>
      <c r="AAD583"/>
      <c r="AAE583"/>
      <c r="AAF583"/>
      <c r="AAG583"/>
      <c r="AAH583"/>
      <c r="AAI583"/>
      <c r="AAJ583"/>
      <c r="AAK583"/>
      <c r="AAL583"/>
      <c r="AAM583"/>
      <c r="AAN583"/>
      <c r="AAO583"/>
      <c r="AAP583"/>
      <c r="AAQ583"/>
      <c r="AAR583"/>
      <c r="AAS583"/>
      <c r="AAT583"/>
      <c r="AAU583"/>
      <c r="AAV583"/>
      <c r="AAW583"/>
      <c r="AAX583"/>
      <c r="AAY583"/>
      <c r="AAZ583"/>
      <c r="ABA583"/>
      <c r="ABB583"/>
      <c r="ABC583"/>
      <c r="ABD583"/>
      <c r="ABE583"/>
      <c r="ABF583"/>
      <c r="ABG583"/>
      <c r="ABH583"/>
      <c r="ABI583"/>
      <c r="ABJ583"/>
      <c r="ABK583"/>
      <c r="ABL583"/>
      <c r="ABM583"/>
      <c r="ABN583"/>
      <c r="ABO583"/>
      <c r="ABP583"/>
      <c r="ABQ583"/>
      <c r="ABR583"/>
      <c r="ABS583"/>
      <c r="ABT583"/>
      <c r="ABU583"/>
      <c r="ABV583"/>
      <c r="ABW583"/>
      <c r="ABX583"/>
      <c r="ABY583"/>
      <c r="ABZ583"/>
      <c r="ACA583"/>
      <c r="ACB583"/>
      <c r="ACC583"/>
      <c r="ACD583"/>
      <c r="ACE583"/>
      <c r="ACF583"/>
      <c r="ACG583"/>
      <c r="ACH583"/>
      <c r="ACI583"/>
      <c r="ACJ583"/>
      <c r="ACK583"/>
      <c r="ACL583"/>
      <c r="ACM583"/>
      <c r="ACN583"/>
      <c r="ACO583"/>
      <c r="ACP583"/>
      <c r="ACQ583"/>
      <c r="ACR583"/>
      <c r="ACS583"/>
      <c r="ACT583"/>
      <c r="ACU583"/>
      <c r="ACV583"/>
      <c r="ACW583"/>
      <c r="ACX583"/>
      <c r="ACY583"/>
      <c r="ACZ583"/>
      <c r="ADA583"/>
      <c r="ADB583"/>
      <c r="ADC583"/>
      <c r="ADD583"/>
      <c r="ADE583"/>
      <c r="ADF583"/>
      <c r="ADG583"/>
      <c r="ADH583"/>
      <c r="ADI583"/>
      <c r="ADJ583"/>
      <c r="ADK583"/>
      <c r="ADL583"/>
      <c r="ADM583"/>
      <c r="ADN583"/>
      <c r="ADO583"/>
      <c r="ADP583"/>
      <c r="ADQ583"/>
      <c r="ADR583"/>
      <c r="ADS583"/>
      <c r="ADT583"/>
      <c r="ADU583"/>
      <c r="ADV583"/>
      <c r="ADW583"/>
      <c r="ADX583"/>
      <c r="ADY583"/>
      <c r="ADZ583"/>
      <c r="AEA583"/>
      <c r="AEB583"/>
      <c r="AEC583"/>
      <c r="AED583"/>
      <c r="AEE583"/>
      <c r="AEF583"/>
      <c r="AEG583"/>
      <c r="AEH583"/>
      <c r="AEI583"/>
      <c r="AEJ583"/>
      <c r="AEK583"/>
      <c r="AEL583"/>
      <c r="AEM583"/>
      <c r="AEN583"/>
      <c r="AEO583"/>
      <c r="AEP583"/>
      <c r="AEQ583"/>
      <c r="AER583"/>
      <c r="AES583"/>
      <c r="AET583"/>
      <c r="AEU583"/>
      <c r="AEV583"/>
      <c r="AEW583"/>
      <c r="AEX583"/>
      <c r="AEY583"/>
      <c r="AEZ583"/>
      <c r="AFA583"/>
      <c r="AFB583"/>
      <c r="AFC583"/>
      <c r="AFD583"/>
      <c r="AFE583"/>
      <c r="AFF583"/>
      <c r="AFG583"/>
      <c r="AFH583"/>
      <c r="AFI583"/>
      <c r="AFJ583"/>
      <c r="AFK583"/>
      <c r="AFL583"/>
      <c r="AFM583"/>
      <c r="AFN583"/>
      <c r="AFO583"/>
      <c r="AFP583"/>
      <c r="AFQ583"/>
      <c r="AFR583"/>
      <c r="AFS583"/>
      <c r="AFT583"/>
      <c r="AFU583"/>
      <c r="AFV583"/>
      <c r="AFW583"/>
      <c r="AFX583"/>
      <c r="AFY583"/>
      <c r="AFZ583"/>
      <c r="AGA583"/>
      <c r="AGB583"/>
      <c r="AGC583"/>
      <c r="AGD583"/>
      <c r="AGE583"/>
      <c r="AGF583"/>
      <c r="AGG583"/>
      <c r="AGH583"/>
      <c r="AGI583"/>
      <c r="AGJ583"/>
      <c r="AGK583"/>
      <c r="AGL583"/>
      <c r="AGM583"/>
      <c r="AGN583"/>
      <c r="AGO583"/>
      <c r="AGP583"/>
      <c r="AGQ583"/>
      <c r="AGR583"/>
      <c r="AGS583"/>
      <c r="AGT583"/>
      <c r="AGU583"/>
      <c r="AGV583"/>
      <c r="AGW583"/>
      <c r="AGX583"/>
      <c r="AGY583"/>
      <c r="AGZ583"/>
      <c r="AHA583"/>
      <c r="AHB583"/>
      <c r="AHC583"/>
      <c r="AHD583"/>
      <c r="AHE583"/>
      <c r="AHF583"/>
      <c r="AHG583"/>
      <c r="AHH583"/>
      <c r="AHI583"/>
      <c r="AHJ583"/>
      <c r="AHK583"/>
      <c r="AHL583"/>
      <c r="AHM583"/>
      <c r="AHN583"/>
      <c r="AHO583"/>
      <c r="AHP583"/>
      <c r="AHQ583"/>
      <c r="AHR583"/>
      <c r="AHS583"/>
      <c r="AHT583"/>
      <c r="AHU583"/>
      <c r="AHV583"/>
      <c r="AHW583"/>
      <c r="AHX583"/>
      <c r="AHY583"/>
      <c r="AHZ583"/>
      <c r="AIA583"/>
      <c r="AIB583"/>
      <c r="AIC583"/>
      <c r="AID583"/>
      <c r="AIE583"/>
      <c r="AIF583"/>
      <c r="AIG583"/>
      <c r="AIH583"/>
      <c r="AII583"/>
      <c r="AIJ583"/>
      <c r="AIK583"/>
      <c r="AIL583"/>
      <c r="AIM583"/>
      <c r="AIN583"/>
      <c r="AIO583"/>
      <c r="AIP583"/>
      <c r="AIQ583"/>
      <c r="AIR583"/>
      <c r="AIS583"/>
      <c r="AIT583"/>
      <c r="AIU583"/>
      <c r="AIV583"/>
      <c r="AIW583"/>
      <c r="AIX583"/>
      <c r="AIY583"/>
      <c r="AIZ583"/>
      <c r="AJA583"/>
      <c r="AJB583"/>
      <c r="AJC583"/>
      <c r="AJD583"/>
      <c r="AJE583"/>
      <c r="AJF583"/>
      <c r="AJG583"/>
      <c r="AJH583"/>
      <c r="AJI583"/>
      <c r="AJJ583"/>
      <c r="AJK583"/>
      <c r="AJL583"/>
      <c r="AJM583"/>
      <c r="AJN583"/>
      <c r="AJO583"/>
      <c r="AJP583"/>
      <c r="AJQ583"/>
      <c r="AJR583"/>
      <c r="AJS583"/>
      <c r="AJT583"/>
      <c r="AJU583"/>
      <c r="AJV583"/>
      <c r="AJW583"/>
      <c r="AJX583"/>
      <c r="AJY583"/>
      <c r="AJZ583"/>
      <c r="AKA583"/>
      <c r="AKB583"/>
      <c r="AKC583"/>
      <c r="AKD583"/>
      <c r="AKE583"/>
      <c r="AKF583"/>
      <c r="AKG583"/>
      <c r="AKH583"/>
      <c r="AKI583"/>
      <c r="AKJ583"/>
      <c r="AKK583"/>
      <c r="AKL583"/>
      <c r="AKM583"/>
      <c r="AKN583"/>
      <c r="AKO583"/>
      <c r="AKP583"/>
      <c r="AKQ583"/>
      <c r="AKR583"/>
      <c r="AKS583"/>
      <c r="AKT583"/>
      <c r="AKU583"/>
      <c r="AKV583"/>
      <c r="AKW583"/>
      <c r="AKX583"/>
      <c r="AKY583"/>
      <c r="AKZ583"/>
      <c r="ALA583"/>
      <c r="ALB583"/>
      <c r="ALC583"/>
      <c r="ALD583"/>
      <c r="ALE583"/>
      <c r="ALF583"/>
      <c r="ALG583"/>
      <c r="ALH583"/>
      <c r="ALI583"/>
      <c r="ALJ583"/>
      <c r="ALK583"/>
      <c r="ALL583"/>
      <c r="ALM583"/>
      <c r="ALN583"/>
      <c r="ALO583"/>
      <c r="ALP583"/>
      <c r="ALQ583"/>
      <c r="ALR583"/>
      <c r="ALS583"/>
      <c r="ALT583"/>
      <c r="ALU583"/>
      <c r="ALV583"/>
      <c r="ALW583"/>
      <c r="ALX583"/>
      <c r="ALY583"/>
      <c r="ALZ583"/>
      <c r="AMA583"/>
      <c r="AMB583"/>
      <c r="AMC583"/>
      <c r="AMD583"/>
    </row>
    <row r="584" spans="1:1018">
      <c r="A584" s="421" t="s">
        <v>386</v>
      </c>
      <c r="B584" s="282"/>
      <c r="C584" s="282" t="s">
        <v>387</v>
      </c>
      <c r="D584" s="282"/>
      <c r="E584" s="178">
        <f>+E583+1</f>
        <v>3</v>
      </c>
      <c r="F584" s="277" t="s">
        <v>1515</v>
      </c>
      <c r="G584" s="282">
        <v>0.15</v>
      </c>
      <c r="H584" s="282">
        <v>10</v>
      </c>
      <c r="I584" s="282"/>
      <c r="J584" s="175"/>
      <c r="K584" s="201">
        <v>4109.33</v>
      </c>
      <c r="L584" s="201"/>
      <c r="M584" s="201"/>
      <c r="N584" s="195">
        <f t="shared" si="60"/>
        <v>4109.33</v>
      </c>
      <c r="O584" s="303">
        <v>13460</v>
      </c>
      <c r="P584" s="304">
        <v>1800</v>
      </c>
      <c r="Q584" s="304">
        <v>300</v>
      </c>
      <c r="R584" s="305">
        <v>3528</v>
      </c>
      <c r="S584" s="306">
        <v>3620</v>
      </c>
      <c r="T584" s="306"/>
      <c r="U584" s="9">
        <v>370</v>
      </c>
      <c r="V584" s="9">
        <v>370</v>
      </c>
      <c r="W584" s="291">
        <v>0</v>
      </c>
      <c r="X584" s="289">
        <v>4314.79</v>
      </c>
      <c r="Y584" s="289">
        <v>4109.33</v>
      </c>
      <c r="Z584" s="315">
        <v>4109.33</v>
      </c>
      <c r="AA584" s="307"/>
      <c r="AB584" s="289"/>
      <c r="AC584" s="289"/>
      <c r="AD584" s="307"/>
      <c r="AE584" s="307"/>
      <c r="AF584" s="307"/>
      <c r="AG584" s="307"/>
      <c r="AH584" s="291">
        <v>0</v>
      </c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  <c r="ZW584"/>
      <c r="ZX584"/>
      <c r="ZY584"/>
      <c r="ZZ584"/>
      <c r="AAA584"/>
      <c r="AAB584"/>
      <c r="AAC584"/>
      <c r="AAD584"/>
      <c r="AAE584"/>
      <c r="AAF584"/>
      <c r="AAG584"/>
      <c r="AAH584"/>
      <c r="AAI584"/>
      <c r="AAJ584"/>
      <c r="AAK584"/>
      <c r="AAL584"/>
      <c r="AAM584"/>
      <c r="AAN584"/>
      <c r="AAO584"/>
      <c r="AAP584"/>
      <c r="AAQ584"/>
      <c r="AAR584"/>
      <c r="AAS584"/>
      <c r="AAT584"/>
      <c r="AAU584"/>
      <c r="AAV584"/>
      <c r="AAW584"/>
      <c r="AAX584"/>
      <c r="AAY584"/>
      <c r="AAZ584"/>
      <c r="ABA584"/>
      <c r="ABB584"/>
      <c r="ABC584"/>
      <c r="ABD584"/>
      <c r="ABE584"/>
      <c r="ABF584"/>
      <c r="ABG584"/>
      <c r="ABH584"/>
      <c r="ABI584"/>
      <c r="ABJ584"/>
      <c r="ABK584"/>
      <c r="ABL584"/>
      <c r="ABM584"/>
      <c r="ABN584"/>
      <c r="ABO584"/>
      <c r="ABP584"/>
      <c r="ABQ584"/>
      <c r="ABR584"/>
      <c r="ABS584"/>
      <c r="ABT584"/>
      <c r="ABU584"/>
      <c r="ABV584"/>
      <c r="ABW584"/>
      <c r="ABX584"/>
      <c r="ABY584"/>
      <c r="ABZ584"/>
      <c r="ACA584"/>
      <c r="ACB584"/>
      <c r="ACC584"/>
      <c r="ACD584"/>
      <c r="ACE584"/>
      <c r="ACF584"/>
      <c r="ACG584"/>
      <c r="ACH584"/>
      <c r="ACI584"/>
      <c r="ACJ584"/>
      <c r="ACK584"/>
      <c r="ACL584"/>
      <c r="ACM584"/>
      <c r="ACN584"/>
      <c r="ACO584"/>
      <c r="ACP584"/>
      <c r="ACQ584"/>
      <c r="ACR584"/>
      <c r="ACS584"/>
      <c r="ACT584"/>
      <c r="ACU584"/>
      <c r="ACV584"/>
      <c r="ACW584"/>
      <c r="ACX584"/>
      <c r="ACY584"/>
      <c r="ACZ584"/>
      <c r="ADA584"/>
      <c r="ADB584"/>
      <c r="ADC584"/>
      <c r="ADD584"/>
      <c r="ADE584"/>
      <c r="ADF584"/>
      <c r="ADG584"/>
      <c r="ADH584"/>
      <c r="ADI584"/>
      <c r="ADJ584"/>
      <c r="ADK584"/>
      <c r="ADL584"/>
      <c r="ADM584"/>
      <c r="ADN584"/>
      <c r="ADO584"/>
      <c r="ADP584"/>
      <c r="ADQ584"/>
      <c r="ADR584"/>
      <c r="ADS584"/>
      <c r="ADT584"/>
      <c r="ADU584"/>
      <c r="ADV584"/>
      <c r="ADW584"/>
      <c r="ADX584"/>
      <c r="ADY584"/>
      <c r="ADZ584"/>
      <c r="AEA584"/>
      <c r="AEB584"/>
      <c r="AEC584"/>
      <c r="AED584"/>
      <c r="AEE584"/>
      <c r="AEF584"/>
      <c r="AEG584"/>
      <c r="AEH584"/>
      <c r="AEI584"/>
      <c r="AEJ584"/>
      <c r="AEK584"/>
      <c r="AEL584"/>
      <c r="AEM584"/>
      <c r="AEN584"/>
      <c r="AEO584"/>
      <c r="AEP584"/>
      <c r="AEQ584"/>
      <c r="AER584"/>
      <c r="AES584"/>
      <c r="AET584"/>
      <c r="AEU584"/>
      <c r="AEV584"/>
      <c r="AEW584"/>
      <c r="AEX584"/>
      <c r="AEY584"/>
      <c r="AEZ584"/>
      <c r="AFA584"/>
      <c r="AFB584"/>
      <c r="AFC584"/>
      <c r="AFD584"/>
      <c r="AFE584"/>
      <c r="AFF584"/>
      <c r="AFG584"/>
      <c r="AFH584"/>
      <c r="AFI584"/>
      <c r="AFJ584"/>
      <c r="AFK584"/>
      <c r="AFL584"/>
      <c r="AFM584"/>
      <c r="AFN584"/>
      <c r="AFO584"/>
      <c r="AFP584"/>
      <c r="AFQ584"/>
      <c r="AFR584"/>
      <c r="AFS584"/>
      <c r="AFT584"/>
      <c r="AFU584"/>
      <c r="AFV584"/>
      <c r="AFW584"/>
      <c r="AFX584"/>
      <c r="AFY584"/>
      <c r="AFZ584"/>
      <c r="AGA584"/>
      <c r="AGB584"/>
      <c r="AGC584"/>
      <c r="AGD584"/>
      <c r="AGE584"/>
      <c r="AGF584"/>
      <c r="AGG584"/>
      <c r="AGH584"/>
      <c r="AGI584"/>
      <c r="AGJ584"/>
      <c r="AGK584"/>
      <c r="AGL584"/>
      <c r="AGM584"/>
      <c r="AGN584"/>
      <c r="AGO584"/>
      <c r="AGP584"/>
      <c r="AGQ584"/>
      <c r="AGR584"/>
      <c r="AGS584"/>
      <c r="AGT584"/>
      <c r="AGU584"/>
      <c r="AGV584"/>
      <c r="AGW584"/>
      <c r="AGX584"/>
      <c r="AGY584"/>
      <c r="AGZ584"/>
      <c r="AHA584"/>
      <c r="AHB584"/>
      <c r="AHC584"/>
      <c r="AHD584"/>
      <c r="AHE584"/>
      <c r="AHF584"/>
      <c r="AHG584"/>
      <c r="AHH584"/>
      <c r="AHI584"/>
      <c r="AHJ584"/>
      <c r="AHK584"/>
      <c r="AHL584"/>
      <c r="AHM584"/>
      <c r="AHN584"/>
      <c r="AHO584"/>
      <c r="AHP584"/>
      <c r="AHQ584"/>
      <c r="AHR584"/>
      <c r="AHS584"/>
      <c r="AHT584"/>
      <c r="AHU584"/>
      <c r="AHV584"/>
      <c r="AHW584"/>
      <c r="AHX584"/>
      <c r="AHY584"/>
      <c r="AHZ584"/>
      <c r="AIA584"/>
      <c r="AIB584"/>
      <c r="AIC584"/>
      <c r="AID584"/>
      <c r="AIE584"/>
      <c r="AIF584"/>
      <c r="AIG584"/>
      <c r="AIH584"/>
      <c r="AII584"/>
      <c r="AIJ584"/>
      <c r="AIK584"/>
      <c r="AIL584"/>
      <c r="AIM584"/>
      <c r="AIN584"/>
      <c r="AIO584"/>
      <c r="AIP584"/>
      <c r="AIQ584"/>
      <c r="AIR584"/>
      <c r="AIS584"/>
      <c r="AIT584"/>
      <c r="AIU584"/>
      <c r="AIV584"/>
      <c r="AIW584"/>
      <c r="AIX584"/>
      <c r="AIY584"/>
      <c r="AIZ584"/>
      <c r="AJA584"/>
      <c r="AJB584"/>
      <c r="AJC584"/>
      <c r="AJD584"/>
      <c r="AJE584"/>
      <c r="AJF584"/>
      <c r="AJG584"/>
      <c r="AJH584"/>
      <c r="AJI584"/>
      <c r="AJJ584"/>
      <c r="AJK584"/>
      <c r="AJL584"/>
      <c r="AJM584"/>
      <c r="AJN584"/>
      <c r="AJO584"/>
      <c r="AJP584"/>
      <c r="AJQ584"/>
      <c r="AJR584"/>
      <c r="AJS584"/>
      <c r="AJT584"/>
      <c r="AJU584"/>
      <c r="AJV584"/>
      <c r="AJW584"/>
      <c r="AJX584"/>
      <c r="AJY584"/>
      <c r="AJZ584"/>
      <c r="AKA584"/>
      <c r="AKB584"/>
      <c r="AKC584"/>
      <c r="AKD584"/>
      <c r="AKE584"/>
      <c r="AKF584"/>
      <c r="AKG584"/>
      <c r="AKH584"/>
      <c r="AKI584"/>
      <c r="AKJ584"/>
      <c r="AKK584"/>
      <c r="AKL584"/>
      <c r="AKM584"/>
      <c r="AKN584"/>
      <c r="AKO584"/>
      <c r="AKP584"/>
      <c r="AKQ584"/>
      <c r="AKR584"/>
      <c r="AKS584"/>
      <c r="AKT584"/>
      <c r="AKU584"/>
      <c r="AKV584"/>
      <c r="AKW584"/>
      <c r="AKX584"/>
      <c r="AKY584"/>
      <c r="AKZ584"/>
      <c r="ALA584"/>
      <c r="ALB584"/>
      <c r="ALC584"/>
      <c r="ALD584"/>
      <c r="ALE584"/>
      <c r="ALF584"/>
      <c r="ALG584"/>
      <c r="ALH584"/>
      <c r="ALI584"/>
      <c r="ALJ584"/>
      <c r="ALK584"/>
      <c r="ALL584"/>
      <c r="ALM584"/>
      <c r="ALN584"/>
      <c r="ALO584"/>
      <c r="ALP584"/>
      <c r="ALQ584"/>
      <c r="ALR584"/>
      <c r="ALS584"/>
      <c r="ALT584"/>
      <c r="ALU584"/>
      <c r="ALV584"/>
      <c r="ALW584"/>
      <c r="ALX584"/>
      <c r="ALY584"/>
      <c r="ALZ584"/>
      <c r="AMA584"/>
      <c r="AMB584"/>
      <c r="AMC584"/>
      <c r="AMD584"/>
    </row>
    <row r="585" spans="1:1018">
      <c r="A585" s="421" t="s">
        <v>388</v>
      </c>
      <c r="B585" s="282"/>
      <c r="C585" s="282" t="s">
        <v>387</v>
      </c>
      <c r="D585" s="282"/>
      <c r="E585" s="178">
        <f>+E584+1</f>
        <v>4</v>
      </c>
      <c r="F585" s="277" t="s">
        <v>1516</v>
      </c>
      <c r="G585" s="282">
        <v>0.15</v>
      </c>
      <c r="H585" s="282">
        <v>10</v>
      </c>
      <c r="I585" s="282"/>
      <c r="J585" s="175"/>
      <c r="K585" s="201">
        <v>4109.33</v>
      </c>
      <c r="L585" s="201"/>
      <c r="M585" s="201"/>
      <c r="N585" s="195">
        <f t="shared" si="60"/>
        <v>4109.33</v>
      </c>
      <c r="O585" s="303">
        <v>13460</v>
      </c>
      <c r="P585" s="304">
        <v>1800</v>
      </c>
      <c r="Q585" s="304">
        <v>300</v>
      </c>
      <c r="R585" s="305">
        <v>3528</v>
      </c>
      <c r="S585" s="306">
        <f>184+1718</f>
        <v>1902</v>
      </c>
      <c r="T585" s="306" t="s">
        <v>1517</v>
      </c>
      <c r="U585" s="9">
        <v>370</v>
      </c>
      <c r="V585" s="9">
        <v>370</v>
      </c>
      <c r="W585" s="291">
        <v>0</v>
      </c>
      <c r="X585" s="291">
        <v>4109.33</v>
      </c>
      <c r="Y585" s="291">
        <v>4314.8</v>
      </c>
      <c r="Z585" s="307"/>
      <c r="AA585" s="307"/>
      <c r="AB585" s="307"/>
      <c r="AC585" s="307"/>
      <c r="AD585" s="307"/>
      <c r="AE585" s="307"/>
      <c r="AF585" s="307"/>
      <c r="AG585" s="307"/>
      <c r="AH585" s="291">
        <v>0</v>
      </c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  <c r="ZW585"/>
      <c r="ZX585"/>
      <c r="ZY585"/>
      <c r="ZZ585"/>
      <c r="AAA585"/>
      <c r="AAB585"/>
      <c r="AAC585"/>
      <c r="AAD585"/>
      <c r="AAE585"/>
      <c r="AAF585"/>
      <c r="AAG585"/>
      <c r="AAH585"/>
      <c r="AAI585"/>
      <c r="AAJ585"/>
      <c r="AAK585"/>
      <c r="AAL585"/>
      <c r="AAM585"/>
      <c r="AAN585"/>
      <c r="AAO585"/>
      <c r="AAP585"/>
      <c r="AAQ585"/>
      <c r="AAR585"/>
      <c r="AAS585"/>
      <c r="AAT585"/>
      <c r="AAU585"/>
      <c r="AAV585"/>
      <c r="AAW585"/>
      <c r="AAX585"/>
      <c r="AAY585"/>
      <c r="AAZ585"/>
      <c r="ABA585"/>
      <c r="ABB585"/>
      <c r="ABC585"/>
      <c r="ABD585"/>
      <c r="ABE585"/>
      <c r="ABF585"/>
      <c r="ABG585"/>
      <c r="ABH585"/>
      <c r="ABI585"/>
      <c r="ABJ585"/>
      <c r="ABK585"/>
      <c r="ABL585"/>
      <c r="ABM585"/>
      <c r="ABN585"/>
      <c r="ABO585"/>
      <c r="ABP585"/>
      <c r="ABQ585"/>
      <c r="ABR585"/>
      <c r="ABS585"/>
      <c r="ABT585"/>
      <c r="ABU585"/>
      <c r="ABV585"/>
      <c r="ABW585"/>
      <c r="ABX585"/>
      <c r="ABY585"/>
      <c r="ABZ585"/>
      <c r="ACA585"/>
      <c r="ACB585"/>
      <c r="ACC585"/>
      <c r="ACD585"/>
      <c r="ACE585"/>
      <c r="ACF585"/>
      <c r="ACG585"/>
      <c r="ACH585"/>
      <c r="ACI585"/>
      <c r="ACJ585"/>
      <c r="ACK585"/>
      <c r="ACL585"/>
      <c r="ACM585"/>
      <c r="ACN585"/>
      <c r="ACO585"/>
      <c r="ACP585"/>
      <c r="ACQ585"/>
      <c r="ACR585"/>
      <c r="ACS585"/>
      <c r="ACT585"/>
      <c r="ACU585"/>
      <c r="ACV585"/>
      <c r="ACW585"/>
      <c r="ACX585"/>
      <c r="ACY585"/>
      <c r="ACZ585"/>
      <c r="ADA585"/>
      <c r="ADB585"/>
      <c r="ADC585"/>
      <c r="ADD585"/>
      <c r="ADE585"/>
      <c r="ADF585"/>
      <c r="ADG585"/>
      <c r="ADH585"/>
      <c r="ADI585"/>
      <c r="ADJ585"/>
      <c r="ADK585"/>
      <c r="ADL585"/>
      <c r="ADM585"/>
      <c r="ADN585"/>
      <c r="ADO585"/>
      <c r="ADP585"/>
      <c r="ADQ585"/>
      <c r="ADR585"/>
      <c r="ADS585"/>
      <c r="ADT585"/>
      <c r="ADU585"/>
      <c r="ADV585"/>
      <c r="ADW585"/>
      <c r="ADX585"/>
      <c r="ADY585"/>
      <c r="ADZ585"/>
      <c r="AEA585"/>
      <c r="AEB585"/>
      <c r="AEC585"/>
      <c r="AED585"/>
      <c r="AEE585"/>
      <c r="AEF585"/>
      <c r="AEG585"/>
      <c r="AEH585"/>
      <c r="AEI585"/>
      <c r="AEJ585"/>
      <c r="AEK585"/>
      <c r="AEL585"/>
      <c r="AEM585"/>
      <c r="AEN585"/>
      <c r="AEO585"/>
      <c r="AEP585"/>
      <c r="AEQ585"/>
      <c r="AER585"/>
      <c r="AES585"/>
      <c r="AET585"/>
      <c r="AEU585"/>
      <c r="AEV585"/>
      <c r="AEW585"/>
      <c r="AEX585"/>
      <c r="AEY585"/>
      <c r="AEZ585"/>
      <c r="AFA585"/>
      <c r="AFB585"/>
      <c r="AFC585"/>
      <c r="AFD585"/>
      <c r="AFE585"/>
      <c r="AFF585"/>
      <c r="AFG585"/>
      <c r="AFH585"/>
      <c r="AFI585"/>
      <c r="AFJ585"/>
      <c r="AFK585"/>
      <c r="AFL585"/>
      <c r="AFM585"/>
      <c r="AFN585"/>
      <c r="AFO585"/>
      <c r="AFP585"/>
      <c r="AFQ585"/>
      <c r="AFR585"/>
      <c r="AFS585"/>
      <c r="AFT585"/>
      <c r="AFU585"/>
      <c r="AFV585"/>
      <c r="AFW585"/>
      <c r="AFX585"/>
      <c r="AFY585"/>
      <c r="AFZ585"/>
      <c r="AGA585"/>
      <c r="AGB585"/>
      <c r="AGC585"/>
      <c r="AGD585"/>
      <c r="AGE585"/>
      <c r="AGF585"/>
      <c r="AGG585"/>
      <c r="AGH585"/>
      <c r="AGI585"/>
      <c r="AGJ585"/>
      <c r="AGK585"/>
      <c r="AGL585"/>
      <c r="AGM585"/>
      <c r="AGN585"/>
      <c r="AGO585"/>
      <c r="AGP585"/>
      <c r="AGQ585"/>
      <c r="AGR585"/>
      <c r="AGS585"/>
      <c r="AGT585"/>
      <c r="AGU585"/>
      <c r="AGV585"/>
      <c r="AGW585"/>
      <c r="AGX585"/>
      <c r="AGY585"/>
      <c r="AGZ585"/>
      <c r="AHA585"/>
      <c r="AHB585"/>
      <c r="AHC585"/>
      <c r="AHD585"/>
      <c r="AHE585"/>
      <c r="AHF585"/>
      <c r="AHG585"/>
      <c r="AHH585"/>
      <c r="AHI585"/>
      <c r="AHJ585"/>
      <c r="AHK585"/>
      <c r="AHL585"/>
      <c r="AHM585"/>
      <c r="AHN585"/>
      <c r="AHO585"/>
      <c r="AHP585"/>
      <c r="AHQ585"/>
      <c r="AHR585"/>
      <c r="AHS585"/>
      <c r="AHT585"/>
      <c r="AHU585"/>
      <c r="AHV585"/>
      <c r="AHW585"/>
      <c r="AHX585"/>
      <c r="AHY585"/>
      <c r="AHZ585"/>
      <c r="AIA585"/>
      <c r="AIB585"/>
      <c r="AIC585"/>
      <c r="AID585"/>
      <c r="AIE585"/>
      <c r="AIF585"/>
      <c r="AIG585"/>
      <c r="AIH585"/>
      <c r="AII585"/>
      <c r="AIJ585"/>
      <c r="AIK585"/>
      <c r="AIL585"/>
      <c r="AIM585"/>
      <c r="AIN585"/>
      <c r="AIO585"/>
      <c r="AIP585"/>
      <c r="AIQ585"/>
      <c r="AIR585"/>
      <c r="AIS585"/>
      <c r="AIT585"/>
      <c r="AIU585"/>
      <c r="AIV585"/>
      <c r="AIW585"/>
      <c r="AIX585"/>
      <c r="AIY585"/>
      <c r="AIZ585"/>
      <c r="AJA585"/>
      <c r="AJB585"/>
      <c r="AJC585"/>
      <c r="AJD585"/>
      <c r="AJE585"/>
      <c r="AJF585"/>
      <c r="AJG585"/>
      <c r="AJH585"/>
      <c r="AJI585"/>
      <c r="AJJ585"/>
      <c r="AJK585"/>
      <c r="AJL585"/>
      <c r="AJM585"/>
      <c r="AJN585"/>
      <c r="AJO585"/>
      <c r="AJP585"/>
      <c r="AJQ585"/>
      <c r="AJR585"/>
      <c r="AJS585"/>
      <c r="AJT585"/>
      <c r="AJU585"/>
      <c r="AJV585"/>
      <c r="AJW585"/>
      <c r="AJX585"/>
      <c r="AJY585"/>
      <c r="AJZ585"/>
      <c r="AKA585"/>
      <c r="AKB585"/>
      <c r="AKC585"/>
      <c r="AKD585"/>
      <c r="AKE585"/>
      <c r="AKF585"/>
      <c r="AKG585"/>
      <c r="AKH585"/>
      <c r="AKI585"/>
      <c r="AKJ585"/>
      <c r="AKK585"/>
      <c r="AKL585"/>
      <c r="AKM585"/>
      <c r="AKN585"/>
      <c r="AKO585"/>
      <c r="AKP585"/>
      <c r="AKQ585"/>
      <c r="AKR585"/>
      <c r="AKS585"/>
      <c r="AKT585"/>
      <c r="AKU585"/>
      <c r="AKV585"/>
      <c r="AKW585"/>
      <c r="AKX585"/>
      <c r="AKY585"/>
      <c r="AKZ585"/>
      <c r="ALA585"/>
      <c r="ALB585"/>
      <c r="ALC585"/>
      <c r="ALD585"/>
      <c r="ALE585"/>
      <c r="ALF585"/>
      <c r="ALG585"/>
      <c r="ALH585"/>
      <c r="ALI585"/>
      <c r="ALJ585"/>
      <c r="ALK585"/>
      <c r="ALL585"/>
      <c r="ALM585"/>
      <c r="ALN585"/>
      <c r="ALO585"/>
      <c r="ALP585"/>
      <c r="ALQ585"/>
      <c r="ALR585"/>
      <c r="ALS585"/>
      <c r="ALT585"/>
      <c r="ALU585"/>
      <c r="ALV585"/>
      <c r="ALW585"/>
      <c r="ALX585"/>
      <c r="ALY585"/>
      <c r="ALZ585"/>
      <c r="AMA585"/>
      <c r="AMB585"/>
      <c r="AMC585"/>
      <c r="AMD585"/>
    </row>
    <row r="586" spans="1:1018">
      <c r="A586" s="549" t="s">
        <v>389</v>
      </c>
      <c r="B586" s="293"/>
      <c r="C586" s="293" t="s">
        <v>390</v>
      </c>
      <c r="D586" s="293"/>
      <c r="E586" s="178">
        <f t="shared" ref="E586:E609" si="61">+E585+1</f>
        <v>5</v>
      </c>
      <c r="F586" s="280" t="s">
        <v>1518</v>
      </c>
      <c r="G586" s="282"/>
      <c r="H586" s="282">
        <v>10</v>
      </c>
      <c r="I586" s="282"/>
      <c r="J586" s="175"/>
      <c r="K586" s="201">
        <v>4834.5</v>
      </c>
      <c r="L586" s="201">
        <v>1800</v>
      </c>
      <c r="M586" s="201"/>
      <c r="N586" s="195">
        <f t="shared" si="60"/>
        <v>6634.5</v>
      </c>
      <c r="O586" s="303">
        <v>13257</v>
      </c>
      <c r="P586" s="304">
        <v>1800</v>
      </c>
      <c r="Q586" s="304">
        <v>300</v>
      </c>
      <c r="R586" s="305" t="s">
        <v>1519</v>
      </c>
      <c r="S586" s="306">
        <v>3620</v>
      </c>
      <c r="T586" s="306"/>
      <c r="U586" s="9">
        <v>370</v>
      </c>
      <c r="V586" s="9"/>
      <c r="W586" s="291">
        <v>0</v>
      </c>
      <c r="X586" s="290">
        <v>6634.5</v>
      </c>
      <c r="Y586" s="290">
        <f>4834.5+1800</f>
        <v>6634.5</v>
      </c>
      <c r="Z586" s="290"/>
      <c r="AA586" s="290"/>
      <c r="AB586" s="290"/>
      <c r="AC586" s="290"/>
      <c r="AD586" s="290"/>
      <c r="AE586" s="290"/>
      <c r="AF586" s="290"/>
      <c r="AG586" s="291"/>
      <c r="AH586" s="291">
        <v>0</v>
      </c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  <c r="ZW586"/>
      <c r="ZX586"/>
      <c r="ZY586"/>
      <c r="ZZ586"/>
      <c r="AAA586"/>
      <c r="AAB586"/>
      <c r="AAC586"/>
      <c r="AAD586"/>
      <c r="AAE586"/>
      <c r="AAF586"/>
      <c r="AAG586"/>
      <c r="AAH586"/>
      <c r="AAI586"/>
      <c r="AAJ586"/>
      <c r="AAK586"/>
      <c r="AAL586"/>
      <c r="AAM586"/>
      <c r="AAN586"/>
      <c r="AAO586"/>
      <c r="AAP586"/>
      <c r="AAQ586"/>
      <c r="AAR586"/>
      <c r="AAS586"/>
      <c r="AAT586"/>
      <c r="AAU586"/>
      <c r="AAV586"/>
      <c r="AAW586"/>
      <c r="AAX586"/>
      <c r="AAY586"/>
      <c r="AAZ586"/>
      <c r="ABA586"/>
      <c r="ABB586"/>
      <c r="ABC586"/>
      <c r="ABD586"/>
      <c r="ABE586"/>
      <c r="ABF586"/>
      <c r="ABG586"/>
      <c r="ABH586"/>
      <c r="ABI586"/>
      <c r="ABJ586"/>
      <c r="ABK586"/>
      <c r="ABL586"/>
      <c r="ABM586"/>
      <c r="ABN586"/>
      <c r="ABO586"/>
      <c r="ABP586"/>
      <c r="ABQ586"/>
      <c r="ABR586"/>
      <c r="ABS586"/>
      <c r="ABT586"/>
      <c r="ABU586"/>
      <c r="ABV586"/>
      <c r="ABW586"/>
      <c r="ABX586"/>
      <c r="ABY586"/>
      <c r="ABZ586"/>
      <c r="ACA586"/>
      <c r="ACB586"/>
      <c r="ACC586"/>
      <c r="ACD586"/>
      <c r="ACE586"/>
      <c r="ACF586"/>
      <c r="ACG586"/>
      <c r="ACH586"/>
      <c r="ACI586"/>
      <c r="ACJ586"/>
      <c r="ACK586"/>
      <c r="ACL586"/>
      <c r="ACM586"/>
      <c r="ACN586"/>
      <c r="ACO586"/>
      <c r="ACP586"/>
      <c r="ACQ586"/>
      <c r="ACR586"/>
      <c r="ACS586"/>
      <c r="ACT586"/>
      <c r="ACU586"/>
      <c r="ACV586"/>
      <c r="ACW586"/>
      <c r="ACX586"/>
      <c r="ACY586"/>
      <c r="ACZ586"/>
      <c r="ADA586"/>
      <c r="ADB586"/>
      <c r="ADC586"/>
      <c r="ADD586"/>
      <c r="ADE586"/>
      <c r="ADF586"/>
      <c r="ADG586"/>
      <c r="ADH586"/>
      <c r="ADI586"/>
      <c r="ADJ586"/>
      <c r="ADK586"/>
      <c r="ADL586"/>
      <c r="ADM586"/>
      <c r="ADN586"/>
      <c r="ADO586"/>
      <c r="ADP586"/>
      <c r="ADQ586"/>
      <c r="ADR586"/>
      <c r="ADS586"/>
      <c r="ADT586"/>
      <c r="ADU586"/>
      <c r="ADV586"/>
      <c r="ADW586"/>
      <c r="ADX586"/>
      <c r="ADY586"/>
      <c r="ADZ586"/>
      <c r="AEA586"/>
      <c r="AEB586"/>
      <c r="AEC586"/>
      <c r="AED586"/>
      <c r="AEE586"/>
      <c r="AEF586"/>
      <c r="AEG586"/>
      <c r="AEH586"/>
      <c r="AEI586"/>
      <c r="AEJ586"/>
      <c r="AEK586"/>
      <c r="AEL586"/>
      <c r="AEM586"/>
      <c r="AEN586"/>
      <c r="AEO586"/>
      <c r="AEP586"/>
      <c r="AEQ586"/>
      <c r="AER586"/>
      <c r="AES586"/>
      <c r="AET586"/>
      <c r="AEU586"/>
      <c r="AEV586"/>
      <c r="AEW586"/>
      <c r="AEX586"/>
      <c r="AEY586"/>
      <c r="AEZ586"/>
      <c r="AFA586"/>
      <c r="AFB586"/>
      <c r="AFC586"/>
      <c r="AFD586"/>
      <c r="AFE586"/>
      <c r="AFF586"/>
      <c r="AFG586"/>
      <c r="AFH586"/>
      <c r="AFI586"/>
      <c r="AFJ586"/>
      <c r="AFK586"/>
      <c r="AFL586"/>
      <c r="AFM586"/>
      <c r="AFN586"/>
      <c r="AFO586"/>
      <c r="AFP586"/>
      <c r="AFQ586"/>
      <c r="AFR586"/>
      <c r="AFS586"/>
      <c r="AFT586"/>
      <c r="AFU586"/>
      <c r="AFV586"/>
      <c r="AFW586"/>
      <c r="AFX586"/>
      <c r="AFY586"/>
      <c r="AFZ586"/>
      <c r="AGA586"/>
      <c r="AGB586"/>
      <c r="AGC586"/>
      <c r="AGD586"/>
      <c r="AGE586"/>
      <c r="AGF586"/>
      <c r="AGG586"/>
      <c r="AGH586"/>
      <c r="AGI586"/>
      <c r="AGJ586"/>
      <c r="AGK586"/>
      <c r="AGL586"/>
      <c r="AGM586"/>
      <c r="AGN586"/>
      <c r="AGO586"/>
      <c r="AGP586"/>
      <c r="AGQ586"/>
      <c r="AGR586"/>
      <c r="AGS586"/>
      <c r="AGT586"/>
      <c r="AGU586"/>
      <c r="AGV586"/>
      <c r="AGW586"/>
      <c r="AGX586"/>
      <c r="AGY586"/>
      <c r="AGZ586"/>
      <c r="AHA586"/>
      <c r="AHB586"/>
      <c r="AHC586"/>
      <c r="AHD586"/>
      <c r="AHE586"/>
      <c r="AHF586"/>
      <c r="AHG586"/>
      <c r="AHH586"/>
      <c r="AHI586"/>
      <c r="AHJ586"/>
      <c r="AHK586"/>
      <c r="AHL586"/>
      <c r="AHM586"/>
      <c r="AHN586"/>
      <c r="AHO586"/>
      <c r="AHP586"/>
      <c r="AHQ586"/>
      <c r="AHR586"/>
      <c r="AHS586"/>
      <c r="AHT586"/>
      <c r="AHU586"/>
      <c r="AHV586"/>
      <c r="AHW586"/>
      <c r="AHX586"/>
      <c r="AHY586"/>
      <c r="AHZ586"/>
      <c r="AIA586"/>
      <c r="AIB586"/>
      <c r="AIC586"/>
      <c r="AID586"/>
      <c r="AIE586"/>
      <c r="AIF586"/>
      <c r="AIG586"/>
      <c r="AIH586"/>
      <c r="AII586"/>
      <c r="AIJ586"/>
      <c r="AIK586"/>
      <c r="AIL586"/>
      <c r="AIM586"/>
      <c r="AIN586"/>
      <c r="AIO586"/>
      <c r="AIP586"/>
      <c r="AIQ586"/>
      <c r="AIR586"/>
      <c r="AIS586"/>
      <c r="AIT586"/>
      <c r="AIU586"/>
      <c r="AIV586"/>
      <c r="AIW586"/>
      <c r="AIX586"/>
      <c r="AIY586"/>
      <c r="AIZ586"/>
      <c r="AJA586"/>
      <c r="AJB586"/>
      <c r="AJC586"/>
      <c r="AJD586"/>
      <c r="AJE586"/>
      <c r="AJF586"/>
      <c r="AJG586"/>
      <c r="AJH586"/>
      <c r="AJI586"/>
      <c r="AJJ586"/>
      <c r="AJK586"/>
      <c r="AJL586"/>
      <c r="AJM586"/>
      <c r="AJN586"/>
      <c r="AJO586"/>
      <c r="AJP586"/>
      <c r="AJQ586"/>
      <c r="AJR586"/>
      <c r="AJS586"/>
      <c r="AJT586"/>
      <c r="AJU586"/>
      <c r="AJV586"/>
      <c r="AJW586"/>
      <c r="AJX586"/>
      <c r="AJY586"/>
      <c r="AJZ586"/>
      <c r="AKA586"/>
      <c r="AKB586"/>
      <c r="AKC586"/>
      <c r="AKD586"/>
      <c r="AKE586"/>
      <c r="AKF586"/>
      <c r="AKG586"/>
      <c r="AKH586"/>
      <c r="AKI586"/>
      <c r="AKJ586"/>
      <c r="AKK586"/>
      <c r="AKL586"/>
      <c r="AKM586"/>
      <c r="AKN586"/>
      <c r="AKO586"/>
      <c r="AKP586"/>
      <c r="AKQ586"/>
      <c r="AKR586"/>
      <c r="AKS586"/>
      <c r="AKT586"/>
      <c r="AKU586"/>
      <c r="AKV586"/>
      <c r="AKW586"/>
      <c r="AKX586"/>
      <c r="AKY586"/>
      <c r="AKZ586"/>
      <c r="ALA586"/>
      <c r="ALB586"/>
      <c r="ALC586"/>
      <c r="ALD586"/>
      <c r="ALE586"/>
      <c r="ALF586"/>
      <c r="ALG586"/>
      <c r="ALH586"/>
      <c r="ALI586"/>
      <c r="ALJ586"/>
      <c r="ALK586"/>
      <c r="ALL586"/>
      <c r="ALM586"/>
      <c r="ALN586"/>
      <c r="ALO586"/>
      <c r="ALP586"/>
      <c r="ALQ586"/>
      <c r="ALR586"/>
      <c r="ALS586"/>
      <c r="ALT586"/>
      <c r="ALU586"/>
      <c r="ALV586"/>
      <c r="ALW586"/>
      <c r="ALX586"/>
      <c r="ALY586"/>
      <c r="ALZ586"/>
      <c r="AMA586"/>
      <c r="AMB586"/>
      <c r="AMC586"/>
      <c r="AMD586"/>
    </row>
    <row r="587" spans="1:1018">
      <c r="A587" s="547" t="s">
        <v>391</v>
      </c>
      <c r="B587" s="282"/>
      <c r="C587" s="282" t="s">
        <v>392</v>
      </c>
      <c r="D587" s="282"/>
      <c r="E587" s="178">
        <f t="shared" si="61"/>
        <v>6</v>
      </c>
      <c r="F587" s="277" t="s">
        <v>1520</v>
      </c>
      <c r="G587" s="282"/>
      <c r="H587" s="282">
        <v>10</v>
      </c>
      <c r="I587" s="282"/>
      <c r="J587" s="175"/>
      <c r="K587" s="201">
        <f>4834.5+633.1+270</f>
        <v>5737.6</v>
      </c>
      <c r="L587" s="201">
        <v>2105</v>
      </c>
      <c r="M587" s="201"/>
      <c r="N587" s="195">
        <f t="shared" si="60"/>
        <v>7842.6</v>
      </c>
      <c r="O587" s="303">
        <v>13752</v>
      </c>
      <c r="P587" s="304"/>
      <c r="Q587" s="304">
        <v>300</v>
      </c>
      <c r="R587" s="305">
        <v>3506</v>
      </c>
      <c r="S587" s="306">
        <v>3620</v>
      </c>
      <c r="T587" s="306"/>
      <c r="U587" s="9">
        <v>370</v>
      </c>
      <c r="V587" s="9"/>
      <c r="W587" s="291">
        <v>0</v>
      </c>
      <c r="X587" s="290">
        <v>7842.6</v>
      </c>
      <c r="Y587" s="290">
        <v>7842.6</v>
      </c>
      <c r="Z587" s="290"/>
      <c r="AA587" s="290"/>
      <c r="AB587" s="290"/>
      <c r="AC587" s="290"/>
      <c r="AD587" s="290"/>
      <c r="AE587" s="290"/>
      <c r="AF587" s="291"/>
      <c r="AG587" s="291"/>
      <c r="AH587" s="291">
        <v>0</v>
      </c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  <c r="ZW587"/>
      <c r="ZX587"/>
      <c r="ZY587"/>
      <c r="ZZ587"/>
      <c r="AAA587"/>
      <c r="AAB587"/>
      <c r="AAC587"/>
      <c r="AAD587"/>
      <c r="AAE587"/>
      <c r="AAF587"/>
      <c r="AAG587"/>
      <c r="AAH587"/>
      <c r="AAI587"/>
      <c r="AAJ587"/>
      <c r="AAK587"/>
      <c r="AAL587"/>
      <c r="AAM587"/>
      <c r="AAN587"/>
      <c r="AAO587"/>
      <c r="AAP587"/>
      <c r="AAQ587"/>
      <c r="AAR587"/>
      <c r="AAS587"/>
      <c r="AAT587"/>
      <c r="AAU587"/>
      <c r="AAV587"/>
      <c r="AAW587"/>
      <c r="AAX587"/>
      <c r="AAY587"/>
      <c r="AAZ587"/>
      <c r="ABA587"/>
      <c r="ABB587"/>
      <c r="ABC587"/>
      <c r="ABD587"/>
      <c r="ABE587"/>
      <c r="ABF587"/>
      <c r="ABG587"/>
      <c r="ABH587"/>
      <c r="ABI587"/>
      <c r="ABJ587"/>
      <c r="ABK587"/>
      <c r="ABL587"/>
      <c r="ABM587"/>
      <c r="ABN587"/>
      <c r="ABO587"/>
      <c r="ABP587"/>
      <c r="ABQ587"/>
      <c r="ABR587"/>
      <c r="ABS587"/>
      <c r="ABT587"/>
      <c r="ABU587"/>
      <c r="ABV587"/>
      <c r="ABW587"/>
      <c r="ABX587"/>
      <c r="ABY587"/>
      <c r="ABZ587"/>
      <c r="ACA587"/>
      <c r="ACB587"/>
      <c r="ACC587"/>
      <c r="ACD587"/>
      <c r="ACE587"/>
      <c r="ACF587"/>
      <c r="ACG587"/>
      <c r="ACH587"/>
      <c r="ACI587"/>
      <c r="ACJ587"/>
      <c r="ACK587"/>
      <c r="ACL587"/>
      <c r="ACM587"/>
      <c r="ACN587"/>
      <c r="ACO587"/>
      <c r="ACP587"/>
      <c r="ACQ587"/>
      <c r="ACR587"/>
      <c r="ACS587"/>
      <c r="ACT587"/>
      <c r="ACU587"/>
      <c r="ACV587"/>
      <c r="ACW587"/>
      <c r="ACX587"/>
      <c r="ACY587"/>
      <c r="ACZ587"/>
      <c r="ADA587"/>
      <c r="ADB587"/>
      <c r="ADC587"/>
      <c r="ADD587"/>
      <c r="ADE587"/>
      <c r="ADF587"/>
      <c r="ADG587"/>
      <c r="ADH587"/>
      <c r="ADI587"/>
      <c r="ADJ587"/>
      <c r="ADK587"/>
      <c r="ADL587"/>
      <c r="ADM587"/>
      <c r="ADN587"/>
      <c r="ADO587"/>
      <c r="ADP587"/>
      <c r="ADQ587"/>
      <c r="ADR587"/>
      <c r="ADS587"/>
      <c r="ADT587"/>
      <c r="ADU587"/>
      <c r="ADV587"/>
      <c r="ADW587"/>
      <c r="ADX587"/>
      <c r="ADY587"/>
      <c r="ADZ587"/>
      <c r="AEA587"/>
      <c r="AEB587"/>
      <c r="AEC587"/>
      <c r="AED587"/>
      <c r="AEE587"/>
      <c r="AEF587"/>
      <c r="AEG587"/>
      <c r="AEH587"/>
      <c r="AEI587"/>
      <c r="AEJ587"/>
      <c r="AEK587"/>
      <c r="AEL587"/>
      <c r="AEM587"/>
      <c r="AEN587"/>
      <c r="AEO587"/>
      <c r="AEP587"/>
      <c r="AEQ587"/>
      <c r="AER587"/>
      <c r="AES587"/>
      <c r="AET587"/>
      <c r="AEU587"/>
      <c r="AEV587"/>
      <c r="AEW587"/>
      <c r="AEX587"/>
      <c r="AEY587"/>
      <c r="AEZ587"/>
      <c r="AFA587"/>
      <c r="AFB587"/>
      <c r="AFC587"/>
      <c r="AFD587"/>
      <c r="AFE587"/>
      <c r="AFF587"/>
      <c r="AFG587"/>
      <c r="AFH587"/>
      <c r="AFI587"/>
      <c r="AFJ587"/>
      <c r="AFK587"/>
      <c r="AFL587"/>
      <c r="AFM587"/>
      <c r="AFN587"/>
      <c r="AFO587"/>
      <c r="AFP587"/>
      <c r="AFQ587"/>
      <c r="AFR587"/>
      <c r="AFS587"/>
      <c r="AFT587"/>
      <c r="AFU587"/>
      <c r="AFV587"/>
      <c r="AFW587"/>
      <c r="AFX587"/>
      <c r="AFY587"/>
      <c r="AFZ587"/>
      <c r="AGA587"/>
      <c r="AGB587"/>
      <c r="AGC587"/>
      <c r="AGD587"/>
      <c r="AGE587"/>
      <c r="AGF587"/>
      <c r="AGG587"/>
      <c r="AGH587"/>
      <c r="AGI587"/>
      <c r="AGJ587"/>
      <c r="AGK587"/>
      <c r="AGL587"/>
      <c r="AGM587"/>
      <c r="AGN587"/>
      <c r="AGO587"/>
      <c r="AGP587"/>
      <c r="AGQ587"/>
      <c r="AGR587"/>
      <c r="AGS587"/>
      <c r="AGT587"/>
      <c r="AGU587"/>
      <c r="AGV587"/>
      <c r="AGW587"/>
      <c r="AGX587"/>
      <c r="AGY587"/>
      <c r="AGZ587"/>
      <c r="AHA587"/>
      <c r="AHB587"/>
      <c r="AHC587"/>
      <c r="AHD587"/>
      <c r="AHE587"/>
      <c r="AHF587"/>
      <c r="AHG587"/>
      <c r="AHH587"/>
      <c r="AHI587"/>
      <c r="AHJ587"/>
      <c r="AHK587"/>
      <c r="AHL587"/>
      <c r="AHM587"/>
      <c r="AHN587"/>
      <c r="AHO587"/>
      <c r="AHP587"/>
      <c r="AHQ587"/>
      <c r="AHR587"/>
      <c r="AHS587"/>
      <c r="AHT587"/>
      <c r="AHU587"/>
      <c r="AHV587"/>
      <c r="AHW587"/>
      <c r="AHX587"/>
      <c r="AHY587"/>
      <c r="AHZ587"/>
      <c r="AIA587"/>
      <c r="AIB587"/>
      <c r="AIC587"/>
      <c r="AID587"/>
      <c r="AIE587"/>
      <c r="AIF587"/>
      <c r="AIG587"/>
      <c r="AIH587"/>
      <c r="AII587"/>
      <c r="AIJ587"/>
      <c r="AIK587"/>
      <c r="AIL587"/>
      <c r="AIM587"/>
      <c r="AIN587"/>
      <c r="AIO587"/>
      <c r="AIP587"/>
      <c r="AIQ587"/>
      <c r="AIR587"/>
      <c r="AIS587"/>
      <c r="AIT587"/>
      <c r="AIU587"/>
      <c r="AIV587"/>
      <c r="AIW587"/>
      <c r="AIX587"/>
      <c r="AIY587"/>
      <c r="AIZ587"/>
      <c r="AJA587"/>
      <c r="AJB587"/>
      <c r="AJC587"/>
      <c r="AJD587"/>
      <c r="AJE587"/>
      <c r="AJF587"/>
      <c r="AJG587"/>
      <c r="AJH587"/>
      <c r="AJI587"/>
      <c r="AJJ587"/>
      <c r="AJK587"/>
      <c r="AJL587"/>
      <c r="AJM587"/>
      <c r="AJN587"/>
      <c r="AJO587"/>
      <c r="AJP587"/>
      <c r="AJQ587"/>
      <c r="AJR587"/>
      <c r="AJS587"/>
      <c r="AJT587"/>
      <c r="AJU587"/>
      <c r="AJV587"/>
      <c r="AJW587"/>
      <c r="AJX587"/>
      <c r="AJY587"/>
      <c r="AJZ587"/>
      <c r="AKA587"/>
      <c r="AKB587"/>
      <c r="AKC587"/>
      <c r="AKD587"/>
      <c r="AKE587"/>
      <c r="AKF587"/>
      <c r="AKG587"/>
      <c r="AKH587"/>
      <c r="AKI587"/>
      <c r="AKJ587"/>
      <c r="AKK587"/>
      <c r="AKL587"/>
      <c r="AKM587"/>
      <c r="AKN587"/>
      <c r="AKO587"/>
      <c r="AKP587"/>
      <c r="AKQ587"/>
      <c r="AKR587"/>
      <c r="AKS587"/>
      <c r="AKT587"/>
      <c r="AKU587"/>
      <c r="AKV587"/>
      <c r="AKW587"/>
      <c r="AKX587"/>
      <c r="AKY587"/>
      <c r="AKZ587"/>
      <c r="ALA587"/>
      <c r="ALB587"/>
      <c r="ALC587"/>
      <c r="ALD587"/>
      <c r="ALE587"/>
      <c r="ALF587"/>
      <c r="ALG587"/>
      <c r="ALH587"/>
      <c r="ALI587"/>
      <c r="ALJ587"/>
      <c r="ALK587"/>
      <c r="ALL587"/>
      <c r="ALM587"/>
      <c r="ALN587"/>
      <c r="ALO587"/>
      <c r="ALP587"/>
      <c r="ALQ587"/>
      <c r="ALR587"/>
      <c r="ALS587"/>
      <c r="ALT587"/>
      <c r="ALU587"/>
      <c r="ALV587"/>
      <c r="ALW587"/>
      <c r="ALX587"/>
      <c r="ALY587"/>
      <c r="ALZ587"/>
      <c r="AMA587"/>
      <c r="AMB587"/>
      <c r="AMC587"/>
      <c r="AMD587"/>
    </row>
    <row r="588" spans="1:1018">
      <c r="A588" s="421" t="s">
        <v>393</v>
      </c>
      <c r="B588" s="282"/>
      <c r="C588" s="282" t="s">
        <v>394</v>
      </c>
      <c r="D588" s="282"/>
      <c r="E588" s="178">
        <f t="shared" si="61"/>
        <v>7</v>
      </c>
      <c r="F588" s="277" t="s">
        <v>1521</v>
      </c>
      <c r="G588" s="282">
        <v>0.15</v>
      </c>
      <c r="H588" s="282">
        <v>10</v>
      </c>
      <c r="I588" s="282"/>
      <c r="J588" s="175"/>
      <c r="K588" s="201"/>
      <c r="L588" s="201"/>
      <c r="M588" s="201"/>
      <c r="N588" s="195">
        <f t="shared" si="60"/>
        <v>0</v>
      </c>
      <c r="O588" s="303"/>
      <c r="P588" s="304"/>
      <c r="Q588" s="304"/>
      <c r="R588" s="305"/>
      <c r="S588" s="306"/>
      <c r="T588" s="306"/>
      <c r="U588" s="585">
        <v>0</v>
      </c>
      <c r="V588" s="585">
        <v>0</v>
      </c>
      <c r="W588" s="291"/>
      <c r="X588" s="291"/>
      <c r="Y588" s="291"/>
      <c r="Z588" s="291"/>
      <c r="AA588" s="291"/>
      <c r="AB588" s="291"/>
      <c r="AC588" s="291"/>
      <c r="AD588" s="291"/>
      <c r="AE588" s="291"/>
      <c r="AF588" s="291"/>
      <c r="AG588" s="291"/>
      <c r="AH588" s="291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  <c r="ZW588"/>
      <c r="ZX588"/>
      <c r="ZY588"/>
      <c r="ZZ588"/>
      <c r="AAA588"/>
      <c r="AAB588"/>
      <c r="AAC588"/>
      <c r="AAD588"/>
      <c r="AAE588"/>
      <c r="AAF588"/>
      <c r="AAG588"/>
      <c r="AAH588"/>
      <c r="AAI588"/>
      <c r="AAJ588"/>
      <c r="AAK588"/>
      <c r="AAL588"/>
      <c r="AAM588"/>
      <c r="AAN588"/>
      <c r="AAO588"/>
      <c r="AAP588"/>
      <c r="AAQ588"/>
      <c r="AAR588"/>
      <c r="AAS588"/>
      <c r="AAT588"/>
      <c r="AAU588"/>
      <c r="AAV588"/>
      <c r="AAW588"/>
      <c r="AAX588"/>
      <c r="AAY588"/>
      <c r="AAZ588"/>
      <c r="ABA588"/>
      <c r="ABB588"/>
      <c r="ABC588"/>
      <c r="ABD588"/>
      <c r="ABE588"/>
      <c r="ABF588"/>
      <c r="ABG588"/>
      <c r="ABH588"/>
      <c r="ABI588"/>
      <c r="ABJ588"/>
      <c r="ABK588"/>
      <c r="ABL588"/>
      <c r="ABM588"/>
      <c r="ABN588"/>
      <c r="ABO588"/>
      <c r="ABP588"/>
      <c r="ABQ588"/>
      <c r="ABR588"/>
      <c r="ABS588"/>
      <c r="ABT588"/>
      <c r="ABU588"/>
      <c r="ABV588"/>
      <c r="ABW588"/>
      <c r="ABX588"/>
      <c r="ABY588"/>
      <c r="ABZ588"/>
      <c r="ACA588"/>
      <c r="ACB588"/>
      <c r="ACC588"/>
      <c r="ACD588"/>
      <c r="ACE588"/>
      <c r="ACF588"/>
      <c r="ACG588"/>
      <c r="ACH588"/>
      <c r="ACI588"/>
      <c r="ACJ588"/>
      <c r="ACK588"/>
      <c r="ACL588"/>
      <c r="ACM588"/>
      <c r="ACN588"/>
      <c r="ACO588"/>
      <c r="ACP588"/>
      <c r="ACQ588"/>
      <c r="ACR588"/>
      <c r="ACS588"/>
      <c r="ACT588"/>
      <c r="ACU588"/>
      <c r="ACV588"/>
      <c r="ACW588"/>
      <c r="ACX588"/>
      <c r="ACY588"/>
      <c r="ACZ588"/>
      <c r="ADA588"/>
      <c r="ADB588"/>
      <c r="ADC588"/>
      <c r="ADD588"/>
      <c r="ADE588"/>
      <c r="ADF588"/>
      <c r="ADG588"/>
      <c r="ADH588"/>
      <c r="ADI588"/>
      <c r="ADJ588"/>
      <c r="ADK588"/>
      <c r="ADL588"/>
      <c r="ADM588"/>
      <c r="ADN588"/>
      <c r="ADO588"/>
      <c r="ADP588"/>
      <c r="ADQ588"/>
      <c r="ADR588"/>
      <c r="ADS588"/>
      <c r="ADT588"/>
      <c r="ADU588"/>
      <c r="ADV588"/>
      <c r="ADW588"/>
      <c r="ADX588"/>
      <c r="ADY588"/>
      <c r="ADZ588"/>
      <c r="AEA588"/>
      <c r="AEB588"/>
      <c r="AEC588"/>
      <c r="AED588"/>
      <c r="AEE588"/>
      <c r="AEF588"/>
      <c r="AEG588"/>
      <c r="AEH588"/>
      <c r="AEI588"/>
      <c r="AEJ588"/>
      <c r="AEK588"/>
      <c r="AEL588"/>
      <c r="AEM588"/>
      <c r="AEN588"/>
      <c r="AEO588"/>
      <c r="AEP588"/>
      <c r="AEQ588"/>
      <c r="AER588"/>
      <c r="AES588"/>
      <c r="AET588"/>
      <c r="AEU588"/>
      <c r="AEV588"/>
      <c r="AEW588"/>
      <c r="AEX588"/>
      <c r="AEY588"/>
      <c r="AEZ588"/>
      <c r="AFA588"/>
      <c r="AFB588"/>
      <c r="AFC588"/>
      <c r="AFD588"/>
      <c r="AFE588"/>
      <c r="AFF588"/>
      <c r="AFG588"/>
      <c r="AFH588"/>
      <c r="AFI588"/>
      <c r="AFJ588"/>
      <c r="AFK588"/>
      <c r="AFL588"/>
      <c r="AFM588"/>
      <c r="AFN588"/>
      <c r="AFO588"/>
      <c r="AFP588"/>
      <c r="AFQ588"/>
      <c r="AFR588"/>
      <c r="AFS588"/>
      <c r="AFT588"/>
      <c r="AFU588"/>
      <c r="AFV588"/>
      <c r="AFW588"/>
      <c r="AFX588"/>
      <c r="AFY588"/>
      <c r="AFZ588"/>
      <c r="AGA588"/>
      <c r="AGB588"/>
      <c r="AGC588"/>
      <c r="AGD588"/>
      <c r="AGE588"/>
      <c r="AGF588"/>
      <c r="AGG588"/>
      <c r="AGH588"/>
      <c r="AGI588"/>
      <c r="AGJ588"/>
      <c r="AGK588"/>
      <c r="AGL588"/>
      <c r="AGM588"/>
      <c r="AGN588"/>
      <c r="AGO588"/>
      <c r="AGP588"/>
      <c r="AGQ588"/>
      <c r="AGR588"/>
      <c r="AGS588"/>
      <c r="AGT588"/>
      <c r="AGU588"/>
      <c r="AGV588"/>
      <c r="AGW588"/>
      <c r="AGX588"/>
      <c r="AGY588"/>
      <c r="AGZ588"/>
      <c r="AHA588"/>
      <c r="AHB588"/>
      <c r="AHC588"/>
      <c r="AHD588"/>
      <c r="AHE588"/>
      <c r="AHF588"/>
      <c r="AHG588"/>
      <c r="AHH588"/>
      <c r="AHI588"/>
      <c r="AHJ588"/>
      <c r="AHK588"/>
      <c r="AHL588"/>
      <c r="AHM588"/>
      <c r="AHN588"/>
      <c r="AHO588"/>
      <c r="AHP588"/>
      <c r="AHQ588"/>
      <c r="AHR588"/>
      <c r="AHS588"/>
      <c r="AHT588"/>
      <c r="AHU588"/>
      <c r="AHV588"/>
      <c r="AHW588"/>
      <c r="AHX588"/>
      <c r="AHY588"/>
      <c r="AHZ588"/>
      <c r="AIA588"/>
      <c r="AIB588"/>
      <c r="AIC588"/>
      <c r="AID588"/>
      <c r="AIE588"/>
      <c r="AIF588"/>
      <c r="AIG588"/>
      <c r="AIH588"/>
      <c r="AII588"/>
      <c r="AIJ588"/>
      <c r="AIK588"/>
      <c r="AIL588"/>
      <c r="AIM588"/>
      <c r="AIN588"/>
      <c r="AIO588"/>
      <c r="AIP588"/>
      <c r="AIQ588"/>
      <c r="AIR588"/>
      <c r="AIS588"/>
      <c r="AIT588"/>
      <c r="AIU588"/>
      <c r="AIV588"/>
      <c r="AIW588"/>
      <c r="AIX588"/>
      <c r="AIY588"/>
      <c r="AIZ588"/>
      <c r="AJA588"/>
      <c r="AJB588"/>
      <c r="AJC588"/>
      <c r="AJD588"/>
      <c r="AJE588"/>
      <c r="AJF588"/>
      <c r="AJG588"/>
      <c r="AJH588"/>
      <c r="AJI588"/>
      <c r="AJJ588"/>
      <c r="AJK588"/>
      <c r="AJL588"/>
      <c r="AJM588"/>
      <c r="AJN588"/>
      <c r="AJO588"/>
      <c r="AJP588"/>
      <c r="AJQ588"/>
      <c r="AJR588"/>
      <c r="AJS588"/>
      <c r="AJT588"/>
      <c r="AJU588"/>
      <c r="AJV588"/>
      <c r="AJW588"/>
      <c r="AJX588"/>
      <c r="AJY588"/>
      <c r="AJZ588"/>
      <c r="AKA588"/>
      <c r="AKB588"/>
      <c r="AKC588"/>
      <c r="AKD588"/>
      <c r="AKE588"/>
      <c r="AKF588"/>
      <c r="AKG588"/>
      <c r="AKH588"/>
      <c r="AKI588"/>
      <c r="AKJ588"/>
      <c r="AKK588"/>
      <c r="AKL588"/>
      <c r="AKM588"/>
      <c r="AKN588"/>
      <c r="AKO588"/>
      <c r="AKP588"/>
      <c r="AKQ588"/>
      <c r="AKR588"/>
      <c r="AKS588"/>
      <c r="AKT588"/>
      <c r="AKU588"/>
      <c r="AKV588"/>
      <c r="AKW588"/>
      <c r="AKX588"/>
      <c r="AKY588"/>
      <c r="AKZ588"/>
      <c r="ALA588"/>
      <c r="ALB588"/>
      <c r="ALC588"/>
      <c r="ALD588"/>
      <c r="ALE588"/>
      <c r="ALF588"/>
      <c r="ALG588"/>
      <c r="ALH588"/>
      <c r="ALI588"/>
      <c r="ALJ588"/>
      <c r="ALK588"/>
      <c r="ALL588"/>
      <c r="ALM588"/>
      <c r="ALN588"/>
      <c r="ALO588"/>
      <c r="ALP588"/>
      <c r="ALQ588"/>
      <c r="ALR588"/>
      <c r="ALS588"/>
      <c r="ALT588"/>
      <c r="ALU588"/>
      <c r="ALV588"/>
      <c r="ALW588"/>
      <c r="ALX588"/>
      <c r="ALY588"/>
      <c r="ALZ588"/>
      <c r="AMA588"/>
      <c r="AMB588"/>
      <c r="AMC588"/>
      <c r="AMD588"/>
    </row>
    <row r="589" spans="1:1018">
      <c r="A589" s="547" t="s">
        <v>395</v>
      </c>
      <c r="B589" s="282" t="s">
        <v>1522</v>
      </c>
      <c r="C589" s="282" t="s">
        <v>396</v>
      </c>
      <c r="D589" s="282"/>
      <c r="E589" s="178">
        <f t="shared" si="61"/>
        <v>8</v>
      </c>
      <c r="F589" s="277" t="s">
        <v>1523</v>
      </c>
      <c r="G589" s="282">
        <v>7.0000000000000007E-2</v>
      </c>
      <c r="H589" s="282">
        <v>11</v>
      </c>
      <c r="I589" s="282"/>
      <c r="J589" s="175"/>
      <c r="K589" s="201">
        <v>4496.08</v>
      </c>
      <c r="L589" s="201">
        <v>2105</v>
      </c>
      <c r="M589" s="201"/>
      <c r="N589" s="195">
        <f t="shared" si="60"/>
        <v>6601.08</v>
      </c>
      <c r="O589" s="303">
        <v>13499</v>
      </c>
      <c r="P589" s="304">
        <v>2400</v>
      </c>
      <c r="Q589" s="304">
        <v>300</v>
      </c>
      <c r="R589" s="305">
        <v>2921</v>
      </c>
      <c r="S589" s="306">
        <v>3620</v>
      </c>
      <c r="T589" s="306"/>
      <c r="U589" s="9"/>
      <c r="V589" s="9"/>
      <c r="W589" s="291">
        <v>0</v>
      </c>
      <c r="X589" s="291">
        <v>6601.08</v>
      </c>
      <c r="Y589" s="291">
        <v>6601.08</v>
      </c>
      <c r="Z589" s="291">
        <v>6601.08</v>
      </c>
      <c r="AA589" s="291">
        <v>6601.08</v>
      </c>
      <c r="AB589" s="291">
        <v>6601.08</v>
      </c>
      <c r="AC589" s="291">
        <v>6601.08</v>
      </c>
      <c r="AD589" s="291">
        <v>6601.08</v>
      </c>
      <c r="AE589" s="291">
        <v>6601.08</v>
      </c>
      <c r="AF589" s="291">
        <v>6601.08</v>
      </c>
      <c r="AG589" s="291">
        <v>5548.58</v>
      </c>
      <c r="AH589" s="291">
        <v>0</v>
      </c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  <c r="ZW589"/>
      <c r="ZX589"/>
      <c r="ZY589"/>
      <c r="ZZ589"/>
      <c r="AAA589"/>
      <c r="AAB589"/>
      <c r="AAC589"/>
      <c r="AAD589"/>
      <c r="AAE589"/>
      <c r="AAF589"/>
      <c r="AAG589"/>
      <c r="AAH589"/>
      <c r="AAI589"/>
      <c r="AAJ589"/>
      <c r="AAK589"/>
      <c r="AAL589"/>
      <c r="AAM589"/>
      <c r="AAN589"/>
      <c r="AAO589"/>
      <c r="AAP589"/>
      <c r="AAQ589"/>
      <c r="AAR589"/>
      <c r="AAS589"/>
      <c r="AAT589"/>
      <c r="AAU589"/>
      <c r="AAV589"/>
      <c r="AAW589"/>
      <c r="AAX589"/>
      <c r="AAY589"/>
      <c r="AAZ589"/>
      <c r="ABA589"/>
      <c r="ABB589"/>
      <c r="ABC589"/>
      <c r="ABD589"/>
      <c r="ABE589"/>
      <c r="ABF589"/>
      <c r="ABG589"/>
      <c r="ABH589"/>
      <c r="ABI589"/>
      <c r="ABJ589"/>
      <c r="ABK589"/>
      <c r="ABL589"/>
      <c r="ABM589"/>
      <c r="ABN589"/>
      <c r="ABO589"/>
      <c r="ABP589"/>
      <c r="ABQ589"/>
      <c r="ABR589"/>
      <c r="ABS589"/>
      <c r="ABT589"/>
      <c r="ABU589"/>
      <c r="ABV589"/>
      <c r="ABW589"/>
      <c r="ABX589"/>
      <c r="ABY589"/>
      <c r="ABZ589"/>
      <c r="ACA589"/>
      <c r="ACB589"/>
      <c r="ACC589"/>
      <c r="ACD589"/>
      <c r="ACE589"/>
      <c r="ACF589"/>
      <c r="ACG589"/>
      <c r="ACH589"/>
      <c r="ACI589"/>
      <c r="ACJ589"/>
      <c r="ACK589"/>
      <c r="ACL589"/>
      <c r="ACM589"/>
      <c r="ACN589"/>
      <c r="ACO589"/>
      <c r="ACP589"/>
      <c r="ACQ589"/>
      <c r="ACR589"/>
      <c r="ACS589"/>
      <c r="ACT589"/>
      <c r="ACU589"/>
      <c r="ACV589"/>
      <c r="ACW589"/>
      <c r="ACX589"/>
      <c r="ACY589"/>
      <c r="ACZ589"/>
      <c r="ADA589"/>
      <c r="ADB589"/>
      <c r="ADC589"/>
      <c r="ADD589"/>
      <c r="ADE589"/>
      <c r="ADF589"/>
      <c r="ADG589"/>
      <c r="ADH589"/>
      <c r="ADI589"/>
      <c r="ADJ589"/>
      <c r="ADK589"/>
      <c r="ADL589"/>
      <c r="ADM589"/>
      <c r="ADN589"/>
      <c r="ADO589"/>
      <c r="ADP589"/>
      <c r="ADQ589"/>
      <c r="ADR589"/>
      <c r="ADS589"/>
      <c r="ADT589"/>
      <c r="ADU589"/>
      <c r="ADV589"/>
      <c r="ADW589"/>
      <c r="ADX589"/>
      <c r="ADY589"/>
      <c r="ADZ589"/>
      <c r="AEA589"/>
      <c r="AEB589"/>
      <c r="AEC589"/>
      <c r="AED589"/>
      <c r="AEE589"/>
      <c r="AEF589"/>
      <c r="AEG589"/>
      <c r="AEH589"/>
      <c r="AEI589"/>
      <c r="AEJ589"/>
      <c r="AEK589"/>
      <c r="AEL589"/>
      <c r="AEM589"/>
      <c r="AEN589"/>
      <c r="AEO589"/>
      <c r="AEP589"/>
      <c r="AEQ589"/>
      <c r="AER589"/>
      <c r="AES589"/>
      <c r="AET589"/>
      <c r="AEU589"/>
      <c r="AEV589"/>
      <c r="AEW589"/>
      <c r="AEX589"/>
      <c r="AEY589"/>
      <c r="AEZ589"/>
      <c r="AFA589"/>
      <c r="AFB589"/>
      <c r="AFC589"/>
      <c r="AFD589"/>
      <c r="AFE589"/>
      <c r="AFF589"/>
      <c r="AFG589"/>
      <c r="AFH589"/>
      <c r="AFI589"/>
      <c r="AFJ589"/>
      <c r="AFK589"/>
      <c r="AFL589"/>
      <c r="AFM589"/>
      <c r="AFN589"/>
      <c r="AFO589"/>
      <c r="AFP589"/>
      <c r="AFQ589"/>
      <c r="AFR589"/>
      <c r="AFS589"/>
      <c r="AFT589"/>
      <c r="AFU589"/>
      <c r="AFV589"/>
      <c r="AFW589"/>
      <c r="AFX589"/>
      <c r="AFY589"/>
      <c r="AFZ589"/>
      <c r="AGA589"/>
      <c r="AGB589"/>
      <c r="AGC589"/>
      <c r="AGD589"/>
      <c r="AGE589"/>
      <c r="AGF589"/>
      <c r="AGG589"/>
      <c r="AGH589"/>
      <c r="AGI589"/>
      <c r="AGJ589"/>
      <c r="AGK589"/>
      <c r="AGL589"/>
      <c r="AGM589"/>
      <c r="AGN589"/>
      <c r="AGO589"/>
      <c r="AGP589"/>
      <c r="AGQ589"/>
      <c r="AGR589"/>
      <c r="AGS589"/>
      <c r="AGT589"/>
      <c r="AGU589"/>
      <c r="AGV589"/>
      <c r="AGW589"/>
      <c r="AGX589"/>
      <c r="AGY589"/>
      <c r="AGZ589"/>
      <c r="AHA589"/>
      <c r="AHB589"/>
      <c r="AHC589"/>
      <c r="AHD589"/>
      <c r="AHE589"/>
      <c r="AHF589"/>
      <c r="AHG589"/>
      <c r="AHH589"/>
      <c r="AHI589"/>
      <c r="AHJ589"/>
      <c r="AHK589"/>
      <c r="AHL589"/>
      <c r="AHM589"/>
      <c r="AHN589"/>
      <c r="AHO589"/>
      <c r="AHP589"/>
      <c r="AHQ589"/>
      <c r="AHR589"/>
      <c r="AHS589"/>
      <c r="AHT589"/>
      <c r="AHU589"/>
      <c r="AHV589"/>
      <c r="AHW589"/>
      <c r="AHX589"/>
      <c r="AHY589"/>
      <c r="AHZ589"/>
      <c r="AIA589"/>
      <c r="AIB589"/>
      <c r="AIC589"/>
      <c r="AID589"/>
      <c r="AIE589"/>
      <c r="AIF589"/>
      <c r="AIG589"/>
      <c r="AIH589"/>
      <c r="AII589"/>
      <c r="AIJ589"/>
      <c r="AIK589"/>
      <c r="AIL589"/>
      <c r="AIM589"/>
      <c r="AIN589"/>
      <c r="AIO589"/>
      <c r="AIP589"/>
      <c r="AIQ589"/>
      <c r="AIR589"/>
      <c r="AIS589"/>
      <c r="AIT589"/>
      <c r="AIU589"/>
      <c r="AIV589"/>
      <c r="AIW589"/>
      <c r="AIX589"/>
      <c r="AIY589"/>
      <c r="AIZ589"/>
      <c r="AJA589"/>
      <c r="AJB589"/>
      <c r="AJC589"/>
      <c r="AJD589"/>
      <c r="AJE589"/>
      <c r="AJF589"/>
      <c r="AJG589"/>
      <c r="AJH589"/>
      <c r="AJI589"/>
      <c r="AJJ589"/>
      <c r="AJK589"/>
      <c r="AJL589"/>
      <c r="AJM589"/>
      <c r="AJN589"/>
      <c r="AJO589"/>
      <c r="AJP589"/>
      <c r="AJQ589"/>
      <c r="AJR589"/>
      <c r="AJS589"/>
      <c r="AJT589"/>
      <c r="AJU589"/>
      <c r="AJV589"/>
      <c r="AJW589"/>
      <c r="AJX589"/>
      <c r="AJY589"/>
      <c r="AJZ589"/>
      <c r="AKA589"/>
      <c r="AKB589"/>
      <c r="AKC589"/>
      <c r="AKD589"/>
      <c r="AKE589"/>
      <c r="AKF589"/>
      <c r="AKG589"/>
      <c r="AKH589"/>
      <c r="AKI589"/>
      <c r="AKJ589"/>
      <c r="AKK589"/>
      <c r="AKL589"/>
      <c r="AKM589"/>
      <c r="AKN589"/>
      <c r="AKO589"/>
      <c r="AKP589"/>
      <c r="AKQ589"/>
      <c r="AKR589"/>
      <c r="AKS589"/>
      <c r="AKT589"/>
      <c r="AKU589"/>
      <c r="AKV589"/>
      <c r="AKW589"/>
      <c r="AKX589"/>
      <c r="AKY589"/>
      <c r="AKZ589"/>
      <c r="ALA589"/>
      <c r="ALB589"/>
      <c r="ALC589"/>
      <c r="ALD589"/>
      <c r="ALE589"/>
      <c r="ALF589"/>
      <c r="ALG589"/>
      <c r="ALH589"/>
      <c r="ALI589"/>
      <c r="ALJ589"/>
      <c r="ALK589"/>
      <c r="ALL589"/>
      <c r="ALM589"/>
      <c r="ALN589"/>
      <c r="ALO589"/>
      <c r="ALP589"/>
      <c r="ALQ589"/>
      <c r="ALR589"/>
      <c r="ALS589"/>
      <c r="ALT589"/>
      <c r="ALU589"/>
      <c r="ALV589"/>
      <c r="ALW589"/>
      <c r="ALX589"/>
      <c r="ALY589"/>
      <c r="ALZ589"/>
      <c r="AMA589"/>
      <c r="AMB589"/>
      <c r="AMC589"/>
      <c r="AMD589"/>
    </row>
    <row r="590" spans="1:1018">
      <c r="A590" s="547" t="s">
        <v>397</v>
      </c>
      <c r="B590" s="282"/>
      <c r="C590" s="282" t="s">
        <v>398</v>
      </c>
      <c r="D590" s="282"/>
      <c r="E590" s="178">
        <f t="shared" si="61"/>
        <v>9</v>
      </c>
      <c r="F590" s="277" t="s">
        <v>1524</v>
      </c>
      <c r="G590" s="282">
        <v>0.15</v>
      </c>
      <c r="H590" s="282">
        <v>10</v>
      </c>
      <c r="I590" s="282"/>
      <c r="J590" s="175"/>
      <c r="K590" s="201">
        <v>4109.33</v>
      </c>
      <c r="L590" s="201">
        <v>2000</v>
      </c>
      <c r="M590" s="201"/>
      <c r="N590" s="195">
        <f t="shared" si="60"/>
        <v>6109.33</v>
      </c>
      <c r="O590" s="303">
        <v>13472</v>
      </c>
      <c r="P590" s="304">
        <v>1800</v>
      </c>
      <c r="Q590" s="304">
        <v>300</v>
      </c>
      <c r="R590" s="305">
        <v>3410</v>
      </c>
      <c r="S590" s="306">
        <v>3620</v>
      </c>
      <c r="T590" s="306"/>
      <c r="U590" s="9">
        <v>370</v>
      </c>
      <c r="V590" s="9"/>
      <c r="W590" s="291">
        <v>0</v>
      </c>
      <c r="X590" s="315">
        <v>6109.33</v>
      </c>
      <c r="Y590" s="315">
        <v>6109.33</v>
      </c>
      <c r="Z590" s="290"/>
      <c r="AA590" s="290"/>
      <c r="AB590" s="290"/>
      <c r="AC590" s="290"/>
      <c r="AD590" s="290"/>
      <c r="AE590" s="290"/>
      <c r="AF590" s="290"/>
      <c r="AG590" s="291"/>
      <c r="AH590" s="291">
        <v>0</v>
      </c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  <c r="ZW590"/>
      <c r="ZX590"/>
      <c r="ZY590"/>
      <c r="ZZ590"/>
      <c r="AAA590"/>
      <c r="AAB590"/>
      <c r="AAC590"/>
      <c r="AAD590"/>
      <c r="AAE590"/>
      <c r="AAF590"/>
      <c r="AAG590"/>
      <c r="AAH590"/>
      <c r="AAI590"/>
      <c r="AAJ590"/>
      <c r="AAK590"/>
      <c r="AAL590"/>
      <c r="AAM590"/>
      <c r="AAN590"/>
      <c r="AAO590"/>
      <c r="AAP590"/>
      <c r="AAQ590"/>
      <c r="AAR590"/>
      <c r="AAS590"/>
      <c r="AAT590"/>
      <c r="AAU590"/>
      <c r="AAV590"/>
      <c r="AAW590"/>
      <c r="AAX590"/>
      <c r="AAY590"/>
      <c r="AAZ590"/>
      <c r="ABA590"/>
      <c r="ABB590"/>
      <c r="ABC590"/>
      <c r="ABD590"/>
      <c r="ABE590"/>
      <c r="ABF590"/>
      <c r="ABG590"/>
      <c r="ABH590"/>
      <c r="ABI590"/>
      <c r="ABJ590"/>
      <c r="ABK590"/>
      <c r="ABL590"/>
      <c r="ABM590"/>
      <c r="ABN590"/>
      <c r="ABO590"/>
      <c r="ABP590"/>
      <c r="ABQ590"/>
      <c r="ABR590"/>
      <c r="ABS590"/>
      <c r="ABT590"/>
      <c r="ABU590"/>
      <c r="ABV590"/>
      <c r="ABW590"/>
      <c r="ABX590"/>
      <c r="ABY590"/>
      <c r="ABZ590"/>
      <c r="ACA590"/>
      <c r="ACB590"/>
      <c r="ACC590"/>
      <c r="ACD590"/>
      <c r="ACE590"/>
      <c r="ACF590"/>
      <c r="ACG590"/>
      <c r="ACH590"/>
      <c r="ACI590"/>
      <c r="ACJ590"/>
      <c r="ACK590"/>
      <c r="ACL590"/>
      <c r="ACM590"/>
      <c r="ACN590"/>
      <c r="ACO590"/>
      <c r="ACP590"/>
      <c r="ACQ590"/>
      <c r="ACR590"/>
      <c r="ACS590"/>
      <c r="ACT590"/>
      <c r="ACU590"/>
      <c r="ACV590"/>
      <c r="ACW590"/>
      <c r="ACX590"/>
      <c r="ACY590"/>
      <c r="ACZ590"/>
      <c r="ADA590"/>
      <c r="ADB590"/>
      <c r="ADC590"/>
      <c r="ADD590"/>
      <c r="ADE590"/>
      <c r="ADF590"/>
      <c r="ADG590"/>
      <c r="ADH590"/>
      <c r="ADI590"/>
      <c r="ADJ590"/>
      <c r="ADK590"/>
      <c r="ADL590"/>
      <c r="ADM590"/>
      <c r="ADN590"/>
      <c r="ADO590"/>
      <c r="ADP590"/>
      <c r="ADQ590"/>
      <c r="ADR590"/>
      <c r="ADS590"/>
      <c r="ADT590"/>
      <c r="ADU590"/>
      <c r="ADV590"/>
      <c r="ADW590"/>
      <c r="ADX590"/>
      <c r="ADY590"/>
      <c r="ADZ590"/>
      <c r="AEA590"/>
      <c r="AEB590"/>
      <c r="AEC590"/>
      <c r="AED590"/>
      <c r="AEE590"/>
      <c r="AEF590"/>
      <c r="AEG590"/>
      <c r="AEH590"/>
      <c r="AEI590"/>
      <c r="AEJ590"/>
      <c r="AEK590"/>
      <c r="AEL590"/>
      <c r="AEM590"/>
      <c r="AEN590"/>
      <c r="AEO590"/>
      <c r="AEP590"/>
      <c r="AEQ590"/>
      <c r="AER590"/>
      <c r="AES590"/>
      <c r="AET590"/>
      <c r="AEU590"/>
      <c r="AEV590"/>
      <c r="AEW590"/>
      <c r="AEX590"/>
      <c r="AEY590"/>
      <c r="AEZ590"/>
      <c r="AFA590"/>
      <c r="AFB590"/>
      <c r="AFC590"/>
      <c r="AFD590"/>
      <c r="AFE590"/>
      <c r="AFF590"/>
      <c r="AFG590"/>
      <c r="AFH590"/>
      <c r="AFI590"/>
      <c r="AFJ590"/>
      <c r="AFK590"/>
      <c r="AFL590"/>
      <c r="AFM590"/>
      <c r="AFN590"/>
      <c r="AFO590"/>
      <c r="AFP590"/>
      <c r="AFQ590"/>
      <c r="AFR590"/>
      <c r="AFS590"/>
      <c r="AFT590"/>
      <c r="AFU590"/>
      <c r="AFV590"/>
      <c r="AFW590"/>
      <c r="AFX590"/>
      <c r="AFY590"/>
      <c r="AFZ590"/>
      <c r="AGA590"/>
      <c r="AGB590"/>
      <c r="AGC590"/>
      <c r="AGD590"/>
      <c r="AGE590"/>
      <c r="AGF590"/>
      <c r="AGG590"/>
      <c r="AGH590"/>
      <c r="AGI590"/>
      <c r="AGJ590"/>
      <c r="AGK590"/>
      <c r="AGL590"/>
      <c r="AGM590"/>
      <c r="AGN590"/>
      <c r="AGO590"/>
      <c r="AGP590"/>
      <c r="AGQ590"/>
      <c r="AGR590"/>
      <c r="AGS590"/>
      <c r="AGT590"/>
      <c r="AGU590"/>
      <c r="AGV590"/>
      <c r="AGW590"/>
      <c r="AGX590"/>
      <c r="AGY590"/>
      <c r="AGZ590"/>
      <c r="AHA590"/>
      <c r="AHB590"/>
      <c r="AHC590"/>
      <c r="AHD590"/>
      <c r="AHE590"/>
      <c r="AHF590"/>
      <c r="AHG590"/>
      <c r="AHH590"/>
      <c r="AHI590"/>
      <c r="AHJ590"/>
      <c r="AHK590"/>
      <c r="AHL590"/>
      <c r="AHM590"/>
      <c r="AHN590"/>
      <c r="AHO590"/>
      <c r="AHP590"/>
      <c r="AHQ590"/>
      <c r="AHR590"/>
      <c r="AHS590"/>
      <c r="AHT590"/>
      <c r="AHU590"/>
      <c r="AHV590"/>
      <c r="AHW590"/>
      <c r="AHX590"/>
      <c r="AHY590"/>
      <c r="AHZ590"/>
      <c r="AIA590"/>
      <c r="AIB590"/>
      <c r="AIC590"/>
      <c r="AID590"/>
      <c r="AIE590"/>
      <c r="AIF590"/>
      <c r="AIG590"/>
      <c r="AIH590"/>
      <c r="AII590"/>
      <c r="AIJ590"/>
      <c r="AIK590"/>
      <c r="AIL590"/>
      <c r="AIM590"/>
      <c r="AIN590"/>
      <c r="AIO590"/>
      <c r="AIP590"/>
      <c r="AIQ590"/>
      <c r="AIR590"/>
      <c r="AIS590"/>
      <c r="AIT590"/>
      <c r="AIU590"/>
      <c r="AIV590"/>
      <c r="AIW590"/>
      <c r="AIX590"/>
      <c r="AIY590"/>
      <c r="AIZ590"/>
      <c r="AJA590"/>
      <c r="AJB590"/>
      <c r="AJC590"/>
      <c r="AJD590"/>
      <c r="AJE590"/>
      <c r="AJF590"/>
      <c r="AJG590"/>
      <c r="AJH590"/>
      <c r="AJI590"/>
      <c r="AJJ590"/>
      <c r="AJK590"/>
      <c r="AJL590"/>
      <c r="AJM590"/>
      <c r="AJN590"/>
      <c r="AJO590"/>
      <c r="AJP590"/>
      <c r="AJQ590"/>
      <c r="AJR590"/>
      <c r="AJS590"/>
      <c r="AJT590"/>
      <c r="AJU590"/>
      <c r="AJV590"/>
      <c r="AJW590"/>
      <c r="AJX590"/>
      <c r="AJY590"/>
      <c r="AJZ590"/>
      <c r="AKA590"/>
      <c r="AKB590"/>
      <c r="AKC590"/>
      <c r="AKD590"/>
      <c r="AKE590"/>
      <c r="AKF590"/>
      <c r="AKG590"/>
      <c r="AKH590"/>
      <c r="AKI590"/>
      <c r="AKJ590"/>
      <c r="AKK590"/>
      <c r="AKL590"/>
      <c r="AKM590"/>
      <c r="AKN590"/>
      <c r="AKO590"/>
      <c r="AKP590"/>
      <c r="AKQ590"/>
      <c r="AKR590"/>
      <c r="AKS590"/>
      <c r="AKT590"/>
      <c r="AKU590"/>
      <c r="AKV590"/>
      <c r="AKW590"/>
      <c r="AKX590"/>
      <c r="AKY590"/>
      <c r="AKZ590"/>
      <c r="ALA590"/>
      <c r="ALB590"/>
      <c r="ALC590"/>
      <c r="ALD590"/>
      <c r="ALE590"/>
      <c r="ALF590"/>
      <c r="ALG590"/>
      <c r="ALH590"/>
      <c r="ALI590"/>
      <c r="ALJ590"/>
      <c r="ALK590"/>
      <c r="ALL590"/>
      <c r="ALM590"/>
      <c r="ALN590"/>
      <c r="ALO590"/>
      <c r="ALP590"/>
      <c r="ALQ590"/>
      <c r="ALR590"/>
      <c r="ALS590"/>
      <c r="ALT590"/>
      <c r="ALU590"/>
      <c r="ALV590"/>
      <c r="ALW590"/>
      <c r="ALX590"/>
      <c r="ALY590"/>
      <c r="ALZ590"/>
      <c r="AMA590"/>
      <c r="AMB590"/>
      <c r="AMC590"/>
      <c r="AMD590"/>
    </row>
    <row r="591" spans="1:1018">
      <c r="A591" s="547" t="s">
        <v>399</v>
      </c>
      <c r="B591" s="282"/>
      <c r="C591" s="282" t="s">
        <v>357</v>
      </c>
      <c r="D591" s="282"/>
      <c r="E591" s="178">
        <f t="shared" si="61"/>
        <v>10</v>
      </c>
      <c r="F591" s="277" t="s">
        <v>1525</v>
      </c>
      <c r="G591" s="282"/>
      <c r="H591" s="282">
        <v>11</v>
      </c>
      <c r="I591" s="282"/>
      <c r="J591" s="175">
        <v>4395</v>
      </c>
      <c r="K591" s="201"/>
      <c r="L591" s="201">
        <v>1475</v>
      </c>
      <c r="M591" s="201"/>
      <c r="N591" s="195">
        <f t="shared" si="60"/>
        <v>5870</v>
      </c>
      <c r="O591" s="303">
        <v>13580</v>
      </c>
      <c r="P591" s="304">
        <v>0</v>
      </c>
      <c r="Q591" s="304">
        <v>300</v>
      </c>
      <c r="R591" s="305">
        <v>3095</v>
      </c>
      <c r="S591" s="306">
        <v>3620</v>
      </c>
      <c r="T591" s="306"/>
      <c r="U591" s="9">
        <v>370</v>
      </c>
      <c r="V591" s="9">
        <v>370</v>
      </c>
      <c r="W591" s="291">
        <v>4395</v>
      </c>
      <c r="X591" s="291">
        <v>5870</v>
      </c>
      <c r="Y591" s="291">
        <v>5870</v>
      </c>
      <c r="Z591" s="291">
        <v>5870</v>
      </c>
      <c r="AA591" s="291"/>
      <c r="AB591" s="291"/>
      <c r="AC591" s="291"/>
      <c r="AD591" s="291"/>
      <c r="AE591" s="291"/>
      <c r="AF591" s="291"/>
      <c r="AG591" s="291"/>
      <c r="AH591" s="2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  <c r="ZW591"/>
      <c r="ZX591"/>
      <c r="ZY591"/>
      <c r="ZZ591"/>
      <c r="AAA591"/>
      <c r="AAB591"/>
      <c r="AAC591"/>
      <c r="AAD591"/>
      <c r="AAE591"/>
      <c r="AAF591"/>
      <c r="AAG591"/>
      <c r="AAH591"/>
      <c r="AAI591"/>
      <c r="AAJ591"/>
      <c r="AAK591"/>
      <c r="AAL591"/>
      <c r="AAM591"/>
      <c r="AAN591"/>
      <c r="AAO591"/>
      <c r="AAP591"/>
      <c r="AAQ591"/>
      <c r="AAR591"/>
      <c r="AAS591"/>
      <c r="AAT591"/>
      <c r="AAU591"/>
      <c r="AAV591"/>
      <c r="AAW591"/>
      <c r="AAX591"/>
      <c r="AAY591"/>
      <c r="AAZ591"/>
      <c r="ABA591"/>
      <c r="ABB591"/>
      <c r="ABC591"/>
      <c r="ABD591"/>
      <c r="ABE591"/>
      <c r="ABF591"/>
      <c r="ABG591"/>
      <c r="ABH591"/>
      <c r="ABI591"/>
      <c r="ABJ591"/>
      <c r="ABK591"/>
      <c r="ABL591"/>
      <c r="ABM591"/>
      <c r="ABN591"/>
      <c r="ABO591"/>
      <c r="ABP591"/>
      <c r="ABQ591"/>
      <c r="ABR591"/>
      <c r="ABS591"/>
      <c r="ABT591"/>
      <c r="ABU591"/>
      <c r="ABV591"/>
      <c r="ABW591"/>
      <c r="ABX591"/>
      <c r="ABY591"/>
      <c r="ABZ591"/>
      <c r="ACA591"/>
      <c r="ACB591"/>
      <c r="ACC591"/>
      <c r="ACD591"/>
      <c r="ACE591"/>
      <c r="ACF591"/>
      <c r="ACG591"/>
      <c r="ACH591"/>
      <c r="ACI591"/>
      <c r="ACJ591"/>
      <c r="ACK591"/>
      <c r="ACL591"/>
      <c r="ACM591"/>
      <c r="ACN591"/>
      <c r="ACO591"/>
      <c r="ACP591"/>
      <c r="ACQ591"/>
      <c r="ACR591"/>
      <c r="ACS591"/>
      <c r="ACT591"/>
      <c r="ACU591"/>
      <c r="ACV591"/>
      <c r="ACW591"/>
      <c r="ACX591"/>
      <c r="ACY591"/>
      <c r="ACZ591"/>
      <c r="ADA591"/>
      <c r="ADB591"/>
      <c r="ADC591"/>
      <c r="ADD591"/>
      <c r="ADE591"/>
      <c r="ADF591"/>
      <c r="ADG591"/>
      <c r="ADH591"/>
      <c r="ADI591"/>
      <c r="ADJ591"/>
      <c r="ADK591"/>
      <c r="ADL591"/>
      <c r="ADM591"/>
      <c r="ADN591"/>
      <c r="ADO591"/>
      <c r="ADP591"/>
      <c r="ADQ591"/>
      <c r="ADR591"/>
      <c r="ADS591"/>
      <c r="ADT591"/>
      <c r="ADU591"/>
      <c r="ADV591"/>
      <c r="ADW591"/>
      <c r="ADX591"/>
      <c r="ADY591"/>
      <c r="ADZ591"/>
      <c r="AEA591"/>
      <c r="AEB591"/>
      <c r="AEC591"/>
      <c r="AED591"/>
      <c r="AEE591"/>
      <c r="AEF591"/>
      <c r="AEG591"/>
      <c r="AEH591"/>
      <c r="AEI591"/>
      <c r="AEJ591"/>
      <c r="AEK591"/>
      <c r="AEL591"/>
      <c r="AEM591"/>
      <c r="AEN591"/>
      <c r="AEO591"/>
      <c r="AEP591"/>
      <c r="AEQ591"/>
      <c r="AER591"/>
      <c r="AES591"/>
      <c r="AET591"/>
      <c r="AEU591"/>
      <c r="AEV591"/>
      <c r="AEW591"/>
      <c r="AEX591"/>
      <c r="AEY591"/>
      <c r="AEZ591"/>
      <c r="AFA591"/>
      <c r="AFB591"/>
      <c r="AFC591"/>
      <c r="AFD591"/>
      <c r="AFE591"/>
      <c r="AFF591"/>
      <c r="AFG591"/>
      <c r="AFH591"/>
      <c r="AFI591"/>
      <c r="AFJ591"/>
      <c r="AFK591"/>
      <c r="AFL591"/>
      <c r="AFM591"/>
      <c r="AFN591"/>
      <c r="AFO591"/>
      <c r="AFP591"/>
      <c r="AFQ591"/>
      <c r="AFR591"/>
      <c r="AFS591"/>
      <c r="AFT591"/>
      <c r="AFU591"/>
      <c r="AFV591"/>
      <c r="AFW591"/>
      <c r="AFX591"/>
      <c r="AFY591"/>
      <c r="AFZ591"/>
      <c r="AGA591"/>
      <c r="AGB591"/>
      <c r="AGC591"/>
      <c r="AGD591"/>
      <c r="AGE591"/>
      <c r="AGF591"/>
      <c r="AGG591"/>
      <c r="AGH591"/>
      <c r="AGI591"/>
      <c r="AGJ591"/>
      <c r="AGK591"/>
      <c r="AGL591"/>
      <c r="AGM591"/>
      <c r="AGN591"/>
      <c r="AGO591"/>
      <c r="AGP591"/>
      <c r="AGQ591"/>
      <c r="AGR591"/>
      <c r="AGS591"/>
      <c r="AGT591"/>
      <c r="AGU591"/>
      <c r="AGV591"/>
      <c r="AGW591"/>
      <c r="AGX591"/>
      <c r="AGY591"/>
      <c r="AGZ591"/>
      <c r="AHA591"/>
      <c r="AHB591"/>
      <c r="AHC591"/>
      <c r="AHD591"/>
      <c r="AHE591"/>
      <c r="AHF591"/>
      <c r="AHG591"/>
      <c r="AHH591"/>
      <c r="AHI591"/>
      <c r="AHJ591"/>
      <c r="AHK591"/>
      <c r="AHL591"/>
      <c r="AHM591"/>
      <c r="AHN591"/>
      <c r="AHO591"/>
      <c r="AHP591"/>
      <c r="AHQ591"/>
      <c r="AHR591"/>
      <c r="AHS591"/>
      <c r="AHT591"/>
      <c r="AHU591"/>
      <c r="AHV591"/>
      <c r="AHW591"/>
      <c r="AHX591"/>
      <c r="AHY591"/>
      <c r="AHZ591"/>
      <c r="AIA591"/>
      <c r="AIB591"/>
      <c r="AIC591"/>
      <c r="AID591"/>
      <c r="AIE591"/>
      <c r="AIF591"/>
      <c r="AIG591"/>
      <c r="AIH591"/>
      <c r="AII591"/>
      <c r="AIJ591"/>
      <c r="AIK591"/>
      <c r="AIL591"/>
      <c r="AIM591"/>
      <c r="AIN591"/>
      <c r="AIO591"/>
      <c r="AIP591"/>
      <c r="AIQ591"/>
      <c r="AIR591"/>
      <c r="AIS591"/>
      <c r="AIT591"/>
      <c r="AIU591"/>
      <c r="AIV591"/>
      <c r="AIW591"/>
      <c r="AIX591"/>
      <c r="AIY591"/>
      <c r="AIZ591"/>
      <c r="AJA591"/>
      <c r="AJB591"/>
      <c r="AJC591"/>
      <c r="AJD591"/>
      <c r="AJE591"/>
      <c r="AJF591"/>
      <c r="AJG591"/>
      <c r="AJH591"/>
      <c r="AJI591"/>
      <c r="AJJ591"/>
      <c r="AJK591"/>
      <c r="AJL591"/>
      <c r="AJM591"/>
      <c r="AJN591"/>
      <c r="AJO591"/>
      <c r="AJP591"/>
      <c r="AJQ591"/>
      <c r="AJR591"/>
      <c r="AJS591"/>
      <c r="AJT591"/>
      <c r="AJU591"/>
      <c r="AJV591"/>
      <c r="AJW591"/>
      <c r="AJX591"/>
      <c r="AJY591"/>
      <c r="AJZ591"/>
      <c r="AKA591"/>
      <c r="AKB591"/>
      <c r="AKC591"/>
      <c r="AKD591"/>
      <c r="AKE591"/>
      <c r="AKF591"/>
      <c r="AKG591"/>
      <c r="AKH591"/>
      <c r="AKI591"/>
      <c r="AKJ591"/>
      <c r="AKK591"/>
      <c r="AKL591"/>
      <c r="AKM591"/>
      <c r="AKN591"/>
      <c r="AKO591"/>
      <c r="AKP591"/>
      <c r="AKQ591"/>
      <c r="AKR591"/>
      <c r="AKS591"/>
      <c r="AKT591"/>
      <c r="AKU591"/>
      <c r="AKV591"/>
      <c r="AKW591"/>
      <c r="AKX591"/>
      <c r="AKY591"/>
      <c r="AKZ591"/>
      <c r="ALA591"/>
      <c r="ALB591"/>
      <c r="ALC591"/>
      <c r="ALD591"/>
      <c r="ALE591"/>
      <c r="ALF591"/>
      <c r="ALG591"/>
      <c r="ALH591"/>
      <c r="ALI591"/>
      <c r="ALJ591"/>
      <c r="ALK591"/>
      <c r="ALL591"/>
      <c r="ALM591"/>
      <c r="ALN591"/>
      <c r="ALO591"/>
      <c r="ALP591"/>
      <c r="ALQ591"/>
      <c r="ALR591"/>
      <c r="ALS591"/>
      <c r="ALT591"/>
      <c r="ALU591"/>
      <c r="ALV591"/>
      <c r="ALW591"/>
      <c r="ALX591"/>
      <c r="ALY591"/>
      <c r="ALZ591"/>
      <c r="AMA591"/>
      <c r="AMB591"/>
      <c r="AMC591"/>
      <c r="AMD591"/>
    </row>
    <row r="592" spans="1:1018">
      <c r="A592" s="421" t="s">
        <v>400</v>
      </c>
      <c r="B592" s="282"/>
      <c r="C592" s="282"/>
      <c r="D592" s="282"/>
      <c r="E592" s="178">
        <f t="shared" si="61"/>
        <v>11</v>
      </c>
      <c r="F592" s="277" t="s">
        <v>1526</v>
      </c>
      <c r="G592" s="282"/>
      <c r="H592" s="282">
        <v>10</v>
      </c>
      <c r="I592" s="282"/>
      <c r="J592" s="175"/>
      <c r="K592" s="201">
        <v>4834.5</v>
      </c>
      <c r="L592" s="201"/>
      <c r="M592" s="201"/>
      <c r="N592" s="195">
        <f t="shared" si="60"/>
        <v>4834.5</v>
      </c>
      <c r="O592" s="303">
        <v>13758</v>
      </c>
      <c r="P592" s="304">
        <v>0</v>
      </c>
      <c r="Q592" s="304">
        <v>300</v>
      </c>
      <c r="R592" s="305"/>
      <c r="S592" s="306"/>
      <c r="T592" s="306"/>
      <c r="U592" s="9">
        <v>370</v>
      </c>
      <c r="V592" s="9"/>
      <c r="W592" s="291">
        <v>0</v>
      </c>
      <c r="X592" s="291">
        <v>4834.5</v>
      </c>
      <c r="Y592" s="315">
        <v>4834.5</v>
      </c>
      <c r="Z592" s="291"/>
      <c r="AA592" s="291"/>
      <c r="AB592" s="291"/>
      <c r="AC592" s="291"/>
      <c r="AD592" s="291"/>
      <c r="AE592" s="291"/>
      <c r="AF592" s="291"/>
      <c r="AG592" s="291"/>
      <c r="AH592" s="291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/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/>
      <c r="AEO592"/>
      <c r="AEP592"/>
      <c r="AEQ592"/>
      <c r="AER592"/>
      <c r="AES592"/>
      <c r="AET592"/>
      <c r="AEU592"/>
      <c r="AEV592"/>
      <c r="AEW592"/>
      <c r="AEX592"/>
      <c r="AEY592"/>
      <c r="AEZ592"/>
      <c r="AFA592"/>
      <c r="AFB592"/>
      <c r="AFC592"/>
      <c r="AFD592"/>
      <c r="AFE592"/>
      <c r="AFF592"/>
      <c r="AFG592"/>
      <c r="AFH592"/>
      <c r="AFI592"/>
      <c r="AFJ592"/>
      <c r="AFK592"/>
      <c r="AFL592"/>
      <c r="AFM592"/>
      <c r="AFN592"/>
      <c r="AFO592"/>
      <c r="AFP592"/>
      <c r="AFQ592"/>
      <c r="AFR592"/>
      <c r="AFS592"/>
      <c r="AFT592"/>
      <c r="AFU592"/>
      <c r="AFV592"/>
      <c r="AFW592"/>
      <c r="AFX592"/>
      <c r="AFY592"/>
      <c r="AFZ592"/>
      <c r="AGA592"/>
      <c r="AGB592"/>
      <c r="AGC592"/>
      <c r="AGD592"/>
      <c r="AGE592"/>
      <c r="AGF592"/>
      <c r="AGG592"/>
      <c r="AGH592"/>
      <c r="AGI592"/>
      <c r="AGJ592"/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/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/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/>
      <c r="AJZ592"/>
      <c r="AKA592"/>
      <c r="AKB592"/>
      <c r="AKC592"/>
      <c r="AKD592"/>
      <c r="AKE592"/>
      <c r="AKF592"/>
      <c r="AKG592"/>
      <c r="AKH592"/>
      <c r="AKI592"/>
      <c r="AKJ592"/>
      <c r="AKK592"/>
      <c r="AKL592"/>
      <c r="AKM592"/>
      <c r="AKN592"/>
      <c r="AKO592"/>
      <c r="AKP592"/>
      <c r="AKQ592"/>
      <c r="AKR592"/>
      <c r="AKS592"/>
      <c r="AKT592"/>
      <c r="AKU592"/>
      <c r="AKV592"/>
      <c r="AKW592"/>
      <c r="AKX592"/>
      <c r="AKY592"/>
      <c r="AKZ592"/>
      <c r="ALA592"/>
      <c r="ALB592"/>
      <c r="ALC592"/>
      <c r="ALD592"/>
      <c r="ALE592"/>
      <c r="ALF592"/>
      <c r="ALG592"/>
      <c r="ALH592"/>
      <c r="ALI592"/>
      <c r="ALJ592"/>
      <c r="ALK592"/>
      <c r="ALL592"/>
      <c r="ALM592"/>
      <c r="ALN592"/>
      <c r="ALO592"/>
      <c r="ALP592"/>
      <c r="ALQ592"/>
      <c r="ALR592"/>
      <c r="ALS592"/>
      <c r="ALT592"/>
      <c r="ALU592"/>
      <c r="ALV592"/>
      <c r="ALW592"/>
      <c r="ALX592"/>
      <c r="ALY592"/>
      <c r="ALZ592"/>
      <c r="AMA592"/>
      <c r="AMB592"/>
      <c r="AMC592"/>
      <c r="AMD592"/>
    </row>
    <row r="593" spans="1:1018" ht="16.5" customHeight="1">
      <c r="A593" s="547" t="s">
        <v>401</v>
      </c>
      <c r="B593" s="282"/>
      <c r="C593" s="282"/>
      <c r="D593" s="282"/>
      <c r="E593" s="178">
        <f t="shared" si="61"/>
        <v>12</v>
      </c>
      <c r="F593" s="277" t="s">
        <v>1527</v>
      </c>
      <c r="G593" s="282"/>
      <c r="H593" s="282">
        <v>10</v>
      </c>
      <c r="I593" s="282"/>
      <c r="J593" s="175"/>
      <c r="K593" s="201">
        <v>4834.5</v>
      </c>
      <c r="L593" s="201">
        <v>1475</v>
      </c>
      <c r="M593" s="201"/>
      <c r="N593" s="195">
        <f t="shared" si="60"/>
        <v>6309.5</v>
      </c>
      <c r="O593" s="303">
        <v>13759</v>
      </c>
      <c r="P593" s="304">
        <v>2700</v>
      </c>
      <c r="Q593" s="304">
        <v>300</v>
      </c>
      <c r="R593" s="305">
        <v>3514</v>
      </c>
      <c r="S593" s="306">
        <v>3620</v>
      </c>
      <c r="T593" s="306"/>
      <c r="U593" s="9"/>
      <c r="V593" s="9"/>
      <c r="W593" s="291">
        <v>0</v>
      </c>
      <c r="X593" s="290">
        <v>6300</v>
      </c>
      <c r="Y593" s="290" t="s">
        <v>1528</v>
      </c>
      <c r="Z593" s="289"/>
      <c r="AA593" s="291"/>
      <c r="AB593" s="291"/>
      <c r="AC593" s="291"/>
      <c r="AD593" s="291"/>
      <c r="AE593" s="291"/>
      <c r="AF593" s="291"/>
      <c r="AG593" s="291"/>
      <c r="AH593" s="291">
        <v>0</v>
      </c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  <c r="ZW593"/>
      <c r="ZX593"/>
      <c r="ZY593"/>
      <c r="ZZ593"/>
      <c r="AAA593"/>
      <c r="AAB593"/>
      <c r="AAC593"/>
      <c r="AAD593"/>
      <c r="AAE593"/>
      <c r="AAF593"/>
      <c r="AAG593"/>
      <c r="AAH593"/>
      <c r="AAI593"/>
      <c r="AAJ593"/>
      <c r="AAK593"/>
      <c r="AAL593"/>
      <c r="AAM593"/>
      <c r="AAN593"/>
      <c r="AAO593"/>
      <c r="AAP593"/>
      <c r="AAQ593"/>
      <c r="AAR593"/>
      <c r="AAS593"/>
      <c r="AAT593"/>
      <c r="AAU593"/>
      <c r="AAV593"/>
      <c r="AAW593"/>
      <c r="AAX593"/>
      <c r="AAY593"/>
      <c r="AAZ593"/>
      <c r="ABA593"/>
      <c r="ABB593"/>
      <c r="ABC593"/>
      <c r="ABD593"/>
      <c r="ABE593"/>
      <c r="ABF593"/>
      <c r="ABG593"/>
      <c r="ABH593"/>
      <c r="ABI593"/>
      <c r="ABJ593"/>
      <c r="ABK593"/>
      <c r="ABL593"/>
      <c r="ABM593"/>
      <c r="ABN593"/>
      <c r="ABO593"/>
      <c r="ABP593"/>
      <c r="ABQ593"/>
      <c r="ABR593"/>
      <c r="ABS593"/>
      <c r="ABT593"/>
      <c r="ABU593"/>
      <c r="ABV593"/>
      <c r="ABW593"/>
      <c r="ABX593"/>
      <c r="ABY593"/>
      <c r="ABZ593"/>
      <c r="ACA593"/>
      <c r="ACB593"/>
      <c r="ACC593"/>
      <c r="ACD593"/>
      <c r="ACE593"/>
      <c r="ACF593"/>
      <c r="ACG593"/>
      <c r="ACH593"/>
      <c r="ACI593"/>
      <c r="ACJ593"/>
      <c r="ACK593"/>
      <c r="ACL593"/>
      <c r="ACM593"/>
      <c r="ACN593"/>
      <c r="ACO593"/>
      <c r="ACP593"/>
      <c r="ACQ593"/>
      <c r="ACR593"/>
      <c r="ACS593"/>
      <c r="ACT593"/>
      <c r="ACU593"/>
      <c r="ACV593"/>
      <c r="ACW593"/>
      <c r="ACX593"/>
      <c r="ACY593"/>
      <c r="ACZ593"/>
      <c r="ADA593"/>
      <c r="ADB593"/>
      <c r="ADC593"/>
      <c r="ADD593"/>
      <c r="ADE593"/>
      <c r="ADF593"/>
      <c r="ADG593"/>
      <c r="ADH593"/>
      <c r="ADI593"/>
      <c r="ADJ593"/>
      <c r="ADK593"/>
      <c r="ADL593"/>
      <c r="ADM593"/>
      <c r="ADN593"/>
      <c r="ADO593"/>
      <c r="ADP593"/>
      <c r="ADQ593"/>
      <c r="ADR593"/>
      <c r="ADS593"/>
      <c r="ADT593"/>
      <c r="ADU593"/>
      <c r="ADV593"/>
      <c r="ADW593"/>
      <c r="ADX593"/>
      <c r="ADY593"/>
      <c r="ADZ593"/>
      <c r="AEA593"/>
      <c r="AEB593"/>
      <c r="AEC593"/>
      <c r="AED593"/>
      <c r="AEE593"/>
      <c r="AEF593"/>
      <c r="AEG593"/>
      <c r="AEH593"/>
      <c r="AEI593"/>
      <c r="AEJ593"/>
      <c r="AEK593"/>
      <c r="AEL593"/>
      <c r="AEM593"/>
      <c r="AEN593"/>
      <c r="AEO593"/>
      <c r="AEP593"/>
      <c r="AEQ593"/>
      <c r="AER593"/>
      <c r="AES593"/>
      <c r="AET593"/>
      <c r="AEU593"/>
      <c r="AEV593"/>
      <c r="AEW593"/>
      <c r="AEX593"/>
      <c r="AEY593"/>
      <c r="AEZ593"/>
      <c r="AFA593"/>
      <c r="AFB593"/>
      <c r="AFC593"/>
      <c r="AFD593"/>
      <c r="AFE593"/>
      <c r="AFF593"/>
      <c r="AFG593"/>
      <c r="AFH593"/>
      <c r="AFI593"/>
      <c r="AFJ593"/>
      <c r="AFK593"/>
      <c r="AFL593"/>
      <c r="AFM593"/>
      <c r="AFN593"/>
      <c r="AFO593"/>
      <c r="AFP593"/>
      <c r="AFQ593"/>
      <c r="AFR593"/>
      <c r="AFS593"/>
      <c r="AFT593"/>
      <c r="AFU593"/>
      <c r="AFV593"/>
      <c r="AFW593"/>
      <c r="AFX593"/>
      <c r="AFY593"/>
      <c r="AFZ593"/>
      <c r="AGA593"/>
      <c r="AGB593"/>
      <c r="AGC593"/>
      <c r="AGD593"/>
      <c r="AGE593"/>
      <c r="AGF593"/>
      <c r="AGG593"/>
      <c r="AGH593"/>
      <c r="AGI593"/>
      <c r="AGJ593"/>
      <c r="AGK593"/>
      <c r="AGL593"/>
      <c r="AGM593"/>
      <c r="AGN593"/>
      <c r="AGO593"/>
      <c r="AGP593"/>
      <c r="AGQ593"/>
      <c r="AGR593"/>
      <c r="AGS593"/>
      <c r="AGT593"/>
      <c r="AGU593"/>
      <c r="AGV593"/>
      <c r="AGW593"/>
      <c r="AGX593"/>
      <c r="AGY593"/>
      <c r="AGZ593"/>
      <c r="AHA593"/>
      <c r="AHB593"/>
      <c r="AHC593"/>
      <c r="AHD593"/>
      <c r="AHE593"/>
      <c r="AHF593"/>
      <c r="AHG593"/>
      <c r="AHH593"/>
      <c r="AHI593"/>
      <c r="AHJ593"/>
      <c r="AHK593"/>
      <c r="AHL593"/>
      <c r="AHM593"/>
      <c r="AHN593"/>
      <c r="AHO593"/>
      <c r="AHP593"/>
      <c r="AHQ593"/>
      <c r="AHR593"/>
      <c r="AHS593"/>
      <c r="AHT593"/>
      <c r="AHU593"/>
      <c r="AHV593"/>
      <c r="AHW593"/>
      <c r="AHX593"/>
      <c r="AHY593"/>
      <c r="AHZ593"/>
      <c r="AIA593"/>
      <c r="AIB593"/>
      <c r="AIC593"/>
      <c r="AID593"/>
      <c r="AIE593"/>
      <c r="AIF593"/>
      <c r="AIG593"/>
      <c r="AIH593"/>
      <c r="AII593"/>
      <c r="AIJ593"/>
      <c r="AIK593"/>
      <c r="AIL593"/>
      <c r="AIM593"/>
      <c r="AIN593"/>
      <c r="AIO593"/>
      <c r="AIP593"/>
      <c r="AIQ593"/>
      <c r="AIR593"/>
      <c r="AIS593"/>
      <c r="AIT593"/>
      <c r="AIU593"/>
      <c r="AIV593"/>
      <c r="AIW593"/>
      <c r="AIX593"/>
      <c r="AIY593"/>
      <c r="AIZ593"/>
      <c r="AJA593"/>
      <c r="AJB593"/>
      <c r="AJC593"/>
      <c r="AJD593"/>
      <c r="AJE593"/>
      <c r="AJF593"/>
      <c r="AJG593"/>
      <c r="AJH593"/>
      <c r="AJI593"/>
      <c r="AJJ593"/>
      <c r="AJK593"/>
      <c r="AJL593"/>
      <c r="AJM593"/>
      <c r="AJN593"/>
      <c r="AJO593"/>
      <c r="AJP593"/>
      <c r="AJQ593"/>
      <c r="AJR593"/>
      <c r="AJS593"/>
      <c r="AJT593"/>
      <c r="AJU593"/>
      <c r="AJV593"/>
      <c r="AJW593"/>
      <c r="AJX593"/>
      <c r="AJY593"/>
      <c r="AJZ593"/>
      <c r="AKA593"/>
      <c r="AKB593"/>
      <c r="AKC593"/>
      <c r="AKD593"/>
      <c r="AKE593"/>
      <c r="AKF593"/>
      <c r="AKG593"/>
      <c r="AKH593"/>
      <c r="AKI593"/>
      <c r="AKJ593"/>
      <c r="AKK593"/>
      <c r="AKL593"/>
      <c r="AKM593"/>
      <c r="AKN593"/>
      <c r="AKO593"/>
      <c r="AKP593"/>
      <c r="AKQ593"/>
      <c r="AKR593"/>
      <c r="AKS593"/>
      <c r="AKT593"/>
      <c r="AKU593"/>
      <c r="AKV593"/>
      <c r="AKW593"/>
      <c r="AKX593"/>
      <c r="AKY593"/>
      <c r="AKZ593"/>
      <c r="ALA593"/>
      <c r="ALB593"/>
      <c r="ALC593"/>
      <c r="ALD593"/>
      <c r="ALE593"/>
      <c r="ALF593"/>
      <c r="ALG593"/>
      <c r="ALH593"/>
      <c r="ALI593"/>
      <c r="ALJ593"/>
      <c r="ALK593"/>
      <c r="ALL593"/>
      <c r="ALM593"/>
      <c r="ALN593"/>
      <c r="ALO593"/>
      <c r="ALP593"/>
      <c r="ALQ593"/>
      <c r="ALR593"/>
      <c r="ALS593"/>
      <c r="ALT593"/>
      <c r="ALU593"/>
      <c r="ALV593"/>
      <c r="ALW593"/>
      <c r="ALX593"/>
      <c r="ALY593"/>
      <c r="ALZ593"/>
      <c r="AMA593"/>
      <c r="AMB593"/>
      <c r="AMC593"/>
      <c r="AMD593"/>
    </row>
    <row r="594" spans="1:1018">
      <c r="A594" s="421" t="s">
        <v>402</v>
      </c>
      <c r="B594" s="282"/>
      <c r="C594" s="282"/>
      <c r="D594" s="282"/>
      <c r="E594" s="178">
        <f t="shared" si="61"/>
        <v>13</v>
      </c>
      <c r="F594" s="277" t="s">
        <v>1529</v>
      </c>
      <c r="G594" s="282"/>
      <c r="H594" s="282">
        <v>10</v>
      </c>
      <c r="I594" s="282"/>
      <c r="J594" s="175"/>
      <c r="K594" s="201">
        <v>4834.5</v>
      </c>
      <c r="L594" s="201"/>
      <c r="M594" s="201"/>
      <c r="N594" s="195">
        <f t="shared" si="60"/>
        <v>4834.5</v>
      </c>
      <c r="O594" s="303">
        <v>13793</v>
      </c>
      <c r="P594" s="304"/>
      <c r="Q594" s="304">
        <v>300</v>
      </c>
      <c r="R594" s="305"/>
      <c r="S594" s="306"/>
      <c r="T594" s="306"/>
      <c r="U594" s="9"/>
      <c r="V594" s="9"/>
      <c r="W594" s="291"/>
      <c r="X594" s="291" t="s">
        <v>983</v>
      </c>
      <c r="Y594" s="291"/>
      <c r="Z594" s="291"/>
      <c r="AA594" s="291"/>
      <c r="AB594" s="291"/>
      <c r="AC594" s="291"/>
      <c r="AD594" s="291"/>
      <c r="AE594" s="291"/>
      <c r="AF594" s="291"/>
      <c r="AG594" s="291"/>
      <c r="AH594" s="291">
        <v>0</v>
      </c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  <c r="ZW594"/>
      <c r="ZX594"/>
      <c r="ZY594"/>
      <c r="ZZ594"/>
      <c r="AAA594"/>
      <c r="AAB594"/>
      <c r="AAC594"/>
      <c r="AAD594"/>
      <c r="AAE594"/>
      <c r="AAF594"/>
      <c r="AAG594"/>
      <c r="AAH594"/>
      <c r="AAI594"/>
      <c r="AAJ594"/>
      <c r="AAK594"/>
      <c r="AAL594"/>
      <c r="AAM594"/>
      <c r="AAN594"/>
      <c r="AAO594"/>
      <c r="AAP594"/>
      <c r="AAQ594"/>
      <c r="AAR594"/>
      <c r="AAS594"/>
      <c r="AAT594"/>
      <c r="AAU594"/>
      <c r="AAV594"/>
      <c r="AAW594"/>
      <c r="AAX594"/>
      <c r="AAY594"/>
      <c r="AAZ594"/>
      <c r="ABA594"/>
      <c r="ABB594"/>
      <c r="ABC594"/>
      <c r="ABD594"/>
      <c r="ABE594"/>
      <c r="ABF594"/>
      <c r="ABG594"/>
      <c r="ABH594"/>
      <c r="ABI594"/>
      <c r="ABJ594"/>
      <c r="ABK594"/>
      <c r="ABL594"/>
      <c r="ABM594"/>
      <c r="ABN594"/>
      <c r="ABO594"/>
      <c r="ABP594"/>
      <c r="ABQ594"/>
      <c r="ABR594"/>
      <c r="ABS594"/>
      <c r="ABT594"/>
      <c r="ABU594"/>
      <c r="ABV594"/>
      <c r="ABW594"/>
      <c r="ABX594"/>
      <c r="ABY594"/>
      <c r="ABZ594"/>
      <c r="ACA594"/>
      <c r="ACB594"/>
      <c r="ACC594"/>
      <c r="ACD594"/>
      <c r="ACE594"/>
      <c r="ACF594"/>
      <c r="ACG594"/>
      <c r="ACH594"/>
      <c r="ACI594"/>
      <c r="ACJ594"/>
      <c r="ACK594"/>
      <c r="ACL594"/>
      <c r="ACM594"/>
      <c r="ACN594"/>
      <c r="ACO594"/>
      <c r="ACP594"/>
      <c r="ACQ594"/>
      <c r="ACR594"/>
      <c r="ACS594"/>
      <c r="ACT594"/>
      <c r="ACU594"/>
      <c r="ACV594"/>
      <c r="ACW594"/>
      <c r="ACX594"/>
      <c r="ACY594"/>
      <c r="ACZ594"/>
      <c r="ADA594"/>
      <c r="ADB594"/>
      <c r="ADC594"/>
      <c r="ADD594"/>
      <c r="ADE594"/>
      <c r="ADF594"/>
      <c r="ADG594"/>
      <c r="ADH594"/>
      <c r="ADI594"/>
      <c r="ADJ594"/>
      <c r="ADK594"/>
      <c r="ADL594"/>
      <c r="ADM594"/>
      <c r="ADN594"/>
      <c r="ADO594"/>
      <c r="ADP594"/>
      <c r="ADQ594"/>
      <c r="ADR594"/>
      <c r="ADS594"/>
      <c r="ADT594"/>
      <c r="ADU594"/>
      <c r="ADV594"/>
      <c r="ADW594"/>
      <c r="ADX594"/>
      <c r="ADY594"/>
      <c r="ADZ594"/>
      <c r="AEA594"/>
      <c r="AEB594"/>
      <c r="AEC594"/>
      <c r="AED594"/>
      <c r="AEE594"/>
      <c r="AEF594"/>
      <c r="AEG594"/>
      <c r="AEH594"/>
      <c r="AEI594"/>
      <c r="AEJ594"/>
      <c r="AEK594"/>
      <c r="AEL594"/>
      <c r="AEM594"/>
      <c r="AEN594"/>
      <c r="AEO594"/>
      <c r="AEP594"/>
      <c r="AEQ594"/>
      <c r="AER594"/>
      <c r="AES594"/>
      <c r="AET594"/>
      <c r="AEU594"/>
      <c r="AEV594"/>
      <c r="AEW594"/>
      <c r="AEX594"/>
      <c r="AEY594"/>
      <c r="AEZ594"/>
      <c r="AFA594"/>
      <c r="AFB594"/>
      <c r="AFC594"/>
      <c r="AFD594"/>
      <c r="AFE594"/>
      <c r="AFF594"/>
      <c r="AFG594"/>
      <c r="AFH594"/>
      <c r="AFI594"/>
      <c r="AFJ594"/>
      <c r="AFK594"/>
      <c r="AFL594"/>
      <c r="AFM594"/>
      <c r="AFN594"/>
      <c r="AFO594"/>
      <c r="AFP594"/>
      <c r="AFQ594"/>
      <c r="AFR594"/>
      <c r="AFS594"/>
      <c r="AFT594"/>
      <c r="AFU594"/>
      <c r="AFV594"/>
      <c r="AFW594"/>
      <c r="AFX594"/>
      <c r="AFY594"/>
      <c r="AFZ594"/>
      <c r="AGA594"/>
      <c r="AGB594"/>
      <c r="AGC594"/>
      <c r="AGD594"/>
      <c r="AGE594"/>
      <c r="AGF594"/>
      <c r="AGG594"/>
      <c r="AGH594"/>
      <c r="AGI594"/>
      <c r="AGJ594"/>
      <c r="AGK594"/>
      <c r="AGL594"/>
      <c r="AGM594"/>
      <c r="AGN594"/>
      <c r="AGO594"/>
      <c r="AGP594"/>
      <c r="AGQ594"/>
      <c r="AGR594"/>
      <c r="AGS594"/>
      <c r="AGT594"/>
      <c r="AGU594"/>
      <c r="AGV594"/>
      <c r="AGW594"/>
      <c r="AGX594"/>
      <c r="AGY594"/>
      <c r="AGZ594"/>
      <c r="AHA594"/>
      <c r="AHB594"/>
      <c r="AHC594"/>
      <c r="AHD594"/>
      <c r="AHE594"/>
      <c r="AHF594"/>
      <c r="AHG594"/>
      <c r="AHH594"/>
      <c r="AHI594"/>
      <c r="AHJ594"/>
      <c r="AHK594"/>
      <c r="AHL594"/>
      <c r="AHM594"/>
      <c r="AHN594"/>
      <c r="AHO594"/>
      <c r="AHP594"/>
      <c r="AHQ594"/>
      <c r="AHR594"/>
      <c r="AHS594"/>
      <c r="AHT594"/>
      <c r="AHU594"/>
      <c r="AHV594"/>
      <c r="AHW594"/>
      <c r="AHX594"/>
      <c r="AHY594"/>
      <c r="AHZ594"/>
      <c r="AIA594"/>
      <c r="AIB594"/>
      <c r="AIC594"/>
      <c r="AID594"/>
      <c r="AIE594"/>
      <c r="AIF594"/>
      <c r="AIG594"/>
      <c r="AIH594"/>
      <c r="AII594"/>
      <c r="AIJ594"/>
      <c r="AIK594"/>
      <c r="AIL594"/>
      <c r="AIM594"/>
      <c r="AIN594"/>
      <c r="AIO594"/>
      <c r="AIP594"/>
      <c r="AIQ594"/>
      <c r="AIR594"/>
      <c r="AIS594"/>
      <c r="AIT594"/>
      <c r="AIU594"/>
      <c r="AIV594"/>
      <c r="AIW594"/>
      <c r="AIX594"/>
      <c r="AIY594"/>
      <c r="AIZ594"/>
      <c r="AJA594"/>
      <c r="AJB594"/>
      <c r="AJC594"/>
      <c r="AJD594"/>
      <c r="AJE594"/>
      <c r="AJF594"/>
      <c r="AJG594"/>
      <c r="AJH594"/>
      <c r="AJI594"/>
      <c r="AJJ594"/>
      <c r="AJK594"/>
      <c r="AJL594"/>
      <c r="AJM594"/>
      <c r="AJN594"/>
      <c r="AJO594"/>
      <c r="AJP594"/>
      <c r="AJQ594"/>
      <c r="AJR594"/>
      <c r="AJS594"/>
      <c r="AJT594"/>
      <c r="AJU594"/>
      <c r="AJV594"/>
      <c r="AJW594"/>
      <c r="AJX594"/>
      <c r="AJY594"/>
      <c r="AJZ594"/>
      <c r="AKA594"/>
      <c r="AKB594"/>
      <c r="AKC594"/>
      <c r="AKD594"/>
      <c r="AKE594"/>
      <c r="AKF594"/>
      <c r="AKG594"/>
      <c r="AKH594"/>
      <c r="AKI594"/>
      <c r="AKJ594"/>
      <c r="AKK594"/>
      <c r="AKL594"/>
      <c r="AKM594"/>
      <c r="AKN594"/>
      <c r="AKO594"/>
      <c r="AKP594"/>
      <c r="AKQ594"/>
      <c r="AKR594"/>
      <c r="AKS594"/>
      <c r="AKT594"/>
      <c r="AKU594"/>
      <c r="AKV594"/>
      <c r="AKW594"/>
      <c r="AKX594"/>
      <c r="AKY594"/>
      <c r="AKZ594"/>
      <c r="ALA594"/>
      <c r="ALB594"/>
      <c r="ALC594"/>
      <c r="ALD594"/>
      <c r="ALE594"/>
      <c r="ALF594"/>
      <c r="ALG594"/>
      <c r="ALH594"/>
      <c r="ALI594"/>
      <c r="ALJ594"/>
      <c r="ALK594"/>
      <c r="ALL594"/>
      <c r="ALM594"/>
      <c r="ALN594"/>
      <c r="ALO594"/>
      <c r="ALP594"/>
      <c r="ALQ594"/>
      <c r="ALR594"/>
      <c r="ALS594"/>
      <c r="ALT594"/>
      <c r="ALU594"/>
      <c r="ALV594"/>
      <c r="ALW594"/>
      <c r="ALX594"/>
      <c r="ALY594"/>
      <c r="ALZ594"/>
      <c r="AMA594"/>
      <c r="AMB594"/>
      <c r="AMC594"/>
      <c r="AMD594"/>
    </row>
    <row r="595" spans="1:1018" ht="16.5" customHeight="1">
      <c r="A595" s="421" t="s">
        <v>403</v>
      </c>
      <c r="B595" s="282"/>
      <c r="C595" s="282"/>
      <c r="D595" s="282"/>
      <c r="E595" s="178">
        <f t="shared" si="61"/>
        <v>14</v>
      </c>
      <c r="F595" s="277" t="s">
        <v>1530</v>
      </c>
      <c r="G595" s="282">
        <v>0.1</v>
      </c>
      <c r="H595" s="282">
        <v>10</v>
      </c>
      <c r="I595" s="282"/>
      <c r="J595" s="175"/>
      <c r="K595" s="201">
        <v>4351.05</v>
      </c>
      <c r="L595" s="201"/>
      <c r="M595" s="201"/>
      <c r="N595" s="195">
        <f t="shared" si="60"/>
        <v>4351.05</v>
      </c>
      <c r="O595" s="303">
        <v>13878</v>
      </c>
      <c r="P595" s="304">
        <v>165.7</v>
      </c>
      <c r="Q595" s="304">
        <v>300</v>
      </c>
      <c r="R595" s="305">
        <v>3531</v>
      </c>
      <c r="S595" s="306">
        <v>3620</v>
      </c>
      <c r="T595" s="306"/>
      <c r="U595" s="9"/>
      <c r="V595" s="9"/>
      <c r="W595" s="291">
        <v>0</v>
      </c>
      <c r="X595" s="307"/>
      <c r="Y595" s="307"/>
      <c r="Z595" s="307"/>
      <c r="AA595" s="290"/>
      <c r="AB595" s="290"/>
      <c r="AC595" s="290"/>
      <c r="AD595" s="290"/>
      <c r="AE595" s="290"/>
      <c r="AF595" s="291"/>
      <c r="AG595" s="291"/>
      <c r="AH595" s="291">
        <v>0</v>
      </c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  <c r="ZW595"/>
      <c r="ZX595"/>
      <c r="ZY595"/>
      <c r="ZZ595"/>
      <c r="AAA595"/>
      <c r="AAB595"/>
      <c r="AAC595"/>
      <c r="AAD595"/>
      <c r="AAE595"/>
      <c r="AAF595"/>
      <c r="AAG595"/>
      <c r="AAH595"/>
      <c r="AAI595"/>
      <c r="AAJ595"/>
      <c r="AAK595"/>
      <c r="AAL595"/>
      <c r="AAM595"/>
      <c r="AAN595"/>
      <c r="AAO595"/>
      <c r="AAP595"/>
      <c r="AAQ595"/>
      <c r="AAR595"/>
      <c r="AAS595"/>
      <c r="AAT595"/>
      <c r="AAU595"/>
      <c r="AAV595"/>
      <c r="AAW595"/>
      <c r="AAX595"/>
      <c r="AAY595"/>
      <c r="AAZ595"/>
      <c r="ABA595"/>
      <c r="ABB595"/>
      <c r="ABC595"/>
      <c r="ABD595"/>
      <c r="ABE595"/>
      <c r="ABF595"/>
      <c r="ABG595"/>
      <c r="ABH595"/>
      <c r="ABI595"/>
      <c r="ABJ595"/>
      <c r="ABK595"/>
      <c r="ABL595"/>
      <c r="ABM595"/>
      <c r="ABN595"/>
      <c r="ABO595"/>
      <c r="ABP595"/>
      <c r="ABQ595"/>
      <c r="ABR595"/>
      <c r="ABS595"/>
      <c r="ABT595"/>
      <c r="ABU595"/>
      <c r="ABV595"/>
      <c r="ABW595"/>
      <c r="ABX595"/>
      <c r="ABY595"/>
      <c r="ABZ595"/>
      <c r="ACA595"/>
      <c r="ACB595"/>
      <c r="ACC595"/>
      <c r="ACD595"/>
      <c r="ACE595"/>
      <c r="ACF595"/>
      <c r="ACG595"/>
      <c r="ACH595"/>
      <c r="ACI595"/>
      <c r="ACJ595"/>
      <c r="ACK595"/>
      <c r="ACL595"/>
      <c r="ACM595"/>
      <c r="ACN595"/>
      <c r="ACO595"/>
      <c r="ACP595"/>
      <c r="ACQ595"/>
      <c r="ACR595"/>
      <c r="ACS595"/>
      <c r="ACT595"/>
      <c r="ACU595"/>
      <c r="ACV595"/>
      <c r="ACW595"/>
      <c r="ACX595"/>
      <c r="ACY595"/>
      <c r="ACZ595"/>
      <c r="ADA595"/>
      <c r="ADB595"/>
      <c r="ADC595"/>
      <c r="ADD595"/>
      <c r="ADE595"/>
      <c r="ADF595"/>
      <c r="ADG595"/>
      <c r="ADH595"/>
      <c r="ADI595"/>
      <c r="ADJ595"/>
      <c r="ADK595"/>
      <c r="ADL595"/>
      <c r="ADM595"/>
      <c r="ADN595"/>
      <c r="ADO595"/>
      <c r="ADP595"/>
      <c r="ADQ595"/>
      <c r="ADR595"/>
      <c r="ADS595"/>
      <c r="ADT595"/>
      <c r="ADU595"/>
      <c r="ADV595"/>
      <c r="ADW595"/>
      <c r="ADX595"/>
      <c r="ADY595"/>
      <c r="ADZ595"/>
      <c r="AEA595"/>
      <c r="AEB595"/>
      <c r="AEC595"/>
      <c r="AED595"/>
      <c r="AEE595"/>
      <c r="AEF595"/>
      <c r="AEG595"/>
      <c r="AEH595"/>
      <c r="AEI595"/>
      <c r="AEJ595"/>
      <c r="AEK595"/>
      <c r="AEL595"/>
      <c r="AEM595"/>
      <c r="AEN595"/>
      <c r="AEO595"/>
      <c r="AEP595"/>
      <c r="AEQ595"/>
      <c r="AER595"/>
      <c r="AES595"/>
      <c r="AET595"/>
      <c r="AEU595"/>
      <c r="AEV595"/>
      <c r="AEW595"/>
      <c r="AEX595"/>
      <c r="AEY595"/>
      <c r="AEZ595"/>
      <c r="AFA595"/>
      <c r="AFB595"/>
      <c r="AFC595"/>
      <c r="AFD595"/>
      <c r="AFE595"/>
      <c r="AFF595"/>
      <c r="AFG595"/>
      <c r="AFH595"/>
      <c r="AFI595"/>
      <c r="AFJ595"/>
      <c r="AFK595"/>
      <c r="AFL595"/>
      <c r="AFM595"/>
      <c r="AFN595"/>
      <c r="AFO595"/>
      <c r="AFP595"/>
      <c r="AFQ595"/>
      <c r="AFR595"/>
      <c r="AFS595"/>
      <c r="AFT595"/>
      <c r="AFU595"/>
      <c r="AFV595"/>
      <c r="AFW595"/>
      <c r="AFX595"/>
      <c r="AFY595"/>
      <c r="AFZ595"/>
      <c r="AGA595"/>
      <c r="AGB595"/>
      <c r="AGC595"/>
      <c r="AGD595"/>
      <c r="AGE595"/>
      <c r="AGF595"/>
      <c r="AGG595"/>
      <c r="AGH595"/>
      <c r="AGI595"/>
      <c r="AGJ595"/>
      <c r="AGK595"/>
      <c r="AGL595"/>
      <c r="AGM595"/>
      <c r="AGN595"/>
      <c r="AGO595"/>
      <c r="AGP595"/>
      <c r="AGQ595"/>
      <c r="AGR595"/>
      <c r="AGS595"/>
      <c r="AGT595"/>
      <c r="AGU595"/>
      <c r="AGV595"/>
      <c r="AGW595"/>
      <c r="AGX595"/>
      <c r="AGY595"/>
      <c r="AGZ595"/>
      <c r="AHA595"/>
      <c r="AHB595"/>
      <c r="AHC595"/>
      <c r="AHD595"/>
      <c r="AHE595"/>
      <c r="AHF595"/>
      <c r="AHG595"/>
      <c r="AHH595"/>
      <c r="AHI595"/>
      <c r="AHJ595"/>
      <c r="AHK595"/>
      <c r="AHL595"/>
      <c r="AHM595"/>
      <c r="AHN595"/>
      <c r="AHO595"/>
      <c r="AHP595"/>
      <c r="AHQ595"/>
      <c r="AHR595"/>
      <c r="AHS595"/>
      <c r="AHT595"/>
      <c r="AHU595"/>
      <c r="AHV595"/>
      <c r="AHW595"/>
      <c r="AHX595"/>
      <c r="AHY595"/>
      <c r="AHZ595"/>
      <c r="AIA595"/>
      <c r="AIB595"/>
      <c r="AIC595"/>
      <c r="AID595"/>
      <c r="AIE595"/>
      <c r="AIF595"/>
      <c r="AIG595"/>
      <c r="AIH595"/>
      <c r="AII595"/>
      <c r="AIJ595"/>
      <c r="AIK595"/>
      <c r="AIL595"/>
      <c r="AIM595"/>
      <c r="AIN595"/>
      <c r="AIO595"/>
      <c r="AIP595"/>
      <c r="AIQ595"/>
      <c r="AIR595"/>
      <c r="AIS595"/>
      <c r="AIT595"/>
      <c r="AIU595"/>
      <c r="AIV595"/>
      <c r="AIW595"/>
      <c r="AIX595"/>
      <c r="AIY595"/>
      <c r="AIZ595"/>
      <c r="AJA595"/>
      <c r="AJB595"/>
      <c r="AJC595"/>
      <c r="AJD595"/>
      <c r="AJE595"/>
      <c r="AJF595"/>
      <c r="AJG595"/>
      <c r="AJH595"/>
      <c r="AJI595"/>
      <c r="AJJ595"/>
      <c r="AJK595"/>
      <c r="AJL595"/>
      <c r="AJM595"/>
      <c r="AJN595"/>
      <c r="AJO595"/>
      <c r="AJP595"/>
      <c r="AJQ595"/>
      <c r="AJR595"/>
      <c r="AJS595"/>
      <c r="AJT595"/>
      <c r="AJU595"/>
      <c r="AJV595"/>
      <c r="AJW595"/>
      <c r="AJX595"/>
      <c r="AJY595"/>
      <c r="AJZ595"/>
      <c r="AKA595"/>
      <c r="AKB595"/>
      <c r="AKC595"/>
      <c r="AKD595"/>
      <c r="AKE595"/>
      <c r="AKF595"/>
      <c r="AKG595"/>
      <c r="AKH595"/>
      <c r="AKI595"/>
      <c r="AKJ595"/>
      <c r="AKK595"/>
      <c r="AKL595"/>
      <c r="AKM595"/>
      <c r="AKN595"/>
      <c r="AKO595"/>
      <c r="AKP595"/>
      <c r="AKQ595"/>
      <c r="AKR595"/>
      <c r="AKS595"/>
      <c r="AKT595"/>
      <c r="AKU595"/>
      <c r="AKV595"/>
      <c r="AKW595"/>
      <c r="AKX595"/>
      <c r="AKY595"/>
      <c r="AKZ595"/>
      <c r="ALA595"/>
      <c r="ALB595"/>
      <c r="ALC595"/>
      <c r="ALD595"/>
      <c r="ALE595"/>
      <c r="ALF595"/>
      <c r="ALG595"/>
      <c r="ALH595"/>
      <c r="ALI595"/>
      <c r="ALJ595"/>
      <c r="ALK595"/>
      <c r="ALL595"/>
      <c r="ALM595"/>
      <c r="ALN595"/>
      <c r="ALO595"/>
      <c r="ALP595"/>
      <c r="ALQ595"/>
      <c r="ALR595"/>
      <c r="ALS595"/>
      <c r="ALT595"/>
      <c r="ALU595"/>
      <c r="ALV595"/>
      <c r="ALW595"/>
      <c r="ALX595"/>
      <c r="ALY595"/>
      <c r="ALZ595"/>
      <c r="AMA595"/>
      <c r="AMB595"/>
      <c r="AMC595"/>
      <c r="AMD595"/>
    </row>
    <row r="596" spans="1:1018">
      <c r="A596" s="547" t="s">
        <v>404</v>
      </c>
      <c r="B596" s="282"/>
      <c r="C596" s="282" t="s">
        <v>378</v>
      </c>
      <c r="D596" s="282"/>
      <c r="E596" s="178">
        <f t="shared" si="61"/>
        <v>15</v>
      </c>
      <c r="F596" s="277" t="s">
        <v>1531</v>
      </c>
      <c r="G596" s="282">
        <v>0.2</v>
      </c>
      <c r="H596" s="282">
        <v>10</v>
      </c>
      <c r="I596" s="282"/>
      <c r="J596" s="175"/>
      <c r="K596" s="201">
        <v>3867</v>
      </c>
      <c r="L596" s="201">
        <v>375</v>
      </c>
      <c r="M596" s="201"/>
      <c r="N596" s="195">
        <f t="shared" si="60"/>
        <v>4242</v>
      </c>
      <c r="O596" s="303">
        <v>13814</v>
      </c>
      <c r="P596" s="304">
        <v>0</v>
      </c>
      <c r="Q596" s="304">
        <v>300</v>
      </c>
      <c r="R596" s="305">
        <v>3529</v>
      </c>
      <c r="S596" s="306">
        <v>3620</v>
      </c>
      <c r="T596" s="306"/>
      <c r="U596" s="9"/>
      <c r="V596" s="9"/>
      <c r="W596" s="291">
        <v>0</v>
      </c>
      <c r="X596" s="291">
        <f>3867.6+375</f>
        <v>4242.6000000000004</v>
      </c>
      <c r="Y596" s="290">
        <v>3118.2</v>
      </c>
      <c r="Z596" s="291">
        <v>375</v>
      </c>
      <c r="AA596" s="291" t="s">
        <v>1532</v>
      </c>
      <c r="AB596" s="291"/>
      <c r="AC596" s="291"/>
      <c r="AD596" s="291"/>
      <c r="AE596" s="291"/>
      <c r="AF596" s="291"/>
      <c r="AG596" s="291"/>
      <c r="AH596" s="291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  <c r="ZW596"/>
      <c r="ZX596"/>
      <c r="ZY596"/>
      <c r="ZZ596"/>
      <c r="AAA596"/>
      <c r="AAB596"/>
      <c r="AAC596"/>
      <c r="AAD596"/>
      <c r="AAE596"/>
      <c r="AAF596"/>
      <c r="AAG596"/>
      <c r="AAH596"/>
      <c r="AAI596"/>
      <c r="AAJ596"/>
      <c r="AAK596"/>
      <c r="AAL596"/>
      <c r="AAM596"/>
      <c r="AAN596"/>
      <c r="AAO596"/>
      <c r="AAP596"/>
      <c r="AAQ596"/>
      <c r="AAR596"/>
      <c r="AAS596"/>
      <c r="AAT596"/>
      <c r="AAU596"/>
      <c r="AAV596"/>
      <c r="AAW596"/>
      <c r="AAX596"/>
      <c r="AAY596"/>
      <c r="AAZ596"/>
      <c r="ABA596"/>
      <c r="ABB596"/>
      <c r="ABC596"/>
      <c r="ABD596"/>
      <c r="ABE596"/>
      <c r="ABF596"/>
      <c r="ABG596"/>
      <c r="ABH596"/>
      <c r="ABI596"/>
      <c r="ABJ596"/>
      <c r="ABK596"/>
      <c r="ABL596"/>
      <c r="ABM596"/>
      <c r="ABN596"/>
      <c r="ABO596"/>
      <c r="ABP596"/>
      <c r="ABQ596"/>
      <c r="ABR596"/>
      <c r="ABS596"/>
      <c r="ABT596"/>
      <c r="ABU596"/>
      <c r="ABV596"/>
      <c r="ABW596"/>
      <c r="ABX596"/>
      <c r="ABY596"/>
      <c r="ABZ596"/>
      <c r="ACA596"/>
      <c r="ACB596"/>
      <c r="ACC596"/>
      <c r="ACD596"/>
      <c r="ACE596"/>
      <c r="ACF596"/>
      <c r="ACG596"/>
      <c r="ACH596"/>
      <c r="ACI596"/>
      <c r="ACJ596"/>
      <c r="ACK596"/>
      <c r="ACL596"/>
      <c r="ACM596"/>
      <c r="ACN596"/>
      <c r="ACO596"/>
      <c r="ACP596"/>
      <c r="ACQ596"/>
      <c r="ACR596"/>
      <c r="ACS596"/>
      <c r="ACT596"/>
      <c r="ACU596"/>
      <c r="ACV596"/>
      <c r="ACW596"/>
      <c r="ACX596"/>
      <c r="ACY596"/>
      <c r="ACZ596"/>
      <c r="ADA596"/>
      <c r="ADB596"/>
      <c r="ADC596"/>
      <c r="ADD596"/>
      <c r="ADE596"/>
      <c r="ADF596"/>
      <c r="ADG596"/>
      <c r="ADH596"/>
      <c r="ADI596"/>
      <c r="ADJ596"/>
      <c r="ADK596"/>
      <c r="ADL596"/>
      <c r="ADM596"/>
      <c r="ADN596"/>
      <c r="ADO596"/>
      <c r="ADP596"/>
      <c r="ADQ596"/>
      <c r="ADR596"/>
      <c r="ADS596"/>
      <c r="ADT596"/>
      <c r="ADU596"/>
      <c r="ADV596"/>
      <c r="ADW596"/>
      <c r="ADX596"/>
      <c r="ADY596"/>
      <c r="ADZ596"/>
      <c r="AEA596"/>
      <c r="AEB596"/>
      <c r="AEC596"/>
      <c r="AED596"/>
      <c r="AEE596"/>
      <c r="AEF596"/>
      <c r="AEG596"/>
      <c r="AEH596"/>
      <c r="AEI596"/>
      <c r="AEJ596"/>
      <c r="AEK596"/>
      <c r="AEL596"/>
      <c r="AEM596"/>
      <c r="AEN596"/>
      <c r="AEO596"/>
      <c r="AEP596"/>
      <c r="AEQ596"/>
      <c r="AER596"/>
      <c r="AES596"/>
      <c r="AET596"/>
      <c r="AEU596"/>
      <c r="AEV596"/>
      <c r="AEW596"/>
      <c r="AEX596"/>
      <c r="AEY596"/>
      <c r="AEZ596"/>
      <c r="AFA596"/>
      <c r="AFB596"/>
      <c r="AFC596"/>
      <c r="AFD596"/>
      <c r="AFE596"/>
      <c r="AFF596"/>
      <c r="AFG596"/>
      <c r="AFH596"/>
      <c r="AFI596"/>
      <c r="AFJ596"/>
      <c r="AFK596"/>
      <c r="AFL596"/>
      <c r="AFM596"/>
      <c r="AFN596"/>
      <c r="AFO596"/>
      <c r="AFP596"/>
      <c r="AFQ596"/>
      <c r="AFR596"/>
      <c r="AFS596"/>
      <c r="AFT596"/>
      <c r="AFU596"/>
      <c r="AFV596"/>
      <c r="AFW596"/>
      <c r="AFX596"/>
      <c r="AFY596"/>
      <c r="AFZ596"/>
      <c r="AGA596"/>
      <c r="AGB596"/>
      <c r="AGC596"/>
      <c r="AGD596"/>
      <c r="AGE596"/>
      <c r="AGF596"/>
      <c r="AGG596"/>
      <c r="AGH596"/>
      <c r="AGI596"/>
      <c r="AGJ596"/>
      <c r="AGK596"/>
      <c r="AGL596"/>
      <c r="AGM596"/>
      <c r="AGN596"/>
      <c r="AGO596"/>
      <c r="AGP596"/>
      <c r="AGQ596"/>
      <c r="AGR596"/>
      <c r="AGS596"/>
      <c r="AGT596"/>
      <c r="AGU596"/>
      <c r="AGV596"/>
      <c r="AGW596"/>
      <c r="AGX596"/>
      <c r="AGY596"/>
      <c r="AGZ596"/>
      <c r="AHA596"/>
      <c r="AHB596"/>
      <c r="AHC596"/>
      <c r="AHD596"/>
      <c r="AHE596"/>
      <c r="AHF596"/>
      <c r="AHG596"/>
      <c r="AHH596"/>
      <c r="AHI596"/>
      <c r="AHJ596"/>
      <c r="AHK596"/>
      <c r="AHL596"/>
      <c r="AHM596"/>
      <c r="AHN596"/>
      <c r="AHO596"/>
      <c r="AHP596"/>
      <c r="AHQ596"/>
      <c r="AHR596"/>
      <c r="AHS596"/>
      <c r="AHT596"/>
      <c r="AHU596"/>
      <c r="AHV596"/>
      <c r="AHW596"/>
      <c r="AHX596"/>
      <c r="AHY596"/>
      <c r="AHZ596"/>
      <c r="AIA596"/>
      <c r="AIB596"/>
      <c r="AIC596"/>
      <c r="AID596"/>
      <c r="AIE596"/>
      <c r="AIF596"/>
      <c r="AIG596"/>
      <c r="AIH596"/>
      <c r="AII596"/>
      <c r="AIJ596"/>
      <c r="AIK596"/>
      <c r="AIL596"/>
      <c r="AIM596"/>
      <c r="AIN596"/>
      <c r="AIO596"/>
      <c r="AIP596"/>
      <c r="AIQ596"/>
      <c r="AIR596"/>
      <c r="AIS596"/>
      <c r="AIT596"/>
      <c r="AIU596"/>
      <c r="AIV596"/>
      <c r="AIW596"/>
      <c r="AIX596"/>
      <c r="AIY596"/>
      <c r="AIZ596"/>
      <c r="AJA596"/>
      <c r="AJB596"/>
      <c r="AJC596"/>
      <c r="AJD596"/>
      <c r="AJE596"/>
      <c r="AJF596"/>
      <c r="AJG596"/>
      <c r="AJH596"/>
      <c r="AJI596"/>
      <c r="AJJ596"/>
      <c r="AJK596"/>
      <c r="AJL596"/>
      <c r="AJM596"/>
      <c r="AJN596"/>
      <c r="AJO596"/>
      <c r="AJP596"/>
      <c r="AJQ596"/>
      <c r="AJR596"/>
      <c r="AJS596"/>
      <c r="AJT596"/>
      <c r="AJU596"/>
      <c r="AJV596"/>
      <c r="AJW596"/>
      <c r="AJX596"/>
      <c r="AJY596"/>
      <c r="AJZ596"/>
      <c r="AKA596"/>
      <c r="AKB596"/>
      <c r="AKC596"/>
      <c r="AKD596"/>
      <c r="AKE596"/>
      <c r="AKF596"/>
      <c r="AKG596"/>
      <c r="AKH596"/>
      <c r="AKI596"/>
      <c r="AKJ596"/>
      <c r="AKK596"/>
      <c r="AKL596"/>
      <c r="AKM596"/>
      <c r="AKN596"/>
      <c r="AKO596"/>
      <c r="AKP596"/>
      <c r="AKQ596"/>
      <c r="AKR596"/>
      <c r="AKS596"/>
      <c r="AKT596"/>
      <c r="AKU596"/>
      <c r="AKV596"/>
      <c r="AKW596"/>
      <c r="AKX596"/>
      <c r="AKY596"/>
      <c r="AKZ596"/>
      <c r="ALA596"/>
      <c r="ALB596"/>
      <c r="ALC596"/>
      <c r="ALD596"/>
      <c r="ALE596"/>
      <c r="ALF596"/>
      <c r="ALG596"/>
      <c r="ALH596"/>
      <c r="ALI596"/>
      <c r="ALJ596"/>
      <c r="ALK596"/>
      <c r="ALL596"/>
      <c r="ALM596"/>
      <c r="ALN596"/>
      <c r="ALO596"/>
      <c r="ALP596"/>
      <c r="ALQ596"/>
      <c r="ALR596"/>
      <c r="ALS596"/>
      <c r="ALT596"/>
      <c r="ALU596"/>
      <c r="ALV596"/>
      <c r="ALW596"/>
      <c r="ALX596"/>
      <c r="ALY596"/>
      <c r="ALZ596"/>
      <c r="AMA596"/>
      <c r="AMB596"/>
      <c r="AMC596"/>
      <c r="AMD596"/>
    </row>
    <row r="597" spans="1:1018">
      <c r="A597" s="530" t="s">
        <v>405</v>
      </c>
      <c r="B597" s="282"/>
      <c r="C597" s="282" t="s">
        <v>406</v>
      </c>
      <c r="D597" s="282"/>
      <c r="E597" s="178">
        <f t="shared" si="61"/>
        <v>16</v>
      </c>
      <c r="F597" s="277" t="s">
        <v>1533</v>
      </c>
      <c r="G597" s="282"/>
      <c r="H597" s="282">
        <v>11</v>
      </c>
      <c r="I597" s="282"/>
      <c r="J597" s="175">
        <v>4395</v>
      </c>
      <c r="K597" s="201"/>
      <c r="L597" s="201">
        <v>2565</v>
      </c>
      <c r="M597" s="201"/>
      <c r="N597" s="195">
        <f t="shared" si="60"/>
        <v>6960</v>
      </c>
      <c r="O597" s="303">
        <v>13219</v>
      </c>
      <c r="P597" s="304">
        <v>0</v>
      </c>
      <c r="Q597" s="304">
        <v>300</v>
      </c>
      <c r="R597" s="305">
        <v>3079</v>
      </c>
      <c r="S597" s="306">
        <v>3620</v>
      </c>
      <c r="T597" s="306"/>
      <c r="U597" s="9">
        <v>370</v>
      </c>
      <c r="V597" s="9"/>
      <c r="W597" s="291">
        <v>4395</v>
      </c>
      <c r="X597" s="289">
        <v>6960</v>
      </c>
      <c r="Y597" s="289">
        <v>6960</v>
      </c>
      <c r="Z597" s="289">
        <v>6960</v>
      </c>
      <c r="AA597" s="289"/>
      <c r="AB597" s="291"/>
      <c r="AC597" s="291"/>
      <c r="AD597" s="291"/>
      <c r="AE597" s="291"/>
      <c r="AF597" s="291"/>
      <c r="AG597" s="291"/>
      <c r="AH597" s="291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/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/>
      <c r="ABO597"/>
      <c r="ABP597"/>
      <c r="ABQ597"/>
      <c r="ABR597"/>
      <c r="ABS597"/>
      <c r="ABT597"/>
      <c r="ABU597"/>
      <c r="ABV597"/>
      <c r="ABW597"/>
      <c r="ABX597"/>
      <c r="ABY597"/>
      <c r="ABZ597"/>
      <c r="ACA597"/>
      <c r="ACB597"/>
      <c r="ACC597"/>
      <c r="ACD597"/>
      <c r="ACE597"/>
      <c r="ACF597"/>
      <c r="ACG597"/>
      <c r="ACH597"/>
      <c r="ACI597"/>
      <c r="ACJ597"/>
      <c r="ACK597"/>
      <c r="ACL597"/>
      <c r="ACM597"/>
      <c r="ACN597"/>
      <c r="ACO597"/>
      <c r="ACP597"/>
      <c r="ACQ597"/>
      <c r="ACR597"/>
      <c r="ACS597"/>
      <c r="ACT597"/>
      <c r="ACU597"/>
      <c r="ACV597"/>
      <c r="ACW597"/>
      <c r="ACX597"/>
      <c r="ACY597"/>
      <c r="ACZ597"/>
      <c r="ADA597"/>
      <c r="ADB597"/>
      <c r="ADC597"/>
      <c r="ADD597"/>
      <c r="ADE597"/>
      <c r="ADF597"/>
      <c r="ADG597"/>
      <c r="ADH597"/>
      <c r="ADI597"/>
      <c r="ADJ597"/>
      <c r="ADK597"/>
      <c r="ADL597"/>
      <c r="ADM597"/>
      <c r="ADN597"/>
      <c r="ADO597"/>
      <c r="ADP597"/>
      <c r="ADQ597"/>
      <c r="ADR597"/>
      <c r="ADS597"/>
      <c r="ADT597"/>
      <c r="ADU597"/>
      <c r="ADV597"/>
      <c r="ADW597"/>
      <c r="ADX597"/>
      <c r="ADY597"/>
      <c r="ADZ597"/>
      <c r="AEA597"/>
      <c r="AEB597"/>
      <c r="AEC597"/>
      <c r="AED597"/>
      <c r="AEE597"/>
      <c r="AEF597"/>
      <c r="AEG597"/>
      <c r="AEH597"/>
      <c r="AEI597"/>
      <c r="AEJ597"/>
      <c r="AEK597"/>
      <c r="AEL597"/>
      <c r="AEM597"/>
      <c r="AEN597"/>
      <c r="AEO597"/>
      <c r="AEP597"/>
      <c r="AEQ597"/>
      <c r="AER597"/>
      <c r="AES597"/>
      <c r="AET597"/>
      <c r="AEU597"/>
      <c r="AEV597"/>
      <c r="AEW597"/>
      <c r="AEX597"/>
      <c r="AEY597"/>
      <c r="AEZ597"/>
      <c r="AFA597"/>
      <c r="AFB597"/>
      <c r="AFC597"/>
      <c r="AFD597"/>
      <c r="AFE597"/>
      <c r="AFF597"/>
      <c r="AFG597"/>
      <c r="AFH597"/>
      <c r="AFI597"/>
      <c r="AFJ597"/>
      <c r="AFK597"/>
      <c r="AFL597"/>
      <c r="AFM597"/>
      <c r="AFN597"/>
      <c r="AFO597"/>
      <c r="AFP597"/>
      <c r="AFQ597"/>
      <c r="AFR597"/>
      <c r="AFS597"/>
      <c r="AFT597"/>
      <c r="AFU597"/>
      <c r="AFV597"/>
      <c r="AFW597"/>
      <c r="AFX597"/>
      <c r="AFY597"/>
      <c r="AFZ597"/>
      <c r="AGA597"/>
      <c r="AGB597"/>
      <c r="AGC597"/>
      <c r="AGD597"/>
      <c r="AGE597"/>
      <c r="AGF597"/>
      <c r="AGG597"/>
      <c r="AGH597"/>
      <c r="AGI597"/>
      <c r="AGJ597"/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/>
      <c r="AHU597"/>
      <c r="AHV597"/>
      <c r="AHW597"/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/>
      <c r="AIP597"/>
      <c r="AIQ597"/>
      <c r="AIR597"/>
      <c r="AIS597"/>
      <c r="AIT597"/>
      <c r="AIU597"/>
      <c r="AIV597"/>
      <c r="AIW597"/>
      <c r="AIX597"/>
      <c r="AIY597"/>
      <c r="AIZ597"/>
      <c r="AJA597"/>
      <c r="AJB597"/>
      <c r="AJC597"/>
      <c r="AJD597"/>
      <c r="AJE597"/>
      <c r="AJF597"/>
      <c r="AJG597"/>
      <c r="AJH597"/>
      <c r="AJI597"/>
      <c r="AJJ597"/>
      <c r="AJK597"/>
      <c r="AJL597"/>
      <c r="AJM597"/>
      <c r="AJN597"/>
      <c r="AJO597"/>
      <c r="AJP597"/>
      <c r="AJQ597"/>
      <c r="AJR597"/>
      <c r="AJS597"/>
      <c r="AJT597"/>
      <c r="AJU597"/>
      <c r="AJV597"/>
      <c r="AJW597"/>
      <c r="AJX597"/>
      <c r="AJY597"/>
      <c r="AJZ597"/>
      <c r="AKA597"/>
      <c r="AKB597"/>
      <c r="AKC597"/>
      <c r="AKD597"/>
      <c r="AKE597"/>
      <c r="AKF597"/>
      <c r="AKG597"/>
      <c r="AKH597"/>
      <c r="AKI597"/>
      <c r="AKJ597"/>
      <c r="AKK597"/>
      <c r="AKL597"/>
      <c r="AKM597"/>
      <c r="AKN597"/>
      <c r="AKO597"/>
      <c r="AKP597"/>
      <c r="AKQ597"/>
      <c r="AKR597"/>
      <c r="AKS597"/>
      <c r="AKT597"/>
      <c r="AKU597"/>
      <c r="AKV597"/>
      <c r="AKW597"/>
      <c r="AKX597"/>
      <c r="AKY597"/>
      <c r="AKZ597"/>
      <c r="ALA597"/>
      <c r="ALB597"/>
      <c r="ALC597"/>
      <c r="ALD597"/>
      <c r="ALE597"/>
      <c r="ALF597"/>
      <c r="ALG597"/>
      <c r="ALH597"/>
      <c r="ALI597"/>
      <c r="ALJ597"/>
      <c r="ALK597"/>
      <c r="ALL597"/>
      <c r="ALM597"/>
      <c r="ALN597"/>
      <c r="ALO597"/>
      <c r="ALP597"/>
      <c r="ALQ597"/>
      <c r="ALR597"/>
      <c r="ALS597"/>
      <c r="ALT597"/>
      <c r="ALU597"/>
      <c r="ALV597"/>
      <c r="ALW597"/>
      <c r="ALX597"/>
      <c r="ALY597"/>
      <c r="ALZ597"/>
      <c r="AMA597"/>
      <c r="AMB597"/>
      <c r="AMC597"/>
      <c r="AMD597"/>
    </row>
    <row r="598" spans="1:1018">
      <c r="A598" s="547" t="s">
        <v>336</v>
      </c>
      <c r="B598" s="282"/>
      <c r="C598" s="282" t="s">
        <v>407</v>
      </c>
      <c r="D598" s="282"/>
      <c r="E598" s="178">
        <f t="shared" si="61"/>
        <v>17</v>
      </c>
      <c r="F598" s="277" t="s">
        <v>1534</v>
      </c>
      <c r="G598" s="282">
        <v>0.1</v>
      </c>
      <c r="H598" s="282">
        <v>10</v>
      </c>
      <c r="I598" s="282"/>
      <c r="J598" s="175"/>
      <c r="K598" s="201">
        <v>4351.05</v>
      </c>
      <c r="L598" s="201">
        <v>2105</v>
      </c>
      <c r="M598" s="201"/>
      <c r="N598" s="195">
        <f t="shared" si="60"/>
        <v>6456.05</v>
      </c>
      <c r="O598" s="303">
        <v>13571</v>
      </c>
      <c r="P598" s="304">
        <v>2700</v>
      </c>
      <c r="Q598" s="304">
        <v>300</v>
      </c>
      <c r="R598" s="305">
        <v>2648</v>
      </c>
      <c r="S598" s="306">
        <v>3620</v>
      </c>
      <c r="T598" s="306"/>
      <c r="U598" s="9">
        <v>370</v>
      </c>
      <c r="V598" s="9"/>
      <c r="W598" s="291">
        <v>0</v>
      </c>
      <c r="X598" s="289">
        <v>6778.85</v>
      </c>
      <c r="Y598" s="291"/>
      <c r="Z598" s="290"/>
      <c r="AA598" s="307"/>
      <c r="AB598" s="307"/>
      <c r="AC598" s="307"/>
      <c r="AD598" s="307"/>
      <c r="AE598" s="291"/>
      <c r="AF598" s="291"/>
      <c r="AG598" s="291"/>
      <c r="AH598" s="291">
        <v>0</v>
      </c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  <c r="ZW598"/>
      <c r="ZX598"/>
      <c r="ZY598"/>
      <c r="ZZ598"/>
      <c r="AAA598"/>
      <c r="AAB598"/>
      <c r="AAC598"/>
      <c r="AAD598"/>
      <c r="AAE598"/>
      <c r="AAF598"/>
      <c r="AAG598"/>
      <c r="AAH598"/>
      <c r="AAI598"/>
      <c r="AAJ598"/>
      <c r="AAK598"/>
      <c r="AAL598"/>
      <c r="AAM598"/>
      <c r="AAN598"/>
      <c r="AAO598"/>
      <c r="AAP598"/>
      <c r="AAQ598"/>
      <c r="AAR598"/>
      <c r="AAS598"/>
      <c r="AAT598"/>
      <c r="AAU598"/>
      <c r="AAV598"/>
      <c r="AAW598"/>
      <c r="AAX598"/>
      <c r="AAY598"/>
      <c r="AAZ598"/>
      <c r="ABA598"/>
      <c r="ABB598"/>
      <c r="ABC598"/>
      <c r="ABD598"/>
      <c r="ABE598"/>
      <c r="ABF598"/>
      <c r="ABG598"/>
      <c r="ABH598"/>
      <c r="ABI598"/>
      <c r="ABJ598"/>
      <c r="ABK598"/>
      <c r="ABL598"/>
      <c r="ABM598"/>
      <c r="ABN598"/>
      <c r="ABO598"/>
      <c r="ABP598"/>
      <c r="ABQ598"/>
      <c r="ABR598"/>
      <c r="ABS598"/>
      <c r="ABT598"/>
      <c r="ABU598"/>
      <c r="ABV598"/>
      <c r="ABW598"/>
      <c r="ABX598"/>
      <c r="ABY598"/>
      <c r="ABZ598"/>
      <c r="ACA598"/>
      <c r="ACB598"/>
      <c r="ACC598"/>
      <c r="ACD598"/>
      <c r="ACE598"/>
      <c r="ACF598"/>
      <c r="ACG598"/>
      <c r="ACH598"/>
      <c r="ACI598"/>
      <c r="ACJ598"/>
      <c r="ACK598"/>
      <c r="ACL598"/>
      <c r="ACM598"/>
      <c r="ACN598"/>
      <c r="ACO598"/>
      <c r="ACP598"/>
      <c r="ACQ598"/>
      <c r="ACR598"/>
      <c r="ACS598"/>
      <c r="ACT598"/>
      <c r="ACU598"/>
      <c r="ACV598"/>
      <c r="ACW598"/>
      <c r="ACX598"/>
      <c r="ACY598"/>
      <c r="ACZ598"/>
      <c r="ADA598"/>
      <c r="ADB598"/>
      <c r="ADC598"/>
      <c r="ADD598"/>
      <c r="ADE598"/>
      <c r="ADF598"/>
      <c r="ADG598"/>
      <c r="ADH598"/>
      <c r="ADI598"/>
      <c r="ADJ598"/>
      <c r="ADK598"/>
      <c r="ADL598"/>
      <c r="ADM598"/>
      <c r="ADN598"/>
      <c r="ADO598"/>
      <c r="ADP598"/>
      <c r="ADQ598"/>
      <c r="ADR598"/>
      <c r="ADS598"/>
      <c r="ADT598"/>
      <c r="ADU598"/>
      <c r="ADV598"/>
      <c r="ADW598"/>
      <c r="ADX598"/>
      <c r="ADY598"/>
      <c r="ADZ598"/>
      <c r="AEA598"/>
      <c r="AEB598"/>
      <c r="AEC598"/>
      <c r="AED598"/>
      <c r="AEE598"/>
      <c r="AEF598"/>
      <c r="AEG598"/>
      <c r="AEH598"/>
      <c r="AEI598"/>
      <c r="AEJ598"/>
      <c r="AEK598"/>
      <c r="AEL598"/>
      <c r="AEM598"/>
      <c r="AEN598"/>
      <c r="AEO598"/>
      <c r="AEP598"/>
      <c r="AEQ598"/>
      <c r="AER598"/>
      <c r="AES598"/>
      <c r="AET598"/>
      <c r="AEU598"/>
      <c r="AEV598"/>
      <c r="AEW598"/>
      <c r="AEX598"/>
      <c r="AEY598"/>
      <c r="AEZ598"/>
      <c r="AFA598"/>
      <c r="AFB598"/>
      <c r="AFC598"/>
      <c r="AFD598"/>
      <c r="AFE598"/>
      <c r="AFF598"/>
      <c r="AFG598"/>
      <c r="AFH598"/>
      <c r="AFI598"/>
      <c r="AFJ598"/>
      <c r="AFK598"/>
      <c r="AFL598"/>
      <c r="AFM598"/>
      <c r="AFN598"/>
      <c r="AFO598"/>
      <c r="AFP598"/>
      <c r="AFQ598"/>
      <c r="AFR598"/>
      <c r="AFS598"/>
      <c r="AFT598"/>
      <c r="AFU598"/>
      <c r="AFV598"/>
      <c r="AFW598"/>
      <c r="AFX598"/>
      <c r="AFY598"/>
      <c r="AFZ598"/>
      <c r="AGA598"/>
      <c r="AGB598"/>
      <c r="AGC598"/>
      <c r="AGD598"/>
      <c r="AGE598"/>
      <c r="AGF598"/>
      <c r="AGG598"/>
      <c r="AGH598"/>
      <c r="AGI598"/>
      <c r="AGJ598"/>
      <c r="AGK598"/>
      <c r="AGL598"/>
      <c r="AGM598"/>
      <c r="AGN598"/>
      <c r="AGO598"/>
      <c r="AGP598"/>
      <c r="AGQ598"/>
      <c r="AGR598"/>
      <c r="AGS598"/>
      <c r="AGT598"/>
      <c r="AGU598"/>
      <c r="AGV598"/>
      <c r="AGW598"/>
      <c r="AGX598"/>
      <c r="AGY598"/>
      <c r="AGZ598"/>
      <c r="AHA598"/>
      <c r="AHB598"/>
      <c r="AHC598"/>
      <c r="AHD598"/>
      <c r="AHE598"/>
      <c r="AHF598"/>
      <c r="AHG598"/>
      <c r="AHH598"/>
      <c r="AHI598"/>
      <c r="AHJ598"/>
      <c r="AHK598"/>
      <c r="AHL598"/>
      <c r="AHM598"/>
      <c r="AHN598"/>
      <c r="AHO598"/>
      <c r="AHP598"/>
      <c r="AHQ598"/>
      <c r="AHR598"/>
      <c r="AHS598"/>
      <c r="AHT598"/>
      <c r="AHU598"/>
      <c r="AHV598"/>
      <c r="AHW598"/>
      <c r="AHX598"/>
      <c r="AHY598"/>
      <c r="AHZ598"/>
      <c r="AIA598"/>
      <c r="AIB598"/>
      <c r="AIC598"/>
      <c r="AID598"/>
      <c r="AIE598"/>
      <c r="AIF598"/>
      <c r="AIG598"/>
      <c r="AIH598"/>
      <c r="AII598"/>
      <c r="AIJ598"/>
      <c r="AIK598"/>
      <c r="AIL598"/>
      <c r="AIM598"/>
      <c r="AIN598"/>
      <c r="AIO598"/>
      <c r="AIP598"/>
      <c r="AIQ598"/>
      <c r="AIR598"/>
      <c r="AIS598"/>
      <c r="AIT598"/>
      <c r="AIU598"/>
      <c r="AIV598"/>
      <c r="AIW598"/>
      <c r="AIX598"/>
      <c r="AIY598"/>
      <c r="AIZ598"/>
      <c r="AJA598"/>
      <c r="AJB598"/>
      <c r="AJC598"/>
      <c r="AJD598"/>
      <c r="AJE598"/>
      <c r="AJF598"/>
      <c r="AJG598"/>
      <c r="AJH598"/>
      <c r="AJI598"/>
      <c r="AJJ598"/>
      <c r="AJK598"/>
      <c r="AJL598"/>
      <c r="AJM598"/>
      <c r="AJN598"/>
      <c r="AJO598"/>
      <c r="AJP598"/>
      <c r="AJQ598"/>
      <c r="AJR598"/>
      <c r="AJS598"/>
      <c r="AJT598"/>
      <c r="AJU598"/>
      <c r="AJV598"/>
      <c r="AJW598"/>
      <c r="AJX598"/>
      <c r="AJY598"/>
      <c r="AJZ598"/>
      <c r="AKA598"/>
      <c r="AKB598"/>
      <c r="AKC598"/>
      <c r="AKD598"/>
      <c r="AKE598"/>
      <c r="AKF598"/>
      <c r="AKG598"/>
      <c r="AKH598"/>
      <c r="AKI598"/>
      <c r="AKJ598"/>
      <c r="AKK598"/>
      <c r="AKL598"/>
      <c r="AKM598"/>
      <c r="AKN598"/>
      <c r="AKO598"/>
      <c r="AKP598"/>
      <c r="AKQ598"/>
      <c r="AKR598"/>
      <c r="AKS598"/>
      <c r="AKT598"/>
      <c r="AKU598"/>
      <c r="AKV598"/>
      <c r="AKW598"/>
      <c r="AKX598"/>
      <c r="AKY598"/>
      <c r="AKZ598"/>
      <c r="ALA598"/>
      <c r="ALB598"/>
      <c r="ALC598"/>
      <c r="ALD598"/>
      <c r="ALE598"/>
      <c r="ALF598"/>
      <c r="ALG598"/>
      <c r="ALH598"/>
      <c r="ALI598"/>
      <c r="ALJ598"/>
      <c r="ALK598"/>
      <c r="ALL598"/>
      <c r="ALM598"/>
      <c r="ALN598"/>
      <c r="ALO598"/>
      <c r="ALP598"/>
      <c r="ALQ598"/>
      <c r="ALR598"/>
      <c r="ALS598"/>
      <c r="ALT598"/>
      <c r="ALU598"/>
      <c r="ALV598"/>
      <c r="ALW598"/>
      <c r="ALX598"/>
      <c r="ALY598"/>
      <c r="ALZ598"/>
      <c r="AMA598"/>
      <c r="AMB598"/>
      <c r="AMC598"/>
      <c r="AMD598"/>
    </row>
    <row r="599" spans="1:1018">
      <c r="A599" s="421" t="s">
        <v>408</v>
      </c>
      <c r="B599" s="282"/>
      <c r="C599" s="282"/>
      <c r="D599" s="282"/>
      <c r="E599" s="178">
        <f t="shared" si="61"/>
        <v>18</v>
      </c>
      <c r="F599" s="277" t="s">
        <v>1535</v>
      </c>
      <c r="G599" s="282">
        <v>0.1</v>
      </c>
      <c r="H599" s="282">
        <v>10</v>
      </c>
      <c r="I599" s="282"/>
      <c r="J599" s="175"/>
      <c r="K599" s="201">
        <v>4351.05</v>
      </c>
      <c r="L599" s="201"/>
      <c r="M599" s="201"/>
      <c r="N599" s="195">
        <f t="shared" si="60"/>
        <v>4351.05</v>
      </c>
      <c r="O599" s="303">
        <v>14284</v>
      </c>
      <c r="P599" s="304">
        <v>3300</v>
      </c>
      <c r="Q599" s="304">
        <v>300</v>
      </c>
      <c r="R599" s="305">
        <v>3534</v>
      </c>
      <c r="S599" s="306">
        <v>3620</v>
      </c>
      <c r="T599" s="306"/>
      <c r="U599" s="9"/>
      <c r="V599" s="9"/>
      <c r="W599" s="291"/>
      <c r="X599" s="307"/>
      <c r="Y599" s="307"/>
      <c r="Z599" s="307"/>
      <c r="AA599" s="307"/>
      <c r="AB599" s="290"/>
      <c r="AC599" s="290"/>
      <c r="AD599" s="307"/>
      <c r="AE599" s="307"/>
      <c r="AF599" s="291"/>
      <c r="AG599" s="291"/>
      <c r="AH599" s="291">
        <v>0</v>
      </c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/>
      <c r="ACY599"/>
      <c r="ACZ599"/>
      <c r="ADA599"/>
      <c r="ADB599"/>
      <c r="ADC599"/>
      <c r="ADD599"/>
      <c r="ADE599"/>
      <c r="ADF599"/>
      <c r="ADG599"/>
      <c r="ADH599"/>
      <c r="ADI599"/>
      <c r="ADJ599"/>
      <c r="ADK599"/>
      <c r="ADL599"/>
      <c r="ADM599"/>
      <c r="ADN599"/>
      <c r="ADO599"/>
      <c r="ADP599"/>
      <c r="ADQ599"/>
      <c r="ADR599"/>
      <c r="ADS599"/>
      <c r="ADT599"/>
      <c r="ADU599"/>
      <c r="ADV599"/>
      <c r="ADW599"/>
      <c r="ADX599"/>
      <c r="ADY599"/>
      <c r="ADZ599"/>
      <c r="AEA599"/>
      <c r="AEB599"/>
      <c r="AEC599"/>
      <c r="AED599"/>
      <c r="AEE599"/>
      <c r="AEF599"/>
      <c r="AEG599"/>
      <c r="AEH599"/>
      <c r="AEI599"/>
      <c r="AEJ599"/>
      <c r="AEK599"/>
      <c r="AEL599"/>
      <c r="AEM599"/>
      <c r="AEN599"/>
      <c r="AEO599"/>
      <c r="AEP599"/>
      <c r="AEQ599"/>
      <c r="AER599"/>
      <c r="AES599"/>
      <c r="AET599"/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/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/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/>
      <c r="AJZ599"/>
      <c r="AKA599"/>
      <c r="AKB599"/>
      <c r="AKC599"/>
      <c r="AKD599"/>
      <c r="AKE599"/>
      <c r="AKF599"/>
      <c r="AKG599"/>
      <c r="AKH599"/>
      <c r="AKI599"/>
      <c r="AKJ599"/>
      <c r="AKK599"/>
      <c r="AKL599"/>
      <c r="AKM599"/>
      <c r="AKN599"/>
      <c r="AKO599"/>
      <c r="AKP599"/>
      <c r="AKQ599"/>
      <c r="AKR599"/>
      <c r="AKS599"/>
      <c r="AKT599"/>
      <c r="AKU599"/>
      <c r="AKV599"/>
      <c r="AKW599"/>
      <c r="AKX599"/>
      <c r="AKY599"/>
      <c r="AKZ599"/>
      <c r="ALA599"/>
      <c r="ALB599"/>
      <c r="ALC599"/>
      <c r="ALD599"/>
      <c r="ALE599"/>
      <c r="ALF599"/>
      <c r="ALG599"/>
      <c r="ALH599"/>
      <c r="ALI599"/>
      <c r="ALJ599"/>
      <c r="ALK599"/>
      <c r="ALL599"/>
      <c r="ALM599"/>
      <c r="ALN599"/>
      <c r="ALO599"/>
      <c r="ALP599"/>
      <c r="ALQ599"/>
      <c r="ALR599"/>
      <c r="ALS599"/>
      <c r="ALT599"/>
      <c r="ALU599"/>
      <c r="ALV599"/>
      <c r="ALW599"/>
      <c r="ALX599"/>
      <c r="ALY599"/>
      <c r="ALZ599"/>
      <c r="AMA599"/>
      <c r="AMB599"/>
      <c r="AMC599"/>
      <c r="AMD599"/>
    </row>
    <row r="600" spans="1:1018">
      <c r="A600" s="547" t="s">
        <v>409</v>
      </c>
      <c r="B600" s="282"/>
      <c r="C600" s="282" t="s">
        <v>410</v>
      </c>
      <c r="D600" s="282"/>
      <c r="E600" s="178">
        <f t="shared" si="61"/>
        <v>19</v>
      </c>
      <c r="F600" s="277" t="s">
        <v>1536</v>
      </c>
      <c r="G600" s="282"/>
      <c r="H600" s="282">
        <v>11</v>
      </c>
      <c r="I600" s="282"/>
      <c r="J600" s="175">
        <v>4395</v>
      </c>
      <c r="K600" s="201"/>
      <c r="L600" s="201">
        <v>2105</v>
      </c>
      <c r="M600" s="201"/>
      <c r="N600" s="195">
        <f t="shared" si="60"/>
        <v>6500</v>
      </c>
      <c r="O600" s="303">
        <v>13417</v>
      </c>
      <c r="P600" s="304">
        <v>0</v>
      </c>
      <c r="Q600" s="304">
        <v>300</v>
      </c>
      <c r="R600" s="305">
        <v>2929</v>
      </c>
      <c r="S600" s="306">
        <v>3620</v>
      </c>
      <c r="T600" s="306"/>
      <c r="U600" s="9">
        <v>370</v>
      </c>
      <c r="V600" s="9">
        <v>370</v>
      </c>
      <c r="W600" s="291">
        <v>4395</v>
      </c>
      <c r="X600" s="291">
        <f>4395+2105</f>
        <v>6500</v>
      </c>
      <c r="Y600" s="315">
        <v>6500</v>
      </c>
      <c r="Z600" s="315">
        <v>6500</v>
      </c>
      <c r="AA600" s="291"/>
      <c r="AB600" s="291"/>
      <c r="AC600" s="291"/>
      <c r="AD600" s="291"/>
      <c r="AE600" s="291"/>
      <c r="AF600" s="291"/>
      <c r="AG600" s="291"/>
      <c r="AH600" s="291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  <c r="ZW600"/>
      <c r="ZX600"/>
      <c r="ZY600"/>
      <c r="ZZ600"/>
      <c r="AAA600"/>
      <c r="AAB600"/>
      <c r="AAC600"/>
      <c r="AAD600"/>
      <c r="AAE600"/>
      <c r="AAF600"/>
      <c r="AAG600"/>
      <c r="AAH600"/>
      <c r="AAI600"/>
      <c r="AAJ600"/>
      <c r="AAK600"/>
      <c r="AAL600"/>
      <c r="AAM600"/>
      <c r="AAN600"/>
      <c r="AAO600"/>
      <c r="AAP600"/>
      <c r="AAQ600"/>
      <c r="AAR600"/>
      <c r="AAS600"/>
      <c r="AAT600"/>
      <c r="AAU600"/>
      <c r="AAV600"/>
      <c r="AAW600"/>
      <c r="AAX600"/>
      <c r="AAY600"/>
      <c r="AAZ600"/>
      <c r="ABA600"/>
      <c r="ABB600"/>
      <c r="ABC600"/>
      <c r="ABD600"/>
      <c r="ABE600"/>
      <c r="ABF600"/>
      <c r="ABG600"/>
      <c r="ABH600"/>
      <c r="ABI600"/>
      <c r="ABJ600"/>
      <c r="ABK600"/>
      <c r="ABL600"/>
      <c r="ABM600"/>
      <c r="ABN600"/>
      <c r="ABO600"/>
      <c r="ABP600"/>
      <c r="ABQ600"/>
      <c r="ABR600"/>
      <c r="ABS600"/>
      <c r="ABT600"/>
      <c r="ABU600"/>
      <c r="ABV600"/>
      <c r="ABW600"/>
      <c r="ABX600"/>
      <c r="ABY600"/>
      <c r="ABZ600"/>
      <c r="ACA600"/>
      <c r="ACB600"/>
      <c r="ACC600"/>
      <c r="ACD600"/>
      <c r="ACE600"/>
      <c r="ACF600"/>
      <c r="ACG600"/>
      <c r="ACH600"/>
      <c r="ACI600"/>
      <c r="ACJ600"/>
      <c r="ACK600"/>
      <c r="ACL600"/>
      <c r="ACM600"/>
      <c r="ACN600"/>
      <c r="ACO600"/>
      <c r="ACP600"/>
      <c r="ACQ600"/>
      <c r="ACR600"/>
      <c r="ACS600"/>
      <c r="ACT600"/>
      <c r="ACU600"/>
      <c r="ACV600"/>
      <c r="ACW600"/>
      <c r="ACX600"/>
      <c r="ACY600"/>
      <c r="ACZ600"/>
      <c r="ADA600"/>
      <c r="ADB600"/>
      <c r="ADC600"/>
      <c r="ADD600"/>
      <c r="ADE600"/>
      <c r="ADF600"/>
      <c r="ADG600"/>
      <c r="ADH600"/>
      <c r="ADI600"/>
      <c r="ADJ600"/>
      <c r="ADK600"/>
      <c r="ADL600"/>
      <c r="ADM600"/>
      <c r="ADN600"/>
      <c r="ADO600"/>
      <c r="ADP600"/>
      <c r="ADQ600"/>
      <c r="ADR600"/>
      <c r="ADS600"/>
      <c r="ADT600"/>
      <c r="ADU600"/>
      <c r="ADV600"/>
      <c r="ADW600"/>
      <c r="ADX600"/>
      <c r="ADY600"/>
      <c r="ADZ600"/>
      <c r="AEA600"/>
      <c r="AEB600"/>
      <c r="AEC600"/>
      <c r="AED600"/>
      <c r="AEE600"/>
      <c r="AEF600"/>
      <c r="AEG600"/>
      <c r="AEH600"/>
      <c r="AEI600"/>
      <c r="AEJ600"/>
      <c r="AEK600"/>
      <c r="AEL600"/>
      <c r="AEM600"/>
      <c r="AEN600"/>
      <c r="AEO600"/>
      <c r="AEP600"/>
      <c r="AEQ600"/>
      <c r="AER600"/>
      <c r="AES600"/>
      <c r="AET600"/>
      <c r="AEU600"/>
      <c r="AEV600"/>
      <c r="AEW600"/>
      <c r="AEX600"/>
      <c r="AEY600"/>
      <c r="AEZ600"/>
      <c r="AFA600"/>
      <c r="AFB600"/>
      <c r="AFC600"/>
      <c r="AFD600"/>
      <c r="AFE600"/>
      <c r="AFF600"/>
      <c r="AFG600"/>
      <c r="AFH600"/>
      <c r="AFI600"/>
      <c r="AFJ600"/>
      <c r="AFK600"/>
      <c r="AFL600"/>
      <c r="AFM600"/>
      <c r="AFN600"/>
      <c r="AFO600"/>
      <c r="AFP600"/>
      <c r="AFQ600"/>
      <c r="AFR600"/>
      <c r="AFS600"/>
      <c r="AFT600"/>
      <c r="AFU600"/>
      <c r="AFV600"/>
      <c r="AFW600"/>
      <c r="AFX600"/>
      <c r="AFY600"/>
      <c r="AFZ600"/>
      <c r="AGA600"/>
      <c r="AGB600"/>
      <c r="AGC600"/>
      <c r="AGD600"/>
      <c r="AGE600"/>
      <c r="AGF600"/>
      <c r="AGG600"/>
      <c r="AGH600"/>
      <c r="AGI600"/>
      <c r="AGJ600"/>
      <c r="AGK600"/>
      <c r="AGL600"/>
      <c r="AGM600"/>
      <c r="AGN600"/>
      <c r="AGO600"/>
      <c r="AGP600"/>
      <c r="AGQ600"/>
      <c r="AGR600"/>
      <c r="AGS600"/>
      <c r="AGT600"/>
      <c r="AGU600"/>
      <c r="AGV600"/>
      <c r="AGW600"/>
      <c r="AGX600"/>
      <c r="AGY600"/>
      <c r="AGZ600"/>
      <c r="AHA600"/>
      <c r="AHB600"/>
      <c r="AHC600"/>
      <c r="AHD600"/>
      <c r="AHE600"/>
      <c r="AHF600"/>
      <c r="AHG600"/>
      <c r="AHH600"/>
      <c r="AHI600"/>
      <c r="AHJ600"/>
      <c r="AHK600"/>
      <c r="AHL600"/>
      <c r="AHM600"/>
      <c r="AHN600"/>
      <c r="AHO600"/>
      <c r="AHP600"/>
      <c r="AHQ600"/>
      <c r="AHR600"/>
      <c r="AHS600"/>
      <c r="AHT600"/>
      <c r="AHU600"/>
      <c r="AHV600"/>
      <c r="AHW600"/>
      <c r="AHX600"/>
      <c r="AHY600"/>
      <c r="AHZ600"/>
      <c r="AIA600"/>
      <c r="AIB600"/>
      <c r="AIC600"/>
      <c r="AID600"/>
      <c r="AIE600"/>
      <c r="AIF600"/>
      <c r="AIG600"/>
      <c r="AIH600"/>
      <c r="AII600"/>
      <c r="AIJ600"/>
      <c r="AIK600"/>
      <c r="AIL600"/>
      <c r="AIM600"/>
      <c r="AIN600"/>
      <c r="AIO600"/>
      <c r="AIP600"/>
      <c r="AIQ600"/>
      <c r="AIR600"/>
      <c r="AIS600"/>
      <c r="AIT600"/>
      <c r="AIU600"/>
      <c r="AIV600"/>
      <c r="AIW600"/>
      <c r="AIX600"/>
      <c r="AIY600"/>
      <c r="AIZ600"/>
      <c r="AJA600"/>
      <c r="AJB600"/>
      <c r="AJC600"/>
      <c r="AJD600"/>
      <c r="AJE600"/>
      <c r="AJF600"/>
      <c r="AJG600"/>
      <c r="AJH600"/>
      <c r="AJI600"/>
      <c r="AJJ600"/>
      <c r="AJK600"/>
      <c r="AJL600"/>
      <c r="AJM600"/>
      <c r="AJN600"/>
      <c r="AJO600"/>
      <c r="AJP600"/>
      <c r="AJQ600"/>
      <c r="AJR600"/>
      <c r="AJS600"/>
      <c r="AJT600"/>
      <c r="AJU600"/>
      <c r="AJV600"/>
      <c r="AJW600"/>
      <c r="AJX600"/>
      <c r="AJY600"/>
      <c r="AJZ600"/>
      <c r="AKA600"/>
      <c r="AKB600"/>
      <c r="AKC600"/>
      <c r="AKD600"/>
      <c r="AKE600"/>
      <c r="AKF600"/>
      <c r="AKG600"/>
      <c r="AKH600"/>
      <c r="AKI600"/>
      <c r="AKJ600"/>
      <c r="AKK600"/>
      <c r="AKL600"/>
      <c r="AKM600"/>
      <c r="AKN600"/>
      <c r="AKO600"/>
      <c r="AKP600"/>
      <c r="AKQ600"/>
      <c r="AKR600"/>
      <c r="AKS600"/>
      <c r="AKT600"/>
      <c r="AKU600"/>
      <c r="AKV600"/>
      <c r="AKW600"/>
      <c r="AKX600"/>
      <c r="AKY600"/>
      <c r="AKZ600"/>
      <c r="ALA600"/>
      <c r="ALB600"/>
      <c r="ALC600"/>
      <c r="ALD600"/>
      <c r="ALE600"/>
      <c r="ALF600"/>
      <c r="ALG600"/>
      <c r="ALH600"/>
      <c r="ALI600"/>
      <c r="ALJ600"/>
      <c r="ALK600"/>
      <c r="ALL600"/>
      <c r="ALM600"/>
      <c r="ALN600"/>
      <c r="ALO600"/>
      <c r="ALP600"/>
      <c r="ALQ600"/>
      <c r="ALR600"/>
      <c r="ALS600"/>
      <c r="ALT600"/>
      <c r="ALU600"/>
      <c r="ALV600"/>
      <c r="ALW600"/>
      <c r="ALX600"/>
      <c r="ALY600"/>
      <c r="ALZ600"/>
      <c r="AMA600"/>
      <c r="AMB600"/>
      <c r="AMC600"/>
      <c r="AMD600"/>
    </row>
    <row r="601" spans="1:1018">
      <c r="A601" s="547" t="s">
        <v>411</v>
      </c>
      <c r="B601" s="282"/>
      <c r="C601" s="282" t="s">
        <v>412</v>
      </c>
      <c r="D601" s="282"/>
      <c r="E601" s="178">
        <f t="shared" si="61"/>
        <v>20</v>
      </c>
      <c r="F601" s="277" t="s">
        <v>1537</v>
      </c>
      <c r="G601" s="282"/>
      <c r="H601" s="282">
        <v>11</v>
      </c>
      <c r="I601" s="282"/>
      <c r="J601" s="175">
        <v>4395</v>
      </c>
      <c r="K601" s="201"/>
      <c r="L601" s="201">
        <v>1475</v>
      </c>
      <c r="M601" s="201"/>
      <c r="N601" s="195">
        <f t="shared" si="60"/>
        <v>5870</v>
      </c>
      <c r="O601" s="303">
        <v>13572</v>
      </c>
      <c r="P601" s="304">
        <v>0</v>
      </c>
      <c r="Q601" s="304">
        <v>300</v>
      </c>
      <c r="R601" s="305">
        <v>3492</v>
      </c>
      <c r="S601" s="306">
        <v>3620</v>
      </c>
      <c r="T601" s="306"/>
      <c r="U601" s="9">
        <v>370</v>
      </c>
      <c r="V601" s="9"/>
      <c r="W601" s="291">
        <v>4395</v>
      </c>
      <c r="X601" s="291">
        <v>5870</v>
      </c>
      <c r="Y601" s="291">
        <v>5870</v>
      </c>
      <c r="Z601" s="291"/>
      <c r="AA601" s="291"/>
      <c r="AB601" s="291"/>
      <c r="AC601" s="291"/>
      <c r="AD601" s="291"/>
      <c r="AE601" s="291"/>
      <c r="AF601" s="291"/>
      <c r="AG601" s="291"/>
      <c r="AH601" s="29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/>
      <c r="AGN601"/>
      <c r="AGO601"/>
      <c r="AGP601"/>
      <c r="AGQ601"/>
      <c r="AGR601"/>
      <c r="AGS601"/>
      <c r="AGT601"/>
      <c r="AGU601"/>
      <c r="AGV601"/>
      <c r="AGW601"/>
      <c r="AGX601"/>
      <c r="AGY601"/>
      <c r="AGZ601"/>
      <c r="AHA601"/>
      <c r="AHB601"/>
      <c r="AHC601"/>
      <c r="AHD601"/>
      <c r="AHE601"/>
      <c r="AHF601"/>
      <c r="AHG601"/>
      <c r="AHH601"/>
      <c r="AHI601"/>
      <c r="AHJ601"/>
      <c r="AHK601"/>
      <c r="AHL601"/>
      <c r="AHM601"/>
      <c r="AHN601"/>
      <c r="AHO601"/>
      <c r="AHP601"/>
      <c r="AHQ601"/>
      <c r="AHR601"/>
      <c r="AHS601"/>
      <c r="AHT601"/>
      <c r="AHU601"/>
      <c r="AHV601"/>
      <c r="AHW601"/>
      <c r="AHX601"/>
      <c r="AHY601"/>
      <c r="AHZ601"/>
      <c r="AIA601"/>
      <c r="AIB601"/>
      <c r="AIC601"/>
      <c r="AID601"/>
      <c r="AIE601"/>
      <c r="AIF601"/>
      <c r="AIG601"/>
      <c r="AIH601"/>
      <c r="AII601"/>
      <c r="AIJ601"/>
      <c r="AIK601"/>
      <c r="AIL601"/>
      <c r="AIM601"/>
      <c r="AIN601"/>
      <c r="AIO601"/>
      <c r="AIP601"/>
      <c r="AIQ601"/>
      <c r="AIR601"/>
      <c r="AIS601"/>
      <c r="AIT601"/>
      <c r="AIU601"/>
      <c r="AIV601"/>
      <c r="AIW601"/>
      <c r="AIX601"/>
      <c r="AIY601"/>
      <c r="AIZ601"/>
      <c r="AJA601"/>
      <c r="AJB601"/>
      <c r="AJC601"/>
      <c r="AJD601"/>
      <c r="AJE601"/>
      <c r="AJF601"/>
      <c r="AJG601"/>
      <c r="AJH601"/>
      <c r="AJI601"/>
      <c r="AJJ601"/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/>
      <c r="AJZ601"/>
      <c r="AKA601"/>
      <c r="AKB601"/>
      <c r="AKC601"/>
      <c r="AKD601"/>
      <c r="AKE601"/>
      <c r="AKF601"/>
      <c r="AKG601"/>
      <c r="AKH601"/>
      <c r="AKI601"/>
      <c r="AKJ601"/>
      <c r="AKK601"/>
      <c r="AKL601"/>
      <c r="AKM601"/>
      <c r="AKN601"/>
      <c r="AKO601"/>
      <c r="AKP601"/>
      <c r="AKQ601"/>
      <c r="AKR601"/>
      <c r="AKS601"/>
      <c r="AKT601"/>
      <c r="AKU601"/>
      <c r="AKV601"/>
      <c r="AKW601"/>
      <c r="AKX601"/>
      <c r="AKY601"/>
      <c r="AKZ601"/>
      <c r="ALA601"/>
      <c r="ALB601"/>
      <c r="ALC601"/>
      <c r="ALD601"/>
      <c r="ALE601"/>
      <c r="ALF601"/>
      <c r="ALG601"/>
      <c r="ALH601"/>
      <c r="ALI601"/>
      <c r="ALJ601"/>
      <c r="ALK601"/>
      <c r="ALL601"/>
      <c r="ALM601"/>
      <c r="ALN601"/>
      <c r="ALO601"/>
      <c r="ALP601"/>
      <c r="ALQ601"/>
      <c r="ALR601"/>
      <c r="ALS601"/>
      <c r="ALT601"/>
      <c r="ALU601"/>
      <c r="ALV601"/>
      <c r="ALW601"/>
      <c r="ALX601"/>
      <c r="ALY601"/>
      <c r="ALZ601"/>
      <c r="AMA601"/>
      <c r="AMB601"/>
      <c r="AMC601"/>
      <c r="AMD601"/>
    </row>
    <row r="602" spans="1:1018">
      <c r="A602" s="554" t="s">
        <v>413</v>
      </c>
      <c r="B602" s="282"/>
      <c r="C602" s="282" t="s">
        <v>414</v>
      </c>
      <c r="D602" s="282"/>
      <c r="E602" s="178">
        <f t="shared" si="61"/>
        <v>21</v>
      </c>
      <c r="F602" s="277" t="s">
        <v>1538</v>
      </c>
      <c r="G602" s="282"/>
      <c r="H602" s="282">
        <v>10</v>
      </c>
      <c r="I602" s="282"/>
      <c r="J602" s="175"/>
      <c r="K602" s="201">
        <v>4834.5</v>
      </c>
      <c r="L602" s="201">
        <v>2105</v>
      </c>
      <c r="M602" s="201"/>
      <c r="N602" s="195">
        <f t="shared" si="60"/>
        <v>6939.5</v>
      </c>
      <c r="O602" s="303">
        <v>13333</v>
      </c>
      <c r="P602" s="304">
        <f>1500+300</f>
        <v>1800</v>
      </c>
      <c r="Q602" s="304">
        <v>300</v>
      </c>
      <c r="R602" s="305">
        <v>2981</v>
      </c>
      <c r="S602" s="306">
        <v>3620</v>
      </c>
      <c r="T602" s="306"/>
      <c r="U602" s="9">
        <v>370</v>
      </c>
      <c r="V602" s="9">
        <v>370</v>
      </c>
      <c r="W602" s="291">
        <v>0</v>
      </c>
      <c r="X602" s="291">
        <v>6939.5</v>
      </c>
      <c r="Y602" s="291">
        <v>6939.5</v>
      </c>
      <c r="Z602" s="291">
        <v>6939.5</v>
      </c>
      <c r="AA602" s="291"/>
      <c r="AB602" s="291"/>
      <c r="AC602" s="291"/>
      <c r="AD602" s="291"/>
      <c r="AE602" s="291"/>
      <c r="AF602" s="291"/>
      <c r="AG602" s="291"/>
      <c r="AH602" s="291">
        <v>0</v>
      </c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  <c r="ZW602"/>
      <c r="ZX602"/>
      <c r="ZY602"/>
      <c r="ZZ602"/>
      <c r="AAA602"/>
      <c r="AAB602"/>
      <c r="AAC602"/>
      <c r="AAD602"/>
      <c r="AAE602"/>
      <c r="AAF602"/>
      <c r="AAG602"/>
      <c r="AAH602"/>
      <c r="AAI602"/>
      <c r="AAJ602"/>
      <c r="AAK602"/>
      <c r="AAL602"/>
      <c r="AAM602"/>
      <c r="AAN602"/>
      <c r="AAO602"/>
      <c r="AAP602"/>
      <c r="AAQ602"/>
      <c r="AAR602"/>
      <c r="AAS602"/>
      <c r="AAT602"/>
      <c r="AAU602"/>
      <c r="AAV602"/>
      <c r="AAW602"/>
      <c r="AAX602"/>
      <c r="AAY602"/>
      <c r="AAZ602"/>
      <c r="ABA602"/>
      <c r="ABB602"/>
      <c r="ABC602"/>
      <c r="ABD602"/>
      <c r="ABE602"/>
      <c r="ABF602"/>
      <c r="ABG602"/>
      <c r="ABH602"/>
      <c r="ABI602"/>
      <c r="ABJ602"/>
      <c r="ABK602"/>
      <c r="ABL602"/>
      <c r="ABM602"/>
      <c r="ABN602"/>
      <c r="ABO602"/>
      <c r="ABP602"/>
      <c r="ABQ602"/>
      <c r="ABR602"/>
      <c r="ABS602"/>
      <c r="ABT602"/>
      <c r="ABU602"/>
      <c r="ABV602"/>
      <c r="ABW602"/>
      <c r="ABX602"/>
      <c r="ABY602"/>
      <c r="ABZ602"/>
      <c r="ACA602"/>
      <c r="ACB602"/>
      <c r="ACC602"/>
      <c r="ACD602"/>
      <c r="ACE602"/>
      <c r="ACF602"/>
      <c r="ACG602"/>
      <c r="ACH602"/>
      <c r="ACI602"/>
      <c r="ACJ602"/>
      <c r="ACK602"/>
      <c r="ACL602"/>
      <c r="ACM602"/>
      <c r="ACN602"/>
      <c r="ACO602"/>
      <c r="ACP602"/>
      <c r="ACQ602"/>
      <c r="ACR602"/>
      <c r="ACS602"/>
      <c r="ACT602"/>
      <c r="ACU602"/>
      <c r="ACV602"/>
      <c r="ACW602"/>
      <c r="ACX602"/>
      <c r="ACY602"/>
      <c r="ACZ602"/>
      <c r="ADA602"/>
      <c r="ADB602"/>
      <c r="ADC602"/>
      <c r="ADD602"/>
      <c r="ADE602"/>
      <c r="ADF602"/>
      <c r="ADG602"/>
      <c r="ADH602"/>
      <c r="ADI602"/>
      <c r="ADJ602"/>
      <c r="ADK602"/>
      <c r="ADL602"/>
      <c r="ADM602"/>
      <c r="ADN602"/>
      <c r="ADO602"/>
      <c r="ADP602"/>
      <c r="ADQ602"/>
      <c r="ADR602"/>
      <c r="ADS602"/>
      <c r="ADT602"/>
      <c r="ADU602"/>
      <c r="ADV602"/>
      <c r="ADW602"/>
      <c r="ADX602"/>
      <c r="ADY602"/>
      <c r="ADZ602"/>
      <c r="AEA602"/>
      <c r="AEB602"/>
      <c r="AEC602"/>
      <c r="AED602"/>
      <c r="AEE602"/>
      <c r="AEF602"/>
      <c r="AEG602"/>
      <c r="AEH602"/>
      <c r="AEI602"/>
      <c r="AEJ602"/>
      <c r="AEK602"/>
      <c r="AEL602"/>
      <c r="AEM602"/>
      <c r="AEN602"/>
      <c r="AEO602"/>
      <c r="AEP602"/>
      <c r="AEQ602"/>
      <c r="AER602"/>
      <c r="AES602"/>
      <c r="AET602"/>
      <c r="AEU602"/>
      <c r="AEV602"/>
      <c r="AEW602"/>
      <c r="AEX602"/>
      <c r="AEY602"/>
      <c r="AEZ602"/>
      <c r="AFA602"/>
      <c r="AFB602"/>
      <c r="AFC602"/>
      <c r="AFD602"/>
      <c r="AFE602"/>
      <c r="AFF602"/>
      <c r="AFG602"/>
      <c r="AFH602"/>
      <c r="AFI602"/>
      <c r="AFJ602"/>
      <c r="AFK602"/>
      <c r="AFL602"/>
      <c r="AFM602"/>
      <c r="AFN602"/>
      <c r="AFO602"/>
      <c r="AFP602"/>
      <c r="AFQ602"/>
      <c r="AFR602"/>
      <c r="AFS602"/>
      <c r="AFT602"/>
      <c r="AFU602"/>
      <c r="AFV602"/>
      <c r="AFW602"/>
      <c r="AFX602"/>
      <c r="AFY602"/>
      <c r="AFZ602"/>
      <c r="AGA602"/>
      <c r="AGB602"/>
      <c r="AGC602"/>
      <c r="AGD602"/>
      <c r="AGE602"/>
      <c r="AGF602"/>
      <c r="AGG602"/>
      <c r="AGH602"/>
      <c r="AGI602"/>
      <c r="AGJ602"/>
      <c r="AGK602"/>
      <c r="AGL602"/>
      <c r="AGM602"/>
      <c r="AGN602"/>
      <c r="AGO602"/>
      <c r="AGP602"/>
      <c r="AGQ602"/>
      <c r="AGR602"/>
      <c r="AGS602"/>
      <c r="AGT602"/>
      <c r="AGU602"/>
      <c r="AGV602"/>
      <c r="AGW602"/>
      <c r="AGX602"/>
      <c r="AGY602"/>
      <c r="AGZ602"/>
      <c r="AHA602"/>
      <c r="AHB602"/>
      <c r="AHC602"/>
      <c r="AHD602"/>
      <c r="AHE602"/>
      <c r="AHF602"/>
      <c r="AHG602"/>
      <c r="AHH602"/>
      <c r="AHI602"/>
      <c r="AHJ602"/>
      <c r="AHK602"/>
      <c r="AHL602"/>
      <c r="AHM602"/>
      <c r="AHN602"/>
      <c r="AHO602"/>
      <c r="AHP602"/>
      <c r="AHQ602"/>
      <c r="AHR602"/>
      <c r="AHS602"/>
      <c r="AHT602"/>
      <c r="AHU602"/>
      <c r="AHV602"/>
      <c r="AHW602"/>
      <c r="AHX602"/>
      <c r="AHY602"/>
      <c r="AHZ602"/>
      <c r="AIA602"/>
      <c r="AIB602"/>
      <c r="AIC602"/>
      <c r="AID602"/>
      <c r="AIE602"/>
      <c r="AIF602"/>
      <c r="AIG602"/>
      <c r="AIH602"/>
      <c r="AII602"/>
      <c r="AIJ602"/>
      <c r="AIK602"/>
      <c r="AIL602"/>
      <c r="AIM602"/>
      <c r="AIN602"/>
      <c r="AIO602"/>
      <c r="AIP602"/>
      <c r="AIQ602"/>
      <c r="AIR602"/>
      <c r="AIS602"/>
      <c r="AIT602"/>
      <c r="AIU602"/>
      <c r="AIV602"/>
      <c r="AIW602"/>
      <c r="AIX602"/>
      <c r="AIY602"/>
      <c r="AIZ602"/>
      <c r="AJA602"/>
      <c r="AJB602"/>
      <c r="AJC602"/>
      <c r="AJD602"/>
      <c r="AJE602"/>
      <c r="AJF602"/>
      <c r="AJG602"/>
      <c r="AJH602"/>
      <c r="AJI602"/>
      <c r="AJJ602"/>
      <c r="AJK602"/>
      <c r="AJL602"/>
      <c r="AJM602"/>
      <c r="AJN602"/>
      <c r="AJO602"/>
      <c r="AJP602"/>
      <c r="AJQ602"/>
      <c r="AJR602"/>
      <c r="AJS602"/>
      <c r="AJT602"/>
      <c r="AJU602"/>
      <c r="AJV602"/>
      <c r="AJW602"/>
      <c r="AJX602"/>
      <c r="AJY602"/>
      <c r="AJZ602"/>
      <c r="AKA602"/>
      <c r="AKB602"/>
      <c r="AKC602"/>
      <c r="AKD602"/>
      <c r="AKE602"/>
      <c r="AKF602"/>
      <c r="AKG602"/>
      <c r="AKH602"/>
      <c r="AKI602"/>
      <c r="AKJ602"/>
      <c r="AKK602"/>
      <c r="AKL602"/>
      <c r="AKM602"/>
      <c r="AKN602"/>
      <c r="AKO602"/>
      <c r="AKP602"/>
      <c r="AKQ602"/>
      <c r="AKR602"/>
      <c r="AKS602"/>
      <c r="AKT602"/>
      <c r="AKU602"/>
      <c r="AKV602"/>
      <c r="AKW602"/>
      <c r="AKX602"/>
      <c r="AKY602"/>
      <c r="AKZ602"/>
      <c r="ALA602"/>
      <c r="ALB602"/>
      <c r="ALC602"/>
      <c r="ALD602"/>
      <c r="ALE602"/>
      <c r="ALF602"/>
      <c r="ALG602"/>
      <c r="ALH602"/>
      <c r="ALI602"/>
      <c r="ALJ602"/>
      <c r="ALK602"/>
      <c r="ALL602"/>
      <c r="ALM602"/>
      <c r="ALN602"/>
      <c r="ALO602"/>
      <c r="ALP602"/>
      <c r="ALQ602"/>
      <c r="ALR602"/>
      <c r="ALS602"/>
      <c r="ALT602"/>
      <c r="ALU602"/>
      <c r="ALV602"/>
      <c r="ALW602"/>
      <c r="ALX602"/>
      <c r="ALY602"/>
      <c r="ALZ602"/>
      <c r="AMA602"/>
      <c r="AMB602"/>
      <c r="AMC602"/>
      <c r="AMD602"/>
    </row>
    <row r="603" spans="1:1018">
      <c r="A603" s="293" t="s">
        <v>337</v>
      </c>
      <c r="B603" s="293"/>
      <c r="C603" s="293"/>
      <c r="D603" s="293"/>
      <c r="E603" s="178">
        <f t="shared" si="61"/>
        <v>22</v>
      </c>
      <c r="F603" s="280" t="s">
        <v>1539</v>
      </c>
      <c r="G603" s="282"/>
      <c r="H603" s="282">
        <v>10</v>
      </c>
      <c r="I603" s="282"/>
      <c r="J603" s="175"/>
      <c r="K603" s="201">
        <v>4834.5</v>
      </c>
      <c r="L603" s="201"/>
      <c r="M603" s="201"/>
      <c r="N603" s="195">
        <f t="shared" si="60"/>
        <v>4834.5</v>
      </c>
      <c r="O603" s="303">
        <v>13229</v>
      </c>
      <c r="P603" s="304">
        <v>1800</v>
      </c>
      <c r="Q603" s="304">
        <v>300</v>
      </c>
      <c r="R603" s="305">
        <v>2520</v>
      </c>
      <c r="S603" s="306">
        <v>3565</v>
      </c>
      <c r="T603" s="306" t="s">
        <v>338</v>
      </c>
      <c r="U603" s="585">
        <v>370</v>
      </c>
      <c r="V603" s="585">
        <v>0</v>
      </c>
      <c r="W603" s="291">
        <v>0</v>
      </c>
      <c r="X603" s="289">
        <f>4440+394.5</f>
        <v>4834.5</v>
      </c>
      <c r="Y603" s="315">
        <v>4834</v>
      </c>
      <c r="Z603" s="289"/>
      <c r="AA603" s="291"/>
      <c r="AB603" s="291"/>
      <c r="AC603" s="315"/>
      <c r="AD603" s="289"/>
      <c r="AE603" s="291"/>
      <c r="AF603" s="291"/>
      <c r="AG603" s="291"/>
      <c r="AH603" s="291">
        <v>0</v>
      </c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  <c r="ZW603"/>
      <c r="ZX603"/>
      <c r="ZY603"/>
      <c r="ZZ603"/>
      <c r="AAA603"/>
      <c r="AAB603"/>
      <c r="AAC603"/>
      <c r="AAD603"/>
      <c r="AAE603"/>
      <c r="AAF603"/>
      <c r="AAG603"/>
      <c r="AAH603"/>
      <c r="AAI603"/>
      <c r="AAJ603"/>
      <c r="AAK603"/>
      <c r="AAL603"/>
      <c r="AAM603"/>
      <c r="AAN603"/>
      <c r="AAO603"/>
      <c r="AAP603"/>
      <c r="AAQ603"/>
      <c r="AAR603"/>
      <c r="AAS603"/>
      <c r="AAT603"/>
      <c r="AAU603"/>
      <c r="AAV603"/>
      <c r="AAW603"/>
      <c r="AAX603"/>
      <c r="AAY603"/>
      <c r="AAZ603"/>
      <c r="ABA603"/>
      <c r="ABB603"/>
      <c r="ABC603"/>
      <c r="ABD603"/>
      <c r="ABE603"/>
      <c r="ABF603"/>
      <c r="ABG603"/>
      <c r="ABH603"/>
      <c r="ABI603"/>
      <c r="ABJ603"/>
      <c r="ABK603"/>
      <c r="ABL603"/>
      <c r="ABM603"/>
      <c r="ABN603"/>
      <c r="ABO603"/>
      <c r="ABP603"/>
      <c r="ABQ603"/>
      <c r="ABR603"/>
      <c r="ABS603"/>
      <c r="ABT603"/>
      <c r="ABU603"/>
      <c r="ABV603"/>
      <c r="ABW603"/>
      <c r="ABX603"/>
      <c r="ABY603"/>
      <c r="ABZ603"/>
      <c r="ACA603"/>
      <c r="ACB603"/>
      <c r="ACC603"/>
      <c r="ACD603"/>
      <c r="ACE603"/>
      <c r="ACF603"/>
      <c r="ACG603"/>
      <c r="ACH603"/>
      <c r="ACI603"/>
      <c r="ACJ603"/>
      <c r="ACK603"/>
      <c r="ACL603"/>
      <c r="ACM603"/>
      <c r="ACN603"/>
      <c r="ACO603"/>
      <c r="ACP603"/>
      <c r="ACQ603"/>
      <c r="ACR603"/>
      <c r="ACS603"/>
      <c r="ACT603"/>
      <c r="ACU603"/>
      <c r="ACV603"/>
      <c r="ACW603"/>
      <c r="ACX603"/>
      <c r="ACY603"/>
      <c r="ACZ603"/>
      <c r="ADA603"/>
      <c r="ADB603"/>
      <c r="ADC603"/>
      <c r="ADD603"/>
      <c r="ADE603"/>
      <c r="ADF603"/>
      <c r="ADG603"/>
      <c r="ADH603"/>
      <c r="ADI603"/>
      <c r="ADJ603"/>
      <c r="ADK603"/>
      <c r="ADL603"/>
      <c r="ADM603"/>
      <c r="ADN603"/>
      <c r="ADO603"/>
      <c r="ADP603"/>
      <c r="ADQ603"/>
      <c r="ADR603"/>
      <c r="ADS603"/>
      <c r="ADT603"/>
      <c r="ADU603"/>
      <c r="ADV603"/>
      <c r="ADW603"/>
      <c r="ADX603"/>
      <c r="ADY603"/>
      <c r="ADZ603"/>
      <c r="AEA603"/>
      <c r="AEB603"/>
      <c r="AEC603"/>
      <c r="AED603"/>
      <c r="AEE603"/>
      <c r="AEF603"/>
      <c r="AEG603"/>
      <c r="AEH603"/>
      <c r="AEI603"/>
      <c r="AEJ603"/>
      <c r="AEK603"/>
      <c r="AEL603"/>
      <c r="AEM603"/>
      <c r="AEN603"/>
      <c r="AEO603"/>
      <c r="AEP603"/>
      <c r="AEQ603"/>
      <c r="AER603"/>
      <c r="AES603"/>
      <c r="AET603"/>
      <c r="AEU603"/>
      <c r="AEV603"/>
      <c r="AEW603"/>
      <c r="AEX603"/>
      <c r="AEY603"/>
      <c r="AEZ603"/>
      <c r="AFA603"/>
      <c r="AFB603"/>
      <c r="AFC603"/>
      <c r="AFD603"/>
      <c r="AFE603"/>
      <c r="AFF603"/>
      <c r="AFG603"/>
      <c r="AFH603"/>
      <c r="AFI603"/>
      <c r="AFJ603"/>
      <c r="AFK603"/>
      <c r="AFL603"/>
      <c r="AFM603"/>
      <c r="AFN603"/>
      <c r="AFO603"/>
      <c r="AFP603"/>
      <c r="AFQ603"/>
      <c r="AFR603"/>
      <c r="AFS603"/>
      <c r="AFT603"/>
      <c r="AFU603"/>
      <c r="AFV603"/>
      <c r="AFW603"/>
      <c r="AFX603"/>
      <c r="AFY603"/>
      <c r="AFZ603"/>
      <c r="AGA603"/>
      <c r="AGB603"/>
      <c r="AGC603"/>
      <c r="AGD603"/>
      <c r="AGE603"/>
      <c r="AGF603"/>
      <c r="AGG603"/>
      <c r="AGH603"/>
      <c r="AGI603"/>
      <c r="AGJ603"/>
      <c r="AGK603"/>
      <c r="AGL603"/>
      <c r="AGM603"/>
      <c r="AGN603"/>
      <c r="AGO603"/>
      <c r="AGP603"/>
      <c r="AGQ603"/>
      <c r="AGR603"/>
      <c r="AGS603"/>
      <c r="AGT603"/>
      <c r="AGU603"/>
      <c r="AGV603"/>
      <c r="AGW603"/>
      <c r="AGX603"/>
      <c r="AGY603"/>
      <c r="AGZ603"/>
      <c r="AHA603"/>
      <c r="AHB603"/>
      <c r="AHC603"/>
      <c r="AHD603"/>
      <c r="AHE603"/>
      <c r="AHF603"/>
      <c r="AHG603"/>
      <c r="AHH603"/>
      <c r="AHI603"/>
      <c r="AHJ603"/>
      <c r="AHK603"/>
      <c r="AHL603"/>
      <c r="AHM603"/>
      <c r="AHN603"/>
      <c r="AHO603"/>
      <c r="AHP603"/>
      <c r="AHQ603"/>
      <c r="AHR603"/>
      <c r="AHS603"/>
      <c r="AHT603"/>
      <c r="AHU603"/>
      <c r="AHV603"/>
      <c r="AHW603"/>
      <c r="AHX603"/>
      <c r="AHY603"/>
      <c r="AHZ603"/>
      <c r="AIA603"/>
      <c r="AIB603"/>
      <c r="AIC603"/>
      <c r="AID603"/>
      <c r="AIE603"/>
      <c r="AIF603"/>
      <c r="AIG603"/>
      <c r="AIH603"/>
      <c r="AII603"/>
      <c r="AIJ603"/>
      <c r="AIK603"/>
      <c r="AIL603"/>
      <c r="AIM603"/>
      <c r="AIN603"/>
      <c r="AIO603"/>
      <c r="AIP603"/>
      <c r="AIQ603"/>
      <c r="AIR603"/>
      <c r="AIS603"/>
      <c r="AIT603"/>
      <c r="AIU603"/>
      <c r="AIV603"/>
      <c r="AIW603"/>
      <c r="AIX603"/>
      <c r="AIY603"/>
      <c r="AIZ603"/>
      <c r="AJA603"/>
      <c r="AJB603"/>
      <c r="AJC603"/>
      <c r="AJD603"/>
      <c r="AJE603"/>
      <c r="AJF603"/>
      <c r="AJG603"/>
      <c r="AJH603"/>
      <c r="AJI603"/>
      <c r="AJJ603"/>
      <c r="AJK603"/>
      <c r="AJL603"/>
      <c r="AJM603"/>
      <c r="AJN603"/>
      <c r="AJO603"/>
      <c r="AJP603"/>
      <c r="AJQ603"/>
      <c r="AJR603"/>
      <c r="AJS603"/>
      <c r="AJT603"/>
      <c r="AJU603"/>
      <c r="AJV603"/>
      <c r="AJW603"/>
      <c r="AJX603"/>
      <c r="AJY603"/>
      <c r="AJZ603"/>
      <c r="AKA603"/>
      <c r="AKB603"/>
      <c r="AKC603"/>
      <c r="AKD603"/>
      <c r="AKE603"/>
      <c r="AKF603"/>
      <c r="AKG603"/>
      <c r="AKH603"/>
      <c r="AKI603"/>
      <c r="AKJ603"/>
      <c r="AKK603"/>
      <c r="AKL603"/>
      <c r="AKM603"/>
      <c r="AKN603"/>
      <c r="AKO603"/>
      <c r="AKP603"/>
      <c r="AKQ603"/>
      <c r="AKR603"/>
      <c r="AKS603"/>
      <c r="AKT603"/>
      <c r="AKU603"/>
      <c r="AKV603"/>
      <c r="AKW603"/>
      <c r="AKX603"/>
      <c r="AKY603"/>
      <c r="AKZ603"/>
      <c r="ALA603"/>
      <c r="ALB603"/>
      <c r="ALC603"/>
      <c r="ALD603"/>
      <c r="ALE603"/>
      <c r="ALF603"/>
      <c r="ALG603"/>
      <c r="ALH603"/>
      <c r="ALI603"/>
      <c r="ALJ603"/>
      <c r="ALK603"/>
      <c r="ALL603"/>
      <c r="ALM603"/>
      <c r="ALN603"/>
      <c r="ALO603"/>
      <c r="ALP603"/>
      <c r="ALQ603"/>
      <c r="ALR603"/>
      <c r="ALS603"/>
      <c r="ALT603"/>
      <c r="ALU603"/>
      <c r="ALV603"/>
      <c r="ALW603"/>
      <c r="ALX603"/>
      <c r="ALY603"/>
      <c r="ALZ603"/>
      <c r="AMA603"/>
      <c r="AMB603"/>
      <c r="AMC603"/>
      <c r="AMD603"/>
    </row>
    <row r="604" spans="1:1018">
      <c r="A604" s="282" t="s">
        <v>415</v>
      </c>
      <c r="B604" s="282"/>
      <c r="C604" s="282" t="s">
        <v>378</v>
      </c>
      <c r="D604" s="282"/>
      <c r="E604" s="178">
        <f t="shared" si="61"/>
        <v>23</v>
      </c>
      <c r="F604" s="277" t="s">
        <v>1540</v>
      </c>
      <c r="G604" s="282"/>
      <c r="H604" s="282">
        <v>10</v>
      </c>
      <c r="I604" s="282"/>
      <c r="J604" s="175"/>
      <c r="K604" s="201">
        <v>4834.5</v>
      </c>
      <c r="L604" s="201">
        <v>375</v>
      </c>
      <c r="M604" s="201"/>
      <c r="N604" s="195">
        <f t="shared" si="60"/>
        <v>5209.5</v>
      </c>
      <c r="O604" s="303">
        <v>13794</v>
      </c>
      <c r="P604" s="304">
        <v>0</v>
      </c>
      <c r="Q604" s="304">
        <v>300</v>
      </c>
      <c r="R604" s="305"/>
      <c r="S604" s="306"/>
      <c r="T604" s="306"/>
      <c r="U604" s="9"/>
      <c r="V604" s="9"/>
      <c r="W604" s="291">
        <v>0</v>
      </c>
      <c r="X604" s="291">
        <v>4834.5</v>
      </c>
      <c r="Y604" s="290">
        <v>5470</v>
      </c>
      <c r="Z604" s="291"/>
      <c r="AA604" s="291"/>
      <c r="AB604" s="291"/>
      <c r="AC604" s="291"/>
      <c r="AD604" s="291"/>
      <c r="AE604" s="291"/>
      <c r="AF604" s="291"/>
      <c r="AG604" s="291"/>
      <c r="AH604" s="291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  <c r="ZW604"/>
      <c r="ZX604"/>
      <c r="ZY604"/>
      <c r="ZZ604"/>
      <c r="AAA604"/>
      <c r="AAB604"/>
      <c r="AAC604"/>
      <c r="AAD604"/>
      <c r="AAE604"/>
      <c r="AAF604"/>
      <c r="AAG604"/>
      <c r="AAH604"/>
      <c r="AAI604"/>
      <c r="AAJ604"/>
      <c r="AAK604"/>
      <c r="AAL604"/>
      <c r="AAM604"/>
      <c r="AAN604"/>
      <c r="AAO604"/>
      <c r="AAP604"/>
      <c r="AAQ604"/>
      <c r="AAR604"/>
      <c r="AAS604"/>
      <c r="AAT604"/>
      <c r="AAU604"/>
      <c r="AAV604"/>
      <c r="AAW604"/>
      <c r="AAX604"/>
      <c r="AAY604"/>
      <c r="AAZ604"/>
      <c r="ABA604"/>
      <c r="ABB604"/>
      <c r="ABC604"/>
      <c r="ABD604"/>
      <c r="ABE604"/>
      <c r="ABF604"/>
      <c r="ABG604"/>
      <c r="ABH604"/>
      <c r="ABI604"/>
      <c r="ABJ604"/>
      <c r="ABK604"/>
      <c r="ABL604"/>
      <c r="ABM604"/>
      <c r="ABN604"/>
      <c r="ABO604"/>
      <c r="ABP604"/>
      <c r="ABQ604"/>
      <c r="ABR604"/>
      <c r="ABS604"/>
      <c r="ABT604"/>
      <c r="ABU604"/>
      <c r="ABV604"/>
      <c r="ABW604"/>
      <c r="ABX604"/>
      <c r="ABY604"/>
      <c r="ABZ604"/>
      <c r="ACA604"/>
      <c r="ACB604"/>
      <c r="ACC604"/>
      <c r="ACD604"/>
      <c r="ACE604"/>
      <c r="ACF604"/>
      <c r="ACG604"/>
      <c r="ACH604"/>
      <c r="ACI604"/>
      <c r="ACJ604"/>
      <c r="ACK604"/>
      <c r="ACL604"/>
      <c r="ACM604"/>
      <c r="ACN604"/>
      <c r="ACO604"/>
      <c r="ACP604"/>
      <c r="ACQ604"/>
      <c r="ACR604"/>
      <c r="ACS604"/>
      <c r="ACT604"/>
      <c r="ACU604"/>
      <c r="ACV604"/>
      <c r="ACW604"/>
      <c r="ACX604"/>
      <c r="ACY604"/>
      <c r="ACZ604"/>
      <c r="ADA604"/>
      <c r="ADB604"/>
      <c r="ADC604"/>
      <c r="ADD604"/>
      <c r="ADE604"/>
      <c r="ADF604"/>
      <c r="ADG604"/>
      <c r="ADH604"/>
      <c r="ADI604"/>
      <c r="ADJ604"/>
      <c r="ADK604"/>
      <c r="ADL604"/>
      <c r="ADM604"/>
      <c r="ADN604"/>
      <c r="ADO604"/>
      <c r="ADP604"/>
      <c r="ADQ604"/>
      <c r="ADR604"/>
      <c r="ADS604"/>
      <c r="ADT604"/>
      <c r="ADU604"/>
      <c r="ADV604"/>
      <c r="ADW604"/>
      <c r="ADX604"/>
      <c r="ADY604"/>
      <c r="ADZ604"/>
      <c r="AEA604"/>
      <c r="AEB604"/>
      <c r="AEC604"/>
      <c r="AED604"/>
      <c r="AEE604"/>
      <c r="AEF604"/>
      <c r="AEG604"/>
      <c r="AEH604"/>
      <c r="AEI604"/>
      <c r="AEJ604"/>
      <c r="AEK604"/>
      <c r="AEL604"/>
      <c r="AEM604"/>
      <c r="AEN604"/>
      <c r="AEO604"/>
      <c r="AEP604"/>
      <c r="AEQ604"/>
      <c r="AER604"/>
      <c r="AES604"/>
      <c r="AET604"/>
      <c r="AEU604"/>
      <c r="AEV604"/>
      <c r="AEW604"/>
      <c r="AEX604"/>
      <c r="AEY604"/>
      <c r="AEZ604"/>
      <c r="AFA604"/>
      <c r="AFB604"/>
      <c r="AFC604"/>
      <c r="AFD604"/>
      <c r="AFE604"/>
      <c r="AFF604"/>
      <c r="AFG604"/>
      <c r="AFH604"/>
      <c r="AFI604"/>
      <c r="AFJ604"/>
      <c r="AFK604"/>
      <c r="AFL604"/>
      <c r="AFM604"/>
      <c r="AFN604"/>
      <c r="AFO604"/>
      <c r="AFP604"/>
      <c r="AFQ604"/>
      <c r="AFR604"/>
      <c r="AFS604"/>
      <c r="AFT604"/>
      <c r="AFU604"/>
      <c r="AFV604"/>
      <c r="AFW604"/>
      <c r="AFX604"/>
      <c r="AFY604"/>
      <c r="AFZ604"/>
      <c r="AGA604"/>
      <c r="AGB604"/>
      <c r="AGC604"/>
      <c r="AGD604"/>
      <c r="AGE604"/>
      <c r="AGF604"/>
      <c r="AGG604"/>
      <c r="AGH604"/>
      <c r="AGI604"/>
      <c r="AGJ604"/>
      <c r="AGK604"/>
      <c r="AGL604"/>
      <c r="AGM604"/>
      <c r="AGN604"/>
      <c r="AGO604"/>
      <c r="AGP604"/>
      <c r="AGQ604"/>
      <c r="AGR604"/>
      <c r="AGS604"/>
      <c r="AGT604"/>
      <c r="AGU604"/>
      <c r="AGV604"/>
      <c r="AGW604"/>
      <c r="AGX604"/>
      <c r="AGY604"/>
      <c r="AGZ604"/>
      <c r="AHA604"/>
      <c r="AHB604"/>
      <c r="AHC604"/>
      <c r="AHD604"/>
      <c r="AHE604"/>
      <c r="AHF604"/>
      <c r="AHG604"/>
      <c r="AHH604"/>
      <c r="AHI604"/>
      <c r="AHJ604"/>
      <c r="AHK604"/>
      <c r="AHL604"/>
      <c r="AHM604"/>
      <c r="AHN604"/>
      <c r="AHO604"/>
      <c r="AHP604"/>
      <c r="AHQ604"/>
      <c r="AHR604"/>
      <c r="AHS604"/>
      <c r="AHT604"/>
      <c r="AHU604"/>
      <c r="AHV604"/>
      <c r="AHW604"/>
      <c r="AHX604"/>
      <c r="AHY604"/>
      <c r="AHZ604"/>
      <c r="AIA604"/>
      <c r="AIB604"/>
      <c r="AIC604"/>
      <c r="AID604"/>
      <c r="AIE604"/>
      <c r="AIF604"/>
      <c r="AIG604"/>
      <c r="AIH604"/>
      <c r="AII604"/>
      <c r="AIJ604"/>
      <c r="AIK604"/>
      <c r="AIL604"/>
      <c r="AIM604"/>
      <c r="AIN604"/>
      <c r="AIO604"/>
      <c r="AIP604"/>
      <c r="AIQ604"/>
      <c r="AIR604"/>
      <c r="AIS604"/>
      <c r="AIT604"/>
      <c r="AIU604"/>
      <c r="AIV604"/>
      <c r="AIW604"/>
      <c r="AIX604"/>
      <c r="AIY604"/>
      <c r="AIZ604"/>
      <c r="AJA604"/>
      <c r="AJB604"/>
      <c r="AJC604"/>
      <c r="AJD604"/>
      <c r="AJE604"/>
      <c r="AJF604"/>
      <c r="AJG604"/>
      <c r="AJH604"/>
      <c r="AJI604"/>
      <c r="AJJ604"/>
      <c r="AJK604"/>
      <c r="AJL604"/>
      <c r="AJM604"/>
      <c r="AJN604"/>
      <c r="AJO604"/>
      <c r="AJP604"/>
      <c r="AJQ604"/>
      <c r="AJR604"/>
      <c r="AJS604"/>
      <c r="AJT604"/>
      <c r="AJU604"/>
      <c r="AJV604"/>
      <c r="AJW604"/>
      <c r="AJX604"/>
      <c r="AJY604"/>
      <c r="AJZ604"/>
      <c r="AKA604"/>
      <c r="AKB604"/>
      <c r="AKC604"/>
      <c r="AKD604"/>
      <c r="AKE604"/>
      <c r="AKF604"/>
      <c r="AKG604"/>
      <c r="AKH604"/>
      <c r="AKI604"/>
      <c r="AKJ604"/>
      <c r="AKK604"/>
      <c r="AKL604"/>
      <c r="AKM604"/>
      <c r="AKN604"/>
      <c r="AKO604"/>
      <c r="AKP604"/>
      <c r="AKQ604"/>
      <c r="AKR604"/>
      <c r="AKS604"/>
      <c r="AKT604"/>
      <c r="AKU604"/>
      <c r="AKV604"/>
      <c r="AKW604"/>
      <c r="AKX604"/>
      <c r="AKY604"/>
      <c r="AKZ604"/>
      <c r="ALA604"/>
      <c r="ALB604"/>
      <c r="ALC604"/>
      <c r="ALD604"/>
      <c r="ALE604"/>
      <c r="ALF604"/>
      <c r="ALG604"/>
      <c r="ALH604"/>
      <c r="ALI604"/>
      <c r="ALJ604"/>
      <c r="ALK604"/>
      <c r="ALL604"/>
      <c r="ALM604"/>
      <c r="ALN604"/>
      <c r="ALO604"/>
      <c r="ALP604"/>
      <c r="ALQ604"/>
      <c r="ALR604"/>
      <c r="ALS604"/>
      <c r="ALT604"/>
      <c r="ALU604"/>
      <c r="ALV604"/>
      <c r="ALW604"/>
      <c r="ALX604"/>
      <c r="ALY604"/>
      <c r="ALZ604"/>
      <c r="AMA604"/>
      <c r="AMB604"/>
      <c r="AMC604"/>
      <c r="AMD604"/>
    </row>
    <row r="605" spans="1:1018">
      <c r="A605" s="282" t="s">
        <v>416</v>
      </c>
      <c r="B605" s="282"/>
      <c r="C605" s="282"/>
      <c r="D605" s="282"/>
      <c r="E605" s="178">
        <f t="shared" si="61"/>
        <v>24</v>
      </c>
      <c r="F605" s="277" t="s">
        <v>1541</v>
      </c>
      <c r="G605" s="282">
        <v>0.15</v>
      </c>
      <c r="H605" s="282">
        <v>10</v>
      </c>
      <c r="I605" s="282"/>
      <c r="J605" s="175"/>
      <c r="K605" s="201">
        <v>4109.33</v>
      </c>
      <c r="L605" s="201"/>
      <c r="M605" s="201"/>
      <c r="N605" s="195">
        <f t="shared" si="60"/>
        <v>4109.33</v>
      </c>
      <c r="O605" s="303">
        <v>13249</v>
      </c>
      <c r="P605" s="304">
        <v>1800</v>
      </c>
      <c r="Q605" s="304">
        <v>300</v>
      </c>
      <c r="R605" s="305">
        <v>3025</v>
      </c>
      <c r="S605" s="306">
        <v>3620</v>
      </c>
      <c r="T605" s="306"/>
      <c r="U605" s="9">
        <v>370</v>
      </c>
      <c r="V605" s="9">
        <v>370</v>
      </c>
      <c r="W605" s="291">
        <v>0</v>
      </c>
      <c r="X605" s="291">
        <v>4109.3</v>
      </c>
      <c r="Y605" s="291">
        <v>4109.33</v>
      </c>
      <c r="Z605" s="291">
        <v>4109.33</v>
      </c>
      <c r="AA605" s="291"/>
      <c r="AB605" s="291"/>
      <c r="AC605" s="291"/>
      <c r="AD605" s="291"/>
      <c r="AE605" s="291"/>
      <c r="AF605" s="291"/>
      <c r="AG605" s="291"/>
      <c r="AH605" s="291">
        <v>0</v>
      </c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  <c r="ZW605"/>
      <c r="ZX605"/>
      <c r="ZY605"/>
      <c r="ZZ605"/>
      <c r="AAA605"/>
      <c r="AAB605"/>
      <c r="AAC605"/>
      <c r="AAD605"/>
      <c r="AAE605"/>
      <c r="AAF605"/>
      <c r="AAG605"/>
      <c r="AAH605"/>
      <c r="AAI605"/>
      <c r="AAJ605"/>
      <c r="AAK605"/>
      <c r="AAL605"/>
      <c r="AAM605"/>
      <c r="AAN605"/>
      <c r="AAO605"/>
      <c r="AAP605"/>
      <c r="AAQ605"/>
      <c r="AAR605"/>
      <c r="AAS605"/>
      <c r="AAT605"/>
      <c r="AAU605"/>
      <c r="AAV605"/>
      <c r="AAW605"/>
      <c r="AAX605"/>
      <c r="AAY605"/>
      <c r="AAZ605"/>
      <c r="ABA605"/>
      <c r="ABB605"/>
      <c r="ABC605"/>
      <c r="ABD605"/>
      <c r="ABE605"/>
      <c r="ABF605"/>
      <c r="ABG605"/>
      <c r="ABH605"/>
      <c r="ABI605"/>
      <c r="ABJ605"/>
      <c r="ABK605"/>
      <c r="ABL605"/>
      <c r="ABM605"/>
      <c r="ABN605"/>
      <c r="ABO605"/>
      <c r="ABP605"/>
      <c r="ABQ605"/>
      <c r="ABR605"/>
      <c r="ABS605"/>
      <c r="ABT605"/>
      <c r="ABU605"/>
      <c r="ABV605"/>
      <c r="ABW605"/>
      <c r="ABX605"/>
      <c r="ABY605"/>
      <c r="ABZ605"/>
      <c r="ACA605"/>
      <c r="ACB605"/>
      <c r="ACC605"/>
      <c r="ACD605"/>
      <c r="ACE605"/>
      <c r="ACF605"/>
      <c r="ACG605"/>
      <c r="ACH605"/>
      <c r="ACI605"/>
      <c r="ACJ605"/>
      <c r="ACK605"/>
      <c r="ACL605"/>
      <c r="ACM605"/>
      <c r="ACN605"/>
      <c r="ACO605"/>
      <c r="ACP605"/>
      <c r="ACQ605"/>
      <c r="ACR605"/>
      <c r="ACS605"/>
      <c r="ACT605"/>
      <c r="ACU605"/>
      <c r="ACV605"/>
      <c r="ACW605"/>
      <c r="ACX605"/>
      <c r="ACY605"/>
      <c r="ACZ605"/>
      <c r="ADA605"/>
      <c r="ADB605"/>
      <c r="ADC605"/>
      <c r="ADD605"/>
      <c r="ADE605"/>
      <c r="ADF605"/>
      <c r="ADG605"/>
      <c r="ADH605"/>
      <c r="ADI605"/>
      <c r="ADJ605"/>
      <c r="ADK605"/>
      <c r="ADL605"/>
      <c r="ADM605"/>
      <c r="ADN605"/>
      <c r="ADO605"/>
      <c r="ADP605"/>
      <c r="ADQ605"/>
      <c r="ADR605"/>
      <c r="ADS605"/>
      <c r="ADT605"/>
      <c r="ADU605"/>
      <c r="ADV605"/>
      <c r="ADW605"/>
      <c r="ADX605"/>
      <c r="ADY605"/>
      <c r="ADZ605"/>
      <c r="AEA605"/>
      <c r="AEB605"/>
      <c r="AEC605"/>
      <c r="AED605"/>
      <c r="AEE605"/>
      <c r="AEF605"/>
      <c r="AEG605"/>
      <c r="AEH605"/>
      <c r="AEI605"/>
      <c r="AEJ605"/>
      <c r="AEK605"/>
      <c r="AEL605"/>
      <c r="AEM605"/>
      <c r="AEN605"/>
      <c r="AEO605"/>
      <c r="AEP605"/>
      <c r="AEQ605"/>
      <c r="AER605"/>
      <c r="AES605"/>
      <c r="AET605"/>
      <c r="AEU605"/>
      <c r="AEV605"/>
      <c r="AEW605"/>
      <c r="AEX605"/>
      <c r="AEY605"/>
      <c r="AEZ605"/>
      <c r="AFA605"/>
      <c r="AFB605"/>
      <c r="AFC605"/>
      <c r="AFD605"/>
      <c r="AFE605"/>
      <c r="AFF605"/>
      <c r="AFG605"/>
      <c r="AFH605"/>
      <c r="AFI605"/>
      <c r="AFJ605"/>
      <c r="AFK605"/>
      <c r="AFL605"/>
      <c r="AFM605"/>
      <c r="AFN605"/>
      <c r="AFO605"/>
      <c r="AFP605"/>
      <c r="AFQ605"/>
      <c r="AFR605"/>
      <c r="AFS605"/>
      <c r="AFT605"/>
      <c r="AFU605"/>
      <c r="AFV605"/>
      <c r="AFW605"/>
      <c r="AFX605"/>
      <c r="AFY605"/>
      <c r="AFZ605"/>
      <c r="AGA605"/>
      <c r="AGB605"/>
      <c r="AGC605"/>
      <c r="AGD605"/>
      <c r="AGE605"/>
      <c r="AGF605"/>
      <c r="AGG605"/>
      <c r="AGH605"/>
      <c r="AGI605"/>
      <c r="AGJ605"/>
      <c r="AGK605"/>
      <c r="AGL605"/>
      <c r="AGM605"/>
      <c r="AGN605"/>
      <c r="AGO605"/>
      <c r="AGP605"/>
      <c r="AGQ605"/>
      <c r="AGR605"/>
      <c r="AGS605"/>
      <c r="AGT605"/>
      <c r="AGU605"/>
      <c r="AGV605"/>
      <c r="AGW605"/>
      <c r="AGX605"/>
      <c r="AGY605"/>
      <c r="AGZ605"/>
      <c r="AHA605"/>
      <c r="AHB605"/>
      <c r="AHC605"/>
      <c r="AHD605"/>
      <c r="AHE605"/>
      <c r="AHF605"/>
      <c r="AHG605"/>
      <c r="AHH605"/>
      <c r="AHI605"/>
      <c r="AHJ605"/>
      <c r="AHK605"/>
      <c r="AHL605"/>
      <c r="AHM605"/>
      <c r="AHN605"/>
      <c r="AHO605"/>
      <c r="AHP605"/>
      <c r="AHQ605"/>
      <c r="AHR605"/>
      <c r="AHS605"/>
      <c r="AHT605"/>
      <c r="AHU605"/>
      <c r="AHV605"/>
      <c r="AHW605"/>
      <c r="AHX605"/>
      <c r="AHY605"/>
      <c r="AHZ605"/>
      <c r="AIA605"/>
      <c r="AIB605"/>
      <c r="AIC605"/>
      <c r="AID605"/>
      <c r="AIE605"/>
      <c r="AIF605"/>
      <c r="AIG605"/>
      <c r="AIH605"/>
      <c r="AII605"/>
      <c r="AIJ605"/>
      <c r="AIK605"/>
      <c r="AIL605"/>
      <c r="AIM605"/>
      <c r="AIN605"/>
      <c r="AIO605"/>
      <c r="AIP605"/>
      <c r="AIQ605"/>
      <c r="AIR605"/>
      <c r="AIS605"/>
      <c r="AIT605"/>
      <c r="AIU605"/>
      <c r="AIV605"/>
      <c r="AIW605"/>
      <c r="AIX605"/>
      <c r="AIY605"/>
      <c r="AIZ605"/>
      <c r="AJA605"/>
      <c r="AJB605"/>
      <c r="AJC605"/>
      <c r="AJD605"/>
      <c r="AJE605"/>
      <c r="AJF605"/>
      <c r="AJG605"/>
      <c r="AJH605"/>
      <c r="AJI605"/>
      <c r="AJJ605"/>
      <c r="AJK605"/>
      <c r="AJL605"/>
      <c r="AJM605"/>
      <c r="AJN605"/>
      <c r="AJO605"/>
      <c r="AJP605"/>
      <c r="AJQ605"/>
      <c r="AJR605"/>
      <c r="AJS605"/>
      <c r="AJT605"/>
      <c r="AJU605"/>
      <c r="AJV605"/>
      <c r="AJW605"/>
      <c r="AJX605"/>
      <c r="AJY605"/>
      <c r="AJZ605"/>
      <c r="AKA605"/>
      <c r="AKB605"/>
      <c r="AKC605"/>
      <c r="AKD605"/>
      <c r="AKE605"/>
      <c r="AKF605"/>
      <c r="AKG605"/>
      <c r="AKH605"/>
      <c r="AKI605"/>
      <c r="AKJ605"/>
      <c r="AKK605"/>
      <c r="AKL605"/>
      <c r="AKM605"/>
      <c r="AKN605"/>
      <c r="AKO605"/>
      <c r="AKP605"/>
      <c r="AKQ605"/>
      <c r="AKR605"/>
      <c r="AKS605"/>
      <c r="AKT605"/>
      <c r="AKU605"/>
      <c r="AKV605"/>
      <c r="AKW605"/>
      <c r="AKX605"/>
      <c r="AKY605"/>
      <c r="AKZ605"/>
      <c r="ALA605"/>
      <c r="ALB605"/>
      <c r="ALC605"/>
      <c r="ALD605"/>
      <c r="ALE605"/>
      <c r="ALF605"/>
      <c r="ALG605"/>
      <c r="ALH605"/>
      <c r="ALI605"/>
      <c r="ALJ605"/>
      <c r="ALK605"/>
      <c r="ALL605"/>
      <c r="ALM605"/>
      <c r="ALN605"/>
      <c r="ALO605"/>
      <c r="ALP605"/>
      <c r="ALQ605"/>
      <c r="ALR605"/>
      <c r="ALS605"/>
      <c r="ALT605"/>
      <c r="ALU605"/>
      <c r="ALV605"/>
      <c r="ALW605"/>
      <c r="ALX605"/>
      <c r="ALY605"/>
      <c r="ALZ605"/>
      <c r="AMA605"/>
      <c r="AMB605"/>
      <c r="AMC605"/>
      <c r="AMD605"/>
    </row>
    <row r="606" spans="1:1018">
      <c r="A606" s="282" t="s">
        <v>417</v>
      </c>
      <c r="B606" s="282"/>
      <c r="C606" s="282"/>
      <c r="D606" s="282"/>
      <c r="E606" s="178">
        <f t="shared" si="61"/>
        <v>25</v>
      </c>
      <c r="F606" s="277" t="s">
        <v>1542</v>
      </c>
      <c r="G606" s="282">
        <v>0.1</v>
      </c>
      <c r="H606" s="282">
        <v>11</v>
      </c>
      <c r="I606" s="282"/>
      <c r="J606" s="175">
        <v>3955.5</v>
      </c>
      <c r="K606" s="201"/>
      <c r="L606" s="201"/>
      <c r="M606" s="201"/>
      <c r="N606" s="195">
        <f t="shared" si="60"/>
        <v>3955.5</v>
      </c>
      <c r="O606" s="303">
        <v>13228</v>
      </c>
      <c r="P606" s="304">
        <v>0</v>
      </c>
      <c r="Q606" s="304">
        <v>300</v>
      </c>
      <c r="R606" s="305">
        <v>3173</v>
      </c>
      <c r="S606" s="306">
        <v>3620</v>
      </c>
      <c r="T606" s="306"/>
      <c r="U606" s="9"/>
      <c r="V606" s="9"/>
      <c r="W606" s="290">
        <v>3955.5</v>
      </c>
      <c r="X606" s="290">
        <v>3955.5</v>
      </c>
      <c r="Y606" s="290">
        <v>3955.5</v>
      </c>
      <c r="Z606" s="290"/>
      <c r="AA606" s="290"/>
      <c r="AB606" s="291"/>
      <c r="AC606" s="291"/>
      <c r="AD606" s="291"/>
      <c r="AE606" s="291"/>
      <c r="AF606" s="291"/>
      <c r="AG606" s="291"/>
      <c r="AH606" s="291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  <c r="ABE606"/>
      <c r="ABF606"/>
      <c r="ABG606"/>
      <c r="ABH606"/>
      <c r="ABI606"/>
      <c r="ABJ606"/>
      <c r="ABK606"/>
      <c r="ABL606"/>
      <c r="ABM606"/>
      <c r="ABN606"/>
      <c r="ABO606"/>
      <c r="ABP606"/>
      <c r="ABQ606"/>
      <c r="ABR606"/>
      <c r="ABS606"/>
      <c r="ABT606"/>
      <c r="ABU606"/>
      <c r="ABV606"/>
      <c r="ABW606"/>
      <c r="ABX606"/>
      <c r="ABY606"/>
      <c r="ABZ606"/>
      <c r="ACA606"/>
      <c r="ACB606"/>
      <c r="ACC606"/>
      <c r="ACD606"/>
      <c r="ACE606"/>
      <c r="ACF606"/>
      <c r="ACG606"/>
      <c r="ACH606"/>
      <c r="ACI606"/>
      <c r="ACJ606"/>
      <c r="ACK606"/>
      <c r="ACL606"/>
      <c r="ACM606"/>
      <c r="ACN606"/>
      <c r="ACO606"/>
      <c r="ACP606"/>
      <c r="ACQ606"/>
      <c r="ACR606"/>
      <c r="ACS606"/>
      <c r="ACT606"/>
      <c r="ACU606"/>
      <c r="ACV606"/>
      <c r="ACW606"/>
      <c r="ACX606"/>
      <c r="ACY606"/>
      <c r="ACZ606"/>
      <c r="ADA606"/>
      <c r="ADB606"/>
      <c r="ADC606"/>
      <c r="ADD606"/>
      <c r="ADE606"/>
      <c r="ADF606"/>
      <c r="ADG606"/>
      <c r="ADH606"/>
      <c r="ADI606"/>
      <c r="ADJ606"/>
      <c r="ADK606"/>
      <c r="ADL606"/>
      <c r="ADM606"/>
      <c r="ADN606"/>
      <c r="ADO606"/>
      <c r="ADP606"/>
      <c r="ADQ606"/>
      <c r="ADR606"/>
      <c r="ADS606"/>
      <c r="ADT606"/>
      <c r="ADU606"/>
      <c r="ADV606"/>
      <c r="ADW606"/>
      <c r="ADX606"/>
      <c r="ADY606"/>
      <c r="ADZ606"/>
      <c r="AEA606"/>
      <c r="AEB606"/>
      <c r="AEC606"/>
      <c r="AED606"/>
      <c r="AEE606"/>
      <c r="AEF606"/>
      <c r="AEG606"/>
      <c r="AEH606"/>
      <c r="AEI606"/>
      <c r="AEJ606"/>
      <c r="AEK606"/>
      <c r="AEL606"/>
      <c r="AEM606"/>
      <c r="AEN606"/>
      <c r="AEO606"/>
      <c r="AEP606"/>
      <c r="AEQ606"/>
      <c r="AER606"/>
      <c r="AES606"/>
      <c r="AET606"/>
      <c r="AEU606"/>
      <c r="AEV606"/>
      <c r="AEW606"/>
      <c r="AEX606"/>
      <c r="AEY606"/>
      <c r="AEZ606"/>
      <c r="AFA606"/>
      <c r="AFB606"/>
      <c r="AFC606"/>
      <c r="AFD606"/>
      <c r="AFE606"/>
      <c r="AFF606"/>
      <c r="AFG606"/>
      <c r="AFH606"/>
      <c r="AFI606"/>
      <c r="AFJ606"/>
      <c r="AFK606"/>
      <c r="AFL606"/>
      <c r="AFM606"/>
      <c r="AFN606"/>
      <c r="AFO606"/>
      <c r="AFP606"/>
      <c r="AFQ606"/>
      <c r="AFR606"/>
      <c r="AFS606"/>
      <c r="AFT606"/>
      <c r="AFU606"/>
      <c r="AFV606"/>
      <c r="AFW606"/>
      <c r="AFX606"/>
      <c r="AFY606"/>
      <c r="AFZ606"/>
      <c r="AGA606"/>
      <c r="AGB606"/>
      <c r="AGC606"/>
      <c r="AGD606"/>
      <c r="AGE606"/>
      <c r="AGF606"/>
      <c r="AGG606"/>
      <c r="AGH606"/>
      <c r="AGI606"/>
      <c r="AGJ606"/>
      <c r="AGK606"/>
      <c r="AGL606"/>
      <c r="AGM606"/>
      <c r="AGN606"/>
      <c r="AGO606"/>
      <c r="AGP606"/>
      <c r="AGQ606"/>
      <c r="AGR606"/>
      <c r="AGS606"/>
      <c r="AGT606"/>
      <c r="AGU606"/>
      <c r="AGV606"/>
      <c r="AGW606"/>
      <c r="AGX606"/>
      <c r="AGY606"/>
      <c r="AGZ606"/>
      <c r="AHA606"/>
      <c r="AHB606"/>
      <c r="AHC606"/>
      <c r="AHD606"/>
      <c r="AHE606"/>
      <c r="AHF606"/>
      <c r="AHG606"/>
      <c r="AHH606"/>
      <c r="AHI606"/>
      <c r="AHJ606"/>
      <c r="AHK606"/>
      <c r="AHL606"/>
      <c r="AHM606"/>
      <c r="AHN606"/>
      <c r="AHO606"/>
      <c r="AHP606"/>
      <c r="AHQ606"/>
      <c r="AHR606"/>
      <c r="AHS606"/>
      <c r="AHT606"/>
      <c r="AHU606"/>
      <c r="AHV606"/>
      <c r="AHW606"/>
      <c r="AHX606"/>
      <c r="AHY606"/>
      <c r="AHZ606"/>
      <c r="AIA606"/>
      <c r="AIB606"/>
      <c r="AIC606"/>
      <c r="AID606"/>
      <c r="AIE606"/>
      <c r="AIF606"/>
      <c r="AIG606"/>
      <c r="AIH606"/>
      <c r="AII606"/>
      <c r="AIJ606"/>
      <c r="AIK606"/>
      <c r="AIL606"/>
      <c r="AIM606"/>
      <c r="AIN606"/>
      <c r="AIO606"/>
      <c r="AIP606"/>
      <c r="AIQ606"/>
      <c r="AIR606"/>
      <c r="AIS606"/>
      <c r="AIT606"/>
      <c r="AIU606"/>
      <c r="AIV606"/>
      <c r="AIW606"/>
      <c r="AIX606"/>
      <c r="AIY606"/>
      <c r="AIZ606"/>
      <c r="AJA606"/>
      <c r="AJB606"/>
      <c r="AJC606"/>
      <c r="AJD606"/>
      <c r="AJE606"/>
      <c r="AJF606"/>
      <c r="AJG606"/>
      <c r="AJH606"/>
      <c r="AJI606"/>
      <c r="AJJ606"/>
      <c r="AJK606"/>
      <c r="AJL606"/>
      <c r="AJM606"/>
      <c r="AJN606"/>
      <c r="AJO606"/>
      <c r="AJP606"/>
      <c r="AJQ606"/>
      <c r="AJR606"/>
      <c r="AJS606"/>
      <c r="AJT606"/>
      <c r="AJU606"/>
      <c r="AJV606"/>
      <c r="AJW606"/>
      <c r="AJX606"/>
      <c r="AJY606"/>
      <c r="AJZ606"/>
      <c r="AKA606"/>
      <c r="AKB606"/>
      <c r="AKC606"/>
      <c r="AKD606"/>
      <c r="AKE606"/>
      <c r="AKF606"/>
      <c r="AKG606"/>
      <c r="AKH606"/>
      <c r="AKI606"/>
      <c r="AKJ606"/>
      <c r="AKK606"/>
      <c r="AKL606"/>
      <c r="AKM606"/>
      <c r="AKN606"/>
      <c r="AKO606"/>
      <c r="AKP606"/>
      <c r="AKQ606"/>
      <c r="AKR606"/>
      <c r="AKS606"/>
      <c r="AKT606"/>
      <c r="AKU606"/>
      <c r="AKV606"/>
      <c r="AKW606"/>
      <c r="AKX606"/>
      <c r="AKY606"/>
      <c r="AKZ606"/>
      <c r="ALA606"/>
      <c r="ALB606"/>
      <c r="ALC606"/>
      <c r="ALD606"/>
      <c r="ALE606"/>
      <c r="ALF606"/>
      <c r="ALG606"/>
      <c r="ALH606"/>
      <c r="ALI606"/>
      <c r="ALJ606"/>
      <c r="ALK606"/>
      <c r="ALL606"/>
      <c r="ALM606"/>
      <c r="ALN606"/>
      <c r="ALO606"/>
      <c r="ALP606"/>
      <c r="ALQ606"/>
      <c r="ALR606"/>
      <c r="ALS606"/>
      <c r="ALT606"/>
      <c r="ALU606"/>
      <c r="ALV606"/>
      <c r="ALW606"/>
      <c r="ALX606"/>
      <c r="ALY606"/>
      <c r="ALZ606"/>
      <c r="AMA606"/>
      <c r="AMB606"/>
      <c r="AMC606"/>
      <c r="AMD606"/>
    </row>
    <row r="607" spans="1:1018">
      <c r="A607" s="545" t="s">
        <v>418</v>
      </c>
      <c r="B607" s="293"/>
      <c r="C607" s="293" t="s">
        <v>355</v>
      </c>
      <c r="D607" s="293"/>
      <c r="E607" s="178">
        <f t="shared" si="61"/>
        <v>26</v>
      </c>
      <c r="F607" s="280" t="s">
        <v>1543</v>
      </c>
      <c r="G607" s="282"/>
      <c r="H607" s="282">
        <v>10</v>
      </c>
      <c r="I607" s="282"/>
      <c r="J607" s="175"/>
      <c r="K607" s="201">
        <v>4834.5</v>
      </c>
      <c r="L607" s="201">
        <v>2105</v>
      </c>
      <c r="M607" s="201"/>
      <c r="N607" s="195">
        <f t="shared" si="60"/>
        <v>6939.5</v>
      </c>
      <c r="O607" s="303">
        <v>13255</v>
      </c>
      <c r="P607" s="304">
        <v>1800</v>
      </c>
      <c r="Q607" s="304">
        <v>300</v>
      </c>
      <c r="R607" s="305" t="s">
        <v>1544</v>
      </c>
      <c r="S607" s="306">
        <f>2000+1620</f>
        <v>3620</v>
      </c>
      <c r="T607" s="306"/>
      <c r="U607" s="585">
        <v>0</v>
      </c>
      <c r="V607" s="591">
        <v>370</v>
      </c>
      <c r="W607" s="291">
        <v>0</v>
      </c>
      <c r="X607" s="291">
        <f>4834.5+2105</f>
        <v>6939.5</v>
      </c>
      <c r="Y607" s="291">
        <f>4834.5+2105</f>
        <v>6939.5</v>
      </c>
      <c r="Z607" s="291">
        <f>4834.5+2105</f>
        <v>6939.5</v>
      </c>
      <c r="AA607" s="291"/>
      <c r="AB607" s="291"/>
      <c r="AC607" s="291"/>
      <c r="AD607" s="291"/>
      <c r="AE607" s="291"/>
      <c r="AF607" s="291"/>
      <c r="AG607" s="291"/>
      <c r="AH607" s="291">
        <v>0</v>
      </c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/>
      <c r="ACY607"/>
      <c r="ACZ607"/>
      <c r="ADA607"/>
      <c r="ADB607"/>
      <c r="ADC607"/>
      <c r="ADD607"/>
      <c r="ADE607"/>
      <c r="ADF607"/>
      <c r="ADG607"/>
      <c r="ADH607"/>
      <c r="ADI607"/>
      <c r="ADJ607"/>
      <c r="ADK607"/>
      <c r="ADL607"/>
      <c r="ADM607"/>
      <c r="ADN607"/>
      <c r="ADO607"/>
      <c r="ADP607"/>
      <c r="ADQ607"/>
      <c r="ADR607"/>
      <c r="ADS607"/>
      <c r="ADT607"/>
      <c r="ADU607"/>
      <c r="ADV607"/>
      <c r="ADW607"/>
      <c r="ADX607"/>
      <c r="ADY607"/>
      <c r="ADZ607"/>
      <c r="AEA607"/>
      <c r="AEB607"/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/>
      <c r="AEU607"/>
      <c r="AEV607"/>
      <c r="AEW607"/>
      <c r="AEX607"/>
      <c r="AEY607"/>
      <c r="AEZ607"/>
      <c r="AFA607"/>
      <c r="AFB607"/>
      <c r="AFC607"/>
      <c r="AFD607"/>
      <c r="AFE607"/>
      <c r="AFF607"/>
      <c r="AFG607"/>
      <c r="AFH607"/>
      <c r="AFI607"/>
      <c r="AFJ607"/>
      <c r="AFK607"/>
      <c r="AFL607"/>
      <c r="AFM607"/>
      <c r="AFN607"/>
      <c r="AFO607"/>
      <c r="AFP607"/>
      <c r="AFQ607"/>
      <c r="AFR607"/>
      <c r="AFS607"/>
      <c r="AFT607"/>
      <c r="AFU607"/>
      <c r="AFV607"/>
      <c r="AFW607"/>
      <c r="AFX607"/>
      <c r="AFY607"/>
      <c r="AFZ607"/>
      <c r="AGA607"/>
      <c r="AGB607"/>
      <c r="AGC607"/>
      <c r="AGD607"/>
      <c r="AGE607"/>
      <c r="AGF607"/>
      <c r="AGG607"/>
      <c r="AGH607"/>
      <c r="AGI607"/>
      <c r="AGJ607"/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/>
      <c r="AJE607"/>
      <c r="AJF607"/>
      <c r="AJG607"/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/>
      <c r="AJZ607"/>
      <c r="AKA607"/>
      <c r="AKB607"/>
      <c r="AKC607"/>
      <c r="AKD607"/>
      <c r="AKE607"/>
      <c r="AKF607"/>
      <c r="AKG607"/>
      <c r="AKH607"/>
      <c r="AKI607"/>
      <c r="AKJ607"/>
      <c r="AKK607"/>
      <c r="AKL607"/>
      <c r="AKM607"/>
      <c r="AKN607"/>
      <c r="AKO607"/>
      <c r="AKP607"/>
      <c r="AKQ607"/>
      <c r="AKR607"/>
      <c r="AKS607"/>
      <c r="AKT607"/>
      <c r="AKU607"/>
      <c r="AKV607"/>
      <c r="AKW607"/>
      <c r="AKX607"/>
      <c r="AKY607"/>
      <c r="AKZ607"/>
      <c r="ALA607"/>
      <c r="ALB607"/>
      <c r="ALC607"/>
      <c r="ALD607"/>
      <c r="ALE607"/>
      <c r="ALF607"/>
      <c r="ALG607"/>
      <c r="ALH607"/>
      <c r="ALI607"/>
      <c r="ALJ607"/>
      <c r="ALK607"/>
      <c r="ALL607"/>
      <c r="ALM607"/>
      <c r="ALN607"/>
      <c r="ALO607"/>
      <c r="ALP607"/>
      <c r="ALQ607"/>
      <c r="ALR607"/>
      <c r="ALS607"/>
      <c r="ALT607"/>
      <c r="ALU607"/>
      <c r="ALV607"/>
      <c r="ALW607"/>
      <c r="ALX607"/>
      <c r="ALY607"/>
      <c r="ALZ607"/>
      <c r="AMA607"/>
      <c r="AMB607"/>
      <c r="AMC607"/>
      <c r="AMD607"/>
    </row>
    <row r="608" spans="1:1018">
      <c r="A608" s="530" t="s">
        <v>419</v>
      </c>
      <c r="B608" s="282"/>
      <c r="C608" s="282" t="s">
        <v>420</v>
      </c>
      <c r="D608" s="282"/>
      <c r="E608" s="178">
        <f t="shared" si="61"/>
        <v>27</v>
      </c>
      <c r="F608" s="277" t="s">
        <v>1545</v>
      </c>
      <c r="G608" s="282"/>
      <c r="H608" s="282">
        <v>10</v>
      </c>
      <c r="I608" s="282"/>
      <c r="J608" s="175"/>
      <c r="K608" s="201">
        <v>4834.5</v>
      </c>
      <c r="L608" s="201">
        <v>1800</v>
      </c>
      <c r="M608" s="201"/>
      <c r="N608" s="195">
        <f t="shared" si="60"/>
        <v>6634.5</v>
      </c>
      <c r="O608" s="303">
        <v>13173</v>
      </c>
      <c r="P608" s="304">
        <v>1800</v>
      </c>
      <c r="Q608" s="304">
        <v>300</v>
      </c>
      <c r="R608" s="305">
        <v>3501</v>
      </c>
      <c r="S608" s="306">
        <v>3620</v>
      </c>
      <c r="T608" s="306"/>
      <c r="U608" s="585">
        <v>0</v>
      </c>
      <c r="V608" s="585">
        <v>0</v>
      </c>
      <c r="W608" s="291">
        <v>0</v>
      </c>
      <c r="X608" s="291">
        <v>6634.5</v>
      </c>
      <c r="Y608" s="291">
        <v>6634.5</v>
      </c>
      <c r="Z608" s="291"/>
      <c r="AA608" s="291"/>
      <c r="AB608" s="291"/>
      <c r="AC608" s="291"/>
      <c r="AD608" s="291"/>
      <c r="AE608" s="291"/>
      <c r="AF608" s="291"/>
      <c r="AG608" s="308"/>
      <c r="AH608" s="291">
        <v>0</v>
      </c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/>
      <c r="AAZ608"/>
      <c r="ABA608"/>
      <c r="ABB608"/>
      <c r="ABC608"/>
      <c r="ABD608"/>
      <c r="ABE608"/>
      <c r="ABF608"/>
      <c r="ABG608"/>
      <c r="ABH608"/>
      <c r="ABI608"/>
      <c r="ABJ608"/>
      <c r="ABK608"/>
      <c r="ABL608"/>
      <c r="ABM608"/>
      <c r="ABN608"/>
      <c r="ABO608"/>
      <c r="ABP608"/>
      <c r="ABQ608"/>
      <c r="ABR608"/>
      <c r="ABS608"/>
      <c r="ABT608"/>
      <c r="ABU608"/>
      <c r="ABV608"/>
      <c r="ABW608"/>
      <c r="ABX608"/>
      <c r="ABY608"/>
      <c r="ABZ608"/>
      <c r="ACA608"/>
      <c r="ACB608"/>
      <c r="ACC608"/>
      <c r="ACD608"/>
      <c r="ACE608"/>
      <c r="ACF608"/>
      <c r="ACG608"/>
      <c r="ACH608"/>
      <c r="ACI608"/>
      <c r="ACJ608"/>
      <c r="ACK608"/>
      <c r="ACL608"/>
      <c r="ACM608"/>
      <c r="ACN608"/>
      <c r="ACO608"/>
      <c r="ACP608"/>
      <c r="ACQ608"/>
      <c r="ACR608"/>
      <c r="ACS608"/>
      <c r="ACT608"/>
      <c r="ACU608"/>
      <c r="ACV608"/>
      <c r="ACW608"/>
      <c r="ACX608"/>
      <c r="ACY608"/>
      <c r="ACZ608"/>
      <c r="ADA608"/>
      <c r="ADB608"/>
      <c r="ADC608"/>
      <c r="ADD608"/>
      <c r="ADE608"/>
      <c r="ADF608"/>
      <c r="ADG608"/>
      <c r="ADH608"/>
      <c r="ADI608"/>
      <c r="ADJ608"/>
      <c r="ADK608"/>
      <c r="ADL608"/>
      <c r="ADM608"/>
      <c r="ADN608"/>
      <c r="ADO608"/>
      <c r="ADP608"/>
      <c r="ADQ608"/>
      <c r="ADR608"/>
      <c r="ADS608"/>
      <c r="ADT608"/>
      <c r="ADU608"/>
      <c r="ADV608"/>
      <c r="ADW608"/>
      <c r="ADX608"/>
      <c r="ADY608"/>
      <c r="ADZ608"/>
      <c r="AEA608"/>
      <c r="AEB608"/>
      <c r="AEC608"/>
      <c r="AED608"/>
      <c r="AEE608"/>
      <c r="AEF608"/>
      <c r="AEG608"/>
      <c r="AEH608"/>
      <c r="AEI608"/>
      <c r="AEJ608"/>
      <c r="AEK608"/>
      <c r="AEL608"/>
      <c r="AEM608"/>
      <c r="AEN608"/>
      <c r="AEO608"/>
      <c r="AEP608"/>
      <c r="AEQ608"/>
      <c r="AER608"/>
      <c r="AES608"/>
      <c r="AET608"/>
      <c r="AEU608"/>
      <c r="AEV608"/>
      <c r="AEW608"/>
      <c r="AEX608"/>
      <c r="AEY608"/>
      <c r="AEZ608"/>
      <c r="AFA608"/>
      <c r="AFB608"/>
      <c r="AFC608"/>
      <c r="AFD608"/>
      <c r="AFE608"/>
      <c r="AFF608"/>
      <c r="AFG608"/>
      <c r="AFH608"/>
      <c r="AFI608"/>
      <c r="AFJ608"/>
      <c r="AFK608"/>
      <c r="AFL608"/>
      <c r="AFM608"/>
      <c r="AFN608"/>
      <c r="AFO608"/>
      <c r="AFP608"/>
      <c r="AFQ608"/>
      <c r="AFR608"/>
      <c r="AFS608"/>
      <c r="AFT608"/>
      <c r="AFU608"/>
      <c r="AFV608"/>
      <c r="AFW608"/>
      <c r="AFX608"/>
      <c r="AFY608"/>
      <c r="AFZ608"/>
      <c r="AGA608"/>
      <c r="AGB608"/>
      <c r="AGC608"/>
      <c r="AGD608"/>
      <c r="AGE608"/>
      <c r="AGF608"/>
      <c r="AGG608"/>
      <c r="AGH608"/>
      <c r="AGI608"/>
      <c r="AGJ608"/>
      <c r="AGK608"/>
      <c r="AGL608"/>
      <c r="AGM608"/>
      <c r="AGN608"/>
      <c r="AGO608"/>
      <c r="AGP608"/>
      <c r="AGQ608"/>
      <c r="AGR608"/>
      <c r="AGS608"/>
      <c r="AGT608"/>
      <c r="AGU608"/>
      <c r="AGV608"/>
      <c r="AGW608"/>
      <c r="AGX608"/>
      <c r="AGY608"/>
      <c r="AGZ608"/>
      <c r="AHA608"/>
      <c r="AHB608"/>
      <c r="AHC608"/>
      <c r="AHD608"/>
      <c r="AHE608"/>
      <c r="AHF608"/>
      <c r="AHG608"/>
      <c r="AHH608"/>
      <c r="AHI608"/>
      <c r="AHJ608"/>
      <c r="AHK608"/>
      <c r="AHL608"/>
      <c r="AHM608"/>
      <c r="AHN608"/>
      <c r="AHO608"/>
      <c r="AHP608"/>
      <c r="AHQ608"/>
      <c r="AHR608"/>
      <c r="AHS608"/>
      <c r="AHT608"/>
      <c r="AHU608"/>
      <c r="AHV608"/>
      <c r="AHW608"/>
      <c r="AHX608"/>
      <c r="AHY608"/>
      <c r="AHZ608"/>
      <c r="AIA608"/>
      <c r="AIB608"/>
      <c r="AIC608"/>
      <c r="AID608"/>
      <c r="AIE608"/>
      <c r="AIF608"/>
      <c r="AIG608"/>
      <c r="AIH608"/>
      <c r="AII608"/>
      <c r="AIJ608"/>
      <c r="AIK608"/>
      <c r="AIL608"/>
      <c r="AIM608"/>
      <c r="AIN608"/>
      <c r="AIO608"/>
      <c r="AIP608"/>
      <c r="AIQ608"/>
      <c r="AIR608"/>
      <c r="AIS608"/>
      <c r="AIT608"/>
      <c r="AIU608"/>
      <c r="AIV608"/>
      <c r="AIW608"/>
      <c r="AIX608"/>
      <c r="AIY608"/>
      <c r="AIZ608"/>
      <c r="AJA608"/>
      <c r="AJB608"/>
      <c r="AJC608"/>
      <c r="AJD608"/>
      <c r="AJE608"/>
      <c r="AJF608"/>
      <c r="AJG608"/>
      <c r="AJH608"/>
      <c r="AJI608"/>
      <c r="AJJ608"/>
      <c r="AJK608"/>
      <c r="AJL608"/>
      <c r="AJM608"/>
      <c r="AJN608"/>
      <c r="AJO608"/>
      <c r="AJP608"/>
      <c r="AJQ608"/>
      <c r="AJR608"/>
      <c r="AJS608"/>
      <c r="AJT608"/>
      <c r="AJU608"/>
      <c r="AJV608"/>
      <c r="AJW608"/>
      <c r="AJX608"/>
      <c r="AJY608"/>
      <c r="AJZ608"/>
      <c r="AKA608"/>
      <c r="AKB608"/>
      <c r="AKC608"/>
      <c r="AKD608"/>
      <c r="AKE608"/>
      <c r="AKF608"/>
      <c r="AKG608"/>
      <c r="AKH608"/>
      <c r="AKI608"/>
      <c r="AKJ608"/>
      <c r="AKK608"/>
      <c r="AKL608"/>
      <c r="AKM608"/>
      <c r="AKN608"/>
      <c r="AKO608"/>
      <c r="AKP608"/>
      <c r="AKQ608"/>
      <c r="AKR608"/>
      <c r="AKS608"/>
      <c r="AKT608"/>
      <c r="AKU608"/>
      <c r="AKV608"/>
      <c r="AKW608"/>
      <c r="AKX608"/>
      <c r="AKY608"/>
      <c r="AKZ608"/>
      <c r="ALA608"/>
      <c r="ALB608"/>
      <c r="ALC608"/>
      <c r="ALD608"/>
      <c r="ALE608"/>
      <c r="ALF608"/>
      <c r="ALG608"/>
      <c r="ALH608"/>
      <c r="ALI608"/>
      <c r="ALJ608"/>
      <c r="ALK608"/>
      <c r="ALL608"/>
      <c r="ALM608"/>
      <c r="ALN608"/>
      <c r="ALO608"/>
      <c r="ALP608"/>
      <c r="ALQ608"/>
      <c r="ALR608"/>
      <c r="ALS608"/>
      <c r="ALT608"/>
      <c r="ALU608"/>
      <c r="ALV608"/>
      <c r="ALW608"/>
      <c r="ALX608"/>
      <c r="ALY608"/>
      <c r="ALZ608"/>
      <c r="AMA608"/>
      <c r="AMB608"/>
      <c r="AMC608"/>
      <c r="AMD608"/>
    </row>
    <row r="609" spans="1:1018">
      <c r="A609" s="282" t="s">
        <v>421</v>
      </c>
      <c r="B609" s="282"/>
      <c r="C609" s="282"/>
      <c r="D609" s="282"/>
      <c r="E609" s="178">
        <f t="shared" si="61"/>
        <v>28</v>
      </c>
      <c r="F609" s="277" t="s">
        <v>1546</v>
      </c>
      <c r="G609" s="282">
        <v>0.1</v>
      </c>
      <c r="H609" s="282">
        <v>10</v>
      </c>
      <c r="I609" s="282"/>
      <c r="J609" s="175"/>
      <c r="K609" s="201">
        <v>4351.05</v>
      </c>
      <c r="L609" s="201">
        <v>375</v>
      </c>
      <c r="M609" s="201"/>
      <c r="N609" s="195">
        <f t="shared" si="60"/>
        <v>4726.05</v>
      </c>
      <c r="O609" s="303">
        <v>13906</v>
      </c>
      <c r="P609" s="304">
        <v>0</v>
      </c>
      <c r="Q609" s="304">
        <v>300</v>
      </c>
      <c r="R609" s="305"/>
      <c r="S609" s="306"/>
      <c r="T609" s="306"/>
      <c r="U609" s="9">
        <v>370</v>
      </c>
      <c r="V609" s="9"/>
      <c r="W609" s="291">
        <v>0</v>
      </c>
      <c r="X609" s="291">
        <v>4351.05</v>
      </c>
      <c r="Y609" s="291">
        <v>4726.05</v>
      </c>
      <c r="Z609" s="291">
        <v>4726.05</v>
      </c>
      <c r="AA609" s="291">
        <v>4351.05</v>
      </c>
      <c r="AB609" s="291" t="s">
        <v>1547</v>
      </c>
      <c r="AC609" s="291"/>
      <c r="AD609" s="291"/>
      <c r="AE609" s="291"/>
      <c r="AF609" s="291"/>
      <c r="AG609" s="291"/>
      <c r="AH609" s="291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  <c r="ZW609"/>
      <c r="ZX609"/>
      <c r="ZY609"/>
      <c r="ZZ609"/>
      <c r="AAA609"/>
      <c r="AAB609"/>
      <c r="AAC609"/>
      <c r="AAD609"/>
      <c r="AAE609"/>
      <c r="AAF609"/>
      <c r="AAG609"/>
      <c r="AAH609"/>
      <c r="AAI609"/>
      <c r="AAJ609"/>
      <c r="AAK609"/>
      <c r="AAL609"/>
      <c r="AAM609"/>
      <c r="AAN609"/>
      <c r="AAO609"/>
      <c r="AAP609"/>
      <c r="AAQ609"/>
      <c r="AAR609"/>
      <c r="AAS609"/>
      <c r="AAT609"/>
      <c r="AAU609"/>
      <c r="AAV609"/>
      <c r="AAW609"/>
      <c r="AAX609"/>
      <c r="AAY609"/>
      <c r="AAZ609"/>
      <c r="ABA609"/>
      <c r="ABB609"/>
      <c r="ABC609"/>
      <c r="ABD609"/>
      <c r="ABE609"/>
      <c r="ABF609"/>
      <c r="ABG609"/>
      <c r="ABH609"/>
      <c r="ABI609"/>
      <c r="ABJ609"/>
      <c r="ABK609"/>
      <c r="ABL609"/>
      <c r="ABM609"/>
      <c r="ABN609"/>
      <c r="ABO609"/>
      <c r="ABP609"/>
      <c r="ABQ609"/>
      <c r="ABR609"/>
      <c r="ABS609"/>
      <c r="ABT609"/>
      <c r="ABU609"/>
      <c r="ABV609"/>
      <c r="ABW609"/>
      <c r="ABX609"/>
      <c r="ABY609"/>
      <c r="ABZ609"/>
      <c r="ACA609"/>
      <c r="ACB609"/>
      <c r="ACC609"/>
      <c r="ACD609"/>
      <c r="ACE609"/>
      <c r="ACF609"/>
      <c r="ACG609"/>
      <c r="ACH609"/>
      <c r="ACI609"/>
      <c r="ACJ609"/>
      <c r="ACK609"/>
      <c r="ACL609"/>
      <c r="ACM609"/>
      <c r="ACN609"/>
      <c r="ACO609"/>
      <c r="ACP609"/>
      <c r="ACQ609"/>
      <c r="ACR609"/>
      <c r="ACS609"/>
      <c r="ACT609"/>
      <c r="ACU609"/>
      <c r="ACV609"/>
      <c r="ACW609"/>
      <c r="ACX609"/>
      <c r="ACY609"/>
      <c r="ACZ609"/>
      <c r="ADA609"/>
      <c r="ADB609"/>
      <c r="ADC609"/>
      <c r="ADD609"/>
      <c r="ADE609"/>
      <c r="ADF609"/>
      <c r="ADG609"/>
      <c r="ADH609"/>
      <c r="ADI609"/>
      <c r="ADJ609"/>
      <c r="ADK609"/>
      <c r="ADL609"/>
      <c r="ADM609"/>
      <c r="ADN609"/>
      <c r="ADO609"/>
      <c r="ADP609"/>
      <c r="ADQ609"/>
      <c r="ADR609"/>
      <c r="ADS609"/>
      <c r="ADT609"/>
      <c r="ADU609"/>
      <c r="ADV609"/>
      <c r="ADW609"/>
      <c r="ADX609"/>
      <c r="ADY609"/>
      <c r="ADZ609"/>
      <c r="AEA609"/>
      <c r="AEB609"/>
      <c r="AEC609"/>
      <c r="AED609"/>
      <c r="AEE609"/>
      <c r="AEF609"/>
      <c r="AEG609"/>
      <c r="AEH609"/>
      <c r="AEI609"/>
      <c r="AEJ609"/>
      <c r="AEK609"/>
      <c r="AEL609"/>
      <c r="AEM609"/>
      <c r="AEN609"/>
      <c r="AEO609"/>
      <c r="AEP609"/>
      <c r="AEQ609"/>
      <c r="AER609"/>
      <c r="AES609"/>
      <c r="AET609"/>
      <c r="AEU609"/>
      <c r="AEV609"/>
      <c r="AEW609"/>
      <c r="AEX609"/>
      <c r="AEY609"/>
      <c r="AEZ609"/>
      <c r="AFA609"/>
      <c r="AFB609"/>
      <c r="AFC609"/>
      <c r="AFD609"/>
      <c r="AFE609"/>
      <c r="AFF609"/>
      <c r="AFG609"/>
      <c r="AFH609"/>
      <c r="AFI609"/>
      <c r="AFJ609"/>
      <c r="AFK609"/>
      <c r="AFL609"/>
      <c r="AFM609"/>
      <c r="AFN609"/>
      <c r="AFO609"/>
      <c r="AFP609"/>
      <c r="AFQ609"/>
      <c r="AFR609"/>
      <c r="AFS609"/>
      <c r="AFT609"/>
      <c r="AFU609"/>
      <c r="AFV609"/>
      <c r="AFW609"/>
      <c r="AFX609"/>
      <c r="AFY609"/>
      <c r="AFZ609"/>
      <c r="AGA609"/>
      <c r="AGB609"/>
      <c r="AGC609"/>
      <c r="AGD609"/>
      <c r="AGE609"/>
      <c r="AGF609"/>
      <c r="AGG609"/>
      <c r="AGH609"/>
      <c r="AGI609"/>
      <c r="AGJ609"/>
      <c r="AGK609"/>
      <c r="AGL609"/>
      <c r="AGM609"/>
      <c r="AGN609"/>
      <c r="AGO609"/>
      <c r="AGP609"/>
      <c r="AGQ609"/>
      <c r="AGR609"/>
      <c r="AGS609"/>
      <c r="AGT609"/>
      <c r="AGU609"/>
      <c r="AGV609"/>
      <c r="AGW609"/>
      <c r="AGX609"/>
      <c r="AGY609"/>
      <c r="AGZ609"/>
      <c r="AHA609"/>
      <c r="AHB609"/>
      <c r="AHC609"/>
      <c r="AHD609"/>
      <c r="AHE609"/>
      <c r="AHF609"/>
      <c r="AHG609"/>
      <c r="AHH609"/>
      <c r="AHI609"/>
      <c r="AHJ609"/>
      <c r="AHK609"/>
      <c r="AHL609"/>
      <c r="AHM609"/>
      <c r="AHN609"/>
      <c r="AHO609"/>
      <c r="AHP609"/>
      <c r="AHQ609"/>
      <c r="AHR609"/>
      <c r="AHS609"/>
      <c r="AHT609"/>
      <c r="AHU609"/>
      <c r="AHV609"/>
      <c r="AHW609"/>
      <c r="AHX609"/>
      <c r="AHY609"/>
      <c r="AHZ609"/>
      <c r="AIA609"/>
      <c r="AIB609"/>
      <c r="AIC609"/>
      <c r="AID609"/>
      <c r="AIE609"/>
      <c r="AIF609"/>
      <c r="AIG609"/>
      <c r="AIH609"/>
      <c r="AII609"/>
      <c r="AIJ609"/>
      <c r="AIK609"/>
      <c r="AIL609"/>
      <c r="AIM609"/>
      <c r="AIN609"/>
      <c r="AIO609"/>
      <c r="AIP609"/>
      <c r="AIQ609"/>
      <c r="AIR609"/>
      <c r="AIS609"/>
      <c r="AIT609"/>
      <c r="AIU609"/>
      <c r="AIV609"/>
      <c r="AIW609"/>
      <c r="AIX609"/>
      <c r="AIY609"/>
      <c r="AIZ609"/>
      <c r="AJA609"/>
      <c r="AJB609"/>
      <c r="AJC609"/>
      <c r="AJD609"/>
      <c r="AJE609"/>
      <c r="AJF609"/>
      <c r="AJG609"/>
      <c r="AJH609"/>
      <c r="AJI609"/>
      <c r="AJJ609"/>
      <c r="AJK609"/>
      <c r="AJL609"/>
      <c r="AJM609"/>
      <c r="AJN609"/>
      <c r="AJO609"/>
      <c r="AJP609"/>
      <c r="AJQ609"/>
      <c r="AJR609"/>
      <c r="AJS609"/>
      <c r="AJT609"/>
      <c r="AJU609"/>
      <c r="AJV609"/>
      <c r="AJW609"/>
      <c r="AJX609"/>
      <c r="AJY609"/>
      <c r="AJZ609"/>
      <c r="AKA609"/>
      <c r="AKB609"/>
      <c r="AKC609"/>
      <c r="AKD609"/>
      <c r="AKE609"/>
      <c r="AKF609"/>
      <c r="AKG609"/>
      <c r="AKH609"/>
      <c r="AKI609"/>
      <c r="AKJ609"/>
      <c r="AKK609"/>
      <c r="AKL609"/>
      <c r="AKM609"/>
      <c r="AKN609"/>
      <c r="AKO609"/>
      <c r="AKP609"/>
      <c r="AKQ609"/>
      <c r="AKR609"/>
      <c r="AKS609"/>
      <c r="AKT609"/>
      <c r="AKU609"/>
      <c r="AKV609"/>
      <c r="AKW609"/>
      <c r="AKX609"/>
      <c r="AKY609"/>
      <c r="AKZ609"/>
      <c r="ALA609"/>
      <c r="ALB609"/>
      <c r="ALC609"/>
      <c r="ALD609"/>
      <c r="ALE609"/>
      <c r="ALF609"/>
      <c r="ALG609"/>
      <c r="ALH609"/>
      <c r="ALI609"/>
      <c r="ALJ609"/>
      <c r="ALK609"/>
      <c r="ALL609"/>
      <c r="ALM609"/>
      <c r="ALN609"/>
      <c r="ALO609"/>
      <c r="ALP609"/>
      <c r="ALQ609"/>
      <c r="ALR609"/>
      <c r="ALS609"/>
      <c r="ALT609"/>
      <c r="ALU609"/>
      <c r="ALV609"/>
      <c r="ALW609"/>
      <c r="ALX609"/>
      <c r="ALY609"/>
      <c r="ALZ609"/>
      <c r="AMA609"/>
      <c r="AMB609"/>
      <c r="AMC609"/>
      <c r="AMD609"/>
    </row>
    <row r="610" spans="1:1018">
      <c r="A610" s="282"/>
      <c r="B610" s="282"/>
      <c r="C610" s="282"/>
      <c r="D610" s="282"/>
      <c r="E610" s="282"/>
      <c r="F610" s="277"/>
      <c r="G610" s="282"/>
      <c r="H610" s="282"/>
      <c r="I610" s="282"/>
      <c r="J610" s="175"/>
      <c r="K610" s="201"/>
      <c r="L610" s="201"/>
      <c r="M610" s="201"/>
      <c r="N610" s="195">
        <f t="shared" ref="N610:N612" si="62">+J610+K610+L610+M610</f>
        <v>0</v>
      </c>
      <c r="O610" s="303"/>
      <c r="P610" s="304"/>
      <c r="Q610" s="304"/>
      <c r="R610" s="305"/>
      <c r="S610" s="306"/>
      <c r="T610" s="306"/>
      <c r="U610" s="9"/>
      <c r="V610" s="9"/>
      <c r="W610" s="291"/>
      <c r="X610" s="291"/>
      <c r="Y610" s="291"/>
      <c r="Z610" s="291"/>
      <c r="AA610" s="291"/>
      <c r="AB610" s="291"/>
      <c r="AC610" s="291"/>
      <c r="AD610" s="291"/>
      <c r="AE610" s="291"/>
      <c r="AF610" s="291"/>
      <c r="AG610" s="291"/>
      <c r="AH610" s="291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  <c r="ZW610"/>
      <c r="ZX610"/>
      <c r="ZY610"/>
      <c r="ZZ610"/>
      <c r="AAA610"/>
      <c r="AAB610"/>
      <c r="AAC610"/>
      <c r="AAD610"/>
      <c r="AAE610"/>
      <c r="AAF610"/>
      <c r="AAG610"/>
      <c r="AAH610"/>
      <c r="AAI610"/>
      <c r="AAJ610"/>
      <c r="AAK610"/>
      <c r="AAL610"/>
      <c r="AAM610"/>
      <c r="AAN610"/>
      <c r="AAO610"/>
      <c r="AAP610"/>
      <c r="AAQ610"/>
      <c r="AAR610"/>
      <c r="AAS610"/>
      <c r="AAT610"/>
      <c r="AAU610"/>
      <c r="AAV610"/>
      <c r="AAW610"/>
      <c r="AAX610"/>
      <c r="AAY610"/>
      <c r="AAZ610"/>
      <c r="ABA610"/>
      <c r="ABB610"/>
      <c r="ABC610"/>
      <c r="ABD610"/>
      <c r="ABE610"/>
      <c r="ABF610"/>
      <c r="ABG610"/>
      <c r="ABH610"/>
      <c r="ABI610"/>
      <c r="ABJ610"/>
      <c r="ABK610"/>
      <c r="ABL610"/>
      <c r="ABM610"/>
      <c r="ABN610"/>
      <c r="ABO610"/>
      <c r="ABP610"/>
      <c r="ABQ610"/>
      <c r="ABR610"/>
      <c r="ABS610"/>
      <c r="ABT610"/>
      <c r="ABU610"/>
      <c r="ABV610"/>
      <c r="ABW610"/>
      <c r="ABX610"/>
      <c r="ABY610"/>
      <c r="ABZ610"/>
      <c r="ACA610"/>
      <c r="ACB610"/>
      <c r="ACC610"/>
      <c r="ACD610"/>
      <c r="ACE610"/>
      <c r="ACF610"/>
      <c r="ACG610"/>
      <c r="ACH610"/>
      <c r="ACI610"/>
      <c r="ACJ610"/>
      <c r="ACK610"/>
      <c r="ACL610"/>
      <c r="ACM610"/>
      <c r="ACN610"/>
      <c r="ACO610"/>
      <c r="ACP610"/>
      <c r="ACQ610"/>
      <c r="ACR610"/>
      <c r="ACS610"/>
      <c r="ACT610"/>
      <c r="ACU610"/>
      <c r="ACV610"/>
      <c r="ACW610"/>
      <c r="ACX610"/>
      <c r="ACY610"/>
      <c r="ACZ610"/>
      <c r="ADA610"/>
      <c r="ADB610"/>
      <c r="ADC610"/>
      <c r="ADD610"/>
      <c r="ADE610"/>
      <c r="ADF610"/>
      <c r="ADG610"/>
      <c r="ADH610"/>
      <c r="ADI610"/>
      <c r="ADJ610"/>
      <c r="ADK610"/>
      <c r="ADL610"/>
      <c r="ADM610"/>
      <c r="ADN610"/>
      <c r="ADO610"/>
      <c r="ADP610"/>
      <c r="ADQ610"/>
      <c r="ADR610"/>
      <c r="ADS610"/>
      <c r="ADT610"/>
      <c r="ADU610"/>
      <c r="ADV610"/>
      <c r="ADW610"/>
      <c r="ADX610"/>
      <c r="ADY610"/>
      <c r="ADZ610"/>
      <c r="AEA610"/>
      <c r="AEB610"/>
      <c r="AEC610"/>
      <c r="AED610"/>
      <c r="AEE610"/>
      <c r="AEF610"/>
      <c r="AEG610"/>
      <c r="AEH610"/>
      <c r="AEI610"/>
      <c r="AEJ610"/>
      <c r="AEK610"/>
      <c r="AEL610"/>
      <c r="AEM610"/>
      <c r="AEN610"/>
      <c r="AEO610"/>
      <c r="AEP610"/>
      <c r="AEQ610"/>
      <c r="AER610"/>
      <c r="AES610"/>
      <c r="AET610"/>
      <c r="AEU610"/>
      <c r="AEV610"/>
      <c r="AEW610"/>
      <c r="AEX610"/>
      <c r="AEY610"/>
      <c r="AEZ610"/>
      <c r="AFA610"/>
      <c r="AFB610"/>
      <c r="AFC610"/>
      <c r="AFD610"/>
      <c r="AFE610"/>
      <c r="AFF610"/>
      <c r="AFG610"/>
      <c r="AFH610"/>
      <c r="AFI610"/>
      <c r="AFJ610"/>
      <c r="AFK610"/>
      <c r="AFL610"/>
      <c r="AFM610"/>
      <c r="AFN610"/>
      <c r="AFO610"/>
      <c r="AFP610"/>
      <c r="AFQ610"/>
      <c r="AFR610"/>
      <c r="AFS610"/>
      <c r="AFT610"/>
      <c r="AFU610"/>
      <c r="AFV610"/>
      <c r="AFW610"/>
      <c r="AFX610"/>
      <c r="AFY610"/>
      <c r="AFZ610"/>
      <c r="AGA610"/>
      <c r="AGB610"/>
      <c r="AGC610"/>
      <c r="AGD610"/>
      <c r="AGE610"/>
      <c r="AGF610"/>
      <c r="AGG610"/>
      <c r="AGH610"/>
      <c r="AGI610"/>
      <c r="AGJ610"/>
      <c r="AGK610"/>
      <c r="AGL610"/>
      <c r="AGM610"/>
      <c r="AGN610"/>
      <c r="AGO610"/>
      <c r="AGP610"/>
      <c r="AGQ610"/>
      <c r="AGR610"/>
      <c r="AGS610"/>
      <c r="AGT610"/>
      <c r="AGU610"/>
      <c r="AGV610"/>
      <c r="AGW610"/>
      <c r="AGX610"/>
      <c r="AGY610"/>
      <c r="AGZ610"/>
      <c r="AHA610"/>
      <c r="AHB610"/>
      <c r="AHC610"/>
      <c r="AHD610"/>
      <c r="AHE610"/>
      <c r="AHF610"/>
      <c r="AHG610"/>
      <c r="AHH610"/>
      <c r="AHI610"/>
      <c r="AHJ610"/>
      <c r="AHK610"/>
      <c r="AHL610"/>
      <c r="AHM610"/>
      <c r="AHN610"/>
      <c r="AHO610"/>
      <c r="AHP610"/>
      <c r="AHQ610"/>
      <c r="AHR610"/>
      <c r="AHS610"/>
      <c r="AHT610"/>
      <c r="AHU610"/>
      <c r="AHV610"/>
      <c r="AHW610"/>
      <c r="AHX610"/>
      <c r="AHY610"/>
      <c r="AHZ610"/>
      <c r="AIA610"/>
      <c r="AIB610"/>
      <c r="AIC610"/>
      <c r="AID610"/>
      <c r="AIE610"/>
      <c r="AIF610"/>
      <c r="AIG610"/>
      <c r="AIH610"/>
      <c r="AII610"/>
      <c r="AIJ610"/>
      <c r="AIK610"/>
      <c r="AIL610"/>
      <c r="AIM610"/>
      <c r="AIN610"/>
      <c r="AIO610"/>
      <c r="AIP610"/>
      <c r="AIQ610"/>
      <c r="AIR610"/>
      <c r="AIS610"/>
      <c r="AIT610"/>
      <c r="AIU610"/>
      <c r="AIV610"/>
      <c r="AIW610"/>
      <c r="AIX610"/>
      <c r="AIY610"/>
      <c r="AIZ610"/>
      <c r="AJA610"/>
      <c r="AJB610"/>
      <c r="AJC610"/>
      <c r="AJD610"/>
      <c r="AJE610"/>
      <c r="AJF610"/>
      <c r="AJG610"/>
      <c r="AJH610"/>
      <c r="AJI610"/>
      <c r="AJJ610"/>
      <c r="AJK610"/>
      <c r="AJL610"/>
      <c r="AJM610"/>
      <c r="AJN610"/>
      <c r="AJO610"/>
      <c r="AJP610"/>
      <c r="AJQ610"/>
      <c r="AJR610"/>
      <c r="AJS610"/>
      <c r="AJT610"/>
      <c r="AJU610"/>
      <c r="AJV610"/>
      <c r="AJW610"/>
      <c r="AJX610"/>
      <c r="AJY610"/>
      <c r="AJZ610"/>
      <c r="AKA610"/>
      <c r="AKB610"/>
      <c r="AKC610"/>
      <c r="AKD610"/>
      <c r="AKE610"/>
      <c r="AKF610"/>
      <c r="AKG610"/>
      <c r="AKH610"/>
      <c r="AKI610"/>
      <c r="AKJ610"/>
      <c r="AKK610"/>
      <c r="AKL610"/>
      <c r="AKM610"/>
      <c r="AKN610"/>
      <c r="AKO610"/>
      <c r="AKP610"/>
      <c r="AKQ610"/>
      <c r="AKR610"/>
      <c r="AKS610"/>
      <c r="AKT610"/>
      <c r="AKU610"/>
      <c r="AKV610"/>
      <c r="AKW610"/>
      <c r="AKX610"/>
      <c r="AKY610"/>
      <c r="AKZ610"/>
      <c r="ALA610"/>
      <c r="ALB610"/>
      <c r="ALC610"/>
      <c r="ALD610"/>
      <c r="ALE610"/>
      <c r="ALF610"/>
      <c r="ALG610"/>
      <c r="ALH610"/>
      <c r="ALI610"/>
      <c r="ALJ610"/>
      <c r="ALK610"/>
      <c r="ALL610"/>
      <c r="ALM610"/>
      <c r="ALN610"/>
      <c r="ALO610"/>
      <c r="ALP610"/>
      <c r="ALQ610"/>
      <c r="ALR610"/>
      <c r="ALS610"/>
      <c r="ALT610"/>
      <c r="ALU610"/>
      <c r="ALV610"/>
      <c r="ALW610"/>
      <c r="ALX610"/>
      <c r="ALY610"/>
      <c r="ALZ610"/>
      <c r="AMA610"/>
      <c r="AMB610"/>
      <c r="AMC610"/>
      <c r="AMD610"/>
    </row>
    <row r="611" spans="1:1018">
      <c r="A611" s="282"/>
      <c r="B611" s="282"/>
      <c r="C611" s="282"/>
      <c r="D611" s="282"/>
      <c r="E611" s="282"/>
      <c r="F611" s="277"/>
      <c r="G611" s="282"/>
      <c r="H611" s="282"/>
      <c r="I611" s="282"/>
      <c r="J611" s="175"/>
      <c r="K611" s="201"/>
      <c r="L611" s="201"/>
      <c r="M611" s="201"/>
      <c r="N611" s="195">
        <f t="shared" si="62"/>
        <v>0</v>
      </c>
      <c r="O611" s="303"/>
      <c r="P611" s="304"/>
      <c r="Q611" s="304"/>
      <c r="R611" s="305"/>
      <c r="S611" s="306"/>
      <c r="T611" s="306"/>
      <c r="U611" s="9"/>
      <c r="V611" s="9"/>
      <c r="W611" s="291"/>
      <c r="X611" s="291"/>
      <c r="Y611" s="291"/>
      <c r="Z611" s="291"/>
      <c r="AA611" s="291"/>
      <c r="AB611" s="291"/>
      <c r="AC611" s="291"/>
      <c r="AD611" s="291"/>
      <c r="AE611" s="291"/>
      <c r="AF611" s="291"/>
      <c r="AG611" s="291"/>
      <c r="AH611" s="29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  <c r="ZW611"/>
      <c r="ZX611"/>
      <c r="ZY611"/>
      <c r="ZZ611"/>
      <c r="AAA611"/>
      <c r="AAB611"/>
      <c r="AAC611"/>
      <c r="AAD611"/>
      <c r="AAE611"/>
      <c r="AAF611"/>
      <c r="AAG611"/>
      <c r="AAH611"/>
      <c r="AAI611"/>
      <c r="AAJ611"/>
      <c r="AAK611"/>
      <c r="AAL611"/>
      <c r="AAM611"/>
      <c r="AAN611"/>
      <c r="AAO611"/>
      <c r="AAP611"/>
      <c r="AAQ611"/>
      <c r="AAR611"/>
      <c r="AAS611"/>
      <c r="AAT611"/>
      <c r="AAU611"/>
      <c r="AAV611"/>
      <c r="AAW611"/>
      <c r="AAX611"/>
      <c r="AAY611"/>
      <c r="AAZ611"/>
      <c r="ABA611"/>
      <c r="ABB611"/>
      <c r="ABC611"/>
      <c r="ABD611"/>
      <c r="ABE611"/>
      <c r="ABF611"/>
      <c r="ABG611"/>
      <c r="ABH611"/>
      <c r="ABI611"/>
      <c r="ABJ611"/>
      <c r="ABK611"/>
      <c r="ABL611"/>
      <c r="ABM611"/>
      <c r="ABN611"/>
      <c r="ABO611"/>
      <c r="ABP611"/>
      <c r="ABQ611"/>
      <c r="ABR611"/>
      <c r="ABS611"/>
      <c r="ABT611"/>
      <c r="ABU611"/>
      <c r="ABV611"/>
      <c r="ABW611"/>
      <c r="ABX611"/>
      <c r="ABY611"/>
      <c r="ABZ611"/>
      <c r="ACA611"/>
      <c r="ACB611"/>
      <c r="ACC611"/>
      <c r="ACD611"/>
      <c r="ACE611"/>
      <c r="ACF611"/>
      <c r="ACG611"/>
      <c r="ACH611"/>
      <c r="ACI611"/>
      <c r="ACJ611"/>
      <c r="ACK611"/>
      <c r="ACL611"/>
      <c r="ACM611"/>
      <c r="ACN611"/>
      <c r="ACO611"/>
      <c r="ACP611"/>
      <c r="ACQ611"/>
      <c r="ACR611"/>
      <c r="ACS611"/>
      <c r="ACT611"/>
      <c r="ACU611"/>
      <c r="ACV611"/>
      <c r="ACW611"/>
      <c r="ACX611"/>
      <c r="ACY611"/>
      <c r="ACZ611"/>
      <c r="ADA611"/>
      <c r="ADB611"/>
      <c r="ADC611"/>
      <c r="ADD611"/>
      <c r="ADE611"/>
      <c r="ADF611"/>
      <c r="ADG611"/>
      <c r="ADH611"/>
      <c r="ADI611"/>
      <c r="ADJ611"/>
      <c r="ADK611"/>
      <c r="ADL611"/>
      <c r="ADM611"/>
      <c r="ADN611"/>
      <c r="ADO611"/>
      <c r="ADP611"/>
      <c r="ADQ611"/>
      <c r="ADR611"/>
      <c r="ADS611"/>
      <c r="ADT611"/>
      <c r="ADU611"/>
      <c r="ADV611"/>
      <c r="ADW611"/>
      <c r="ADX611"/>
      <c r="ADY611"/>
      <c r="ADZ611"/>
      <c r="AEA611"/>
      <c r="AEB611"/>
      <c r="AEC611"/>
      <c r="AED611"/>
      <c r="AEE611"/>
      <c r="AEF611"/>
      <c r="AEG611"/>
      <c r="AEH611"/>
      <c r="AEI611"/>
      <c r="AEJ611"/>
      <c r="AEK611"/>
      <c r="AEL611"/>
      <c r="AEM611"/>
      <c r="AEN611"/>
      <c r="AEO611"/>
      <c r="AEP611"/>
      <c r="AEQ611"/>
      <c r="AER611"/>
      <c r="AES611"/>
      <c r="AET611"/>
      <c r="AEU611"/>
      <c r="AEV611"/>
      <c r="AEW611"/>
      <c r="AEX611"/>
      <c r="AEY611"/>
      <c r="AEZ611"/>
      <c r="AFA611"/>
      <c r="AFB611"/>
      <c r="AFC611"/>
      <c r="AFD611"/>
      <c r="AFE611"/>
      <c r="AFF611"/>
      <c r="AFG611"/>
      <c r="AFH611"/>
      <c r="AFI611"/>
      <c r="AFJ611"/>
      <c r="AFK611"/>
      <c r="AFL611"/>
      <c r="AFM611"/>
      <c r="AFN611"/>
      <c r="AFO611"/>
      <c r="AFP611"/>
      <c r="AFQ611"/>
      <c r="AFR611"/>
      <c r="AFS611"/>
      <c r="AFT611"/>
      <c r="AFU611"/>
      <c r="AFV611"/>
      <c r="AFW611"/>
      <c r="AFX611"/>
      <c r="AFY611"/>
      <c r="AFZ611"/>
      <c r="AGA611"/>
      <c r="AGB611"/>
      <c r="AGC611"/>
      <c r="AGD611"/>
      <c r="AGE611"/>
      <c r="AGF611"/>
      <c r="AGG611"/>
      <c r="AGH611"/>
      <c r="AGI611"/>
      <c r="AGJ611"/>
      <c r="AGK611"/>
      <c r="AGL611"/>
      <c r="AGM611"/>
      <c r="AGN611"/>
      <c r="AGO611"/>
      <c r="AGP611"/>
      <c r="AGQ611"/>
      <c r="AGR611"/>
      <c r="AGS611"/>
      <c r="AGT611"/>
      <c r="AGU611"/>
      <c r="AGV611"/>
      <c r="AGW611"/>
      <c r="AGX611"/>
      <c r="AGY611"/>
      <c r="AGZ611"/>
      <c r="AHA611"/>
      <c r="AHB611"/>
      <c r="AHC611"/>
      <c r="AHD611"/>
      <c r="AHE611"/>
      <c r="AHF611"/>
      <c r="AHG611"/>
      <c r="AHH611"/>
      <c r="AHI611"/>
      <c r="AHJ611"/>
      <c r="AHK611"/>
      <c r="AHL611"/>
      <c r="AHM611"/>
      <c r="AHN611"/>
      <c r="AHO611"/>
      <c r="AHP611"/>
      <c r="AHQ611"/>
      <c r="AHR611"/>
      <c r="AHS611"/>
      <c r="AHT611"/>
      <c r="AHU611"/>
      <c r="AHV611"/>
      <c r="AHW611"/>
      <c r="AHX611"/>
      <c r="AHY611"/>
      <c r="AHZ611"/>
      <c r="AIA611"/>
      <c r="AIB611"/>
      <c r="AIC611"/>
      <c r="AID611"/>
      <c r="AIE611"/>
      <c r="AIF611"/>
      <c r="AIG611"/>
      <c r="AIH611"/>
      <c r="AII611"/>
      <c r="AIJ611"/>
      <c r="AIK611"/>
      <c r="AIL611"/>
      <c r="AIM611"/>
      <c r="AIN611"/>
      <c r="AIO611"/>
      <c r="AIP611"/>
      <c r="AIQ611"/>
      <c r="AIR611"/>
      <c r="AIS611"/>
      <c r="AIT611"/>
      <c r="AIU611"/>
      <c r="AIV611"/>
      <c r="AIW611"/>
      <c r="AIX611"/>
      <c r="AIY611"/>
      <c r="AIZ611"/>
      <c r="AJA611"/>
      <c r="AJB611"/>
      <c r="AJC611"/>
      <c r="AJD611"/>
      <c r="AJE611"/>
      <c r="AJF611"/>
      <c r="AJG611"/>
      <c r="AJH611"/>
      <c r="AJI611"/>
      <c r="AJJ611"/>
      <c r="AJK611"/>
      <c r="AJL611"/>
      <c r="AJM611"/>
      <c r="AJN611"/>
      <c r="AJO611"/>
      <c r="AJP611"/>
      <c r="AJQ611"/>
      <c r="AJR611"/>
      <c r="AJS611"/>
      <c r="AJT611"/>
      <c r="AJU611"/>
      <c r="AJV611"/>
      <c r="AJW611"/>
      <c r="AJX611"/>
      <c r="AJY611"/>
      <c r="AJZ611"/>
      <c r="AKA611"/>
      <c r="AKB611"/>
      <c r="AKC611"/>
      <c r="AKD611"/>
      <c r="AKE611"/>
      <c r="AKF611"/>
      <c r="AKG611"/>
      <c r="AKH611"/>
      <c r="AKI611"/>
      <c r="AKJ611"/>
      <c r="AKK611"/>
      <c r="AKL611"/>
      <c r="AKM611"/>
      <c r="AKN611"/>
      <c r="AKO611"/>
      <c r="AKP611"/>
      <c r="AKQ611"/>
      <c r="AKR611"/>
      <c r="AKS611"/>
      <c r="AKT611"/>
      <c r="AKU611"/>
      <c r="AKV611"/>
      <c r="AKW611"/>
      <c r="AKX611"/>
      <c r="AKY611"/>
      <c r="AKZ611"/>
      <c r="ALA611"/>
      <c r="ALB611"/>
      <c r="ALC611"/>
      <c r="ALD611"/>
      <c r="ALE611"/>
      <c r="ALF611"/>
      <c r="ALG611"/>
      <c r="ALH611"/>
      <c r="ALI611"/>
      <c r="ALJ611"/>
      <c r="ALK611"/>
      <c r="ALL611"/>
      <c r="ALM611"/>
      <c r="ALN611"/>
      <c r="ALO611"/>
      <c r="ALP611"/>
      <c r="ALQ611"/>
      <c r="ALR611"/>
      <c r="ALS611"/>
      <c r="ALT611"/>
      <c r="ALU611"/>
      <c r="ALV611"/>
      <c r="ALW611"/>
      <c r="ALX611"/>
      <c r="ALY611"/>
      <c r="ALZ611"/>
      <c r="AMA611"/>
      <c r="AMB611"/>
      <c r="AMC611"/>
      <c r="AMD611"/>
    </row>
    <row r="612" spans="1:1018">
      <c r="A612" s="282"/>
      <c r="B612" s="282"/>
      <c r="C612" s="282"/>
      <c r="D612" s="282"/>
      <c r="E612" s="282"/>
      <c r="F612" s="277"/>
      <c r="G612" s="282"/>
      <c r="H612" s="282"/>
      <c r="I612" s="282"/>
      <c r="J612" s="282"/>
      <c r="K612" s="407"/>
      <c r="L612" s="407"/>
      <c r="M612" s="407"/>
      <c r="N612" s="195">
        <f t="shared" si="62"/>
        <v>0</v>
      </c>
      <c r="O612" s="303"/>
      <c r="P612" s="21"/>
      <c r="Q612" s="21"/>
      <c r="R612" s="329"/>
      <c r="S612" s="306">
        <f>SUM(S2:S605)</f>
        <v>2433628</v>
      </c>
      <c r="T612" s="330"/>
      <c r="U612" s="560">
        <f>SUM(U3:U611)</f>
        <v>136165.87</v>
      </c>
      <c r="V612" s="6"/>
      <c r="W612" s="291"/>
      <c r="X612" s="291"/>
      <c r="Y612" s="291"/>
      <c r="Z612" s="291"/>
      <c r="AA612" s="291"/>
      <c r="AB612" s="291"/>
      <c r="AC612" s="291"/>
      <c r="AD612" s="291"/>
      <c r="AE612" s="291"/>
      <c r="AF612" s="291"/>
      <c r="AG612" s="291"/>
      <c r="AH612" s="291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  <c r="ZW612"/>
      <c r="ZX612"/>
      <c r="ZY612"/>
      <c r="ZZ612"/>
      <c r="AAA612"/>
      <c r="AAB612"/>
      <c r="AAC612"/>
      <c r="AAD612"/>
      <c r="AAE612"/>
      <c r="AAF612"/>
      <c r="AAG612"/>
      <c r="AAH612"/>
      <c r="AAI612"/>
      <c r="AAJ612"/>
      <c r="AAK612"/>
      <c r="AAL612"/>
      <c r="AAM612"/>
      <c r="AAN612"/>
      <c r="AAO612"/>
      <c r="AAP612"/>
      <c r="AAQ612"/>
      <c r="AAR612"/>
      <c r="AAS612"/>
      <c r="AAT612"/>
      <c r="AAU612"/>
      <c r="AAV612"/>
      <c r="AAW612"/>
      <c r="AAX612"/>
      <c r="AAY612"/>
      <c r="AAZ612"/>
      <c r="ABA612"/>
      <c r="ABB612"/>
      <c r="ABC612"/>
      <c r="ABD612"/>
      <c r="ABE612"/>
      <c r="ABF612"/>
      <c r="ABG612"/>
      <c r="ABH612"/>
      <c r="ABI612"/>
      <c r="ABJ612"/>
      <c r="ABK612"/>
      <c r="ABL612"/>
      <c r="ABM612"/>
      <c r="ABN612"/>
      <c r="ABO612"/>
      <c r="ABP612"/>
      <c r="ABQ612"/>
      <c r="ABR612"/>
      <c r="ABS612"/>
      <c r="ABT612"/>
      <c r="ABU612"/>
      <c r="ABV612"/>
      <c r="ABW612"/>
      <c r="ABX612"/>
      <c r="ABY612"/>
      <c r="ABZ612"/>
      <c r="ACA612"/>
      <c r="ACB612"/>
      <c r="ACC612"/>
      <c r="ACD612"/>
      <c r="ACE612"/>
      <c r="ACF612"/>
      <c r="ACG612"/>
      <c r="ACH612"/>
      <c r="ACI612"/>
      <c r="ACJ612"/>
      <c r="ACK612"/>
      <c r="ACL612"/>
      <c r="ACM612"/>
      <c r="ACN612"/>
      <c r="ACO612"/>
      <c r="ACP612"/>
      <c r="ACQ612"/>
      <c r="ACR612"/>
      <c r="ACS612"/>
      <c r="ACT612"/>
      <c r="ACU612"/>
      <c r="ACV612"/>
      <c r="ACW612"/>
      <c r="ACX612"/>
      <c r="ACY612"/>
      <c r="ACZ612"/>
      <c r="ADA612"/>
      <c r="ADB612"/>
      <c r="ADC612"/>
      <c r="ADD612"/>
      <c r="ADE612"/>
      <c r="ADF612"/>
      <c r="ADG612"/>
      <c r="ADH612"/>
      <c r="ADI612"/>
      <c r="ADJ612"/>
      <c r="ADK612"/>
      <c r="ADL612"/>
      <c r="ADM612"/>
      <c r="ADN612"/>
      <c r="ADO612"/>
      <c r="ADP612"/>
      <c r="ADQ612"/>
      <c r="ADR612"/>
      <c r="ADS612"/>
      <c r="ADT612"/>
      <c r="ADU612"/>
      <c r="ADV612"/>
      <c r="ADW612"/>
      <c r="ADX612"/>
      <c r="ADY612"/>
      <c r="ADZ612"/>
      <c r="AEA612"/>
      <c r="AEB612"/>
      <c r="AEC612"/>
      <c r="AED612"/>
      <c r="AEE612"/>
      <c r="AEF612"/>
      <c r="AEG612"/>
      <c r="AEH612"/>
      <c r="AEI612"/>
      <c r="AEJ612"/>
      <c r="AEK612"/>
      <c r="AEL612"/>
      <c r="AEM612"/>
      <c r="AEN612"/>
      <c r="AEO612"/>
      <c r="AEP612"/>
      <c r="AEQ612"/>
      <c r="AER612"/>
      <c r="AES612"/>
      <c r="AET612"/>
      <c r="AEU612"/>
      <c r="AEV612"/>
      <c r="AEW612"/>
      <c r="AEX612"/>
      <c r="AEY612"/>
      <c r="AEZ612"/>
      <c r="AFA612"/>
      <c r="AFB612"/>
      <c r="AFC612"/>
      <c r="AFD612"/>
      <c r="AFE612"/>
      <c r="AFF612"/>
      <c r="AFG612"/>
      <c r="AFH612"/>
      <c r="AFI612"/>
      <c r="AFJ612"/>
      <c r="AFK612"/>
      <c r="AFL612"/>
      <c r="AFM612"/>
      <c r="AFN612"/>
      <c r="AFO612"/>
      <c r="AFP612"/>
      <c r="AFQ612"/>
      <c r="AFR612"/>
      <c r="AFS612"/>
      <c r="AFT612"/>
      <c r="AFU612"/>
      <c r="AFV612"/>
      <c r="AFW612"/>
      <c r="AFX612"/>
      <c r="AFY612"/>
      <c r="AFZ612"/>
      <c r="AGA612"/>
      <c r="AGB612"/>
      <c r="AGC612"/>
      <c r="AGD612"/>
      <c r="AGE612"/>
      <c r="AGF612"/>
      <c r="AGG612"/>
      <c r="AGH612"/>
      <c r="AGI612"/>
      <c r="AGJ612"/>
      <c r="AGK612"/>
      <c r="AGL612"/>
      <c r="AGM612"/>
      <c r="AGN612"/>
      <c r="AGO612"/>
      <c r="AGP612"/>
      <c r="AGQ612"/>
      <c r="AGR612"/>
      <c r="AGS612"/>
      <c r="AGT612"/>
      <c r="AGU612"/>
      <c r="AGV612"/>
      <c r="AGW612"/>
      <c r="AGX612"/>
      <c r="AGY612"/>
      <c r="AGZ612"/>
      <c r="AHA612"/>
      <c r="AHB612"/>
      <c r="AHC612"/>
      <c r="AHD612"/>
      <c r="AHE612"/>
      <c r="AHF612"/>
      <c r="AHG612"/>
      <c r="AHH612"/>
      <c r="AHI612"/>
      <c r="AHJ612"/>
      <c r="AHK612"/>
      <c r="AHL612"/>
      <c r="AHM612"/>
      <c r="AHN612"/>
      <c r="AHO612"/>
      <c r="AHP612"/>
      <c r="AHQ612"/>
      <c r="AHR612"/>
      <c r="AHS612"/>
      <c r="AHT612"/>
      <c r="AHU612"/>
      <c r="AHV612"/>
      <c r="AHW612"/>
      <c r="AHX612"/>
      <c r="AHY612"/>
      <c r="AHZ612"/>
      <c r="AIA612"/>
      <c r="AIB612"/>
      <c r="AIC612"/>
      <c r="AID612"/>
      <c r="AIE612"/>
      <c r="AIF612"/>
      <c r="AIG612"/>
      <c r="AIH612"/>
      <c r="AII612"/>
      <c r="AIJ612"/>
      <c r="AIK612"/>
      <c r="AIL612"/>
      <c r="AIM612"/>
      <c r="AIN612"/>
      <c r="AIO612"/>
      <c r="AIP612"/>
      <c r="AIQ612"/>
      <c r="AIR612"/>
      <c r="AIS612"/>
      <c r="AIT612"/>
      <c r="AIU612"/>
      <c r="AIV612"/>
      <c r="AIW612"/>
      <c r="AIX612"/>
      <c r="AIY612"/>
      <c r="AIZ612"/>
      <c r="AJA612"/>
      <c r="AJB612"/>
      <c r="AJC612"/>
      <c r="AJD612"/>
      <c r="AJE612"/>
      <c r="AJF612"/>
      <c r="AJG612"/>
      <c r="AJH612"/>
      <c r="AJI612"/>
      <c r="AJJ612"/>
      <c r="AJK612"/>
      <c r="AJL612"/>
      <c r="AJM612"/>
      <c r="AJN612"/>
      <c r="AJO612"/>
      <c r="AJP612"/>
      <c r="AJQ612"/>
      <c r="AJR612"/>
      <c r="AJS612"/>
      <c r="AJT612"/>
      <c r="AJU612"/>
      <c r="AJV612"/>
      <c r="AJW612"/>
      <c r="AJX612"/>
      <c r="AJY612"/>
      <c r="AJZ612"/>
      <c r="AKA612"/>
      <c r="AKB612"/>
      <c r="AKC612"/>
      <c r="AKD612"/>
      <c r="AKE612"/>
      <c r="AKF612"/>
      <c r="AKG612"/>
      <c r="AKH612"/>
      <c r="AKI612"/>
      <c r="AKJ612"/>
      <c r="AKK612"/>
      <c r="AKL612"/>
      <c r="AKM612"/>
      <c r="AKN612"/>
      <c r="AKO612"/>
      <c r="AKP612"/>
      <c r="AKQ612"/>
      <c r="AKR612"/>
      <c r="AKS612"/>
      <c r="AKT612"/>
      <c r="AKU612"/>
      <c r="AKV612"/>
      <c r="AKW612"/>
      <c r="AKX612"/>
      <c r="AKY612"/>
      <c r="AKZ612"/>
      <c r="ALA612"/>
      <c r="ALB612"/>
      <c r="ALC612"/>
      <c r="ALD612"/>
      <c r="ALE612"/>
      <c r="ALF612"/>
      <c r="ALG612"/>
      <c r="ALH612"/>
      <c r="ALI612"/>
      <c r="ALJ612"/>
      <c r="ALK612"/>
      <c r="ALL612"/>
      <c r="ALM612"/>
      <c r="ALN612"/>
      <c r="ALO612"/>
      <c r="ALP612"/>
      <c r="ALQ612"/>
      <c r="ALR612"/>
      <c r="ALS612"/>
      <c r="ALT612"/>
      <c r="ALU612"/>
      <c r="ALV612"/>
      <c r="ALW612"/>
      <c r="ALX612"/>
      <c r="ALY612"/>
      <c r="ALZ612"/>
      <c r="AMA612"/>
      <c r="AMB612"/>
      <c r="AMC612"/>
      <c r="AMD612"/>
    </row>
    <row r="613" spans="1:1018">
      <c r="J613" s="413"/>
      <c r="K613" s="375"/>
      <c r="L613" s="375"/>
      <c r="M613" s="375"/>
      <c r="N613" s="222"/>
      <c r="O613" s="426"/>
      <c r="P613" s="13"/>
      <c r="Q613" s="13"/>
      <c r="R613" s="431"/>
      <c r="S613" s="13"/>
      <c r="T613" s="13"/>
      <c r="U613" s="429"/>
      <c r="V613" s="429"/>
      <c r="W613" s="430"/>
      <c r="X613" s="430"/>
      <c r="Y613" s="430"/>
      <c r="Z613" s="430"/>
      <c r="AA613" s="430"/>
      <c r="AB613" s="430"/>
      <c r="AC613" s="430"/>
      <c r="AD613" s="430"/>
      <c r="AE613" s="430"/>
      <c r="AF613" s="430"/>
      <c r="AG613" s="430"/>
      <c r="AH613" s="430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  <c r="ZW613"/>
      <c r="ZX613"/>
      <c r="ZY613"/>
      <c r="ZZ613"/>
      <c r="AAA613"/>
      <c r="AAB613"/>
      <c r="AAC613"/>
      <c r="AAD613"/>
      <c r="AAE613"/>
      <c r="AAF613"/>
      <c r="AAG613"/>
      <c r="AAH613"/>
      <c r="AAI613"/>
      <c r="AAJ613"/>
      <c r="AAK613"/>
      <c r="AAL613"/>
      <c r="AAM613"/>
      <c r="AAN613"/>
      <c r="AAO613"/>
      <c r="AAP613"/>
      <c r="AAQ613"/>
      <c r="AAR613"/>
      <c r="AAS613"/>
      <c r="AAT613"/>
      <c r="AAU613"/>
      <c r="AAV613"/>
      <c r="AAW613"/>
      <c r="AAX613"/>
      <c r="AAY613"/>
      <c r="AAZ613"/>
      <c r="ABA613"/>
      <c r="ABB613"/>
      <c r="ABC613"/>
      <c r="ABD613"/>
      <c r="ABE613"/>
      <c r="ABF613"/>
      <c r="ABG613"/>
      <c r="ABH613"/>
      <c r="ABI613"/>
      <c r="ABJ613"/>
      <c r="ABK613"/>
      <c r="ABL613"/>
      <c r="ABM613"/>
      <c r="ABN613"/>
      <c r="ABO613"/>
      <c r="ABP613"/>
      <c r="ABQ613"/>
      <c r="ABR613"/>
      <c r="ABS613"/>
      <c r="ABT613"/>
      <c r="ABU613"/>
      <c r="ABV613"/>
      <c r="ABW613"/>
      <c r="ABX613"/>
      <c r="ABY613"/>
      <c r="ABZ613"/>
      <c r="ACA613"/>
      <c r="ACB613"/>
      <c r="ACC613"/>
      <c r="ACD613"/>
      <c r="ACE613"/>
      <c r="ACF613"/>
      <c r="ACG613"/>
      <c r="ACH613"/>
      <c r="ACI613"/>
      <c r="ACJ613"/>
      <c r="ACK613"/>
      <c r="ACL613"/>
      <c r="ACM613"/>
      <c r="ACN613"/>
      <c r="ACO613"/>
      <c r="ACP613"/>
      <c r="ACQ613"/>
      <c r="ACR613"/>
      <c r="ACS613"/>
      <c r="ACT613"/>
      <c r="ACU613"/>
      <c r="ACV613"/>
      <c r="ACW613"/>
      <c r="ACX613"/>
      <c r="ACY613"/>
      <c r="ACZ613"/>
      <c r="ADA613"/>
      <c r="ADB613"/>
      <c r="ADC613"/>
      <c r="ADD613"/>
      <c r="ADE613"/>
      <c r="ADF613"/>
      <c r="ADG613"/>
      <c r="ADH613"/>
      <c r="ADI613"/>
      <c r="ADJ613"/>
      <c r="ADK613"/>
      <c r="ADL613"/>
      <c r="ADM613"/>
      <c r="ADN613"/>
      <c r="ADO613"/>
      <c r="ADP613"/>
      <c r="ADQ613"/>
      <c r="ADR613"/>
      <c r="ADS613"/>
      <c r="ADT613"/>
      <c r="ADU613"/>
      <c r="ADV613"/>
      <c r="ADW613"/>
      <c r="ADX613"/>
      <c r="ADY613"/>
      <c r="ADZ613"/>
      <c r="AEA613"/>
      <c r="AEB613"/>
      <c r="AEC613"/>
      <c r="AED613"/>
      <c r="AEE613"/>
      <c r="AEF613"/>
      <c r="AEG613"/>
      <c r="AEH613"/>
      <c r="AEI613"/>
      <c r="AEJ613"/>
      <c r="AEK613"/>
      <c r="AEL613"/>
      <c r="AEM613"/>
      <c r="AEN613"/>
      <c r="AEO613"/>
      <c r="AEP613"/>
      <c r="AEQ613"/>
      <c r="AER613"/>
      <c r="AES613"/>
      <c r="AET613"/>
      <c r="AEU613"/>
      <c r="AEV613"/>
      <c r="AEW613"/>
      <c r="AEX613"/>
      <c r="AEY613"/>
      <c r="AEZ613"/>
      <c r="AFA613"/>
      <c r="AFB613"/>
      <c r="AFC613"/>
      <c r="AFD613"/>
      <c r="AFE613"/>
      <c r="AFF613"/>
      <c r="AFG613"/>
      <c r="AFH613"/>
      <c r="AFI613"/>
      <c r="AFJ613"/>
      <c r="AFK613"/>
      <c r="AFL613"/>
      <c r="AFM613"/>
      <c r="AFN613"/>
      <c r="AFO613"/>
      <c r="AFP613"/>
      <c r="AFQ613"/>
      <c r="AFR613"/>
      <c r="AFS613"/>
      <c r="AFT613"/>
      <c r="AFU613"/>
      <c r="AFV613"/>
      <c r="AFW613"/>
      <c r="AFX613"/>
      <c r="AFY613"/>
      <c r="AFZ613"/>
      <c r="AGA613"/>
      <c r="AGB613"/>
      <c r="AGC613"/>
      <c r="AGD613"/>
      <c r="AGE613"/>
      <c r="AGF613"/>
      <c r="AGG613"/>
      <c r="AGH613"/>
      <c r="AGI613"/>
      <c r="AGJ613"/>
      <c r="AGK613"/>
      <c r="AGL613"/>
      <c r="AGM613"/>
      <c r="AGN613"/>
      <c r="AGO613"/>
      <c r="AGP613"/>
      <c r="AGQ613"/>
      <c r="AGR613"/>
      <c r="AGS613"/>
      <c r="AGT613"/>
      <c r="AGU613"/>
      <c r="AGV613"/>
      <c r="AGW613"/>
      <c r="AGX613"/>
      <c r="AGY613"/>
      <c r="AGZ613"/>
      <c r="AHA613"/>
      <c r="AHB613"/>
      <c r="AHC613"/>
      <c r="AHD613"/>
      <c r="AHE613"/>
      <c r="AHF613"/>
      <c r="AHG613"/>
      <c r="AHH613"/>
      <c r="AHI613"/>
      <c r="AHJ613"/>
      <c r="AHK613"/>
      <c r="AHL613"/>
      <c r="AHM613"/>
      <c r="AHN613"/>
      <c r="AHO613"/>
      <c r="AHP613"/>
      <c r="AHQ613"/>
      <c r="AHR613"/>
      <c r="AHS613"/>
      <c r="AHT613"/>
      <c r="AHU613"/>
      <c r="AHV613"/>
      <c r="AHW613"/>
      <c r="AHX613"/>
      <c r="AHY613"/>
      <c r="AHZ613"/>
      <c r="AIA613"/>
      <c r="AIB613"/>
      <c r="AIC613"/>
      <c r="AID613"/>
      <c r="AIE613"/>
      <c r="AIF613"/>
      <c r="AIG613"/>
      <c r="AIH613"/>
      <c r="AII613"/>
      <c r="AIJ613"/>
      <c r="AIK613"/>
      <c r="AIL613"/>
      <c r="AIM613"/>
      <c r="AIN613"/>
      <c r="AIO613"/>
      <c r="AIP613"/>
      <c r="AIQ613"/>
      <c r="AIR613"/>
      <c r="AIS613"/>
      <c r="AIT613"/>
      <c r="AIU613"/>
      <c r="AIV613"/>
      <c r="AIW613"/>
      <c r="AIX613"/>
      <c r="AIY613"/>
      <c r="AIZ613"/>
      <c r="AJA613"/>
      <c r="AJB613"/>
      <c r="AJC613"/>
      <c r="AJD613"/>
      <c r="AJE613"/>
      <c r="AJF613"/>
      <c r="AJG613"/>
      <c r="AJH613"/>
      <c r="AJI613"/>
      <c r="AJJ613"/>
      <c r="AJK613"/>
      <c r="AJL613"/>
      <c r="AJM613"/>
      <c r="AJN613"/>
      <c r="AJO613"/>
      <c r="AJP613"/>
      <c r="AJQ613"/>
      <c r="AJR613"/>
      <c r="AJS613"/>
      <c r="AJT613"/>
      <c r="AJU613"/>
      <c r="AJV613"/>
      <c r="AJW613"/>
      <c r="AJX613"/>
      <c r="AJY613"/>
      <c r="AJZ613"/>
      <c r="AKA613"/>
      <c r="AKB613"/>
      <c r="AKC613"/>
      <c r="AKD613"/>
      <c r="AKE613"/>
      <c r="AKF613"/>
      <c r="AKG613"/>
      <c r="AKH613"/>
      <c r="AKI613"/>
      <c r="AKJ613"/>
      <c r="AKK613"/>
      <c r="AKL613"/>
      <c r="AKM613"/>
      <c r="AKN613"/>
      <c r="AKO613"/>
      <c r="AKP613"/>
      <c r="AKQ613"/>
      <c r="AKR613"/>
      <c r="AKS613"/>
      <c r="AKT613"/>
      <c r="AKU613"/>
      <c r="AKV613"/>
      <c r="AKW613"/>
      <c r="AKX613"/>
      <c r="AKY613"/>
      <c r="AKZ613"/>
      <c r="ALA613"/>
      <c r="ALB613"/>
      <c r="ALC613"/>
      <c r="ALD613"/>
      <c r="ALE613"/>
      <c r="ALF613"/>
      <c r="ALG613"/>
      <c r="ALH613"/>
      <c r="ALI613"/>
      <c r="ALJ613"/>
      <c r="ALK613"/>
      <c r="ALL613"/>
      <c r="ALM613"/>
      <c r="ALN613"/>
      <c r="ALO613"/>
      <c r="ALP613"/>
      <c r="ALQ613"/>
      <c r="ALR613"/>
      <c r="ALS613"/>
      <c r="ALT613"/>
      <c r="ALU613"/>
      <c r="ALV613"/>
      <c r="ALW613"/>
      <c r="ALX613"/>
      <c r="ALY613"/>
      <c r="ALZ613"/>
      <c r="AMA613"/>
      <c r="AMB613"/>
      <c r="AMC613"/>
      <c r="AMD613"/>
    </row>
    <row r="614" spans="1:1018">
      <c r="K614" s="412"/>
      <c r="L614" s="412"/>
      <c r="M614" s="412"/>
      <c r="N614" s="222"/>
      <c r="W614" s="413"/>
      <c r="X614" s="413"/>
      <c r="Y614" s="413"/>
      <c r="Z614" s="413"/>
      <c r="AA614" s="413"/>
      <c r="AB614" s="413"/>
      <c r="AC614" s="413"/>
      <c r="AD614" s="413"/>
      <c r="AE614" s="413"/>
      <c r="AF614" s="413"/>
      <c r="AG614" s="413"/>
      <c r="AH614" s="413"/>
    </row>
    <row r="615" spans="1:1018">
      <c r="P615" s="435">
        <f>SUM(P9:P614)</f>
        <v>695663.40999999992</v>
      </c>
      <c r="Q615" s="435">
        <f>SUM(Q9:Q614)</f>
        <v>144000</v>
      </c>
      <c r="S615" s="435"/>
      <c r="T615" s="435"/>
      <c r="U615" s="436"/>
      <c r="V615" s="436"/>
      <c r="W615" s="413"/>
      <c r="X615" s="413"/>
      <c r="Y615" s="413"/>
      <c r="Z615" s="413"/>
      <c r="AA615" s="413"/>
      <c r="AB615" s="413"/>
      <c r="AC615" s="413"/>
      <c r="AD615" s="413"/>
      <c r="AE615" s="413"/>
      <c r="AF615" s="413"/>
      <c r="AG615" s="413"/>
      <c r="AH615" s="413"/>
    </row>
    <row r="616" spans="1:1018">
      <c r="B616" s="13"/>
      <c r="C616" s="437"/>
      <c r="D616" s="437"/>
      <c r="E616" s="437"/>
      <c r="F616" s="438"/>
      <c r="K616" s="375"/>
      <c r="L616" s="375"/>
      <c r="M616" s="423"/>
      <c r="N616" s="222"/>
      <c r="P616" s="432" t="s">
        <v>1548</v>
      </c>
      <c r="Q616" s="432">
        <f>+Q615/300</f>
        <v>480</v>
      </c>
      <c r="R616" s="610"/>
      <c r="W616" s="413"/>
      <c r="X616" s="413"/>
      <c r="Y616" s="430"/>
      <c r="Z616" s="430"/>
      <c r="AA616" s="430"/>
      <c r="AB616" s="430"/>
      <c r="AC616" s="430"/>
      <c r="AD616" s="430"/>
      <c r="AE616" s="430"/>
      <c r="AF616" s="430"/>
      <c r="AG616" s="430"/>
      <c r="AH616" s="430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  <c r="ZW616"/>
      <c r="ZX616"/>
      <c r="ZY616"/>
      <c r="ZZ616"/>
      <c r="AAA616"/>
      <c r="AAB616"/>
      <c r="AAC616"/>
      <c r="AAD616"/>
      <c r="AAE616"/>
      <c r="AAF616"/>
      <c r="AAG616"/>
      <c r="AAH616"/>
      <c r="AAI616"/>
      <c r="AAJ616"/>
      <c r="AAK616"/>
      <c r="AAL616"/>
      <c r="AAM616"/>
      <c r="AAN616"/>
      <c r="AAO616"/>
      <c r="AAP616"/>
      <c r="AAQ616"/>
      <c r="AAR616"/>
      <c r="AAS616"/>
      <c r="AAT616"/>
      <c r="AAU616"/>
      <c r="AAV616"/>
      <c r="AAW616"/>
      <c r="AAX616"/>
      <c r="AAY616"/>
      <c r="AAZ616"/>
      <c r="ABA616"/>
      <c r="ABB616"/>
      <c r="ABC616"/>
      <c r="ABD616"/>
      <c r="ABE616"/>
      <c r="ABF616"/>
      <c r="ABG616"/>
      <c r="ABH616"/>
      <c r="ABI616"/>
      <c r="ABJ616"/>
      <c r="ABK616"/>
      <c r="ABL616"/>
      <c r="ABM616"/>
      <c r="ABN616"/>
      <c r="ABO616"/>
      <c r="ABP616"/>
      <c r="ABQ616"/>
      <c r="ABR616"/>
      <c r="ABS616"/>
      <c r="ABT616"/>
      <c r="ABU616"/>
      <c r="ABV616"/>
      <c r="ABW616"/>
      <c r="ABX616"/>
      <c r="ABY616"/>
      <c r="ABZ616"/>
      <c r="ACA616"/>
      <c r="ACB616"/>
      <c r="ACC616"/>
      <c r="ACD616"/>
      <c r="ACE616"/>
      <c r="ACF616"/>
      <c r="ACG616"/>
      <c r="ACH616"/>
      <c r="ACI616"/>
      <c r="ACJ616"/>
      <c r="ACK616"/>
      <c r="ACL616"/>
      <c r="ACM616"/>
      <c r="ACN616"/>
      <c r="ACO616"/>
      <c r="ACP616"/>
      <c r="ACQ616"/>
      <c r="ACR616"/>
      <c r="ACS616"/>
      <c r="ACT616"/>
      <c r="ACU616"/>
      <c r="ACV616"/>
      <c r="ACW616"/>
      <c r="ACX616"/>
      <c r="ACY616"/>
      <c r="ACZ616"/>
      <c r="ADA616"/>
      <c r="ADB616"/>
      <c r="ADC616"/>
      <c r="ADD616"/>
      <c r="ADE616"/>
      <c r="ADF616"/>
      <c r="ADG616"/>
      <c r="ADH616"/>
      <c r="ADI616"/>
      <c r="ADJ616"/>
      <c r="ADK616"/>
      <c r="ADL616"/>
      <c r="ADM616"/>
      <c r="ADN616"/>
      <c r="ADO616"/>
      <c r="ADP616"/>
      <c r="ADQ616"/>
      <c r="ADR616"/>
      <c r="ADS616"/>
      <c r="ADT616"/>
      <c r="ADU616"/>
      <c r="ADV616"/>
      <c r="ADW616"/>
      <c r="ADX616"/>
      <c r="ADY616"/>
      <c r="ADZ616"/>
      <c r="AEA616"/>
      <c r="AEB616"/>
      <c r="AEC616"/>
      <c r="AED616"/>
      <c r="AEE616"/>
      <c r="AEF616"/>
      <c r="AEG616"/>
      <c r="AEH616"/>
      <c r="AEI616"/>
      <c r="AEJ616"/>
      <c r="AEK616"/>
      <c r="AEL616"/>
      <c r="AEM616"/>
      <c r="AEN616"/>
      <c r="AEO616"/>
      <c r="AEP616"/>
      <c r="AEQ616"/>
      <c r="AER616"/>
      <c r="AES616"/>
      <c r="AET616"/>
      <c r="AEU616"/>
      <c r="AEV616"/>
      <c r="AEW616"/>
      <c r="AEX616"/>
      <c r="AEY616"/>
      <c r="AEZ616"/>
      <c r="AFA616"/>
      <c r="AFB616"/>
      <c r="AFC616"/>
      <c r="AFD616"/>
      <c r="AFE616"/>
      <c r="AFF616"/>
      <c r="AFG616"/>
      <c r="AFH616"/>
      <c r="AFI616"/>
      <c r="AFJ616"/>
      <c r="AFK616"/>
      <c r="AFL616"/>
      <c r="AFM616"/>
      <c r="AFN616"/>
      <c r="AFO616"/>
      <c r="AFP616"/>
      <c r="AFQ616"/>
      <c r="AFR616"/>
      <c r="AFS616"/>
      <c r="AFT616"/>
      <c r="AFU616"/>
      <c r="AFV616"/>
      <c r="AFW616"/>
      <c r="AFX616"/>
      <c r="AFY616"/>
      <c r="AFZ616"/>
      <c r="AGA616"/>
      <c r="AGB616"/>
      <c r="AGC616"/>
      <c r="AGD616"/>
      <c r="AGE616"/>
      <c r="AGF616"/>
      <c r="AGG616"/>
      <c r="AGH616"/>
      <c r="AGI616"/>
      <c r="AGJ616"/>
      <c r="AGK616"/>
      <c r="AGL616"/>
      <c r="AGM616"/>
      <c r="AGN616"/>
      <c r="AGO616"/>
      <c r="AGP616"/>
      <c r="AGQ616"/>
      <c r="AGR616"/>
      <c r="AGS616"/>
      <c r="AGT616"/>
      <c r="AGU616"/>
      <c r="AGV616"/>
      <c r="AGW616"/>
      <c r="AGX616"/>
      <c r="AGY616"/>
      <c r="AGZ616"/>
      <c r="AHA616"/>
      <c r="AHB616"/>
      <c r="AHC616"/>
      <c r="AHD616"/>
      <c r="AHE616"/>
      <c r="AHF616"/>
      <c r="AHG616"/>
      <c r="AHH616"/>
      <c r="AHI616"/>
      <c r="AHJ616"/>
      <c r="AHK616"/>
      <c r="AHL616"/>
      <c r="AHM616"/>
      <c r="AHN616"/>
      <c r="AHO616"/>
      <c r="AHP616"/>
      <c r="AHQ616"/>
      <c r="AHR616"/>
      <c r="AHS616"/>
      <c r="AHT616"/>
      <c r="AHU616"/>
      <c r="AHV616"/>
      <c r="AHW616"/>
      <c r="AHX616"/>
      <c r="AHY616"/>
      <c r="AHZ616"/>
      <c r="AIA616"/>
      <c r="AIB616"/>
      <c r="AIC616"/>
      <c r="AID616"/>
      <c r="AIE616"/>
      <c r="AIF616"/>
      <c r="AIG616"/>
      <c r="AIH616"/>
      <c r="AII616"/>
      <c r="AIJ616"/>
      <c r="AIK616"/>
      <c r="AIL616"/>
      <c r="AIM616"/>
      <c r="AIN616"/>
      <c r="AIO616"/>
      <c r="AIP616"/>
      <c r="AIQ616"/>
      <c r="AIR616"/>
      <c r="AIS616"/>
      <c r="AIT616"/>
      <c r="AIU616"/>
      <c r="AIV616"/>
      <c r="AIW616"/>
      <c r="AIX616"/>
      <c r="AIY616"/>
      <c r="AIZ616"/>
      <c r="AJA616"/>
      <c r="AJB616"/>
      <c r="AJC616"/>
      <c r="AJD616"/>
      <c r="AJE616"/>
      <c r="AJF616"/>
      <c r="AJG616"/>
      <c r="AJH616"/>
      <c r="AJI616"/>
      <c r="AJJ616"/>
      <c r="AJK616"/>
      <c r="AJL616"/>
      <c r="AJM616"/>
      <c r="AJN616"/>
      <c r="AJO616"/>
      <c r="AJP616"/>
      <c r="AJQ616"/>
      <c r="AJR616"/>
      <c r="AJS616"/>
      <c r="AJT616"/>
      <c r="AJU616"/>
      <c r="AJV616"/>
      <c r="AJW616"/>
      <c r="AJX616"/>
      <c r="AJY616"/>
      <c r="AJZ616"/>
      <c r="AKA616"/>
      <c r="AKB616"/>
      <c r="AKC616"/>
      <c r="AKD616"/>
      <c r="AKE616"/>
      <c r="AKF616"/>
      <c r="AKG616"/>
      <c r="AKH616"/>
      <c r="AKI616"/>
      <c r="AKJ616"/>
      <c r="AKK616"/>
      <c r="AKL616"/>
      <c r="AKM616"/>
      <c r="AKN616"/>
      <c r="AKO616"/>
      <c r="AKP616"/>
      <c r="AKQ616"/>
      <c r="AKR616"/>
      <c r="AKS616"/>
      <c r="AKT616"/>
      <c r="AKU616"/>
      <c r="AKV616"/>
      <c r="AKW616"/>
      <c r="AKX616"/>
      <c r="AKY616"/>
      <c r="AKZ616"/>
      <c r="ALA616"/>
      <c r="ALB616"/>
      <c r="ALC616"/>
      <c r="ALD616"/>
      <c r="ALE616"/>
      <c r="ALF616"/>
      <c r="ALG616"/>
      <c r="ALH616"/>
      <c r="ALI616"/>
      <c r="ALJ616"/>
      <c r="ALK616"/>
      <c r="ALL616"/>
      <c r="ALM616"/>
      <c r="ALN616"/>
      <c r="ALO616"/>
      <c r="ALP616"/>
      <c r="ALQ616"/>
      <c r="ALR616"/>
      <c r="ALS616"/>
      <c r="ALT616"/>
      <c r="ALU616"/>
      <c r="ALV616"/>
      <c r="ALW616"/>
      <c r="ALX616"/>
      <c r="ALY616"/>
      <c r="ALZ616"/>
      <c r="AMA616"/>
      <c r="AMB616"/>
      <c r="AMC616"/>
      <c r="AMD616"/>
    </row>
    <row r="617" spans="1:1018">
      <c r="J617" s="439"/>
      <c r="K617" s="440"/>
      <c r="L617" s="440"/>
      <c r="M617" s="440"/>
      <c r="N617" s="222"/>
      <c r="O617" s="426"/>
      <c r="P617" s="13"/>
      <c r="Q617" s="13"/>
      <c r="R617" s="431"/>
      <c r="S617" s="13"/>
      <c r="T617" s="13"/>
      <c r="U617" s="429"/>
      <c r="V617" s="429"/>
      <c r="W617" s="430"/>
      <c r="X617" s="430"/>
      <c r="Y617" s="441"/>
      <c r="Z617" s="441"/>
      <c r="AA617" s="441"/>
      <c r="AB617" s="430"/>
      <c r="AC617" s="430"/>
      <c r="AD617" s="430"/>
      <c r="AE617" s="430"/>
      <c r="AF617" s="430"/>
      <c r="AG617" s="430"/>
      <c r="AH617" s="430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  <c r="ZW617"/>
      <c r="ZX617"/>
      <c r="ZY617"/>
      <c r="ZZ617"/>
      <c r="AAA617"/>
      <c r="AAB617"/>
      <c r="AAC617"/>
      <c r="AAD617"/>
      <c r="AAE617"/>
      <c r="AAF617"/>
      <c r="AAG617"/>
      <c r="AAH617"/>
      <c r="AAI617"/>
      <c r="AAJ617"/>
      <c r="AAK617"/>
      <c r="AAL617"/>
      <c r="AAM617"/>
      <c r="AAN617"/>
      <c r="AAO617"/>
      <c r="AAP617"/>
      <c r="AAQ617"/>
      <c r="AAR617"/>
      <c r="AAS617"/>
      <c r="AAT617"/>
      <c r="AAU617"/>
      <c r="AAV617"/>
      <c r="AAW617"/>
      <c r="AAX617"/>
      <c r="AAY617"/>
      <c r="AAZ617"/>
      <c r="ABA617"/>
      <c r="ABB617"/>
      <c r="ABC617"/>
      <c r="ABD617"/>
      <c r="ABE617"/>
      <c r="ABF617"/>
      <c r="ABG617"/>
      <c r="ABH617"/>
      <c r="ABI617"/>
      <c r="ABJ617"/>
      <c r="ABK617"/>
      <c r="ABL617"/>
      <c r="ABM617"/>
      <c r="ABN617"/>
      <c r="ABO617"/>
      <c r="ABP617"/>
      <c r="ABQ617"/>
      <c r="ABR617"/>
      <c r="ABS617"/>
      <c r="ABT617"/>
      <c r="ABU617"/>
      <c r="ABV617"/>
      <c r="ABW617"/>
      <c r="ABX617"/>
      <c r="ABY617"/>
      <c r="ABZ617"/>
      <c r="ACA617"/>
      <c r="ACB617"/>
      <c r="ACC617"/>
      <c r="ACD617"/>
      <c r="ACE617"/>
      <c r="ACF617"/>
      <c r="ACG617"/>
      <c r="ACH617"/>
      <c r="ACI617"/>
      <c r="ACJ617"/>
      <c r="ACK617"/>
      <c r="ACL617"/>
      <c r="ACM617"/>
      <c r="ACN617"/>
      <c r="ACO617"/>
      <c r="ACP617"/>
      <c r="ACQ617"/>
      <c r="ACR617"/>
      <c r="ACS617"/>
      <c r="ACT617"/>
      <c r="ACU617"/>
      <c r="ACV617"/>
      <c r="ACW617"/>
      <c r="ACX617"/>
      <c r="ACY617"/>
      <c r="ACZ617"/>
      <c r="ADA617"/>
      <c r="ADB617"/>
      <c r="ADC617"/>
      <c r="ADD617"/>
      <c r="ADE617"/>
      <c r="ADF617"/>
      <c r="ADG617"/>
      <c r="ADH617"/>
      <c r="ADI617"/>
      <c r="ADJ617"/>
      <c r="ADK617"/>
      <c r="ADL617"/>
      <c r="ADM617"/>
      <c r="ADN617"/>
      <c r="ADO617"/>
      <c r="ADP617"/>
      <c r="ADQ617"/>
      <c r="ADR617"/>
      <c r="ADS617"/>
      <c r="ADT617"/>
      <c r="ADU617"/>
      <c r="ADV617"/>
      <c r="ADW617"/>
      <c r="ADX617"/>
      <c r="ADY617"/>
      <c r="ADZ617"/>
      <c r="AEA617"/>
      <c r="AEB617"/>
      <c r="AEC617"/>
      <c r="AED617"/>
      <c r="AEE617"/>
      <c r="AEF617"/>
      <c r="AEG617"/>
      <c r="AEH617"/>
      <c r="AEI617"/>
      <c r="AEJ617"/>
      <c r="AEK617"/>
      <c r="AEL617"/>
      <c r="AEM617"/>
      <c r="AEN617"/>
      <c r="AEO617"/>
      <c r="AEP617"/>
      <c r="AEQ617"/>
      <c r="AER617"/>
      <c r="AES617"/>
      <c r="AET617"/>
      <c r="AEU617"/>
      <c r="AEV617"/>
      <c r="AEW617"/>
      <c r="AEX617"/>
      <c r="AEY617"/>
      <c r="AEZ617"/>
      <c r="AFA617"/>
      <c r="AFB617"/>
      <c r="AFC617"/>
      <c r="AFD617"/>
      <c r="AFE617"/>
      <c r="AFF617"/>
      <c r="AFG617"/>
      <c r="AFH617"/>
      <c r="AFI617"/>
      <c r="AFJ617"/>
      <c r="AFK617"/>
      <c r="AFL617"/>
      <c r="AFM617"/>
      <c r="AFN617"/>
      <c r="AFO617"/>
      <c r="AFP617"/>
      <c r="AFQ617"/>
      <c r="AFR617"/>
      <c r="AFS617"/>
      <c r="AFT617"/>
      <c r="AFU617"/>
      <c r="AFV617"/>
      <c r="AFW617"/>
      <c r="AFX617"/>
      <c r="AFY617"/>
      <c r="AFZ617"/>
      <c r="AGA617"/>
      <c r="AGB617"/>
      <c r="AGC617"/>
      <c r="AGD617"/>
      <c r="AGE617"/>
      <c r="AGF617"/>
      <c r="AGG617"/>
      <c r="AGH617"/>
      <c r="AGI617"/>
      <c r="AGJ617"/>
      <c r="AGK617"/>
      <c r="AGL617"/>
      <c r="AGM617"/>
      <c r="AGN617"/>
      <c r="AGO617"/>
      <c r="AGP617"/>
      <c r="AGQ617"/>
      <c r="AGR617"/>
      <c r="AGS617"/>
      <c r="AGT617"/>
      <c r="AGU617"/>
      <c r="AGV617"/>
      <c r="AGW617"/>
      <c r="AGX617"/>
      <c r="AGY617"/>
      <c r="AGZ617"/>
      <c r="AHA617"/>
      <c r="AHB617"/>
      <c r="AHC617"/>
      <c r="AHD617"/>
      <c r="AHE617"/>
      <c r="AHF617"/>
      <c r="AHG617"/>
      <c r="AHH617"/>
      <c r="AHI617"/>
      <c r="AHJ617"/>
      <c r="AHK617"/>
      <c r="AHL617"/>
      <c r="AHM617"/>
      <c r="AHN617"/>
      <c r="AHO617"/>
      <c r="AHP617"/>
      <c r="AHQ617"/>
      <c r="AHR617"/>
      <c r="AHS617"/>
      <c r="AHT617"/>
      <c r="AHU617"/>
      <c r="AHV617"/>
      <c r="AHW617"/>
      <c r="AHX617"/>
      <c r="AHY617"/>
      <c r="AHZ617"/>
      <c r="AIA617"/>
      <c r="AIB617"/>
      <c r="AIC617"/>
      <c r="AID617"/>
      <c r="AIE617"/>
      <c r="AIF617"/>
      <c r="AIG617"/>
      <c r="AIH617"/>
      <c r="AII617"/>
      <c r="AIJ617"/>
      <c r="AIK617"/>
      <c r="AIL617"/>
      <c r="AIM617"/>
      <c r="AIN617"/>
      <c r="AIO617"/>
      <c r="AIP617"/>
      <c r="AIQ617"/>
      <c r="AIR617"/>
      <c r="AIS617"/>
      <c r="AIT617"/>
      <c r="AIU617"/>
      <c r="AIV617"/>
      <c r="AIW617"/>
      <c r="AIX617"/>
      <c r="AIY617"/>
      <c r="AIZ617"/>
      <c r="AJA617"/>
      <c r="AJB617"/>
      <c r="AJC617"/>
      <c r="AJD617"/>
      <c r="AJE617"/>
      <c r="AJF617"/>
      <c r="AJG617"/>
      <c r="AJH617"/>
      <c r="AJI617"/>
      <c r="AJJ617"/>
      <c r="AJK617"/>
      <c r="AJL617"/>
      <c r="AJM617"/>
      <c r="AJN617"/>
      <c r="AJO617"/>
      <c r="AJP617"/>
      <c r="AJQ617"/>
      <c r="AJR617"/>
      <c r="AJS617"/>
      <c r="AJT617"/>
      <c r="AJU617"/>
      <c r="AJV617"/>
      <c r="AJW617"/>
      <c r="AJX617"/>
      <c r="AJY617"/>
      <c r="AJZ617"/>
      <c r="AKA617"/>
      <c r="AKB617"/>
      <c r="AKC617"/>
      <c r="AKD617"/>
      <c r="AKE617"/>
      <c r="AKF617"/>
      <c r="AKG617"/>
      <c r="AKH617"/>
      <c r="AKI617"/>
      <c r="AKJ617"/>
      <c r="AKK617"/>
      <c r="AKL617"/>
      <c r="AKM617"/>
      <c r="AKN617"/>
      <c r="AKO617"/>
      <c r="AKP617"/>
      <c r="AKQ617"/>
      <c r="AKR617"/>
      <c r="AKS617"/>
      <c r="AKT617"/>
      <c r="AKU617"/>
      <c r="AKV617"/>
      <c r="AKW617"/>
      <c r="AKX617"/>
      <c r="AKY617"/>
      <c r="AKZ617"/>
      <c r="ALA617"/>
      <c r="ALB617"/>
      <c r="ALC617"/>
      <c r="ALD617"/>
      <c r="ALE617"/>
      <c r="ALF617"/>
      <c r="ALG617"/>
      <c r="ALH617"/>
      <c r="ALI617"/>
      <c r="ALJ617"/>
      <c r="ALK617"/>
      <c r="ALL617"/>
      <c r="ALM617"/>
      <c r="ALN617"/>
      <c r="ALO617"/>
      <c r="ALP617"/>
      <c r="ALQ617"/>
      <c r="ALR617"/>
      <c r="ALS617"/>
      <c r="ALT617"/>
      <c r="ALU617"/>
      <c r="ALV617"/>
      <c r="ALW617"/>
      <c r="ALX617"/>
      <c r="ALY617"/>
      <c r="ALZ617"/>
      <c r="AMA617"/>
      <c r="AMB617"/>
      <c r="AMC617"/>
      <c r="AMD617"/>
    </row>
    <row r="618" spans="1:1018">
      <c r="J618" s="439"/>
      <c r="K618" s="440"/>
      <c r="L618" s="440"/>
      <c r="M618" s="440"/>
      <c r="N618" s="222"/>
      <c r="O618" s="426"/>
      <c r="P618" s="432" t="s">
        <v>1549</v>
      </c>
      <c r="T618" s="13"/>
      <c r="U618" s="429"/>
      <c r="V618" s="429"/>
      <c r="W618" s="430"/>
      <c r="X618" s="430"/>
      <c r="Y618" s="441"/>
      <c r="Z618" s="441"/>
      <c r="AA618" s="441"/>
      <c r="AB618" s="441"/>
      <c r="AC618" s="430"/>
      <c r="AD618" s="430"/>
      <c r="AE618" s="430"/>
      <c r="AF618" s="430"/>
      <c r="AG618" s="430"/>
      <c r="AH618" s="430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  <c r="ZW618"/>
      <c r="ZX618"/>
      <c r="ZY618"/>
      <c r="ZZ618"/>
      <c r="AAA618"/>
      <c r="AAB618"/>
      <c r="AAC618"/>
      <c r="AAD618"/>
      <c r="AAE618"/>
      <c r="AAF618"/>
      <c r="AAG618"/>
      <c r="AAH618"/>
      <c r="AAI618"/>
      <c r="AAJ618"/>
      <c r="AAK618"/>
      <c r="AAL618"/>
      <c r="AAM618"/>
      <c r="AAN618"/>
      <c r="AAO618"/>
      <c r="AAP618"/>
      <c r="AAQ618"/>
      <c r="AAR618"/>
      <c r="AAS618"/>
      <c r="AAT618"/>
      <c r="AAU618"/>
      <c r="AAV618"/>
      <c r="AAW618"/>
      <c r="AAX618"/>
      <c r="AAY618"/>
      <c r="AAZ618"/>
      <c r="ABA618"/>
      <c r="ABB618"/>
      <c r="ABC618"/>
      <c r="ABD618"/>
      <c r="ABE618"/>
      <c r="ABF618"/>
      <c r="ABG618"/>
      <c r="ABH618"/>
      <c r="ABI618"/>
      <c r="ABJ618"/>
      <c r="ABK618"/>
      <c r="ABL618"/>
      <c r="ABM618"/>
      <c r="ABN618"/>
      <c r="ABO618"/>
      <c r="ABP618"/>
      <c r="ABQ618"/>
      <c r="ABR618"/>
      <c r="ABS618"/>
      <c r="ABT618"/>
      <c r="ABU618"/>
      <c r="ABV618"/>
      <c r="ABW618"/>
      <c r="ABX618"/>
      <c r="ABY618"/>
      <c r="ABZ618"/>
      <c r="ACA618"/>
      <c r="ACB618"/>
      <c r="ACC618"/>
      <c r="ACD618"/>
      <c r="ACE618"/>
      <c r="ACF618"/>
      <c r="ACG618"/>
      <c r="ACH618"/>
      <c r="ACI618"/>
      <c r="ACJ618"/>
      <c r="ACK618"/>
      <c r="ACL618"/>
      <c r="ACM618"/>
      <c r="ACN618"/>
      <c r="ACO618"/>
      <c r="ACP618"/>
      <c r="ACQ618"/>
      <c r="ACR618"/>
      <c r="ACS618"/>
      <c r="ACT618"/>
      <c r="ACU618"/>
      <c r="ACV618"/>
      <c r="ACW618"/>
      <c r="ACX618"/>
      <c r="ACY618"/>
      <c r="ACZ618"/>
      <c r="ADA618"/>
      <c r="ADB618"/>
      <c r="ADC618"/>
      <c r="ADD618"/>
      <c r="ADE618"/>
      <c r="ADF618"/>
      <c r="ADG618"/>
      <c r="ADH618"/>
      <c r="ADI618"/>
      <c r="ADJ618"/>
      <c r="ADK618"/>
      <c r="ADL618"/>
      <c r="ADM618"/>
      <c r="ADN618"/>
      <c r="ADO618"/>
      <c r="ADP618"/>
      <c r="ADQ618"/>
      <c r="ADR618"/>
      <c r="ADS618"/>
      <c r="ADT618"/>
      <c r="ADU618"/>
      <c r="ADV618"/>
      <c r="ADW618"/>
      <c r="ADX618"/>
      <c r="ADY618"/>
      <c r="ADZ618"/>
      <c r="AEA618"/>
      <c r="AEB618"/>
      <c r="AEC618"/>
      <c r="AED618"/>
      <c r="AEE618"/>
      <c r="AEF618"/>
      <c r="AEG618"/>
      <c r="AEH618"/>
      <c r="AEI618"/>
      <c r="AEJ618"/>
      <c r="AEK618"/>
      <c r="AEL618"/>
      <c r="AEM618"/>
      <c r="AEN618"/>
      <c r="AEO618"/>
      <c r="AEP618"/>
      <c r="AEQ618"/>
      <c r="AER618"/>
      <c r="AES618"/>
      <c r="AET618"/>
      <c r="AEU618"/>
      <c r="AEV618"/>
      <c r="AEW618"/>
      <c r="AEX618"/>
      <c r="AEY618"/>
      <c r="AEZ618"/>
      <c r="AFA618"/>
      <c r="AFB618"/>
      <c r="AFC618"/>
      <c r="AFD618"/>
      <c r="AFE618"/>
      <c r="AFF618"/>
      <c r="AFG618"/>
      <c r="AFH618"/>
      <c r="AFI618"/>
      <c r="AFJ618"/>
      <c r="AFK618"/>
      <c r="AFL618"/>
      <c r="AFM618"/>
      <c r="AFN618"/>
      <c r="AFO618"/>
      <c r="AFP618"/>
      <c r="AFQ618"/>
      <c r="AFR618"/>
      <c r="AFS618"/>
      <c r="AFT618"/>
      <c r="AFU618"/>
      <c r="AFV618"/>
      <c r="AFW618"/>
      <c r="AFX618"/>
      <c r="AFY618"/>
      <c r="AFZ618"/>
      <c r="AGA618"/>
      <c r="AGB618"/>
      <c r="AGC618"/>
      <c r="AGD618"/>
      <c r="AGE618"/>
      <c r="AGF618"/>
      <c r="AGG618"/>
      <c r="AGH618"/>
      <c r="AGI618"/>
      <c r="AGJ618"/>
      <c r="AGK618"/>
      <c r="AGL618"/>
      <c r="AGM618"/>
      <c r="AGN618"/>
      <c r="AGO618"/>
      <c r="AGP618"/>
      <c r="AGQ618"/>
      <c r="AGR618"/>
      <c r="AGS618"/>
      <c r="AGT618"/>
      <c r="AGU618"/>
      <c r="AGV618"/>
      <c r="AGW618"/>
      <c r="AGX618"/>
      <c r="AGY618"/>
      <c r="AGZ618"/>
      <c r="AHA618"/>
      <c r="AHB618"/>
      <c r="AHC618"/>
      <c r="AHD618"/>
      <c r="AHE618"/>
      <c r="AHF618"/>
      <c r="AHG618"/>
      <c r="AHH618"/>
      <c r="AHI618"/>
      <c r="AHJ618"/>
      <c r="AHK618"/>
      <c r="AHL618"/>
      <c r="AHM618"/>
      <c r="AHN618"/>
      <c r="AHO618"/>
      <c r="AHP618"/>
      <c r="AHQ618"/>
      <c r="AHR618"/>
      <c r="AHS618"/>
      <c r="AHT618"/>
      <c r="AHU618"/>
      <c r="AHV618"/>
      <c r="AHW618"/>
      <c r="AHX618"/>
      <c r="AHY618"/>
      <c r="AHZ618"/>
      <c r="AIA618"/>
      <c r="AIB618"/>
      <c r="AIC618"/>
      <c r="AID618"/>
      <c r="AIE618"/>
      <c r="AIF618"/>
      <c r="AIG618"/>
      <c r="AIH618"/>
      <c r="AII618"/>
      <c r="AIJ618"/>
      <c r="AIK618"/>
      <c r="AIL618"/>
      <c r="AIM618"/>
      <c r="AIN618"/>
      <c r="AIO618"/>
      <c r="AIP618"/>
      <c r="AIQ618"/>
      <c r="AIR618"/>
      <c r="AIS618"/>
      <c r="AIT618"/>
      <c r="AIU618"/>
      <c r="AIV618"/>
      <c r="AIW618"/>
      <c r="AIX618"/>
      <c r="AIY618"/>
      <c r="AIZ618"/>
      <c r="AJA618"/>
      <c r="AJB618"/>
      <c r="AJC618"/>
      <c r="AJD618"/>
      <c r="AJE618"/>
      <c r="AJF618"/>
      <c r="AJG618"/>
      <c r="AJH618"/>
      <c r="AJI618"/>
      <c r="AJJ618"/>
      <c r="AJK618"/>
      <c r="AJL618"/>
      <c r="AJM618"/>
      <c r="AJN618"/>
      <c r="AJO618"/>
      <c r="AJP618"/>
      <c r="AJQ618"/>
      <c r="AJR618"/>
      <c r="AJS618"/>
      <c r="AJT618"/>
      <c r="AJU618"/>
      <c r="AJV618"/>
      <c r="AJW618"/>
      <c r="AJX618"/>
      <c r="AJY618"/>
      <c r="AJZ618"/>
      <c r="AKA618"/>
      <c r="AKB618"/>
      <c r="AKC618"/>
      <c r="AKD618"/>
      <c r="AKE618"/>
      <c r="AKF618"/>
      <c r="AKG618"/>
      <c r="AKH618"/>
      <c r="AKI618"/>
      <c r="AKJ618"/>
      <c r="AKK618"/>
      <c r="AKL618"/>
      <c r="AKM618"/>
      <c r="AKN618"/>
      <c r="AKO618"/>
      <c r="AKP618"/>
      <c r="AKQ618"/>
      <c r="AKR618"/>
      <c r="AKS618"/>
      <c r="AKT618"/>
      <c r="AKU618"/>
      <c r="AKV618"/>
      <c r="AKW618"/>
      <c r="AKX618"/>
      <c r="AKY618"/>
      <c r="AKZ618"/>
      <c r="ALA618"/>
      <c r="ALB618"/>
      <c r="ALC618"/>
      <c r="ALD618"/>
      <c r="ALE618"/>
      <c r="ALF618"/>
      <c r="ALG618"/>
      <c r="ALH618"/>
      <c r="ALI618"/>
      <c r="ALJ618"/>
      <c r="ALK618"/>
      <c r="ALL618"/>
      <c r="ALM618"/>
      <c r="ALN618"/>
      <c r="ALO618"/>
      <c r="ALP618"/>
      <c r="ALQ618"/>
      <c r="ALR618"/>
      <c r="ALS618"/>
      <c r="ALT618"/>
      <c r="ALU618"/>
      <c r="ALV618"/>
      <c r="ALW618"/>
      <c r="ALX618"/>
      <c r="ALY618"/>
      <c r="ALZ618"/>
      <c r="AMA618"/>
      <c r="AMB618"/>
      <c r="AMC618"/>
      <c r="AMD618"/>
    </row>
    <row r="619" spans="1:1018">
      <c r="J619" s="439"/>
      <c r="K619" s="440"/>
      <c r="L619" s="440"/>
      <c r="M619" s="440"/>
      <c r="N619" s="222"/>
      <c r="O619" s="426"/>
      <c r="T619" s="13"/>
      <c r="U619" s="429"/>
      <c r="V619" s="429"/>
      <c r="W619" s="430"/>
      <c r="X619" s="430"/>
      <c r="Y619" s="441"/>
      <c r="Z619" s="441"/>
      <c r="AA619" s="441"/>
      <c r="AB619" s="441"/>
      <c r="AC619" s="430"/>
      <c r="AD619" s="430"/>
      <c r="AE619" s="430"/>
      <c r="AF619" s="430"/>
      <c r="AG619" s="430"/>
      <c r="AH619" s="430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  <c r="ZY619"/>
      <c r="ZZ619"/>
      <c r="AAA619"/>
      <c r="AAB619"/>
      <c r="AAC619"/>
      <c r="AAD619"/>
      <c r="AAE619"/>
      <c r="AAF619"/>
      <c r="AAG619"/>
      <c r="AAH619"/>
      <c r="AAI619"/>
      <c r="AAJ619"/>
      <c r="AAK619"/>
      <c r="AAL619"/>
      <c r="AAM619"/>
      <c r="AAN619"/>
      <c r="AAO619"/>
      <c r="AAP619"/>
      <c r="AAQ619"/>
      <c r="AAR619"/>
      <c r="AAS619"/>
      <c r="AAT619"/>
      <c r="AAU619"/>
      <c r="AAV619"/>
      <c r="AAW619"/>
      <c r="AAX619"/>
      <c r="AAY619"/>
      <c r="AAZ619"/>
      <c r="ABA619"/>
      <c r="ABB619"/>
      <c r="ABC619"/>
      <c r="ABD619"/>
      <c r="ABE619"/>
      <c r="ABF619"/>
      <c r="ABG619"/>
      <c r="ABH619"/>
      <c r="ABI619"/>
      <c r="ABJ619"/>
      <c r="ABK619"/>
      <c r="ABL619"/>
      <c r="ABM619"/>
      <c r="ABN619"/>
      <c r="ABO619"/>
      <c r="ABP619"/>
      <c r="ABQ619"/>
      <c r="ABR619"/>
      <c r="ABS619"/>
      <c r="ABT619"/>
      <c r="ABU619"/>
      <c r="ABV619"/>
      <c r="ABW619"/>
      <c r="ABX619"/>
      <c r="ABY619"/>
      <c r="ABZ619"/>
      <c r="ACA619"/>
      <c r="ACB619"/>
      <c r="ACC619"/>
      <c r="ACD619"/>
      <c r="ACE619"/>
      <c r="ACF619"/>
      <c r="ACG619"/>
      <c r="ACH619"/>
      <c r="ACI619"/>
      <c r="ACJ619"/>
      <c r="ACK619"/>
      <c r="ACL619"/>
      <c r="ACM619"/>
      <c r="ACN619"/>
      <c r="ACO619"/>
      <c r="ACP619"/>
      <c r="ACQ619"/>
      <c r="ACR619"/>
      <c r="ACS619"/>
      <c r="ACT619"/>
      <c r="ACU619"/>
      <c r="ACV619"/>
      <c r="ACW619"/>
      <c r="ACX619"/>
      <c r="ACY619"/>
      <c r="ACZ619"/>
      <c r="ADA619"/>
      <c r="ADB619"/>
      <c r="ADC619"/>
      <c r="ADD619"/>
      <c r="ADE619"/>
      <c r="ADF619"/>
      <c r="ADG619"/>
      <c r="ADH619"/>
      <c r="ADI619"/>
      <c r="ADJ619"/>
      <c r="ADK619"/>
      <c r="ADL619"/>
      <c r="ADM619"/>
      <c r="ADN619"/>
      <c r="ADO619"/>
      <c r="ADP619"/>
      <c r="ADQ619"/>
      <c r="ADR619"/>
      <c r="ADS619"/>
      <c r="ADT619"/>
      <c r="ADU619"/>
      <c r="ADV619"/>
      <c r="ADW619"/>
      <c r="ADX619"/>
      <c r="ADY619"/>
      <c r="ADZ619"/>
      <c r="AEA619"/>
      <c r="AEB619"/>
      <c r="AEC619"/>
      <c r="AED619"/>
      <c r="AEE619"/>
      <c r="AEF619"/>
      <c r="AEG619"/>
      <c r="AEH619"/>
      <c r="AEI619"/>
      <c r="AEJ619"/>
      <c r="AEK619"/>
      <c r="AEL619"/>
      <c r="AEM619"/>
      <c r="AEN619"/>
      <c r="AEO619"/>
      <c r="AEP619"/>
      <c r="AEQ619"/>
      <c r="AER619"/>
      <c r="AES619"/>
      <c r="AET619"/>
      <c r="AEU619"/>
      <c r="AEV619"/>
      <c r="AEW619"/>
      <c r="AEX619"/>
      <c r="AEY619"/>
      <c r="AEZ619"/>
      <c r="AFA619"/>
      <c r="AFB619"/>
      <c r="AFC619"/>
      <c r="AFD619"/>
      <c r="AFE619"/>
      <c r="AFF619"/>
      <c r="AFG619"/>
      <c r="AFH619"/>
      <c r="AFI619"/>
      <c r="AFJ619"/>
      <c r="AFK619"/>
      <c r="AFL619"/>
      <c r="AFM619"/>
      <c r="AFN619"/>
      <c r="AFO619"/>
      <c r="AFP619"/>
      <c r="AFQ619"/>
      <c r="AFR619"/>
      <c r="AFS619"/>
      <c r="AFT619"/>
      <c r="AFU619"/>
      <c r="AFV619"/>
      <c r="AFW619"/>
      <c r="AFX619"/>
      <c r="AFY619"/>
      <c r="AFZ619"/>
      <c r="AGA619"/>
      <c r="AGB619"/>
      <c r="AGC619"/>
      <c r="AGD619"/>
      <c r="AGE619"/>
      <c r="AGF619"/>
      <c r="AGG619"/>
      <c r="AGH619"/>
      <c r="AGI619"/>
      <c r="AGJ619"/>
      <c r="AGK619"/>
      <c r="AGL619"/>
      <c r="AGM619"/>
      <c r="AGN619"/>
      <c r="AGO619"/>
      <c r="AGP619"/>
      <c r="AGQ619"/>
      <c r="AGR619"/>
      <c r="AGS619"/>
      <c r="AGT619"/>
      <c r="AGU619"/>
      <c r="AGV619"/>
      <c r="AGW619"/>
      <c r="AGX619"/>
      <c r="AGY619"/>
      <c r="AGZ619"/>
      <c r="AHA619"/>
      <c r="AHB619"/>
      <c r="AHC619"/>
      <c r="AHD619"/>
      <c r="AHE619"/>
      <c r="AHF619"/>
      <c r="AHG619"/>
      <c r="AHH619"/>
      <c r="AHI619"/>
      <c r="AHJ619"/>
      <c r="AHK619"/>
      <c r="AHL619"/>
      <c r="AHM619"/>
      <c r="AHN619"/>
      <c r="AHO619"/>
      <c r="AHP619"/>
      <c r="AHQ619"/>
      <c r="AHR619"/>
      <c r="AHS619"/>
      <c r="AHT619"/>
      <c r="AHU619"/>
      <c r="AHV619"/>
      <c r="AHW619"/>
      <c r="AHX619"/>
      <c r="AHY619"/>
      <c r="AHZ619"/>
      <c r="AIA619"/>
      <c r="AIB619"/>
      <c r="AIC619"/>
      <c r="AID619"/>
      <c r="AIE619"/>
      <c r="AIF619"/>
      <c r="AIG619"/>
      <c r="AIH619"/>
      <c r="AII619"/>
      <c r="AIJ619"/>
      <c r="AIK619"/>
      <c r="AIL619"/>
      <c r="AIM619"/>
      <c r="AIN619"/>
      <c r="AIO619"/>
      <c r="AIP619"/>
      <c r="AIQ619"/>
      <c r="AIR619"/>
      <c r="AIS619"/>
      <c r="AIT619"/>
      <c r="AIU619"/>
      <c r="AIV619"/>
      <c r="AIW619"/>
      <c r="AIX619"/>
      <c r="AIY619"/>
      <c r="AIZ619"/>
      <c r="AJA619"/>
      <c r="AJB619"/>
      <c r="AJC619"/>
      <c r="AJD619"/>
      <c r="AJE619"/>
      <c r="AJF619"/>
      <c r="AJG619"/>
      <c r="AJH619"/>
      <c r="AJI619"/>
      <c r="AJJ619"/>
      <c r="AJK619"/>
      <c r="AJL619"/>
      <c r="AJM619"/>
      <c r="AJN619"/>
      <c r="AJO619"/>
      <c r="AJP619"/>
      <c r="AJQ619"/>
      <c r="AJR619"/>
      <c r="AJS619"/>
      <c r="AJT619"/>
      <c r="AJU619"/>
      <c r="AJV619"/>
      <c r="AJW619"/>
      <c r="AJX619"/>
      <c r="AJY619"/>
      <c r="AJZ619"/>
      <c r="AKA619"/>
      <c r="AKB619"/>
      <c r="AKC619"/>
      <c r="AKD619"/>
      <c r="AKE619"/>
      <c r="AKF619"/>
      <c r="AKG619"/>
      <c r="AKH619"/>
      <c r="AKI619"/>
      <c r="AKJ619"/>
      <c r="AKK619"/>
      <c r="AKL619"/>
      <c r="AKM619"/>
      <c r="AKN619"/>
      <c r="AKO619"/>
      <c r="AKP619"/>
      <c r="AKQ619"/>
      <c r="AKR619"/>
      <c r="AKS619"/>
      <c r="AKT619"/>
      <c r="AKU619"/>
      <c r="AKV619"/>
      <c r="AKW619"/>
      <c r="AKX619"/>
      <c r="AKY619"/>
      <c r="AKZ619"/>
      <c r="ALA619"/>
      <c r="ALB619"/>
      <c r="ALC619"/>
      <c r="ALD619"/>
      <c r="ALE619"/>
      <c r="ALF619"/>
      <c r="ALG619"/>
      <c r="ALH619"/>
      <c r="ALI619"/>
      <c r="ALJ619"/>
      <c r="ALK619"/>
      <c r="ALL619"/>
      <c r="ALM619"/>
      <c r="ALN619"/>
      <c r="ALO619"/>
      <c r="ALP619"/>
      <c r="ALQ619"/>
      <c r="ALR619"/>
      <c r="ALS619"/>
      <c r="ALT619"/>
      <c r="ALU619"/>
      <c r="ALV619"/>
      <c r="ALW619"/>
      <c r="ALX619"/>
      <c r="ALY619"/>
      <c r="ALZ619"/>
      <c r="AMA619"/>
      <c r="AMB619"/>
      <c r="AMC619"/>
      <c r="AMD619"/>
    </row>
    <row r="620" spans="1:1018">
      <c r="A620" s="442"/>
      <c r="J620" s="439"/>
      <c r="K620" s="440"/>
      <c r="L620" s="440"/>
      <c r="M620" s="440"/>
      <c r="N620" s="222"/>
      <c r="O620" s="426"/>
      <c r="P620" s="432" t="s">
        <v>1550</v>
      </c>
      <c r="Q620" s="432">
        <v>454</v>
      </c>
      <c r="R620" s="610">
        <f>454*250</f>
        <v>113500</v>
      </c>
      <c r="T620" s="13"/>
      <c r="U620" s="429"/>
      <c r="V620" s="429"/>
      <c r="W620" s="430"/>
      <c r="X620" s="443"/>
      <c r="Y620" s="443"/>
      <c r="Z620" s="441"/>
      <c r="AA620" s="441"/>
      <c r="AB620" s="441"/>
      <c r="AC620" s="430"/>
      <c r="AD620" s="430"/>
      <c r="AE620" s="430"/>
      <c r="AF620" s="430"/>
      <c r="AG620" s="430"/>
      <c r="AH620" s="43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  <c r="ZW620"/>
      <c r="ZX620"/>
      <c r="ZY620"/>
      <c r="ZZ620"/>
      <c r="AAA620"/>
      <c r="AAB620"/>
      <c r="AAC620"/>
      <c r="AAD620"/>
      <c r="AAE620"/>
      <c r="AAF620"/>
      <c r="AAG620"/>
      <c r="AAH620"/>
      <c r="AAI620"/>
      <c r="AAJ620"/>
      <c r="AAK620"/>
      <c r="AAL620"/>
      <c r="AAM620"/>
      <c r="AAN620"/>
      <c r="AAO620"/>
      <c r="AAP620"/>
      <c r="AAQ620"/>
      <c r="AAR620"/>
      <c r="AAS620"/>
      <c r="AAT620"/>
      <c r="AAU620"/>
      <c r="AAV620"/>
      <c r="AAW620"/>
      <c r="AAX620"/>
      <c r="AAY620"/>
      <c r="AAZ620"/>
      <c r="ABA620"/>
      <c r="ABB620"/>
      <c r="ABC620"/>
      <c r="ABD620"/>
      <c r="ABE620"/>
      <c r="ABF620"/>
      <c r="ABG620"/>
      <c r="ABH620"/>
      <c r="ABI620"/>
      <c r="ABJ620"/>
      <c r="ABK620"/>
      <c r="ABL620"/>
      <c r="ABM620"/>
      <c r="ABN620"/>
      <c r="ABO620"/>
      <c r="ABP620"/>
      <c r="ABQ620"/>
      <c r="ABR620"/>
      <c r="ABS620"/>
      <c r="ABT620"/>
      <c r="ABU620"/>
      <c r="ABV620"/>
      <c r="ABW620"/>
      <c r="ABX620"/>
      <c r="ABY620"/>
      <c r="ABZ620"/>
      <c r="ACA620"/>
      <c r="ACB620"/>
      <c r="ACC620"/>
      <c r="ACD620"/>
      <c r="ACE620"/>
      <c r="ACF620"/>
      <c r="ACG620"/>
      <c r="ACH620"/>
      <c r="ACI620"/>
      <c r="ACJ620"/>
      <c r="ACK620"/>
      <c r="ACL620"/>
      <c r="ACM620"/>
      <c r="ACN620"/>
      <c r="ACO620"/>
      <c r="ACP620"/>
      <c r="ACQ620"/>
      <c r="ACR620"/>
      <c r="ACS620"/>
      <c r="ACT620"/>
      <c r="ACU620"/>
      <c r="ACV620"/>
      <c r="ACW620"/>
      <c r="ACX620"/>
      <c r="ACY620"/>
      <c r="ACZ620"/>
      <c r="ADA620"/>
      <c r="ADB620"/>
      <c r="ADC620"/>
      <c r="ADD620"/>
      <c r="ADE620"/>
      <c r="ADF620"/>
      <c r="ADG620"/>
      <c r="ADH620"/>
      <c r="ADI620"/>
      <c r="ADJ620"/>
      <c r="ADK620"/>
      <c r="ADL620"/>
      <c r="ADM620"/>
      <c r="ADN620"/>
      <c r="ADO620"/>
      <c r="ADP620"/>
      <c r="ADQ620"/>
      <c r="ADR620"/>
      <c r="ADS620"/>
      <c r="ADT620"/>
      <c r="ADU620"/>
      <c r="ADV620"/>
      <c r="ADW620"/>
      <c r="ADX620"/>
      <c r="ADY620"/>
      <c r="ADZ620"/>
      <c r="AEA620"/>
      <c r="AEB620"/>
      <c r="AEC620"/>
      <c r="AED620"/>
      <c r="AEE620"/>
      <c r="AEF620"/>
      <c r="AEG620"/>
      <c r="AEH620"/>
      <c r="AEI620"/>
      <c r="AEJ620"/>
      <c r="AEK620"/>
      <c r="AEL620"/>
      <c r="AEM620"/>
      <c r="AEN620"/>
      <c r="AEO620"/>
      <c r="AEP620"/>
      <c r="AEQ620"/>
      <c r="AER620"/>
      <c r="AES620"/>
      <c r="AET620"/>
      <c r="AEU620"/>
      <c r="AEV620"/>
      <c r="AEW620"/>
      <c r="AEX620"/>
      <c r="AEY620"/>
      <c r="AEZ620"/>
      <c r="AFA620"/>
      <c r="AFB620"/>
      <c r="AFC620"/>
      <c r="AFD620"/>
      <c r="AFE620"/>
      <c r="AFF620"/>
      <c r="AFG620"/>
      <c r="AFH620"/>
      <c r="AFI620"/>
      <c r="AFJ620"/>
      <c r="AFK620"/>
      <c r="AFL620"/>
      <c r="AFM620"/>
      <c r="AFN620"/>
      <c r="AFO620"/>
      <c r="AFP620"/>
      <c r="AFQ620"/>
      <c r="AFR620"/>
      <c r="AFS620"/>
      <c r="AFT620"/>
      <c r="AFU620"/>
      <c r="AFV620"/>
      <c r="AFW620"/>
      <c r="AFX620"/>
      <c r="AFY620"/>
      <c r="AFZ620"/>
      <c r="AGA620"/>
      <c r="AGB620"/>
      <c r="AGC620"/>
      <c r="AGD620"/>
      <c r="AGE620"/>
      <c r="AGF620"/>
      <c r="AGG620"/>
      <c r="AGH620"/>
      <c r="AGI620"/>
      <c r="AGJ620"/>
      <c r="AGK620"/>
      <c r="AGL620"/>
      <c r="AGM620"/>
      <c r="AGN620"/>
      <c r="AGO620"/>
      <c r="AGP620"/>
      <c r="AGQ620"/>
      <c r="AGR620"/>
      <c r="AGS620"/>
      <c r="AGT620"/>
      <c r="AGU620"/>
      <c r="AGV620"/>
      <c r="AGW620"/>
      <c r="AGX620"/>
      <c r="AGY620"/>
      <c r="AGZ620"/>
      <c r="AHA620"/>
      <c r="AHB620"/>
      <c r="AHC620"/>
      <c r="AHD620"/>
      <c r="AHE620"/>
      <c r="AHF620"/>
      <c r="AHG620"/>
      <c r="AHH620"/>
      <c r="AHI620"/>
      <c r="AHJ620"/>
      <c r="AHK620"/>
      <c r="AHL620"/>
      <c r="AHM620"/>
      <c r="AHN620"/>
      <c r="AHO620"/>
      <c r="AHP620"/>
      <c r="AHQ620"/>
      <c r="AHR620"/>
      <c r="AHS620"/>
      <c r="AHT620"/>
      <c r="AHU620"/>
      <c r="AHV620"/>
      <c r="AHW620"/>
      <c r="AHX620"/>
      <c r="AHY620"/>
      <c r="AHZ620"/>
      <c r="AIA620"/>
      <c r="AIB620"/>
      <c r="AIC620"/>
      <c r="AID620"/>
      <c r="AIE620"/>
      <c r="AIF620"/>
      <c r="AIG620"/>
      <c r="AIH620"/>
      <c r="AII620"/>
      <c r="AIJ620"/>
      <c r="AIK620"/>
      <c r="AIL620"/>
      <c r="AIM620"/>
      <c r="AIN620"/>
      <c r="AIO620"/>
      <c r="AIP620"/>
      <c r="AIQ620"/>
      <c r="AIR620"/>
      <c r="AIS620"/>
      <c r="AIT620"/>
      <c r="AIU620"/>
      <c r="AIV620"/>
      <c r="AIW620"/>
      <c r="AIX620"/>
      <c r="AIY620"/>
      <c r="AIZ620"/>
      <c r="AJA620"/>
      <c r="AJB620"/>
      <c r="AJC620"/>
      <c r="AJD620"/>
      <c r="AJE620"/>
      <c r="AJF620"/>
      <c r="AJG620"/>
      <c r="AJH620"/>
      <c r="AJI620"/>
      <c r="AJJ620"/>
      <c r="AJK620"/>
      <c r="AJL620"/>
      <c r="AJM620"/>
      <c r="AJN620"/>
      <c r="AJO620"/>
      <c r="AJP620"/>
      <c r="AJQ620"/>
      <c r="AJR620"/>
      <c r="AJS620"/>
      <c r="AJT620"/>
      <c r="AJU620"/>
      <c r="AJV620"/>
      <c r="AJW620"/>
      <c r="AJX620"/>
      <c r="AJY620"/>
      <c r="AJZ620"/>
      <c r="AKA620"/>
      <c r="AKB620"/>
      <c r="AKC620"/>
      <c r="AKD620"/>
      <c r="AKE620"/>
      <c r="AKF620"/>
      <c r="AKG620"/>
      <c r="AKH620"/>
      <c r="AKI620"/>
      <c r="AKJ620"/>
      <c r="AKK620"/>
      <c r="AKL620"/>
      <c r="AKM620"/>
      <c r="AKN620"/>
      <c r="AKO620"/>
      <c r="AKP620"/>
      <c r="AKQ620"/>
      <c r="AKR620"/>
      <c r="AKS620"/>
      <c r="AKT620"/>
      <c r="AKU620"/>
      <c r="AKV620"/>
      <c r="AKW620"/>
      <c r="AKX620"/>
      <c r="AKY620"/>
      <c r="AKZ620"/>
      <c r="ALA620"/>
      <c r="ALB620"/>
      <c r="ALC620"/>
      <c r="ALD620"/>
      <c r="ALE620"/>
      <c r="ALF620"/>
      <c r="ALG620"/>
      <c r="ALH620"/>
      <c r="ALI620"/>
      <c r="ALJ620"/>
      <c r="ALK620"/>
      <c r="ALL620"/>
      <c r="ALM620"/>
      <c r="ALN620"/>
      <c r="ALO620"/>
      <c r="ALP620"/>
      <c r="ALQ620"/>
      <c r="ALR620"/>
      <c r="ALS620"/>
      <c r="ALT620"/>
      <c r="ALU620"/>
      <c r="ALV620"/>
      <c r="ALW620"/>
      <c r="ALX620"/>
      <c r="ALY620"/>
      <c r="ALZ620"/>
      <c r="AMA620"/>
      <c r="AMB620"/>
      <c r="AMC620"/>
      <c r="AMD620"/>
    </row>
    <row r="621" spans="1:1018">
      <c r="A621" s="444"/>
      <c r="J621" s="439"/>
      <c r="K621" s="440"/>
      <c r="L621" s="440"/>
      <c r="M621" s="440"/>
      <c r="N621" s="222"/>
      <c r="O621" s="426"/>
      <c r="P621" s="13"/>
      <c r="Q621" s="13"/>
      <c r="R621" s="431"/>
      <c r="S621" s="13"/>
      <c r="T621" s="13"/>
      <c r="U621" s="429"/>
      <c r="V621" s="429"/>
      <c r="W621" s="430"/>
      <c r="X621" s="443"/>
      <c r="Y621" s="443"/>
      <c r="Z621" s="441"/>
      <c r="AA621" s="441"/>
      <c r="AB621" s="441"/>
      <c r="AC621" s="430"/>
      <c r="AD621" s="430"/>
      <c r="AE621" s="430"/>
      <c r="AF621" s="430"/>
      <c r="AG621" s="430"/>
      <c r="AH621" s="430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  <c r="ZY621"/>
      <c r="ZZ621"/>
      <c r="AAA621"/>
      <c r="AAB621"/>
      <c r="AAC621"/>
      <c r="AAD621"/>
      <c r="AAE621"/>
      <c r="AAF621"/>
      <c r="AAG621"/>
      <c r="AAH621"/>
      <c r="AAI621"/>
      <c r="AAJ621"/>
      <c r="AAK621"/>
      <c r="AAL621"/>
      <c r="AAM621"/>
      <c r="AAN621"/>
      <c r="AAO621"/>
      <c r="AAP621"/>
      <c r="AAQ621"/>
      <c r="AAR621"/>
      <c r="AAS621"/>
      <c r="AAT621"/>
      <c r="AAU621"/>
      <c r="AAV621"/>
      <c r="AAW621"/>
      <c r="AAX621"/>
      <c r="AAY621"/>
      <c r="AAZ621"/>
      <c r="ABA621"/>
      <c r="ABB621"/>
      <c r="ABC621"/>
      <c r="ABD621"/>
      <c r="ABE621"/>
      <c r="ABF621"/>
      <c r="ABG621"/>
      <c r="ABH621"/>
      <c r="ABI621"/>
      <c r="ABJ621"/>
      <c r="ABK621"/>
      <c r="ABL621"/>
      <c r="ABM621"/>
      <c r="ABN621"/>
      <c r="ABO621"/>
      <c r="ABP621"/>
      <c r="ABQ621"/>
      <c r="ABR621"/>
      <c r="ABS621"/>
      <c r="ABT621"/>
      <c r="ABU621"/>
      <c r="ABV621"/>
      <c r="ABW621"/>
      <c r="ABX621"/>
      <c r="ABY621"/>
      <c r="ABZ621"/>
      <c r="ACA621"/>
      <c r="ACB621"/>
      <c r="ACC621"/>
      <c r="ACD621"/>
      <c r="ACE621"/>
      <c r="ACF621"/>
      <c r="ACG621"/>
      <c r="ACH621"/>
      <c r="ACI621"/>
      <c r="ACJ621"/>
      <c r="ACK621"/>
      <c r="ACL621"/>
      <c r="ACM621"/>
      <c r="ACN621"/>
      <c r="ACO621"/>
      <c r="ACP621"/>
      <c r="ACQ621"/>
      <c r="ACR621"/>
      <c r="ACS621"/>
      <c r="ACT621"/>
      <c r="ACU621"/>
      <c r="ACV621"/>
      <c r="ACW621"/>
      <c r="ACX621"/>
      <c r="ACY621"/>
      <c r="ACZ621"/>
      <c r="ADA621"/>
      <c r="ADB621"/>
      <c r="ADC621"/>
      <c r="ADD621"/>
      <c r="ADE621"/>
      <c r="ADF621"/>
      <c r="ADG621"/>
      <c r="ADH621"/>
      <c r="ADI621"/>
      <c r="ADJ621"/>
      <c r="ADK621"/>
      <c r="ADL621"/>
      <c r="ADM621"/>
      <c r="ADN621"/>
      <c r="ADO621"/>
      <c r="ADP621"/>
      <c r="ADQ621"/>
      <c r="ADR621"/>
      <c r="ADS621"/>
      <c r="ADT621"/>
      <c r="ADU621"/>
      <c r="ADV621"/>
      <c r="ADW621"/>
      <c r="ADX621"/>
      <c r="ADY621"/>
      <c r="ADZ621"/>
      <c r="AEA621"/>
      <c r="AEB621"/>
      <c r="AEC621"/>
      <c r="AED621"/>
      <c r="AEE621"/>
      <c r="AEF621"/>
      <c r="AEG621"/>
      <c r="AEH621"/>
      <c r="AEI621"/>
      <c r="AEJ621"/>
      <c r="AEK621"/>
      <c r="AEL621"/>
      <c r="AEM621"/>
      <c r="AEN621"/>
      <c r="AEO621"/>
      <c r="AEP621"/>
      <c r="AEQ621"/>
      <c r="AER621"/>
      <c r="AES621"/>
      <c r="AET621"/>
      <c r="AEU621"/>
      <c r="AEV621"/>
      <c r="AEW621"/>
      <c r="AEX621"/>
      <c r="AEY621"/>
      <c r="AEZ621"/>
      <c r="AFA621"/>
      <c r="AFB621"/>
      <c r="AFC621"/>
      <c r="AFD621"/>
      <c r="AFE621"/>
      <c r="AFF621"/>
      <c r="AFG621"/>
      <c r="AFH621"/>
      <c r="AFI621"/>
      <c r="AFJ621"/>
      <c r="AFK621"/>
      <c r="AFL621"/>
      <c r="AFM621"/>
      <c r="AFN621"/>
      <c r="AFO621"/>
      <c r="AFP621"/>
      <c r="AFQ621"/>
      <c r="AFR621"/>
      <c r="AFS621"/>
      <c r="AFT621"/>
      <c r="AFU621"/>
      <c r="AFV621"/>
      <c r="AFW621"/>
      <c r="AFX621"/>
      <c r="AFY621"/>
      <c r="AFZ621"/>
      <c r="AGA621"/>
      <c r="AGB621"/>
      <c r="AGC621"/>
      <c r="AGD621"/>
      <c r="AGE621"/>
      <c r="AGF621"/>
      <c r="AGG621"/>
      <c r="AGH621"/>
      <c r="AGI621"/>
      <c r="AGJ621"/>
      <c r="AGK621"/>
      <c r="AGL621"/>
      <c r="AGM621"/>
      <c r="AGN621"/>
      <c r="AGO621"/>
      <c r="AGP621"/>
      <c r="AGQ621"/>
      <c r="AGR621"/>
      <c r="AGS621"/>
      <c r="AGT621"/>
      <c r="AGU621"/>
      <c r="AGV621"/>
      <c r="AGW621"/>
      <c r="AGX621"/>
      <c r="AGY621"/>
      <c r="AGZ621"/>
      <c r="AHA621"/>
      <c r="AHB621"/>
      <c r="AHC621"/>
      <c r="AHD621"/>
      <c r="AHE621"/>
      <c r="AHF621"/>
      <c r="AHG621"/>
      <c r="AHH621"/>
      <c r="AHI621"/>
      <c r="AHJ621"/>
      <c r="AHK621"/>
      <c r="AHL621"/>
      <c r="AHM621"/>
      <c r="AHN621"/>
      <c r="AHO621"/>
      <c r="AHP621"/>
      <c r="AHQ621"/>
      <c r="AHR621"/>
      <c r="AHS621"/>
      <c r="AHT621"/>
      <c r="AHU621"/>
      <c r="AHV621"/>
      <c r="AHW621"/>
      <c r="AHX621"/>
      <c r="AHY621"/>
      <c r="AHZ621"/>
      <c r="AIA621"/>
      <c r="AIB621"/>
      <c r="AIC621"/>
      <c r="AID621"/>
      <c r="AIE621"/>
      <c r="AIF621"/>
      <c r="AIG621"/>
      <c r="AIH621"/>
      <c r="AII621"/>
      <c r="AIJ621"/>
      <c r="AIK621"/>
      <c r="AIL621"/>
      <c r="AIM621"/>
      <c r="AIN621"/>
      <c r="AIO621"/>
      <c r="AIP621"/>
      <c r="AIQ621"/>
      <c r="AIR621"/>
      <c r="AIS621"/>
      <c r="AIT621"/>
      <c r="AIU621"/>
      <c r="AIV621"/>
      <c r="AIW621"/>
      <c r="AIX621"/>
      <c r="AIY621"/>
      <c r="AIZ621"/>
      <c r="AJA621"/>
      <c r="AJB621"/>
      <c r="AJC621"/>
      <c r="AJD621"/>
      <c r="AJE621"/>
      <c r="AJF621"/>
      <c r="AJG621"/>
      <c r="AJH621"/>
      <c r="AJI621"/>
      <c r="AJJ621"/>
      <c r="AJK621"/>
      <c r="AJL621"/>
      <c r="AJM621"/>
      <c r="AJN621"/>
      <c r="AJO621"/>
      <c r="AJP621"/>
      <c r="AJQ621"/>
      <c r="AJR621"/>
      <c r="AJS621"/>
      <c r="AJT621"/>
      <c r="AJU621"/>
      <c r="AJV621"/>
      <c r="AJW621"/>
      <c r="AJX621"/>
      <c r="AJY621"/>
      <c r="AJZ621"/>
      <c r="AKA621"/>
      <c r="AKB621"/>
      <c r="AKC621"/>
      <c r="AKD621"/>
      <c r="AKE621"/>
      <c r="AKF621"/>
      <c r="AKG621"/>
      <c r="AKH621"/>
      <c r="AKI621"/>
      <c r="AKJ621"/>
      <c r="AKK621"/>
      <c r="AKL621"/>
      <c r="AKM621"/>
      <c r="AKN621"/>
      <c r="AKO621"/>
      <c r="AKP621"/>
      <c r="AKQ621"/>
      <c r="AKR621"/>
      <c r="AKS621"/>
      <c r="AKT621"/>
      <c r="AKU621"/>
      <c r="AKV621"/>
      <c r="AKW621"/>
      <c r="AKX621"/>
      <c r="AKY621"/>
      <c r="AKZ621"/>
      <c r="ALA621"/>
      <c r="ALB621"/>
      <c r="ALC621"/>
      <c r="ALD621"/>
      <c r="ALE621"/>
      <c r="ALF621"/>
      <c r="ALG621"/>
      <c r="ALH621"/>
      <c r="ALI621"/>
      <c r="ALJ621"/>
      <c r="ALK621"/>
      <c r="ALL621"/>
      <c r="ALM621"/>
      <c r="ALN621"/>
      <c r="ALO621"/>
      <c r="ALP621"/>
      <c r="ALQ621"/>
      <c r="ALR621"/>
      <c r="ALS621"/>
      <c r="ALT621"/>
      <c r="ALU621"/>
      <c r="ALV621"/>
      <c r="ALW621"/>
      <c r="ALX621"/>
      <c r="ALY621"/>
      <c r="ALZ621"/>
      <c r="AMA621"/>
      <c r="AMB621"/>
      <c r="AMC621"/>
      <c r="AMD621"/>
    </row>
    <row r="622" spans="1:1018">
      <c r="A622" s="445"/>
      <c r="J622" s="439"/>
      <c r="K622" s="440"/>
      <c r="L622" s="440"/>
      <c r="M622" s="440"/>
      <c r="N622" s="222"/>
      <c r="O622" s="426"/>
      <c r="P622" s="13" t="s">
        <v>1551</v>
      </c>
      <c r="Q622" s="13">
        <v>420</v>
      </c>
      <c r="R622" s="609">
        <f>420*125</f>
        <v>52500</v>
      </c>
      <c r="S622" s="13"/>
      <c r="T622" s="13"/>
      <c r="U622" s="429"/>
      <c r="V622" s="429"/>
      <c r="W622" s="430"/>
      <c r="X622" s="430"/>
      <c r="Y622" s="430"/>
      <c r="Z622" s="430"/>
      <c r="AA622" s="430"/>
      <c r="AB622" s="430"/>
      <c r="AC622" s="430"/>
      <c r="AD622" s="430"/>
      <c r="AE622" s="430"/>
      <c r="AF622" s="430"/>
      <c r="AG622" s="430"/>
      <c r="AH622" s="430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  <c r="ZW622"/>
      <c r="ZX622"/>
      <c r="ZY622"/>
      <c r="ZZ622"/>
      <c r="AAA622"/>
      <c r="AAB622"/>
      <c r="AAC622"/>
      <c r="AAD622"/>
      <c r="AAE622"/>
      <c r="AAF622"/>
      <c r="AAG622"/>
      <c r="AAH622"/>
      <c r="AAI622"/>
      <c r="AAJ622"/>
      <c r="AAK622"/>
      <c r="AAL622"/>
      <c r="AAM622"/>
      <c r="AAN622"/>
      <c r="AAO622"/>
      <c r="AAP622"/>
      <c r="AAQ622"/>
      <c r="AAR622"/>
      <c r="AAS622"/>
      <c r="AAT622"/>
      <c r="AAU622"/>
      <c r="AAV622"/>
      <c r="AAW622"/>
      <c r="AAX622"/>
      <c r="AAY622"/>
      <c r="AAZ622"/>
      <c r="ABA622"/>
      <c r="ABB622"/>
      <c r="ABC622"/>
      <c r="ABD622"/>
      <c r="ABE622"/>
      <c r="ABF622"/>
      <c r="ABG622"/>
      <c r="ABH622"/>
      <c r="ABI622"/>
      <c r="ABJ622"/>
      <c r="ABK622"/>
      <c r="ABL622"/>
      <c r="ABM622"/>
      <c r="ABN622"/>
      <c r="ABO622"/>
      <c r="ABP622"/>
      <c r="ABQ622"/>
      <c r="ABR622"/>
      <c r="ABS622"/>
      <c r="ABT622"/>
      <c r="ABU622"/>
      <c r="ABV622"/>
      <c r="ABW622"/>
      <c r="ABX622"/>
      <c r="ABY622"/>
      <c r="ABZ622"/>
      <c r="ACA622"/>
      <c r="ACB622"/>
      <c r="ACC622"/>
      <c r="ACD622"/>
      <c r="ACE622"/>
      <c r="ACF622"/>
      <c r="ACG622"/>
      <c r="ACH622"/>
      <c r="ACI622"/>
      <c r="ACJ622"/>
      <c r="ACK622"/>
      <c r="ACL622"/>
      <c r="ACM622"/>
      <c r="ACN622"/>
      <c r="ACO622"/>
      <c r="ACP622"/>
      <c r="ACQ622"/>
      <c r="ACR622"/>
      <c r="ACS622"/>
      <c r="ACT622"/>
      <c r="ACU622"/>
      <c r="ACV622"/>
      <c r="ACW622"/>
      <c r="ACX622"/>
      <c r="ACY622"/>
      <c r="ACZ622"/>
      <c r="ADA622"/>
      <c r="ADB622"/>
      <c r="ADC622"/>
      <c r="ADD622"/>
      <c r="ADE622"/>
      <c r="ADF622"/>
      <c r="ADG622"/>
      <c r="ADH622"/>
      <c r="ADI622"/>
      <c r="ADJ622"/>
      <c r="ADK622"/>
      <c r="ADL622"/>
      <c r="ADM622"/>
      <c r="ADN622"/>
      <c r="ADO622"/>
      <c r="ADP622"/>
      <c r="ADQ622"/>
      <c r="ADR622"/>
      <c r="ADS622"/>
      <c r="ADT622"/>
      <c r="ADU622"/>
      <c r="ADV622"/>
      <c r="ADW622"/>
      <c r="ADX622"/>
      <c r="ADY622"/>
      <c r="ADZ622"/>
      <c r="AEA622"/>
      <c r="AEB622"/>
      <c r="AEC622"/>
      <c r="AED622"/>
      <c r="AEE622"/>
      <c r="AEF622"/>
      <c r="AEG622"/>
      <c r="AEH622"/>
      <c r="AEI622"/>
      <c r="AEJ622"/>
      <c r="AEK622"/>
      <c r="AEL622"/>
      <c r="AEM622"/>
      <c r="AEN622"/>
      <c r="AEO622"/>
      <c r="AEP622"/>
      <c r="AEQ622"/>
      <c r="AER622"/>
      <c r="AES622"/>
      <c r="AET622"/>
      <c r="AEU622"/>
      <c r="AEV622"/>
      <c r="AEW622"/>
      <c r="AEX622"/>
      <c r="AEY622"/>
      <c r="AEZ622"/>
      <c r="AFA622"/>
      <c r="AFB622"/>
      <c r="AFC622"/>
      <c r="AFD622"/>
      <c r="AFE622"/>
      <c r="AFF622"/>
      <c r="AFG622"/>
      <c r="AFH622"/>
      <c r="AFI622"/>
      <c r="AFJ622"/>
      <c r="AFK622"/>
      <c r="AFL622"/>
      <c r="AFM622"/>
      <c r="AFN622"/>
      <c r="AFO622"/>
      <c r="AFP622"/>
      <c r="AFQ622"/>
      <c r="AFR622"/>
      <c r="AFS622"/>
      <c r="AFT622"/>
      <c r="AFU622"/>
      <c r="AFV622"/>
      <c r="AFW622"/>
      <c r="AFX622"/>
      <c r="AFY622"/>
      <c r="AFZ622"/>
      <c r="AGA622"/>
      <c r="AGB622"/>
      <c r="AGC622"/>
      <c r="AGD622"/>
      <c r="AGE622"/>
      <c r="AGF622"/>
      <c r="AGG622"/>
      <c r="AGH622"/>
      <c r="AGI622"/>
      <c r="AGJ622"/>
      <c r="AGK622"/>
      <c r="AGL622"/>
      <c r="AGM622"/>
      <c r="AGN622"/>
      <c r="AGO622"/>
      <c r="AGP622"/>
      <c r="AGQ622"/>
      <c r="AGR622"/>
      <c r="AGS622"/>
      <c r="AGT622"/>
      <c r="AGU622"/>
      <c r="AGV622"/>
      <c r="AGW622"/>
      <c r="AGX622"/>
      <c r="AGY622"/>
      <c r="AGZ622"/>
      <c r="AHA622"/>
      <c r="AHB622"/>
      <c r="AHC622"/>
      <c r="AHD622"/>
      <c r="AHE622"/>
      <c r="AHF622"/>
      <c r="AHG622"/>
      <c r="AHH622"/>
      <c r="AHI622"/>
      <c r="AHJ622"/>
      <c r="AHK622"/>
      <c r="AHL622"/>
      <c r="AHM622"/>
      <c r="AHN622"/>
      <c r="AHO622"/>
      <c r="AHP622"/>
      <c r="AHQ622"/>
      <c r="AHR622"/>
      <c r="AHS622"/>
      <c r="AHT622"/>
      <c r="AHU622"/>
      <c r="AHV622"/>
      <c r="AHW622"/>
      <c r="AHX622"/>
      <c r="AHY622"/>
      <c r="AHZ622"/>
      <c r="AIA622"/>
      <c r="AIB622"/>
      <c r="AIC622"/>
      <c r="AID622"/>
      <c r="AIE622"/>
      <c r="AIF622"/>
      <c r="AIG622"/>
      <c r="AIH622"/>
      <c r="AII622"/>
      <c r="AIJ622"/>
      <c r="AIK622"/>
      <c r="AIL622"/>
      <c r="AIM622"/>
      <c r="AIN622"/>
      <c r="AIO622"/>
      <c r="AIP622"/>
      <c r="AIQ622"/>
      <c r="AIR622"/>
      <c r="AIS622"/>
      <c r="AIT622"/>
      <c r="AIU622"/>
      <c r="AIV622"/>
      <c r="AIW622"/>
      <c r="AIX622"/>
      <c r="AIY622"/>
      <c r="AIZ622"/>
      <c r="AJA622"/>
      <c r="AJB622"/>
      <c r="AJC622"/>
      <c r="AJD622"/>
      <c r="AJE622"/>
      <c r="AJF622"/>
      <c r="AJG622"/>
      <c r="AJH622"/>
      <c r="AJI622"/>
      <c r="AJJ622"/>
      <c r="AJK622"/>
      <c r="AJL622"/>
      <c r="AJM622"/>
      <c r="AJN622"/>
      <c r="AJO622"/>
      <c r="AJP622"/>
      <c r="AJQ622"/>
      <c r="AJR622"/>
      <c r="AJS622"/>
      <c r="AJT622"/>
      <c r="AJU622"/>
      <c r="AJV622"/>
      <c r="AJW622"/>
      <c r="AJX622"/>
      <c r="AJY622"/>
      <c r="AJZ622"/>
      <c r="AKA622"/>
      <c r="AKB622"/>
      <c r="AKC622"/>
      <c r="AKD622"/>
      <c r="AKE622"/>
      <c r="AKF622"/>
      <c r="AKG622"/>
      <c r="AKH622"/>
      <c r="AKI622"/>
      <c r="AKJ622"/>
      <c r="AKK622"/>
      <c r="AKL622"/>
      <c r="AKM622"/>
      <c r="AKN622"/>
      <c r="AKO622"/>
      <c r="AKP622"/>
      <c r="AKQ622"/>
      <c r="AKR622"/>
      <c r="AKS622"/>
      <c r="AKT622"/>
      <c r="AKU622"/>
      <c r="AKV622"/>
      <c r="AKW622"/>
      <c r="AKX622"/>
      <c r="AKY622"/>
      <c r="AKZ622"/>
      <c r="ALA622"/>
      <c r="ALB622"/>
      <c r="ALC622"/>
      <c r="ALD622"/>
      <c r="ALE622"/>
      <c r="ALF622"/>
      <c r="ALG622"/>
      <c r="ALH622"/>
      <c r="ALI622"/>
      <c r="ALJ622"/>
      <c r="ALK622"/>
      <c r="ALL622"/>
      <c r="ALM622"/>
      <c r="ALN622"/>
      <c r="ALO622"/>
      <c r="ALP622"/>
      <c r="ALQ622"/>
      <c r="ALR622"/>
      <c r="ALS622"/>
      <c r="ALT622"/>
      <c r="ALU622"/>
      <c r="ALV622"/>
      <c r="ALW622"/>
      <c r="ALX622"/>
      <c r="ALY622"/>
      <c r="ALZ622"/>
      <c r="AMA622"/>
      <c r="AMB622"/>
      <c r="AMC622"/>
      <c r="AMD622"/>
    </row>
    <row r="623" spans="1:1018">
      <c r="A623" s="447"/>
      <c r="B623" s="446"/>
      <c r="C623" s="356"/>
      <c r="D623" s="356"/>
      <c r="J623" s="439"/>
      <c r="K623" s="440"/>
      <c r="L623" s="440"/>
      <c r="M623" s="440"/>
      <c r="N623" s="222"/>
      <c r="O623" s="426"/>
      <c r="P623" s="13" t="s">
        <v>1552</v>
      </c>
      <c r="Q623" s="13"/>
      <c r="R623" s="609">
        <v>375</v>
      </c>
      <c r="S623" s="13"/>
      <c r="T623" s="13"/>
      <c r="U623" s="429"/>
      <c r="V623" s="429"/>
      <c r="W623" s="430"/>
      <c r="X623" s="430"/>
      <c r="Y623" s="430"/>
      <c r="Z623" s="430"/>
      <c r="AA623" s="430"/>
      <c r="AB623" s="430"/>
      <c r="AC623" s="430"/>
      <c r="AD623" s="430"/>
      <c r="AE623" s="430"/>
      <c r="AF623" s="430"/>
      <c r="AG623" s="430"/>
      <c r="AH623" s="430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  <c r="ZY623"/>
      <c r="ZZ623"/>
      <c r="AAA623"/>
      <c r="AAB623"/>
      <c r="AAC623"/>
      <c r="AAD623"/>
      <c r="AAE623"/>
      <c r="AAF623"/>
      <c r="AAG623"/>
      <c r="AAH623"/>
      <c r="AAI623"/>
      <c r="AAJ623"/>
      <c r="AAK623"/>
      <c r="AAL623"/>
      <c r="AAM623"/>
      <c r="AAN623"/>
      <c r="AAO623"/>
      <c r="AAP623"/>
      <c r="AAQ623"/>
      <c r="AAR623"/>
      <c r="AAS623"/>
      <c r="AAT623"/>
      <c r="AAU623"/>
      <c r="AAV623"/>
      <c r="AAW623"/>
      <c r="AAX623"/>
      <c r="AAY623"/>
      <c r="AAZ623"/>
      <c r="ABA623"/>
      <c r="ABB623"/>
      <c r="ABC623"/>
      <c r="ABD623"/>
      <c r="ABE623"/>
      <c r="ABF623"/>
      <c r="ABG623"/>
      <c r="ABH623"/>
      <c r="ABI623"/>
      <c r="ABJ623"/>
      <c r="ABK623"/>
      <c r="ABL623"/>
      <c r="ABM623"/>
      <c r="ABN623"/>
      <c r="ABO623"/>
      <c r="ABP623"/>
      <c r="ABQ623"/>
      <c r="ABR623"/>
      <c r="ABS623"/>
      <c r="ABT623"/>
      <c r="ABU623"/>
      <c r="ABV623"/>
      <c r="ABW623"/>
      <c r="ABX623"/>
      <c r="ABY623"/>
      <c r="ABZ623"/>
      <c r="ACA623"/>
      <c r="ACB623"/>
      <c r="ACC623"/>
      <c r="ACD623"/>
      <c r="ACE623"/>
      <c r="ACF623"/>
      <c r="ACG623"/>
      <c r="ACH623"/>
      <c r="ACI623"/>
      <c r="ACJ623"/>
      <c r="ACK623"/>
      <c r="ACL623"/>
      <c r="ACM623"/>
      <c r="ACN623"/>
      <c r="ACO623"/>
      <c r="ACP623"/>
      <c r="ACQ623"/>
      <c r="ACR623"/>
      <c r="ACS623"/>
      <c r="ACT623"/>
      <c r="ACU623"/>
      <c r="ACV623"/>
      <c r="ACW623"/>
      <c r="ACX623"/>
      <c r="ACY623"/>
      <c r="ACZ623"/>
      <c r="ADA623"/>
      <c r="ADB623"/>
      <c r="ADC623"/>
      <c r="ADD623"/>
      <c r="ADE623"/>
      <c r="ADF623"/>
      <c r="ADG623"/>
      <c r="ADH623"/>
      <c r="ADI623"/>
      <c r="ADJ623"/>
      <c r="ADK623"/>
      <c r="ADL623"/>
      <c r="ADM623"/>
      <c r="ADN623"/>
      <c r="ADO623"/>
      <c r="ADP623"/>
      <c r="ADQ623"/>
      <c r="ADR623"/>
      <c r="ADS623"/>
      <c r="ADT623"/>
      <c r="ADU623"/>
      <c r="ADV623"/>
      <c r="ADW623"/>
      <c r="ADX623"/>
      <c r="ADY623"/>
      <c r="ADZ623"/>
      <c r="AEA623"/>
      <c r="AEB623"/>
      <c r="AEC623"/>
      <c r="AED623"/>
      <c r="AEE623"/>
      <c r="AEF623"/>
      <c r="AEG623"/>
      <c r="AEH623"/>
      <c r="AEI623"/>
      <c r="AEJ623"/>
      <c r="AEK623"/>
      <c r="AEL623"/>
      <c r="AEM623"/>
      <c r="AEN623"/>
      <c r="AEO623"/>
      <c r="AEP623"/>
      <c r="AEQ623"/>
      <c r="AER623"/>
      <c r="AES623"/>
      <c r="AET623"/>
      <c r="AEU623"/>
      <c r="AEV623"/>
      <c r="AEW623"/>
      <c r="AEX623"/>
      <c r="AEY623"/>
      <c r="AEZ623"/>
      <c r="AFA623"/>
      <c r="AFB623"/>
      <c r="AFC623"/>
      <c r="AFD623"/>
      <c r="AFE623"/>
      <c r="AFF623"/>
      <c r="AFG623"/>
      <c r="AFH623"/>
      <c r="AFI623"/>
      <c r="AFJ623"/>
      <c r="AFK623"/>
      <c r="AFL623"/>
      <c r="AFM623"/>
      <c r="AFN623"/>
      <c r="AFO623"/>
      <c r="AFP623"/>
      <c r="AFQ623"/>
      <c r="AFR623"/>
      <c r="AFS623"/>
      <c r="AFT623"/>
      <c r="AFU623"/>
      <c r="AFV623"/>
      <c r="AFW623"/>
      <c r="AFX623"/>
      <c r="AFY623"/>
      <c r="AFZ623"/>
      <c r="AGA623"/>
      <c r="AGB623"/>
      <c r="AGC623"/>
      <c r="AGD623"/>
      <c r="AGE623"/>
      <c r="AGF623"/>
      <c r="AGG623"/>
      <c r="AGH623"/>
      <c r="AGI623"/>
      <c r="AGJ623"/>
      <c r="AGK623"/>
      <c r="AGL623"/>
      <c r="AGM623"/>
      <c r="AGN623"/>
      <c r="AGO623"/>
      <c r="AGP623"/>
      <c r="AGQ623"/>
      <c r="AGR623"/>
      <c r="AGS623"/>
      <c r="AGT623"/>
      <c r="AGU623"/>
      <c r="AGV623"/>
      <c r="AGW623"/>
      <c r="AGX623"/>
      <c r="AGY623"/>
      <c r="AGZ623"/>
      <c r="AHA623"/>
      <c r="AHB623"/>
      <c r="AHC623"/>
      <c r="AHD623"/>
      <c r="AHE623"/>
      <c r="AHF623"/>
      <c r="AHG623"/>
      <c r="AHH623"/>
      <c r="AHI623"/>
      <c r="AHJ623"/>
      <c r="AHK623"/>
      <c r="AHL623"/>
      <c r="AHM623"/>
      <c r="AHN623"/>
      <c r="AHO623"/>
      <c r="AHP623"/>
      <c r="AHQ623"/>
      <c r="AHR623"/>
      <c r="AHS623"/>
      <c r="AHT623"/>
      <c r="AHU623"/>
      <c r="AHV623"/>
      <c r="AHW623"/>
      <c r="AHX623"/>
      <c r="AHY623"/>
      <c r="AHZ623"/>
      <c r="AIA623"/>
      <c r="AIB623"/>
      <c r="AIC623"/>
      <c r="AID623"/>
      <c r="AIE623"/>
      <c r="AIF623"/>
      <c r="AIG623"/>
      <c r="AIH623"/>
      <c r="AII623"/>
      <c r="AIJ623"/>
      <c r="AIK623"/>
      <c r="AIL623"/>
      <c r="AIM623"/>
      <c r="AIN623"/>
      <c r="AIO623"/>
      <c r="AIP623"/>
      <c r="AIQ623"/>
      <c r="AIR623"/>
      <c r="AIS623"/>
      <c r="AIT623"/>
      <c r="AIU623"/>
      <c r="AIV623"/>
      <c r="AIW623"/>
      <c r="AIX623"/>
      <c r="AIY623"/>
      <c r="AIZ623"/>
      <c r="AJA623"/>
      <c r="AJB623"/>
      <c r="AJC623"/>
      <c r="AJD623"/>
      <c r="AJE623"/>
      <c r="AJF623"/>
      <c r="AJG623"/>
      <c r="AJH623"/>
      <c r="AJI623"/>
      <c r="AJJ623"/>
      <c r="AJK623"/>
      <c r="AJL623"/>
      <c r="AJM623"/>
      <c r="AJN623"/>
      <c r="AJO623"/>
      <c r="AJP623"/>
      <c r="AJQ623"/>
      <c r="AJR623"/>
      <c r="AJS623"/>
      <c r="AJT623"/>
      <c r="AJU623"/>
      <c r="AJV623"/>
      <c r="AJW623"/>
      <c r="AJX623"/>
      <c r="AJY623"/>
      <c r="AJZ623"/>
      <c r="AKA623"/>
      <c r="AKB623"/>
      <c r="AKC623"/>
      <c r="AKD623"/>
      <c r="AKE623"/>
      <c r="AKF623"/>
      <c r="AKG623"/>
      <c r="AKH623"/>
      <c r="AKI623"/>
      <c r="AKJ623"/>
      <c r="AKK623"/>
      <c r="AKL623"/>
      <c r="AKM623"/>
      <c r="AKN623"/>
      <c r="AKO623"/>
      <c r="AKP623"/>
      <c r="AKQ623"/>
      <c r="AKR623"/>
      <c r="AKS623"/>
      <c r="AKT623"/>
      <c r="AKU623"/>
      <c r="AKV623"/>
      <c r="AKW623"/>
      <c r="AKX623"/>
      <c r="AKY623"/>
      <c r="AKZ623"/>
      <c r="ALA623"/>
      <c r="ALB623"/>
      <c r="ALC623"/>
      <c r="ALD623"/>
      <c r="ALE623"/>
      <c r="ALF623"/>
      <c r="ALG623"/>
      <c r="ALH623"/>
      <c r="ALI623"/>
      <c r="ALJ623"/>
      <c r="ALK623"/>
      <c r="ALL623"/>
      <c r="ALM623"/>
      <c r="ALN623"/>
      <c r="ALO623"/>
      <c r="ALP623"/>
      <c r="ALQ623"/>
      <c r="ALR623"/>
      <c r="ALS623"/>
      <c r="ALT623"/>
      <c r="ALU623"/>
      <c r="ALV623"/>
      <c r="ALW623"/>
      <c r="ALX623"/>
      <c r="ALY623"/>
      <c r="ALZ623"/>
      <c r="AMA623"/>
      <c r="AMB623"/>
      <c r="AMC623"/>
      <c r="AMD623"/>
    </row>
    <row r="624" spans="1:1018">
      <c r="A624" s="447"/>
      <c r="B624" s="446"/>
      <c r="C624" s="356"/>
      <c r="D624" s="356"/>
      <c r="F624" s="448"/>
      <c r="G624" s="385"/>
      <c r="J624" s="439"/>
      <c r="K624" s="440"/>
      <c r="L624" s="440"/>
      <c r="M624" s="440"/>
      <c r="N624" s="222"/>
      <c r="O624" s="426"/>
      <c r="P624" s="13"/>
      <c r="Q624" s="13"/>
      <c r="R624" s="609">
        <f>SUM(R622:R623)</f>
        <v>52875</v>
      </c>
      <c r="S624" s="13"/>
      <c r="T624" s="13"/>
      <c r="U624" s="429"/>
      <c r="V624" s="429"/>
      <c r="W624" s="430"/>
      <c r="X624" s="430"/>
      <c r="Y624" s="430"/>
      <c r="Z624" s="430"/>
      <c r="AA624" s="430"/>
      <c r="AB624" s="430"/>
      <c r="AC624" s="430"/>
      <c r="AD624" s="430"/>
      <c r="AE624" s="430"/>
      <c r="AF624" s="430"/>
      <c r="AG624" s="430"/>
      <c r="AH624" s="430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  <c r="ZW624"/>
      <c r="ZX624"/>
      <c r="ZY624"/>
      <c r="ZZ624"/>
      <c r="AAA624"/>
      <c r="AAB624"/>
      <c r="AAC624"/>
      <c r="AAD624"/>
      <c r="AAE624"/>
      <c r="AAF624"/>
      <c r="AAG624"/>
      <c r="AAH624"/>
      <c r="AAI624"/>
      <c r="AAJ624"/>
      <c r="AAK624"/>
      <c r="AAL624"/>
      <c r="AAM624"/>
      <c r="AAN624"/>
      <c r="AAO624"/>
      <c r="AAP624"/>
      <c r="AAQ624"/>
      <c r="AAR624"/>
      <c r="AAS624"/>
      <c r="AAT624"/>
      <c r="AAU624"/>
      <c r="AAV624"/>
      <c r="AAW624"/>
      <c r="AAX624"/>
      <c r="AAY624"/>
      <c r="AAZ624"/>
      <c r="ABA624"/>
      <c r="ABB624"/>
      <c r="ABC624"/>
      <c r="ABD624"/>
      <c r="ABE624"/>
      <c r="ABF624"/>
      <c r="ABG624"/>
      <c r="ABH624"/>
      <c r="ABI624"/>
      <c r="ABJ624"/>
      <c r="ABK624"/>
      <c r="ABL624"/>
      <c r="ABM624"/>
      <c r="ABN624"/>
      <c r="ABO624"/>
      <c r="ABP624"/>
      <c r="ABQ624"/>
      <c r="ABR624"/>
      <c r="ABS624"/>
      <c r="ABT624"/>
      <c r="ABU624"/>
      <c r="ABV624"/>
      <c r="ABW624"/>
      <c r="ABX624"/>
      <c r="ABY624"/>
      <c r="ABZ624"/>
      <c r="ACA624"/>
      <c r="ACB624"/>
      <c r="ACC624"/>
      <c r="ACD624"/>
      <c r="ACE624"/>
      <c r="ACF624"/>
      <c r="ACG624"/>
      <c r="ACH624"/>
      <c r="ACI624"/>
      <c r="ACJ624"/>
      <c r="ACK624"/>
      <c r="ACL624"/>
      <c r="ACM624"/>
      <c r="ACN624"/>
      <c r="ACO624"/>
      <c r="ACP624"/>
      <c r="ACQ624"/>
      <c r="ACR624"/>
      <c r="ACS624"/>
      <c r="ACT624"/>
      <c r="ACU624"/>
      <c r="ACV624"/>
      <c r="ACW624"/>
      <c r="ACX624"/>
      <c r="ACY624"/>
      <c r="ACZ624"/>
      <c r="ADA624"/>
      <c r="ADB624"/>
      <c r="ADC624"/>
      <c r="ADD624"/>
      <c r="ADE624"/>
      <c r="ADF624"/>
      <c r="ADG624"/>
      <c r="ADH624"/>
      <c r="ADI624"/>
      <c r="ADJ624"/>
      <c r="ADK624"/>
      <c r="ADL624"/>
      <c r="ADM624"/>
      <c r="ADN624"/>
      <c r="ADO624"/>
      <c r="ADP624"/>
      <c r="ADQ624"/>
      <c r="ADR624"/>
      <c r="ADS624"/>
      <c r="ADT624"/>
      <c r="ADU624"/>
      <c r="ADV624"/>
      <c r="ADW624"/>
      <c r="ADX624"/>
      <c r="ADY624"/>
      <c r="ADZ624"/>
      <c r="AEA624"/>
      <c r="AEB624"/>
      <c r="AEC624"/>
      <c r="AED624"/>
      <c r="AEE624"/>
      <c r="AEF624"/>
      <c r="AEG624"/>
      <c r="AEH624"/>
      <c r="AEI624"/>
      <c r="AEJ624"/>
      <c r="AEK624"/>
      <c r="AEL624"/>
      <c r="AEM624"/>
      <c r="AEN624"/>
      <c r="AEO624"/>
      <c r="AEP624"/>
      <c r="AEQ624"/>
      <c r="AER624"/>
      <c r="AES624"/>
      <c r="AET624"/>
      <c r="AEU624"/>
      <c r="AEV624"/>
      <c r="AEW624"/>
      <c r="AEX624"/>
      <c r="AEY624"/>
      <c r="AEZ624"/>
      <c r="AFA624"/>
      <c r="AFB624"/>
      <c r="AFC624"/>
      <c r="AFD624"/>
      <c r="AFE624"/>
      <c r="AFF624"/>
      <c r="AFG624"/>
      <c r="AFH624"/>
      <c r="AFI624"/>
      <c r="AFJ624"/>
      <c r="AFK624"/>
      <c r="AFL624"/>
      <c r="AFM624"/>
      <c r="AFN624"/>
      <c r="AFO624"/>
      <c r="AFP624"/>
      <c r="AFQ624"/>
      <c r="AFR624"/>
      <c r="AFS624"/>
      <c r="AFT624"/>
      <c r="AFU624"/>
      <c r="AFV624"/>
      <c r="AFW624"/>
      <c r="AFX624"/>
      <c r="AFY624"/>
      <c r="AFZ624"/>
      <c r="AGA624"/>
      <c r="AGB624"/>
      <c r="AGC624"/>
      <c r="AGD624"/>
      <c r="AGE624"/>
      <c r="AGF624"/>
      <c r="AGG624"/>
      <c r="AGH624"/>
      <c r="AGI624"/>
      <c r="AGJ624"/>
      <c r="AGK624"/>
      <c r="AGL624"/>
      <c r="AGM624"/>
      <c r="AGN624"/>
      <c r="AGO624"/>
      <c r="AGP624"/>
      <c r="AGQ624"/>
      <c r="AGR624"/>
      <c r="AGS624"/>
      <c r="AGT624"/>
      <c r="AGU624"/>
      <c r="AGV624"/>
      <c r="AGW624"/>
      <c r="AGX624"/>
      <c r="AGY624"/>
      <c r="AGZ624"/>
      <c r="AHA624"/>
      <c r="AHB624"/>
      <c r="AHC624"/>
      <c r="AHD624"/>
      <c r="AHE624"/>
      <c r="AHF624"/>
      <c r="AHG624"/>
      <c r="AHH624"/>
      <c r="AHI624"/>
      <c r="AHJ624"/>
      <c r="AHK624"/>
      <c r="AHL624"/>
      <c r="AHM624"/>
      <c r="AHN624"/>
      <c r="AHO624"/>
      <c r="AHP624"/>
      <c r="AHQ624"/>
      <c r="AHR624"/>
      <c r="AHS624"/>
      <c r="AHT624"/>
      <c r="AHU624"/>
      <c r="AHV624"/>
      <c r="AHW624"/>
      <c r="AHX624"/>
      <c r="AHY624"/>
      <c r="AHZ624"/>
      <c r="AIA624"/>
      <c r="AIB624"/>
      <c r="AIC624"/>
      <c r="AID624"/>
      <c r="AIE624"/>
      <c r="AIF624"/>
      <c r="AIG624"/>
      <c r="AIH624"/>
      <c r="AII624"/>
      <c r="AIJ624"/>
      <c r="AIK624"/>
      <c r="AIL624"/>
      <c r="AIM624"/>
      <c r="AIN624"/>
      <c r="AIO624"/>
      <c r="AIP624"/>
      <c r="AIQ624"/>
      <c r="AIR624"/>
      <c r="AIS624"/>
      <c r="AIT624"/>
      <c r="AIU624"/>
      <c r="AIV624"/>
      <c r="AIW624"/>
      <c r="AIX624"/>
      <c r="AIY624"/>
      <c r="AIZ624"/>
      <c r="AJA624"/>
      <c r="AJB624"/>
      <c r="AJC624"/>
      <c r="AJD624"/>
      <c r="AJE624"/>
      <c r="AJF624"/>
      <c r="AJG624"/>
      <c r="AJH624"/>
      <c r="AJI624"/>
      <c r="AJJ624"/>
      <c r="AJK624"/>
      <c r="AJL624"/>
      <c r="AJM624"/>
      <c r="AJN624"/>
      <c r="AJO624"/>
      <c r="AJP624"/>
      <c r="AJQ624"/>
      <c r="AJR624"/>
      <c r="AJS624"/>
      <c r="AJT624"/>
      <c r="AJU624"/>
      <c r="AJV624"/>
      <c r="AJW624"/>
      <c r="AJX624"/>
      <c r="AJY624"/>
      <c r="AJZ624"/>
      <c r="AKA624"/>
      <c r="AKB624"/>
      <c r="AKC624"/>
      <c r="AKD624"/>
      <c r="AKE624"/>
      <c r="AKF624"/>
      <c r="AKG624"/>
      <c r="AKH624"/>
      <c r="AKI624"/>
      <c r="AKJ624"/>
      <c r="AKK624"/>
      <c r="AKL624"/>
      <c r="AKM624"/>
      <c r="AKN624"/>
      <c r="AKO624"/>
      <c r="AKP624"/>
      <c r="AKQ624"/>
      <c r="AKR624"/>
      <c r="AKS624"/>
      <c r="AKT624"/>
      <c r="AKU624"/>
      <c r="AKV624"/>
      <c r="AKW624"/>
      <c r="AKX624"/>
      <c r="AKY624"/>
      <c r="AKZ624"/>
      <c r="ALA624"/>
      <c r="ALB624"/>
      <c r="ALC624"/>
      <c r="ALD624"/>
      <c r="ALE624"/>
      <c r="ALF624"/>
      <c r="ALG624"/>
      <c r="ALH624"/>
      <c r="ALI624"/>
      <c r="ALJ624"/>
      <c r="ALK624"/>
      <c r="ALL624"/>
      <c r="ALM624"/>
      <c r="ALN624"/>
      <c r="ALO624"/>
      <c r="ALP624"/>
      <c r="ALQ624"/>
      <c r="ALR624"/>
      <c r="ALS624"/>
      <c r="ALT624"/>
      <c r="ALU624"/>
      <c r="ALV624"/>
      <c r="ALW624"/>
      <c r="ALX624"/>
      <c r="ALY624"/>
      <c r="ALZ624"/>
      <c r="AMA624"/>
      <c r="AMB624"/>
      <c r="AMC624"/>
      <c r="AMD624"/>
    </row>
    <row r="625" spans="1:1018">
      <c r="J625" s="439"/>
      <c r="K625" s="440"/>
      <c r="L625" s="440"/>
      <c r="M625" s="440"/>
      <c r="N625" s="222"/>
      <c r="O625" s="426"/>
      <c r="P625" s="13"/>
      <c r="Q625" s="13"/>
      <c r="R625" s="431"/>
      <c r="S625" s="13"/>
      <c r="T625" s="13"/>
      <c r="U625" s="429"/>
      <c r="V625" s="429"/>
      <c r="W625" s="430"/>
      <c r="X625" s="430"/>
      <c r="Y625" s="430"/>
      <c r="Z625" s="430"/>
      <c r="AA625" s="430"/>
      <c r="AB625" s="430"/>
      <c r="AC625" s="430"/>
      <c r="AD625" s="430"/>
      <c r="AE625" s="430"/>
      <c r="AF625" s="430"/>
      <c r="AG625" s="430"/>
      <c r="AH625" s="430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  <c r="ZW625"/>
      <c r="ZX625"/>
      <c r="ZY625"/>
      <c r="ZZ625"/>
      <c r="AAA625"/>
      <c r="AAB625"/>
      <c r="AAC625"/>
      <c r="AAD625"/>
      <c r="AAE625"/>
      <c r="AAF625"/>
      <c r="AAG625"/>
      <c r="AAH625"/>
      <c r="AAI625"/>
      <c r="AAJ625"/>
      <c r="AAK625"/>
      <c r="AAL625"/>
      <c r="AAM625"/>
      <c r="AAN625"/>
      <c r="AAO625"/>
      <c r="AAP625"/>
      <c r="AAQ625"/>
      <c r="AAR625"/>
      <c r="AAS625"/>
      <c r="AAT625"/>
      <c r="AAU625"/>
      <c r="AAV625"/>
      <c r="AAW625"/>
      <c r="AAX625"/>
      <c r="AAY625"/>
      <c r="AAZ625"/>
      <c r="ABA625"/>
      <c r="ABB625"/>
      <c r="ABC625"/>
      <c r="ABD625"/>
      <c r="ABE625"/>
      <c r="ABF625"/>
      <c r="ABG625"/>
      <c r="ABH625"/>
      <c r="ABI625"/>
      <c r="ABJ625"/>
      <c r="ABK625"/>
      <c r="ABL625"/>
      <c r="ABM625"/>
      <c r="ABN625"/>
      <c r="ABO625"/>
      <c r="ABP625"/>
      <c r="ABQ625"/>
      <c r="ABR625"/>
      <c r="ABS625"/>
      <c r="ABT625"/>
      <c r="ABU625"/>
      <c r="ABV625"/>
      <c r="ABW625"/>
      <c r="ABX625"/>
      <c r="ABY625"/>
      <c r="ABZ625"/>
      <c r="ACA625"/>
      <c r="ACB625"/>
      <c r="ACC625"/>
      <c r="ACD625"/>
      <c r="ACE625"/>
      <c r="ACF625"/>
      <c r="ACG625"/>
      <c r="ACH625"/>
      <c r="ACI625"/>
      <c r="ACJ625"/>
      <c r="ACK625"/>
      <c r="ACL625"/>
      <c r="ACM625"/>
      <c r="ACN625"/>
      <c r="ACO625"/>
      <c r="ACP625"/>
      <c r="ACQ625"/>
      <c r="ACR625"/>
      <c r="ACS625"/>
      <c r="ACT625"/>
      <c r="ACU625"/>
      <c r="ACV625"/>
      <c r="ACW625"/>
      <c r="ACX625"/>
      <c r="ACY625"/>
      <c r="ACZ625"/>
      <c r="ADA625"/>
      <c r="ADB625"/>
      <c r="ADC625"/>
      <c r="ADD625"/>
      <c r="ADE625"/>
      <c r="ADF625"/>
      <c r="ADG625"/>
      <c r="ADH625"/>
      <c r="ADI625"/>
      <c r="ADJ625"/>
      <c r="ADK625"/>
      <c r="ADL625"/>
      <c r="ADM625"/>
      <c r="ADN625"/>
      <c r="ADO625"/>
      <c r="ADP625"/>
      <c r="ADQ625"/>
      <c r="ADR625"/>
      <c r="ADS625"/>
      <c r="ADT625"/>
      <c r="ADU625"/>
      <c r="ADV625"/>
      <c r="ADW625"/>
      <c r="ADX625"/>
      <c r="ADY625"/>
      <c r="ADZ625"/>
      <c r="AEA625"/>
      <c r="AEB625"/>
      <c r="AEC625"/>
      <c r="AED625"/>
      <c r="AEE625"/>
      <c r="AEF625"/>
      <c r="AEG625"/>
      <c r="AEH625"/>
      <c r="AEI625"/>
      <c r="AEJ625"/>
      <c r="AEK625"/>
      <c r="AEL625"/>
      <c r="AEM625"/>
      <c r="AEN625"/>
      <c r="AEO625"/>
      <c r="AEP625"/>
      <c r="AEQ625"/>
      <c r="AER625"/>
      <c r="AES625"/>
      <c r="AET625"/>
      <c r="AEU625"/>
      <c r="AEV625"/>
      <c r="AEW625"/>
      <c r="AEX625"/>
      <c r="AEY625"/>
      <c r="AEZ625"/>
      <c r="AFA625"/>
      <c r="AFB625"/>
      <c r="AFC625"/>
      <c r="AFD625"/>
      <c r="AFE625"/>
      <c r="AFF625"/>
      <c r="AFG625"/>
      <c r="AFH625"/>
      <c r="AFI625"/>
      <c r="AFJ625"/>
      <c r="AFK625"/>
      <c r="AFL625"/>
      <c r="AFM625"/>
      <c r="AFN625"/>
      <c r="AFO625"/>
      <c r="AFP625"/>
      <c r="AFQ625"/>
      <c r="AFR625"/>
      <c r="AFS625"/>
      <c r="AFT625"/>
      <c r="AFU625"/>
      <c r="AFV625"/>
      <c r="AFW625"/>
      <c r="AFX625"/>
      <c r="AFY625"/>
      <c r="AFZ625"/>
      <c r="AGA625"/>
      <c r="AGB625"/>
      <c r="AGC625"/>
      <c r="AGD625"/>
      <c r="AGE625"/>
      <c r="AGF625"/>
      <c r="AGG625"/>
      <c r="AGH625"/>
      <c r="AGI625"/>
      <c r="AGJ625"/>
      <c r="AGK625"/>
      <c r="AGL625"/>
      <c r="AGM625"/>
      <c r="AGN625"/>
      <c r="AGO625"/>
      <c r="AGP625"/>
      <c r="AGQ625"/>
      <c r="AGR625"/>
      <c r="AGS625"/>
      <c r="AGT625"/>
      <c r="AGU625"/>
      <c r="AGV625"/>
      <c r="AGW625"/>
      <c r="AGX625"/>
      <c r="AGY625"/>
      <c r="AGZ625"/>
      <c r="AHA625"/>
      <c r="AHB625"/>
      <c r="AHC625"/>
      <c r="AHD625"/>
      <c r="AHE625"/>
      <c r="AHF625"/>
      <c r="AHG625"/>
      <c r="AHH625"/>
      <c r="AHI625"/>
      <c r="AHJ625"/>
      <c r="AHK625"/>
      <c r="AHL625"/>
      <c r="AHM625"/>
      <c r="AHN625"/>
      <c r="AHO625"/>
      <c r="AHP625"/>
      <c r="AHQ625"/>
      <c r="AHR625"/>
      <c r="AHS625"/>
      <c r="AHT625"/>
      <c r="AHU625"/>
      <c r="AHV625"/>
      <c r="AHW625"/>
      <c r="AHX625"/>
      <c r="AHY625"/>
      <c r="AHZ625"/>
      <c r="AIA625"/>
      <c r="AIB625"/>
      <c r="AIC625"/>
      <c r="AID625"/>
      <c r="AIE625"/>
      <c r="AIF625"/>
      <c r="AIG625"/>
      <c r="AIH625"/>
      <c r="AII625"/>
      <c r="AIJ625"/>
      <c r="AIK625"/>
      <c r="AIL625"/>
      <c r="AIM625"/>
      <c r="AIN625"/>
      <c r="AIO625"/>
      <c r="AIP625"/>
      <c r="AIQ625"/>
      <c r="AIR625"/>
      <c r="AIS625"/>
      <c r="AIT625"/>
      <c r="AIU625"/>
      <c r="AIV625"/>
      <c r="AIW625"/>
      <c r="AIX625"/>
      <c r="AIY625"/>
      <c r="AIZ625"/>
      <c r="AJA625"/>
      <c r="AJB625"/>
      <c r="AJC625"/>
      <c r="AJD625"/>
      <c r="AJE625"/>
      <c r="AJF625"/>
      <c r="AJG625"/>
      <c r="AJH625"/>
      <c r="AJI625"/>
      <c r="AJJ625"/>
      <c r="AJK625"/>
      <c r="AJL625"/>
      <c r="AJM625"/>
      <c r="AJN625"/>
      <c r="AJO625"/>
      <c r="AJP625"/>
      <c r="AJQ625"/>
      <c r="AJR625"/>
      <c r="AJS625"/>
      <c r="AJT625"/>
      <c r="AJU625"/>
      <c r="AJV625"/>
      <c r="AJW625"/>
      <c r="AJX625"/>
      <c r="AJY625"/>
      <c r="AJZ625"/>
      <c r="AKA625"/>
      <c r="AKB625"/>
      <c r="AKC625"/>
      <c r="AKD625"/>
      <c r="AKE625"/>
      <c r="AKF625"/>
      <c r="AKG625"/>
      <c r="AKH625"/>
      <c r="AKI625"/>
      <c r="AKJ625"/>
      <c r="AKK625"/>
      <c r="AKL625"/>
      <c r="AKM625"/>
      <c r="AKN625"/>
      <c r="AKO625"/>
      <c r="AKP625"/>
      <c r="AKQ625"/>
      <c r="AKR625"/>
      <c r="AKS625"/>
      <c r="AKT625"/>
      <c r="AKU625"/>
      <c r="AKV625"/>
      <c r="AKW625"/>
      <c r="AKX625"/>
      <c r="AKY625"/>
      <c r="AKZ625"/>
      <c r="ALA625"/>
      <c r="ALB625"/>
      <c r="ALC625"/>
      <c r="ALD625"/>
      <c r="ALE625"/>
      <c r="ALF625"/>
      <c r="ALG625"/>
      <c r="ALH625"/>
      <c r="ALI625"/>
      <c r="ALJ625"/>
      <c r="ALK625"/>
      <c r="ALL625"/>
      <c r="ALM625"/>
      <c r="ALN625"/>
      <c r="ALO625"/>
      <c r="ALP625"/>
      <c r="ALQ625"/>
      <c r="ALR625"/>
      <c r="ALS625"/>
      <c r="ALT625"/>
      <c r="ALU625"/>
      <c r="ALV625"/>
      <c r="ALW625"/>
      <c r="ALX625"/>
      <c r="ALY625"/>
      <c r="ALZ625"/>
      <c r="AMA625"/>
      <c r="AMB625"/>
      <c r="AMC625"/>
      <c r="AMD625"/>
    </row>
    <row r="626" spans="1:1018">
      <c r="A626" s="356"/>
      <c r="B626" s="356"/>
      <c r="C626" s="356"/>
      <c r="D626" s="356"/>
      <c r="F626" s="448"/>
      <c r="J626" s="439"/>
      <c r="K626" s="440"/>
      <c r="L626" s="440"/>
      <c r="M626" s="440"/>
      <c r="N626" s="222"/>
      <c r="O626" s="426"/>
      <c r="P626" s="13"/>
      <c r="Q626" s="13"/>
      <c r="R626" s="431"/>
      <c r="S626" s="13"/>
      <c r="T626" s="13"/>
      <c r="U626" s="429"/>
      <c r="V626" s="429"/>
      <c r="W626" s="430"/>
      <c r="X626" s="430"/>
      <c r="Y626" s="441"/>
      <c r="Z626" s="441"/>
      <c r="AA626" s="441"/>
      <c r="AB626" s="430"/>
      <c r="AC626" s="430"/>
      <c r="AD626" s="430"/>
      <c r="AE626" s="430"/>
      <c r="AF626" s="430"/>
      <c r="AG626" s="430"/>
      <c r="AH626" s="430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  <c r="ZW626"/>
      <c r="ZX626"/>
      <c r="ZY626"/>
      <c r="ZZ626"/>
      <c r="AAA626"/>
      <c r="AAB626"/>
      <c r="AAC626"/>
      <c r="AAD626"/>
      <c r="AAE626"/>
      <c r="AAF626"/>
      <c r="AAG626"/>
      <c r="AAH626"/>
      <c r="AAI626"/>
      <c r="AAJ626"/>
      <c r="AAK626"/>
      <c r="AAL626"/>
      <c r="AAM626"/>
      <c r="AAN626"/>
      <c r="AAO626"/>
      <c r="AAP626"/>
      <c r="AAQ626"/>
      <c r="AAR626"/>
      <c r="AAS626"/>
      <c r="AAT626"/>
      <c r="AAU626"/>
      <c r="AAV626"/>
      <c r="AAW626"/>
      <c r="AAX626"/>
      <c r="AAY626"/>
      <c r="AAZ626"/>
      <c r="ABA626"/>
      <c r="ABB626"/>
      <c r="ABC626"/>
      <c r="ABD626"/>
      <c r="ABE626"/>
      <c r="ABF626"/>
      <c r="ABG626"/>
      <c r="ABH626"/>
      <c r="ABI626"/>
      <c r="ABJ626"/>
      <c r="ABK626"/>
      <c r="ABL626"/>
      <c r="ABM626"/>
      <c r="ABN626"/>
      <c r="ABO626"/>
      <c r="ABP626"/>
      <c r="ABQ626"/>
      <c r="ABR626"/>
      <c r="ABS626"/>
      <c r="ABT626"/>
      <c r="ABU626"/>
      <c r="ABV626"/>
      <c r="ABW626"/>
      <c r="ABX626"/>
      <c r="ABY626"/>
      <c r="ABZ626"/>
      <c r="ACA626"/>
      <c r="ACB626"/>
      <c r="ACC626"/>
      <c r="ACD626"/>
      <c r="ACE626"/>
      <c r="ACF626"/>
      <c r="ACG626"/>
      <c r="ACH626"/>
      <c r="ACI626"/>
      <c r="ACJ626"/>
      <c r="ACK626"/>
      <c r="ACL626"/>
      <c r="ACM626"/>
      <c r="ACN626"/>
      <c r="ACO626"/>
      <c r="ACP626"/>
      <c r="ACQ626"/>
      <c r="ACR626"/>
      <c r="ACS626"/>
      <c r="ACT626"/>
      <c r="ACU626"/>
      <c r="ACV626"/>
      <c r="ACW626"/>
      <c r="ACX626"/>
      <c r="ACY626"/>
      <c r="ACZ626"/>
      <c r="ADA626"/>
      <c r="ADB626"/>
      <c r="ADC626"/>
      <c r="ADD626"/>
      <c r="ADE626"/>
      <c r="ADF626"/>
      <c r="ADG626"/>
      <c r="ADH626"/>
      <c r="ADI626"/>
      <c r="ADJ626"/>
      <c r="ADK626"/>
      <c r="ADL626"/>
      <c r="ADM626"/>
      <c r="ADN626"/>
      <c r="ADO626"/>
      <c r="ADP626"/>
      <c r="ADQ626"/>
      <c r="ADR626"/>
      <c r="ADS626"/>
      <c r="ADT626"/>
      <c r="ADU626"/>
      <c r="ADV626"/>
      <c r="ADW626"/>
      <c r="ADX626"/>
      <c r="ADY626"/>
      <c r="ADZ626"/>
      <c r="AEA626"/>
      <c r="AEB626"/>
      <c r="AEC626"/>
      <c r="AED626"/>
      <c r="AEE626"/>
      <c r="AEF626"/>
      <c r="AEG626"/>
      <c r="AEH626"/>
      <c r="AEI626"/>
      <c r="AEJ626"/>
      <c r="AEK626"/>
      <c r="AEL626"/>
      <c r="AEM626"/>
      <c r="AEN626"/>
      <c r="AEO626"/>
      <c r="AEP626"/>
      <c r="AEQ626"/>
      <c r="AER626"/>
      <c r="AES626"/>
      <c r="AET626"/>
      <c r="AEU626"/>
      <c r="AEV626"/>
      <c r="AEW626"/>
      <c r="AEX626"/>
      <c r="AEY626"/>
      <c r="AEZ626"/>
      <c r="AFA626"/>
      <c r="AFB626"/>
      <c r="AFC626"/>
      <c r="AFD626"/>
      <c r="AFE626"/>
      <c r="AFF626"/>
      <c r="AFG626"/>
      <c r="AFH626"/>
      <c r="AFI626"/>
      <c r="AFJ626"/>
      <c r="AFK626"/>
      <c r="AFL626"/>
      <c r="AFM626"/>
      <c r="AFN626"/>
      <c r="AFO626"/>
      <c r="AFP626"/>
      <c r="AFQ626"/>
      <c r="AFR626"/>
      <c r="AFS626"/>
      <c r="AFT626"/>
      <c r="AFU626"/>
      <c r="AFV626"/>
      <c r="AFW626"/>
      <c r="AFX626"/>
      <c r="AFY626"/>
      <c r="AFZ626"/>
      <c r="AGA626"/>
      <c r="AGB626"/>
      <c r="AGC626"/>
      <c r="AGD626"/>
      <c r="AGE626"/>
      <c r="AGF626"/>
      <c r="AGG626"/>
      <c r="AGH626"/>
      <c r="AGI626"/>
      <c r="AGJ626"/>
      <c r="AGK626"/>
      <c r="AGL626"/>
      <c r="AGM626"/>
      <c r="AGN626"/>
      <c r="AGO626"/>
      <c r="AGP626"/>
      <c r="AGQ626"/>
      <c r="AGR626"/>
      <c r="AGS626"/>
      <c r="AGT626"/>
      <c r="AGU626"/>
      <c r="AGV626"/>
      <c r="AGW626"/>
      <c r="AGX626"/>
      <c r="AGY626"/>
      <c r="AGZ626"/>
      <c r="AHA626"/>
      <c r="AHB626"/>
      <c r="AHC626"/>
      <c r="AHD626"/>
      <c r="AHE626"/>
      <c r="AHF626"/>
      <c r="AHG626"/>
      <c r="AHH626"/>
      <c r="AHI626"/>
      <c r="AHJ626"/>
      <c r="AHK626"/>
      <c r="AHL626"/>
      <c r="AHM626"/>
      <c r="AHN626"/>
      <c r="AHO626"/>
      <c r="AHP626"/>
      <c r="AHQ626"/>
      <c r="AHR626"/>
      <c r="AHS626"/>
      <c r="AHT626"/>
      <c r="AHU626"/>
      <c r="AHV626"/>
      <c r="AHW626"/>
      <c r="AHX626"/>
      <c r="AHY626"/>
      <c r="AHZ626"/>
      <c r="AIA626"/>
      <c r="AIB626"/>
      <c r="AIC626"/>
      <c r="AID626"/>
      <c r="AIE626"/>
      <c r="AIF626"/>
      <c r="AIG626"/>
      <c r="AIH626"/>
      <c r="AII626"/>
      <c r="AIJ626"/>
      <c r="AIK626"/>
      <c r="AIL626"/>
      <c r="AIM626"/>
      <c r="AIN626"/>
      <c r="AIO626"/>
      <c r="AIP626"/>
      <c r="AIQ626"/>
      <c r="AIR626"/>
      <c r="AIS626"/>
      <c r="AIT626"/>
      <c r="AIU626"/>
      <c r="AIV626"/>
      <c r="AIW626"/>
      <c r="AIX626"/>
      <c r="AIY626"/>
      <c r="AIZ626"/>
      <c r="AJA626"/>
      <c r="AJB626"/>
      <c r="AJC626"/>
      <c r="AJD626"/>
      <c r="AJE626"/>
      <c r="AJF626"/>
      <c r="AJG626"/>
      <c r="AJH626"/>
      <c r="AJI626"/>
      <c r="AJJ626"/>
      <c r="AJK626"/>
      <c r="AJL626"/>
      <c r="AJM626"/>
      <c r="AJN626"/>
      <c r="AJO626"/>
      <c r="AJP626"/>
      <c r="AJQ626"/>
      <c r="AJR626"/>
      <c r="AJS626"/>
      <c r="AJT626"/>
      <c r="AJU626"/>
      <c r="AJV626"/>
      <c r="AJW626"/>
      <c r="AJX626"/>
      <c r="AJY626"/>
      <c r="AJZ626"/>
      <c r="AKA626"/>
      <c r="AKB626"/>
      <c r="AKC626"/>
      <c r="AKD626"/>
      <c r="AKE626"/>
      <c r="AKF626"/>
      <c r="AKG626"/>
      <c r="AKH626"/>
      <c r="AKI626"/>
      <c r="AKJ626"/>
      <c r="AKK626"/>
      <c r="AKL626"/>
      <c r="AKM626"/>
      <c r="AKN626"/>
      <c r="AKO626"/>
      <c r="AKP626"/>
      <c r="AKQ626"/>
      <c r="AKR626"/>
      <c r="AKS626"/>
      <c r="AKT626"/>
      <c r="AKU626"/>
      <c r="AKV626"/>
      <c r="AKW626"/>
      <c r="AKX626"/>
      <c r="AKY626"/>
      <c r="AKZ626"/>
      <c r="ALA626"/>
      <c r="ALB626"/>
      <c r="ALC626"/>
      <c r="ALD626"/>
      <c r="ALE626"/>
      <c r="ALF626"/>
      <c r="ALG626"/>
      <c r="ALH626"/>
      <c r="ALI626"/>
      <c r="ALJ626"/>
      <c r="ALK626"/>
      <c r="ALL626"/>
      <c r="ALM626"/>
      <c r="ALN626"/>
      <c r="ALO626"/>
      <c r="ALP626"/>
      <c r="ALQ626"/>
      <c r="ALR626"/>
      <c r="ALS626"/>
      <c r="ALT626"/>
      <c r="ALU626"/>
      <c r="ALV626"/>
      <c r="ALW626"/>
      <c r="ALX626"/>
      <c r="ALY626"/>
      <c r="ALZ626"/>
      <c r="AMA626"/>
      <c r="AMB626"/>
      <c r="AMC626"/>
      <c r="AMD626"/>
    </row>
    <row r="627" spans="1:1018">
      <c r="A627" s="442"/>
      <c r="B627" s="356"/>
      <c r="C627" s="356"/>
      <c r="D627" s="356"/>
      <c r="F627" s="448"/>
      <c r="J627" s="439"/>
      <c r="K627" s="440"/>
      <c r="L627" s="440"/>
      <c r="M627" s="440"/>
      <c r="N627" s="222"/>
      <c r="O627" s="426"/>
      <c r="P627" s="13"/>
      <c r="Q627" s="13"/>
      <c r="R627" s="431"/>
      <c r="S627" s="13"/>
      <c r="T627" s="13"/>
      <c r="U627" s="429"/>
      <c r="V627" s="429"/>
      <c r="W627" s="430"/>
      <c r="X627" s="430"/>
      <c r="Y627" s="430"/>
      <c r="Z627" s="430"/>
      <c r="AA627" s="430"/>
      <c r="AB627" s="430"/>
      <c r="AC627" s="430"/>
      <c r="AD627" s="430"/>
      <c r="AE627" s="430"/>
      <c r="AF627" s="430"/>
      <c r="AG627" s="430"/>
      <c r="AH627" s="430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  <c r="ZW627"/>
      <c r="ZX627"/>
      <c r="ZY627"/>
      <c r="ZZ627"/>
      <c r="AAA627"/>
      <c r="AAB627"/>
      <c r="AAC627"/>
      <c r="AAD627"/>
      <c r="AAE627"/>
      <c r="AAF627"/>
      <c r="AAG627"/>
      <c r="AAH627"/>
      <c r="AAI627"/>
      <c r="AAJ627"/>
      <c r="AAK627"/>
      <c r="AAL627"/>
      <c r="AAM627"/>
      <c r="AAN627"/>
      <c r="AAO627"/>
      <c r="AAP627"/>
      <c r="AAQ627"/>
      <c r="AAR627"/>
      <c r="AAS627"/>
      <c r="AAT627"/>
      <c r="AAU627"/>
      <c r="AAV627"/>
      <c r="AAW627"/>
      <c r="AAX627"/>
      <c r="AAY627"/>
      <c r="AAZ627"/>
      <c r="ABA627"/>
      <c r="ABB627"/>
      <c r="ABC627"/>
      <c r="ABD627"/>
      <c r="ABE627"/>
      <c r="ABF627"/>
      <c r="ABG627"/>
      <c r="ABH627"/>
      <c r="ABI627"/>
      <c r="ABJ627"/>
      <c r="ABK627"/>
      <c r="ABL627"/>
      <c r="ABM627"/>
      <c r="ABN627"/>
      <c r="ABO627"/>
      <c r="ABP627"/>
      <c r="ABQ627"/>
      <c r="ABR627"/>
      <c r="ABS627"/>
      <c r="ABT627"/>
      <c r="ABU627"/>
      <c r="ABV627"/>
      <c r="ABW627"/>
      <c r="ABX627"/>
      <c r="ABY627"/>
      <c r="ABZ627"/>
      <c r="ACA627"/>
      <c r="ACB627"/>
      <c r="ACC627"/>
      <c r="ACD627"/>
      <c r="ACE627"/>
      <c r="ACF627"/>
      <c r="ACG627"/>
      <c r="ACH627"/>
      <c r="ACI627"/>
      <c r="ACJ627"/>
      <c r="ACK627"/>
      <c r="ACL627"/>
      <c r="ACM627"/>
      <c r="ACN627"/>
      <c r="ACO627"/>
      <c r="ACP627"/>
      <c r="ACQ627"/>
      <c r="ACR627"/>
      <c r="ACS627"/>
      <c r="ACT627"/>
      <c r="ACU627"/>
      <c r="ACV627"/>
      <c r="ACW627"/>
      <c r="ACX627"/>
      <c r="ACY627"/>
      <c r="ACZ627"/>
      <c r="ADA627"/>
      <c r="ADB627"/>
      <c r="ADC627"/>
      <c r="ADD627"/>
      <c r="ADE627"/>
      <c r="ADF627"/>
      <c r="ADG627"/>
      <c r="ADH627"/>
      <c r="ADI627"/>
      <c r="ADJ627"/>
      <c r="ADK627"/>
      <c r="ADL627"/>
      <c r="ADM627"/>
      <c r="ADN627"/>
      <c r="ADO627"/>
      <c r="ADP627"/>
      <c r="ADQ627"/>
      <c r="ADR627"/>
      <c r="ADS627"/>
      <c r="ADT627"/>
      <c r="ADU627"/>
      <c r="ADV627"/>
      <c r="ADW627"/>
      <c r="ADX627"/>
      <c r="ADY627"/>
      <c r="ADZ627"/>
      <c r="AEA627"/>
      <c r="AEB627"/>
      <c r="AEC627"/>
      <c r="AED627"/>
      <c r="AEE627"/>
      <c r="AEF627"/>
      <c r="AEG627"/>
      <c r="AEH627"/>
      <c r="AEI627"/>
      <c r="AEJ627"/>
      <c r="AEK627"/>
      <c r="AEL627"/>
      <c r="AEM627"/>
      <c r="AEN627"/>
      <c r="AEO627"/>
      <c r="AEP627"/>
      <c r="AEQ627"/>
      <c r="AER627"/>
      <c r="AES627"/>
      <c r="AET627"/>
      <c r="AEU627"/>
      <c r="AEV627"/>
      <c r="AEW627"/>
      <c r="AEX627"/>
      <c r="AEY627"/>
      <c r="AEZ627"/>
      <c r="AFA627"/>
      <c r="AFB627"/>
      <c r="AFC627"/>
      <c r="AFD627"/>
      <c r="AFE627"/>
      <c r="AFF627"/>
      <c r="AFG627"/>
      <c r="AFH627"/>
      <c r="AFI627"/>
      <c r="AFJ627"/>
      <c r="AFK627"/>
      <c r="AFL627"/>
      <c r="AFM627"/>
      <c r="AFN627"/>
      <c r="AFO627"/>
      <c r="AFP627"/>
      <c r="AFQ627"/>
      <c r="AFR627"/>
      <c r="AFS627"/>
      <c r="AFT627"/>
      <c r="AFU627"/>
      <c r="AFV627"/>
      <c r="AFW627"/>
      <c r="AFX627"/>
      <c r="AFY627"/>
      <c r="AFZ627"/>
      <c r="AGA627"/>
      <c r="AGB627"/>
      <c r="AGC627"/>
      <c r="AGD627"/>
      <c r="AGE627"/>
      <c r="AGF627"/>
      <c r="AGG627"/>
      <c r="AGH627"/>
      <c r="AGI627"/>
      <c r="AGJ627"/>
      <c r="AGK627"/>
      <c r="AGL627"/>
      <c r="AGM627"/>
      <c r="AGN627"/>
      <c r="AGO627"/>
      <c r="AGP627"/>
      <c r="AGQ627"/>
      <c r="AGR627"/>
      <c r="AGS627"/>
      <c r="AGT627"/>
      <c r="AGU627"/>
      <c r="AGV627"/>
      <c r="AGW627"/>
      <c r="AGX627"/>
      <c r="AGY627"/>
      <c r="AGZ627"/>
      <c r="AHA627"/>
      <c r="AHB627"/>
      <c r="AHC627"/>
      <c r="AHD627"/>
      <c r="AHE627"/>
      <c r="AHF627"/>
      <c r="AHG627"/>
      <c r="AHH627"/>
      <c r="AHI627"/>
      <c r="AHJ627"/>
      <c r="AHK627"/>
      <c r="AHL627"/>
      <c r="AHM627"/>
      <c r="AHN627"/>
      <c r="AHO627"/>
      <c r="AHP627"/>
      <c r="AHQ627"/>
      <c r="AHR627"/>
      <c r="AHS627"/>
      <c r="AHT627"/>
      <c r="AHU627"/>
      <c r="AHV627"/>
      <c r="AHW627"/>
      <c r="AHX627"/>
      <c r="AHY627"/>
      <c r="AHZ627"/>
      <c r="AIA627"/>
      <c r="AIB627"/>
      <c r="AIC627"/>
      <c r="AID627"/>
      <c r="AIE627"/>
      <c r="AIF627"/>
      <c r="AIG627"/>
      <c r="AIH627"/>
      <c r="AII627"/>
      <c r="AIJ627"/>
      <c r="AIK627"/>
      <c r="AIL627"/>
      <c r="AIM627"/>
      <c r="AIN627"/>
      <c r="AIO627"/>
      <c r="AIP627"/>
      <c r="AIQ627"/>
      <c r="AIR627"/>
      <c r="AIS627"/>
      <c r="AIT627"/>
      <c r="AIU627"/>
      <c r="AIV627"/>
      <c r="AIW627"/>
      <c r="AIX627"/>
      <c r="AIY627"/>
      <c r="AIZ627"/>
      <c r="AJA627"/>
      <c r="AJB627"/>
      <c r="AJC627"/>
      <c r="AJD627"/>
      <c r="AJE627"/>
      <c r="AJF627"/>
      <c r="AJG627"/>
      <c r="AJH627"/>
      <c r="AJI627"/>
      <c r="AJJ627"/>
      <c r="AJK627"/>
      <c r="AJL627"/>
      <c r="AJM627"/>
      <c r="AJN627"/>
      <c r="AJO627"/>
      <c r="AJP627"/>
      <c r="AJQ627"/>
      <c r="AJR627"/>
      <c r="AJS627"/>
      <c r="AJT627"/>
      <c r="AJU627"/>
      <c r="AJV627"/>
      <c r="AJW627"/>
      <c r="AJX627"/>
      <c r="AJY627"/>
      <c r="AJZ627"/>
      <c r="AKA627"/>
      <c r="AKB627"/>
      <c r="AKC627"/>
      <c r="AKD627"/>
      <c r="AKE627"/>
      <c r="AKF627"/>
      <c r="AKG627"/>
      <c r="AKH627"/>
      <c r="AKI627"/>
      <c r="AKJ627"/>
      <c r="AKK627"/>
      <c r="AKL627"/>
      <c r="AKM627"/>
      <c r="AKN627"/>
      <c r="AKO627"/>
      <c r="AKP627"/>
      <c r="AKQ627"/>
      <c r="AKR627"/>
      <c r="AKS627"/>
      <c r="AKT627"/>
      <c r="AKU627"/>
      <c r="AKV627"/>
      <c r="AKW627"/>
      <c r="AKX627"/>
      <c r="AKY627"/>
      <c r="AKZ627"/>
      <c r="ALA627"/>
      <c r="ALB627"/>
      <c r="ALC627"/>
      <c r="ALD627"/>
      <c r="ALE627"/>
      <c r="ALF627"/>
      <c r="ALG627"/>
      <c r="ALH627"/>
      <c r="ALI627"/>
      <c r="ALJ627"/>
      <c r="ALK627"/>
      <c r="ALL627"/>
      <c r="ALM627"/>
      <c r="ALN627"/>
      <c r="ALO627"/>
      <c r="ALP627"/>
      <c r="ALQ627"/>
      <c r="ALR627"/>
      <c r="ALS627"/>
      <c r="ALT627"/>
      <c r="ALU627"/>
      <c r="ALV627"/>
      <c r="ALW627"/>
      <c r="ALX627"/>
      <c r="ALY627"/>
      <c r="ALZ627"/>
      <c r="AMA627"/>
      <c r="AMB627"/>
      <c r="AMC627"/>
      <c r="AMD627"/>
    </row>
    <row r="628" spans="1:1018">
      <c r="J628" s="439"/>
      <c r="K628" s="440"/>
      <c r="L628" s="440"/>
      <c r="M628" s="440"/>
      <c r="N628" s="222"/>
      <c r="O628" s="426"/>
      <c r="P628" s="13"/>
      <c r="Q628" s="13"/>
      <c r="R628" s="431"/>
      <c r="S628" s="13"/>
      <c r="T628" s="13"/>
      <c r="U628" s="429"/>
      <c r="V628" s="429"/>
      <c r="W628" s="430"/>
      <c r="X628" s="430"/>
      <c r="Y628" s="441"/>
      <c r="Z628" s="430"/>
      <c r="AA628" s="430"/>
      <c r="AB628" s="441"/>
      <c r="AC628" s="430"/>
      <c r="AD628" s="441"/>
      <c r="AE628" s="430"/>
      <c r="AF628" s="430"/>
      <c r="AG628" s="430"/>
      <c r="AH628" s="430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  <c r="ABE628"/>
      <c r="ABF628"/>
      <c r="ABG628"/>
      <c r="ABH628"/>
      <c r="ABI628"/>
      <c r="ABJ628"/>
      <c r="ABK628"/>
      <c r="ABL628"/>
      <c r="ABM628"/>
      <c r="ABN628"/>
      <c r="ABO628"/>
      <c r="ABP628"/>
      <c r="ABQ628"/>
      <c r="ABR628"/>
      <c r="ABS628"/>
      <c r="ABT628"/>
      <c r="ABU628"/>
      <c r="ABV628"/>
      <c r="ABW628"/>
      <c r="ABX628"/>
      <c r="ABY628"/>
      <c r="ABZ628"/>
      <c r="ACA628"/>
      <c r="ACB628"/>
      <c r="ACC628"/>
      <c r="ACD628"/>
      <c r="ACE628"/>
      <c r="ACF628"/>
      <c r="ACG628"/>
      <c r="ACH628"/>
      <c r="ACI628"/>
      <c r="ACJ628"/>
      <c r="ACK628"/>
      <c r="ACL628"/>
      <c r="ACM628"/>
      <c r="ACN628"/>
      <c r="ACO628"/>
      <c r="ACP628"/>
      <c r="ACQ628"/>
      <c r="ACR628"/>
      <c r="ACS628"/>
      <c r="ACT628"/>
      <c r="ACU628"/>
      <c r="ACV628"/>
      <c r="ACW628"/>
      <c r="ACX628"/>
      <c r="ACY628"/>
      <c r="ACZ628"/>
      <c r="ADA628"/>
      <c r="ADB628"/>
      <c r="ADC628"/>
      <c r="ADD628"/>
      <c r="ADE628"/>
      <c r="ADF628"/>
      <c r="ADG628"/>
      <c r="ADH628"/>
      <c r="ADI628"/>
      <c r="ADJ628"/>
      <c r="ADK628"/>
      <c r="ADL628"/>
      <c r="ADM628"/>
      <c r="ADN628"/>
      <c r="ADO628"/>
      <c r="ADP628"/>
      <c r="ADQ628"/>
      <c r="ADR628"/>
      <c r="ADS628"/>
      <c r="ADT628"/>
      <c r="ADU628"/>
      <c r="ADV628"/>
      <c r="ADW628"/>
      <c r="ADX628"/>
      <c r="ADY628"/>
      <c r="ADZ628"/>
      <c r="AEA628"/>
      <c r="AEB628"/>
      <c r="AEC628"/>
      <c r="AED628"/>
      <c r="AEE628"/>
      <c r="AEF628"/>
      <c r="AEG628"/>
      <c r="AEH628"/>
      <c r="AEI628"/>
      <c r="AEJ628"/>
      <c r="AEK628"/>
      <c r="AEL628"/>
      <c r="AEM628"/>
      <c r="AEN628"/>
      <c r="AEO628"/>
      <c r="AEP628"/>
      <c r="AEQ628"/>
      <c r="AER628"/>
      <c r="AES628"/>
      <c r="AET628"/>
      <c r="AEU628"/>
      <c r="AEV628"/>
      <c r="AEW628"/>
      <c r="AEX628"/>
      <c r="AEY628"/>
      <c r="AEZ628"/>
      <c r="AFA628"/>
      <c r="AFB628"/>
      <c r="AFC628"/>
      <c r="AFD628"/>
      <c r="AFE628"/>
      <c r="AFF628"/>
      <c r="AFG628"/>
      <c r="AFH628"/>
      <c r="AFI628"/>
      <c r="AFJ628"/>
      <c r="AFK628"/>
      <c r="AFL628"/>
      <c r="AFM628"/>
      <c r="AFN628"/>
      <c r="AFO628"/>
      <c r="AFP628"/>
      <c r="AFQ628"/>
      <c r="AFR628"/>
      <c r="AFS628"/>
      <c r="AFT628"/>
      <c r="AFU628"/>
      <c r="AFV628"/>
      <c r="AFW628"/>
      <c r="AFX628"/>
      <c r="AFY628"/>
      <c r="AFZ628"/>
      <c r="AGA628"/>
      <c r="AGB628"/>
      <c r="AGC628"/>
      <c r="AGD628"/>
      <c r="AGE628"/>
      <c r="AGF628"/>
      <c r="AGG628"/>
      <c r="AGH628"/>
      <c r="AGI628"/>
      <c r="AGJ628"/>
      <c r="AGK628"/>
      <c r="AGL628"/>
      <c r="AGM628"/>
      <c r="AGN628"/>
      <c r="AGO628"/>
      <c r="AGP628"/>
      <c r="AGQ628"/>
      <c r="AGR628"/>
      <c r="AGS628"/>
      <c r="AGT628"/>
      <c r="AGU628"/>
      <c r="AGV628"/>
      <c r="AGW628"/>
      <c r="AGX628"/>
      <c r="AGY628"/>
      <c r="AGZ628"/>
      <c r="AHA628"/>
      <c r="AHB628"/>
      <c r="AHC628"/>
      <c r="AHD628"/>
      <c r="AHE628"/>
      <c r="AHF628"/>
      <c r="AHG628"/>
      <c r="AHH628"/>
      <c r="AHI628"/>
      <c r="AHJ628"/>
      <c r="AHK628"/>
      <c r="AHL628"/>
      <c r="AHM628"/>
      <c r="AHN628"/>
      <c r="AHO628"/>
      <c r="AHP628"/>
      <c r="AHQ628"/>
      <c r="AHR628"/>
      <c r="AHS628"/>
      <c r="AHT628"/>
      <c r="AHU628"/>
      <c r="AHV628"/>
      <c r="AHW628"/>
      <c r="AHX628"/>
      <c r="AHY628"/>
      <c r="AHZ628"/>
      <c r="AIA628"/>
      <c r="AIB628"/>
      <c r="AIC628"/>
      <c r="AID628"/>
      <c r="AIE628"/>
      <c r="AIF628"/>
      <c r="AIG628"/>
      <c r="AIH628"/>
      <c r="AII628"/>
      <c r="AIJ628"/>
      <c r="AIK628"/>
      <c r="AIL628"/>
      <c r="AIM628"/>
      <c r="AIN628"/>
      <c r="AIO628"/>
      <c r="AIP628"/>
      <c r="AIQ628"/>
      <c r="AIR628"/>
      <c r="AIS628"/>
      <c r="AIT628"/>
      <c r="AIU628"/>
      <c r="AIV628"/>
      <c r="AIW628"/>
      <c r="AIX628"/>
      <c r="AIY628"/>
      <c r="AIZ628"/>
      <c r="AJA628"/>
      <c r="AJB628"/>
      <c r="AJC628"/>
      <c r="AJD628"/>
      <c r="AJE628"/>
      <c r="AJF628"/>
      <c r="AJG628"/>
      <c r="AJH628"/>
      <c r="AJI628"/>
      <c r="AJJ628"/>
      <c r="AJK628"/>
      <c r="AJL628"/>
      <c r="AJM628"/>
      <c r="AJN628"/>
      <c r="AJO628"/>
      <c r="AJP628"/>
      <c r="AJQ628"/>
      <c r="AJR628"/>
      <c r="AJS628"/>
      <c r="AJT628"/>
      <c r="AJU628"/>
      <c r="AJV628"/>
      <c r="AJW628"/>
      <c r="AJX628"/>
      <c r="AJY628"/>
      <c r="AJZ628"/>
      <c r="AKA628"/>
      <c r="AKB628"/>
      <c r="AKC628"/>
      <c r="AKD628"/>
      <c r="AKE628"/>
      <c r="AKF628"/>
      <c r="AKG628"/>
      <c r="AKH628"/>
      <c r="AKI628"/>
      <c r="AKJ628"/>
      <c r="AKK628"/>
      <c r="AKL628"/>
      <c r="AKM628"/>
      <c r="AKN628"/>
      <c r="AKO628"/>
      <c r="AKP628"/>
      <c r="AKQ628"/>
      <c r="AKR628"/>
      <c r="AKS628"/>
      <c r="AKT628"/>
      <c r="AKU628"/>
      <c r="AKV628"/>
      <c r="AKW628"/>
      <c r="AKX628"/>
      <c r="AKY628"/>
      <c r="AKZ628"/>
      <c r="ALA628"/>
      <c r="ALB628"/>
      <c r="ALC628"/>
      <c r="ALD628"/>
      <c r="ALE628"/>
      <c r="ALF628"/>
      <c r="ALG628"/>
      <c r="ALH628"/>
      <c r="ALI628"/>
      <c r="ALJ628"/>
      <c r="ALK628"/>
      <c r="ALL628"/>
      <c r="ALM628"/>
      <c r="ALN628"/>
      <c r="ALO628"/>
      <c r="ALP628"/>
      <c r="ALQ628"/>
      <c r="ALR628"/>
      <c r="ALS628"/>
      <c r="ALT628"/>
      <c r="ALU628"/>
      <c r="ALV628"/>
      <c r="ALW628"/>
      <c r="ALX628"/>
      <c r="ALY628"/>
      <c r="ALZ628"/>
      <c r="AMA628"/>
      <c r="AMB628"/>
      <c r="AMC628"/>
      <c r="AMD628"/>
    </row>
    <row r="629" spans="1:1018">
      <c r="A629" s="449"/>
      <c r="B629" s="439"/>
      <c r="C629" s="450"/>
      <c r="D629" s="450"/>
      <c r="E629" s="445"/>
      <c r="J629" s="439"/>
      <c r="K629" s="440"/>
      <c r="L629" s="440"/>
      <c r="M629" s="440"/>
      <c r="N629" s="222"/>
      <c r="O629" s="426"/>
      <c r="P629" s="13"/>
      <c r="Q629" s="13"/>
      <c r="R629" s="431"/>
      <c r="S629" s="13"/>
      <c r="T629" s="13"/>
      <c r="U629" s="429"/>
      <c r="V629" s="429"/>
      <c r="W629" s="430"/>
      <c r="X629" s="430"/>
      <c r="Y629" s="441"/>
      <c r="Z629" s="441"/>
      <c r="AA629" s="441"/>
      <c r="AB629" s="441"/>
      <c r="AC629" s="443"/>
      <c r="AD629" s="441"/>
      <c r="AE629" s="441"/>
      <c r="AF629" s="441"/>
      <c r="AG629" s="430"/>
      <c r="AH629" s="430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  <c r="ZW629"/>
      <c r="ZX629"/>
      <c r="ZY629"/>
      <c r="ZZ629"/>
      <c r="AAA629"/>
      <c r="AAB629"/>
      <c r="AAC629"/>
      <c r="AAD629"/>
      <c r="AAE629"/>
      <c r="AAF629"/>
      <c r="AAG629"/>
      <c r="AAH629"/>
      <c r="AAI629"/>
      <c r="AAJ629"/>
      <c r="AAK629"/>
      <c r="AAL629"/>
      <c r="AAM629"/>
      <c r="AAN629"/>
      <c r="AAO629"/>
      <c r="AAP629"/>
      <c r="AAQ629"/>
      <c r="AAR629"/>
      <c r="AAS629"/>
      <c r="AAT629"/>
      <c r="AAU629"/>
      <c r="AAV629"/>
      <c r="AAW629"/>
      <c r="AAX629"/>
      <c r="AAY629"/>
      <c r="AAZ629"/>
      <c r="ABA629"/>
      <c r="ABB629"/>
      <c r="ABC629"/>
      <c r="ABD629"/>
      <c r="ABE629"/>
      <c r="ABF629"/>
      <c r="ABG629"/>
      <c r="ABH629"/>
      <c r="ABI629"/>
      <c r="ABJ629"/>
      <c r="ABK629"/>
      <c r="ABL629"/>
      <c r="ABM629"/>
      <c r="ABN629"/>
      <c r="ABO629"/>
      <c r="ABP629"/>
      <c r="ABQ629"/>
      <c r="ABR629"/>
      <c r="ABS629"/>
      <c r="ABT629"/>
      <c r="ABU629"/>
      <c r="ABV629"/>
      <c r="ABW629"/>
      <c r="ABX629"/>
      <c r="ABY629"/>
      <c r="ABZ629"/>
      <c r="ACA629"/>
      <c r="ACB629"/>
      <c r="ACC629"/>
      <c r="ACD629"/>
      <c r="ACE629"/>
      <c r="ACF629"/>
      <c r="ACG629"/>
      <c r="ACH629"/>
      <c r="ACI629"/>
      <c r="ACJ629"/>
      <c r="ACK629"/>
      <c r="ACL629"/>
      <c r="ACM629"/>
      <c r="ACN629"/>
      <c r="ACO629"/>
      <c r="ACP629"/>
      <c r="ACQ629"/>
      <c r="ACR629"/>
      <c r="ACS629"/>
      <c r="ACT629"/>
      <c r="ACU629"/>
      <c r="ACV629"/>
      <c r="ACW629"/>
      <c r="ACX629"/>
      <c r="ACY629"/>
      <c r="ACZ629"/>
      <c r="ADA629"/>
      <c r="ADB629"/>
      <c r="ADC629"/>
      <c r="ADD629"/>
      <c r="ADE629"/>
      <c r="ADF629"/>
      <c r="ADG629"/>
      <c r="ADH629"/>
      <c r="ADI629"/>
      <c r="ADJ629"/>
      <c r="ADK629"/>
      <c r="ADL629"/>
      <c r="ADM629"/>
      <c r="ADN629"/>
      <c r="ADO629"/>
      <c r="ADP629"/>
      <c r="ADQ629"/>
      <c r="ADR629"/>
      <c r="ADS629"/>
      <c r="ADT629"/>
      <c r="ADU629"/>
      <c r="ADV629"/>
      <c r="ADW629"/>
      <c r="ADX629"/>
      <c r="ADY629"/>
      <c r="ADZ629"/>
      <c r="AEA629"/>
      <c r="AEB629"/>
      <c r="AEC629"/>
      <c r="AED629"/>
      <c r="AEE629"/>
      <c r="AEF629"/>
      <c r="AEG629"/>
      <c r="AEH629"/>
      <c r="AEI629"/>
      <c r="AEJ629"/>
      <c r="AEK629"/>
      <c r="AEL629"/>
      <c r="AEM629"/>
      <c r="AEN629"/>
      <c r="AEO629"/>
      <c r="AEP629"/>
      <c r="AEQ629"/>
      <c r="AER629"/>
      <c r="AES629"/>
      <c r="AET629"/>
      <c r="AEU629"/>
      <c r="AEV629"/>
      <c r="AEW629"/>
      <c r="AEX629"/>
      <c r="AEY629"/>
      <c r="AEZ629"/>
      <c r="AFA629"/>
      <c r="AFB629"/>
      <c r="AFC629"/>
      <c r="AFD629"/>
      <c r="AFE629"/>
      <c r="AFF629"/>
      <c r="AFG629"/>
      <c r="AFH629"/>
      <c r="AFI629"/>
      <c r="AFJ629"/>
      <c r="AFK629"/>
      <c r="AFL629"/>
      <c r="AFM629"/>
      <c r="AFN629"/>
      <c r="AFO629"/>
      <c r="AFP629"/>
      <c r="AFQ629"/>
      <c r="AFR629"/>
      <c r="AFS629"/>
      <c r="AFT629"/>
      <c r="AFU629"/>
      <c r="AFV629"/>
      <c r="AFW629"/>
      <c r="AFX629"/>
      <c r="AFY629"/>
      <c r="AFZ629"/>
      <c r="AGA629"/>
      <c r="AGB629"/>
      <c r="AGC629"/>
      <c r="AGD629"/>
      <c r="AGE629"/>
      <c r="AGF629"/>
      <c r="AGG629"/>
      <c r="AGH629"/>
      <c r="AGI629"/>
      <c r="AGJ629"/>
      <c r="AGK629"/>
      <c r="AGL629"/>
      <c r="AGM629"/>
      <c r="AGN629"/>
      <c r="AGO629"/>
      <c r="AGP629"/>
      <c r="AGQ629"/>
      <c r="AGR629"/>
      <c r="AGS629"/>
      <c r="AGT629"/>
      <c r="AGU629"/>
      <c r="AGV629"/>
      <c r="AGW629"/>
      <c r="AGX629"/>
      <c r="AGY629"/>
      <c r="AGZ629"/>
      <c r="AHA629"/>
      <c r="AHB629"/>
      <c r="AHC629"/>
      <c r="AHD629"/>
      <c r="AHE629"/>
      <c r="AHF629"/>
      <c r="AHG629"/>
      <c r="AHH629"/>
      <c r="AHI629"/>
      <c r="AHJ629"/>
      <c r="AHK629"/>
      <c r="AHL629"/>
      <c r="AHM629"/>
      <c r="AHN629"/>
      <c r="AHO629"/>
      <c r="AHP629"/>
      <c r="AHQ629"/>
      <c r="AHR629"/>
      <c r="AHS629"/>
      <c r="AHT629"/>
      <c r="AHU629"/>
      <c r="AHV629"/>
      <c r="AHW629"/>
      <c r="AHX629"/>
      <c r="AHY629"/>
      <c r="AHZ629"/>
      <c r="AIA629"/>
      <c r="AIB629"/>
      <c r="AIC629"/>
      <c r="AID629"/>
      <c r="AIE629"/>
      <c r="AIF629"/>
      <c r="AIG629"/>
      <c r="AIH629"/>
      <c r="AII629"/>
      <c r="AIJ629"/>
      <c r="AIK629"/>
      <c r="AIL629"/>
      <c r="AIM629"/>
      <c r="AIN629"/>
      <c r="AIO629"/>
      <c r="AIP629"/>
      <c r="AIQ629"/>
      <c r="AIR629"/>
      <c r="AIS629"/>
      <c r="AIT629"/>
      <c r="AIU629"/>
      <c r="AIV629"/>
      <c r="AIW629"/>
      <c r="AIX629"/>
      <c r="AIY629"/>
      <c r="AIZ629"/>
      <c r="AJA629"/>
      <c r="AJB629"/>
      <c r="AJC629"/>
      <c r="AJD629"/>
      <c r="AJE629"/>
      <c r="AJF629"/>
      <c r="AJG629"/>
      <c r="AJH629"/>
      <c r="AJI629"/>
      <c r="AJJ629"/>
      <c r="AJK629"/>
      <c r="AJL629"/>
      <c r="AJM629"/>
      <c r="AJN629"/>
      <c r="AJO629"/>
      <c r="AJP629"/>
      <c r="AJQ629"/>
      <c r="AJR629"/>
      <c r="AJS629"/>
      <c r="AJT629"/>
      <c r="AJU629"/>
      <c r="AJV629"/>
      <c r="AJW629"/>
      <c r="AJX629"/>
      <c r="AJY629"/>
      <c r="AJZ629"/>
      <c r="AKA629"/>
      <c r="AKB629"/>
      <c r="AKC629"/>
      <c r="AKD629"/>
      <c r="AKE629"/>
      <c r="AKF629"/>
      <c r="AKG629"/>
      <c r="AKH629"/>
      <c r="AKI629"/>
      <c r="AKJ629"/>
      <c r="AKK629"/>
      <c r="AKL629"/>
      <c r="AKM629"/>
      <c r="AKN629"/>
      <c r="AKO629"/>
      <c r="AKP629"/>
      <c r="AKQ629"/>
      <c r="AKR629"/>
      <c r="AKS629"/>
      <c r="AKT629"/>
      <c r="AKU629"/>
      <c r="AKV629"/>
      <c r="AKW629"/>
      <c r="AKX629"/>
      <c r="AKY629"/>
      <c r="AKZ629"/>
      <c r="ALA629"/>
      <c r="ALB629"/>
      <c r="ALC629"/>
      <c r="ALD629"/>
      <c r="ALE629"/>
      <c r="ALF629"/>
      <c r="ALG629"/>
      <c r="ALH629"/>
      <c r="ALI629"/>
      <c r="ALJ629"/>
      <c r="ALK629"/>
      <c r="ALL629"/>
      <c r="ALM629"/>
      <c r="ALN629"/>
      <c r="ALO629"/>
      <c r="ALP629"/>
      <c r="ALQ629"/>
      <c r="ALR629"/>
      <c r="ALS629"/>
      <c r="ALT629"/>
      <c r="ALU629"/>
      <c r="ALV629"/>
      <c r="ALW629"/>
      <c r="ALX629"/>
      <c r="ALY629"/>
      <c r="ALZ629"/>
      <c r="AMA629"/>
      <c r="AMB629"/>
      <c r="AMC629"/>
      <c r="AMD629"/>
    </row>
    <row r="630" spans="1:1018">
      <c r="A630" s="356"/>
      <c r="B630" s="451"/>
      <c r="C630" s="446"/>
      <c r="D630" s="446"/>
      <c r="E630" s="445"/>
      <c r="F630" s="448"/>
      <c r="J630" s="439"/>
      <c r="K630" s="440"/>
      <c r="L630" s="440"/>
      <c r="M630" s="440"/>
      <c r="N630" s="222"/>
      <c r="O630" s="426"/>
      <c r="P630" s="13"/>
      <c r="Q630" s="13"/>
      <c r="R630" s="431"/>
      <c r="S630" s="13"/>
      <c r="T630" s="13"/>
      <c r="U630" s="429"/>
      <c r="V630" s="429"/>
      <c r="W630" s="430"/>
      <c r="X630" s="430"/>
      <c r="Y630" s="430"/>
      <c r="Z630" s="430"/>
      <c r="AA630" s="430"/>
      <c r="AB630" s="430"/>
      <c r="AC630" s="430"/>
      <c r="AD630" s="452"/>
      <c r="AE630" s="452"/>
      <c r="AF630" s="452"/>
      <c r="AG630" s="452"/>
      <c r="AH630" s="4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  <c r="ZW630"/>
      <c r="ZX630"/>
      <c r="ZY630"/>
      <c r="ZZ630"/>
      <c r="AAA630"/>
      <c r="AAB630"/>
      <c r="AAC630"/>
      <c r="AAD630"/>
      <c r="AAE630"/>
      <c r="AAF630"/>
      <c r="AAG630"/>
      <c r="AAH630"/>
      <c r="AAI630"/>
      <c r="AAJ630"/>
      <c r="AAK630"/>
      <c r="AAL630"/>
      <c r="AAM630"/>
      <c r="AAN630"/>
      <c r="AAO630"/>
      <c r="AAP630"/>
      <c r="AAQ630"/>
      <c r="AAR630"/>
      <c r="AAS630"/>
      <c r="AAT630"/>
      <c r="AAU630"/>
      <c r="AAV630"/>
      <c r="AAW630"/>
      <c r="AAX630"/>
      <c r="AAY630"/>
      <c r="AAZ630"/>
      <c r="ABA630"/>
      <c r="ABB630"/>
      <c r="ABC630"/>
      <c r="ABD630"/>
      <c r="ABE630"/>
      <c r="ABF630"/>
      <c r="ABG630"/>
      <c r="ABH630"/>
      <c r="ABI630"/>
      <c r="ABJ630"/>
      <c r="ABK630"/>
      <c r="ABL630"/>
      <c r="ABM630"/>
      <c r="ABN630"/>
      <c r="ABO630"/>
      <c r="ABP630"/>
      <c r="ABQ630"/>
      <c r="ABR630"/>
      <c r="ABS630"/>
      <c r="ABT630"/>
      <c r="ABU630"/>
      <c r="ABV630"/>
      <c r="ABW630"/>
      <c r="ABX630"/>
      <c r="ABY630"/>
      <c r="ABZ630"/>
      <c r="ACA630"/>
      <c r="ACB630"/>
      <c r="ACC630"/>
      <c r="ACD630"/>
      <c r="ACE630"/>
      <c r="ACF630"/>
      <c r="ACG630"/>
      <c r="ACH630"/>
      <c r="ACI630"/>
      <c r="ACJ630"/>
      <c r="ACK630"/>
      <c r="ACL630"/>
      <c r="ACM630"/>
      <c r="ACN630"/>
      <c r="ACO630"/>
      <c r="ACP630"/>
      <c r="ACQ630"/>
      <c r="ACR630"/>
      <c r="ACS630"/>
      <c r="ACT630"/>
      <c r="ACU630"/>
      <c r="ACV630"/>
      <c r="ACW630"/>
      <c r="ACX630"/>
      <c r="ACY630"/>
      <c r="ACZ630"/>
      <c r="ADA630"/>
      <c r="ADB630"/>
      <c r="ADC630"/>
      <c r="ADD630"/>
      <c r="ADE630"/>
      <c r="ADF630"/>
      <c r="ADG630"/>
      <c r="ADH630"/>
      <c r="ADI630"/>
      <c r="ADJ630"/>
      <c r="ADK630"/>
      <c r="ADL630"/>
      <c r="ADM630"/>
      <c r="ADN630"/>
      <c r="ADO630"/>
      <c r="ADP630"/>
      <c r="ADQ630"/>
      <c r="ADR630"/>
      <c r="ADS630"/>
      <c r="ADT630"/>
      <c r="ADU630"/>
      <c r="ADV630"/>
      <c r="ADW630"/>
      <c r="ADX630"/>
      <c r="ADY630"/>
      <c r="ADZ630"/>
      <c r="AEA630"/>
      <c r="AEB630"/>
      <c r="AEC630"/>
      <c r="AED630"/>
      <c r="AEE630"/>
      <c r="AEF630"/>
      <c r="AEG630"/>
      <c r="AEH630"/>
      <c r="AEI630"/>
      <c r="AEJ630"/>
      <c r="AEK630"/>
      <c r="AEL630"/>
      <c r="AEM630"/>
      <c r="AEN630"/>
      <c r="AEO630"/>
      <c r="AEP630"/>
      <c r="AEQ630"/>
      <c r="AER630"/>
      <c r="AES630"/>
      <c r="AET630"/>
      <c r="AEU630"/>
      <c r="AEV630"/>
      <c r="AEW630"/>
      <c r="AEX630"/>
      <c r="AEY630"/>
      <c r="AEZ630"/>
      <c r="AFA630"/>
      <c r="AFB630"/>
      <c r="AFC630"/>
      <c r="AFD630"/>
      <c r="AFE630"/>
      <c r="AFF630"/>
      <c r="AFG630"/>
      <c r="AFH630"/>
      <c r="AFI630"/>
      <c r="AFJ630"/>
      <c r="AFK630"/>
      <c r="AFL630"/>
      <c r="AFM630"/>
      <c r="AFN630"/>
      <c r="AFO630"/>
      <c r="AFP630"/>
      <c r="AFQ630"/>
      <c r="AFR630"/>
      <c r="AFS630"/>
      <c r="AFT630"/>
      <c r="AFU630"/>
      <c r="AFV630"/>
      <c r="AFW630"/>
      <c r="AFX630"/>
      <c r="AFY630"/>
      <c r="AFZ630"/>
      <c r="AGA630"/>
      <c r="AGB630"/>
      <c r="AGC630"/>
      <c r="AGD630"/>
      <c r="AGE630"/>
      <c r="AGF630"/>
      <c r="AGG630"/>
      <c r="AGH630"/>
      <c r="AGI630"/>
      <c r="AGJ630"/>
      <c r="AGK630"/>
      <c r="AGL630"/>
      <c r="AGM630"/>
      <c r="AGN630"/>
      <c r="AGO630"/>
      <c r="AGP630"/>
      <c r="AGQ630"/>
      <c r="AGR630"/>
      <c r="AGS630"/>
      <c r="AGT630"/>
      <c r="AGU630"/>
      <c r="AGV630"/>
      <c r="AGW630"/>
      <c r="AGX630"/>
      <c r="AGY630"/>
      <c r="AGZ630"/>
      <c r="AHA630"/>
      <c r="AHB630"/>
      <c r="AHC630"/>
      <c r="AHD630"/>
      <c r="AHE630"/>
      <c r="AHF630"/>
      <c r="AHG630"/>
      <c r="AHH630"/>
      <c r="AHI630"/>
      <c r="AHJ630"/>
      <c r="AHK630"/>
      <c r="AHL630"/>
      <c r="AHM630"/>
      <c r="AHN630"/>
      <c r="AHO630"/>
      <c r="AHP630"/>
      <c r="AHQ630"/>
      <c r="AHR630"/>
      <c r="AHS630"/>
      <c r="AHT630"/>
      <c r="AHU630"/>
      <c r="AHV630"/>
      <c r="AHW630"/>
      <c r="AHX630"/>
      <c r="AHY630"/>
      <c r="AHZ630"/>
      <c r="AIA630"/>
      <c r="AIB630"/>
      <c r="AIC630"/>
      <c r="AID630"/>
      <c r="AIE630"/>
      <c r="AIF630"/>
      <c r="AIG630"/>
      <c r="AIH630"/>
      <c r="AII630"/>
      <c r="AIJ630"/>
      <c r="AIK630"/>
      <c r="AIL630"/>
      <c r="AIM630"/>
      <c r="AIN630"/>
      <c r="AIO630"/>
      <c r="AIP630"/>
      <c r="AIQ630"/>
      <c r="AIR630"/>
      <c r="AIS630"/>
      <c r="AIT630"/>
      <c r="AIU630"/>
      <c r="AIV630"/>
      <c r="AIW630"/>
      <c r="AIX630"/>
      <c r="AIY630"/>
      <c r="AIZ630"/>
      <c r="AJA630"/>
      <c r="AJB630"/>
      <c r="AJC630"/>
      <c r="AJD630"/>
      <c r="AJE630"/>
      <c r="AJF630"/>
      <c r="AJG630"/>
      <c r="AJH630"/>
      <c r="AJI630"/>
      <c r="AJJ630"/>
      <c r="AJK630"/>
      <c r="AJL630"/>
      <c r="AJM630"/>
      <c r="AJN630"/>
      <c r="AJO630"/>
      <c r="AJP630"/>
      <c r="AJQ630"/>
      <c r="AJR630"/>
      <c r="AJS630"/>
      <c r="AJT630"/>
      <c r="AJU630"/>
      <c r="AJV630"/>
      <c r="AJW630"/>
      <c r="AJX630"/>
      <c r="AJY630"/>
      <c r="AJZ630"/>
      <c r="AKA630"/>
      <c r="AKB630"/>
      <c r="AKC630"/>
      <c r="AKD630"/>
      <c r="AKE630"/>
      <c r="AKF630"/>
      <c r="AKG630"/>
      <c r="AKH630"/>
      <c r="AKI630"/>
      <c r="AKJ630"/>
      <c r="AKK630"/>
      <c r="AKL630"/>
      <c r="AKM630"/>
      <c r="AKN630"/>
      <c r="AKO630"/>
      <c r="AKP630"/>
      <c r="AKQ630"/>
      <c r="AKR630"/>
      <c r="AKS630"/>
      <c r="AKT630"/>
      <c r="AKU630"/>
      <c r="AKV630"/>
      <c r="AKW630"/>
      <c r="AKX630"/>
      <c r="AKY630"/>
      <c r="AKZ630"/>
      <c r="ALA630"/>
      <c r="ALB630"/>
      <c r="ALC630"/>
      <c r="ALD630"/>
      <c r="ALE630"/>
      <c r="ALF630"/>
      <c r="ALG630"/>
      <c r="ALH630"/>
      <c r="ALI630"/>
      <c r="ALJ630"/>
      <c r="ALK630"/>
      <c r="ALL630"/>
      <c r="ALM630"/>
      <c r="ALN630"/>
      <c r="ALO630"/>
      <c r="ALP630"/>
      <c r="ALQ630"/>
      <c r="ALR630"/>
      <c r="ALS630"/>
      <c r="ALT630"/>
      <c r="ALU630"/>
      <c r="ALV630"/>
      <c r="ALW630"/>
      <c r="ALX630"/>
      <c r="ALY630"/>
      <c r="ALZ630"/>
      <c r="AMA630"/>
      <c r="AMB630"/>
      <c r="AMC630"/>
      <c r="AMD630"/>
    </row>
    <row r="631" spans="1:1018">
      <c r="B631" s="439"/>
      <c r="C631" s="450"/>
      <c r="D631" s="450"/>
      <c r="J631" s="439"/>
      <c r="K631" s="440"/>
      <c r="L631" s="440"/>
      <c r="M631" s="440"/>
      <c r="N631" s="222"/>
      <c r="O631" s="426"/>
      <c r="P631" s="13"/>
      <c r="Q631" s="13"/>
      <c r="R631" s="431"/>
      <c r="S631" s="13"/>
      <c r="T631" s="13"/>
      <c r="U631" s="429"/>
      <c r="V631" s="429"/>
      <c r="W631" s="430"/>
      <c r="X631" s="430"/>
      <c r="Y631" s="430"/>
      <c r="Z631" s="430"/>
      <c r="AA631" s="430"/>
      <c r="AB631" s="430"/>
      <c r="AC631" s="430"/>
      <c r="AD631" s="430"/>
      <c r="AE631" s="430"/>
      <c r="AF631" s="430"/>
      <c r="AG631" s="430"/>
      <c r="AH631" s="430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  <c r="VW631"/>
      <c r="VX631"/>
      <c r="VY631"/>
      <c r="VZ631"/>
      <c r="WA631"/>
      <c r="WB631"/>
      <c r="WC631"/>
      <c r="WD631"/>
      <c r="WE631"/>
      <c r="WF631"/>
      <c r="WG631"/>
      <c r="WH631"/>
      <c r="WI631"/>
      <c r="WJ631"/>
      <c r="WK631"/>
      <c r="WL631"/>
      <c r="WM631"/>
      <c r="WN631"/>
      <c r="WO631"/>
      <c r="WP631"/>
      <c r="WQ631"/>
      <c r="WR631"/>
      <c r="WS631"/>
      <c r="WT631"/>
      <c r="WU631"/>
      <c r="WV631"/>
      <c r="WW631"/>
      <c r="WX631"/>
      <c r="WY631"/>
      <c r="WZ631"/>
      <c r="XA631"/>
      <c r="XB631"/>
      <c r="XC631"/>
      <c r="XD631"/>
      <c r="XE631"/>
      <c r="XF631"/>
      <c r="XG631"/>
      <c r="XH631"/>
      <c r="XI631"/>
      <c r="XJ631"/>
      <c r="XK631"/>
      <c r="XL631"/>
      <c r="XM631"/>
      <c r="XN631"/>
      <c r="XO631"/>
      <c r="XP631"/>
      <c r="XQ631"/>
      <c r="XR631"/>
      <c r="XS631"/>
      <c r="XT631"/>
      <c r="XU631"/>
      <c r="XV631"/>
      <c r="XW631"/>
      <c r="XX631"/>
      <c r="XY631"/>
      <c r="XZ631"/>
      <c r="YA631"/>
      <c r="YB631"/>
      <c r="YC631"/>
      <c r="YD631"/>
      <c r="YE631"/>
      <c r="YF631"/>
      <c r="YG631"/>
      <c r="YH631"/>
      <c r="YI631"/>
      <c r="YJ631"/>
      <c r="YK631"/>
      <c r="YL631"/>
      <c r="YM631"/>
      <c r="YN631"/>
      <c r="YO631"/>
      <c r="YP631"/>
      <c r="YQ631"/>
      <c r="YR631"/>
      <c r="YS631"/>
      <c r="YT631"/>
      <c r="YU631"/>
      <c r="YV631"/>
      <c r="YW631"/>
      <c r="YX631"/>
      <c r="YY631"/>
      <c r="YZ631"/>
      <c r="ZA631"/>
      <c r="ZB631"/>
      <c r="ZC631"/>
      <c r="ZD631"/>
      <c r="ZE631"/>
      <c r="ZF631"/>
      <c r="ZG631"/>
      <c r="ZH631"/>
      <c r="ZI631"/>
      <c r="ZJ631"/>
      <c r="ZK631"/>
      <c r="ZL631"/>
      <c r="ZM631"/>
      <c r="ZN631"/>
      <c r="ZO631"/>
      <c r="ZP631"/>
      <c r="ZQ631"/>
      <c r="ZR631"/>
      <c r="ZS631"/>
      <c r="ZT631"/>
      <c r="ZU631"/>
      <c r="ZV631"/>
      <c r="ZW631"/>
      <c r="ZX631"/>
      <c r="ZY631"/>
      <c r="ZZ631"/>
      <c r="AAA631"/>
      <c r="AAB631"/>
      <c r="AAC631"/>
      <c r="AAD631"/>
      <c r="AAE631"/>
      <c r="AAF631"/>
      <c r="AAG631"/>
      <c r="AAH631"/>
      <c r="AAI631"/>
      <c r="AAJ631"/>
      <c r="AAK631"/>
      <c r="AAL631"/>
      <c r="AAM631"/>
      <c r="AAN631"/>
      <c r="AAO631"/>
      <c r="AAP631"/>
      <c r="AAQ631"/>
      <c r="AAR631"/>
      <c r="AAS631"/>
      <c r="AAT631"/>
      <c r="AAU631"/>
      <c r="AAV631"/>
      <c r="AAW631"/>
      <c r="AAX631"/>
      <c r="AAY631"/>
      <c r="AAZ631"/>
      <c r="ABA631"/>
      <c r="ABB631"/>
      <c r="ABC631"/>
      <c r="ABD631"/>
      <c r="ABE631"/>
      <c r="ABF631"/>
      <c r="ABG631"/>
      <c r="ABH631"/>
      <c r="ABI631"/>
      <c r="ABJ631"/>
      <c r="ABK631"/>
      <c r="ABL631"/>
      <c r="ABM631"/>
      <c r="ABN631"/>
      <c r="ABO631"/>
      <c r="ABP631"/>
      <c r="ABQ631"/>
      <c r="ABR631"/>
      <c r="ABS631"/>
      <c r="ABT631"/>
      <c r="ABU631"/>
      <c r="ABV631"/>
      <c r="ABW631"/>
      <c r="ABX631"/>
      <c r="ABY631"/>
      <c r="ABZ631"/>
      <c r="ACA631"/>
      <c r="ACB631"/>
      <c r="ACC631"/>
      <c r="ACD631"/>
      <c r="ACE631"/>
      <c r="ACF631"/>
      <c r="ACG631"/>
      <c r="ACH631"/>
      <c r="ACI631"/>
      <c r="ACJ631"/>
      <c r="ACK631"/>
      <c r="ACL631"/>
      <c r="ACM631"/>
      <c r="ACN631"/>
      <c r="ACO631"/>
      <c r="ACP631"/>
      <c r="ACQ631"/>
      <c r="ACR631"/>
      <c r="ACS631"/>
      <c r="ACT631"/>
      <c r="ACU631"/>
      <c r="ACV631"/>
      <c r="ACW631"/>
      <c r="ACX631"/>
      <c r="ACY631"/>
      <c r="ACZ631"/>
      <c r="ADA631"/>
      <c r="ADB631"/>
      <c r="ADC631"/>
      <c r="ADD631"/>
      <c r="ADE631"/>
      <c r="ADF631"/>
      <c r="ADG631"/>
      <c r="ADH631"/>
      <c r="ADI631"/>
      <c r="ADJ631"/>
      <c r="ADK631"/>
      <c r="ADL631"/>
      <c r="ADM631"/>
      <c r="ADN631"/>
      <c r="ADO631"/>
      <c r="ADP631"/>
      <c r="ADQ631"/>
      <c r="ADR631"/>
      <c r="ADS631"/>
      <c r="ADT631"/>
      <c r="ADU631"/>
      <c r="ADV631"/>
      <c r="ADW631"/>
      <c r="ADX631"/>
      <c r="ADY631"/>
      <c r="ADZ631"/>
      <c r="AEA631"/>
      <c r="AEB631"/>
      <c r="AEC631"/>
      <c r="AED631"/>
      <c r="AEE631"/>
      <c r="AEF631"/>
      <c r="AEG631"/>
      <c r="AEH631"/>
      <c r="AEI631"/>
      <c r="AEJ631"/>
      <c r="AEK631"/>
      <c r="AEL631"/>
      <c r="AEM631"/>
      <c r="AEN631"/>
      <c r="AEO631"/>
      <c r="AEP631"/>
      <c r="AEQ631"/>
      <c r="AER631"/>
      <c r="AES631"/>
      <c r="AET631"/>
      <c r="AEU631"/>
      <c r="AEV631"/>
      <c r="AEW631"/>
      <c r="AEX631"/>
      <c r="AEY631"/>
      <c r="AEZ631"/>
      <c r="AFA631"/>
      <c r="AFB631"/>
      <c r="AFC631"/>
      <c r="AFD631"/>
      <c r="AFE631"/>
      <c r="AFF631"/>
      <c r="AFG631"/>
      <c r="AFH631"/>
      <c r="AFI631"/>
      <c r="AFJ631"/>
      <c r="AFK631"/>
      <c r="AFL631"/>
      <c r="AFM631"/>
      <c r="AFN631"/>
      <c r="AFO631"/>
      <c r="AFP631"/>
      <c r="AFQ631"/>
      <c r="AFR631"/>
      <c r="AFS631"/>
      <c r="AFT631"/>
      <c r="AFU631"/>
      <c r="AFV631"/>
      <c r="AFW631"/>
      <c r="AFX631"/>
      <c r="AFY631"/>
      <c r="AFZ631"/>
      <c r="AGA631"/>
      <c r="AGB631"/>
      <c r="AGC631"/>
      <c r="AGD631"/>
      <c r="AGE631"/>
      <c r="AGF631"/>
      <c r="AGG631"/>
      <c r="AGH631"/>
      <c r="AGI631"/>
      <c r="AGJ631"/>
      <c r="AGK631"/>
      <c r="AGL631"/>
      <c r="AGM631"/>
      <c r="AGN631"/>
      <c r="AGO631"/>
      <c r="AGP631"/>
      <c r="AGQ631"/>
      <c r="AGR631"/>
      <c r="AGS631"/>
      <c r="AGT631"/>
      <c r="AGU631"/>
      <c r="AGV631"/>
      <c r="AGW631"/>
      <c r="AGX631"/>
      <c r="AGY631"/>
      <c r="AGZ631"/>
      <c r="AHA631"/>
      <c r="AHB631"/>
      <c r="AHC631"/>
      <c r="AHD631"/>
      <c r="AHE631"/>
      <c r="AHF631"/>
      <c r="AHG631"/>
      <c r="AHH631"/>
      <c r="AHI631"/>
      <c r="AHJ631"/>
      <c r="AHK631"/>
      <c r="AHL631"/>
      <c r="AHM631"/>
      <c r="AHN631"/>
      <c r="AHO631"/>
      <c r="AHP631"/>
      <c r="AHQ631"/>
      <c r="AHR631"/>
      <c r="AHS631"/>
      <c r="AHT631"/>
      <c r="AHU631"/>
      <c r="AHV631"/>
      <c r="AHW631"/>
      <c r="AHX631"/>
      <c r="AHY631"/>
      <c r="AHZ631"/>
      <c r="AIA631"/>
      <c r="AIB631"/>
      <c r="AIC631"/>
      <c r="AID631"/>
      <c r="AIE631"/>
      <c r="AIF631"/>
      <c r="AIG631"/>
      <c r="AIH631"/>
      <c r="AII631"/>
      <c r="AIJ631"/>
      <c r="AIK631"/>
      <c r="AIL631"/>
      <c r="AIM631"/>
      <c r="AIN631"/>
      <c r="AIO631"/>
      <c r="AIP631"/>
      <c r="AIQ631"/>
      <c r="AIR631"/>
      <c r="AIS631"/>
      <c r="AIT631"/>
      <c r="AIU631"/>
      <c r="AIV631"/>
      <c r="AIW631"/>
      <c r="AIX631"/>
      <c r="AIY631"/>
      <c r="AIZ631"/>
      <c r="AJA631"/>
      <c r="AJB631"/>
      <c r="AJC631"/>
      <c r="AJD631"/>
      <c r="AJE631"/>
      <c r="AJF631"/>
      <c r="AJG631"/>
      <c r="AJH631"/>
      <c r="AJI631"/>
      <c r="AJJ631"/>
      <c r="AJK631"/>
      <c r="AJL631"/>
      <c r="AJM631"/>
      <c r="AJN631"/>
      <c r="AJO631"/>
      <c r="AJP631"/>
      <c r="AJQ631"/>
      <c r="AJR631"/>
      <c r="AJS631"/>
      <c r="AJT631"/>
      <c r="AJU631"/>
      <c r="AJV631"/>
      <c r="AJW631"/>
      <c r="AJX631"/>
      <c r="AJY631"/>
      <c r="AJZ631"/>
      <c r="AKA631"/>
      <c r="AKB631"/>
      <c r="AKC631"/>
      <c r="AKD631"/>
      <c r="AKE631"/>
      <c r="AKF631"/>
      <c r="AKG631"/>
      <c r="AKH631"/>
      <c r="AKI631"/>
      <c r="AKJ631"/>
      <c r="AKK631"/>
      <c r="AKL631"/>
      <c r="AKM631"/>
      <c r="AKN631"/>
      <c r="AKO631"/>
      <c r="AKP631"/>
      <c r="AKQ631"/>
      <c r="AKR631"/>
      <c r="AKS631"/>
      <c r="AKT631"/>
      <c r="AKU631"/>
      <c r="AKV631"/>
      <c r="AKW631"/>
      <c r="AKX631"/>
      <c r="AKY631"/>
      <c r="AKZ631"/>
      <c r="ALA631"/>
      <c r="ALB631"/>
      <c r="ALC631"/>
      <c r="ALD631"/>
      <c r="ALE631"/>
      <c r="ALF631"/>
      <c r="ALG631"/>
      <c r="ALH631"/>
      <c r="ALI631"/>
      <c r="ALJ631"/>
      <c r="ALK631"/>
      <c r="ALL631"/>
      <c r="ALM631"/>
      <c r="ALN631"/>
      <c r="ALO631"/>
      <c r="ALP631"/>
      <c r="ALQ631"/>
      <c r="ALR631"/>
      <c r="ALS631"/>
      <c r="ALT631"/>
      <c r="ALU631"/>
      <c r="ALV631"/>
      <c r="ALW631"/>
      <c r="ALX631"/>
      <c r="ALY631"/>
      <c r="ALZ631"/>
      <c r="AMA631"/>
      <c r="AMB631"/>
      <c r="AMC631"/>
      <c r="AMD631"/>
    </row>
    <row r="632" spans="1:1018">
      <c r="B632" s="439"/>
      <c r="C632" s="450"/>
      <c r="D632" s="450"/>
      <c r="E632" s="445"/>
      <c r="J632" s="439"/>
      <c r="K632" s="440"/>
      <c r="L632" s="440"/>
      <c r="M632" s="440"/>
      <c r="N632" s="222"/>
      <c r="O632" s="426"/>
      <c r="P632" s="13"/>
      <c r="Q632" s="13"/>
      <c r="R632" s="431"/>
      <c r="S632" s="13"/>
      <c r="T632" s="13"/>
      <c r="U632" s="429"/>
      <c r="V632" s="429"/>
      <c r="W632" s="430"/>
      <c r="X632" s="430"/>
      <c r="Y632" s="430"/>
      <c r="Z632" s="430"/>
      <c r="AA632" s="430"/>
      <c r="AB632" s="430"/>
      <c r="AC632" s="430"/>
      <c r="AD632" s="430"/>
      <c r="AE632" s="430"/>
      <c r="AF632" s="430"/>
      <c r="AG632" s="430"/>
      <c r="AH632" s="430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  <c r="ZW632"/>
      <c r="ZX632"/>
      <c r="ZY632"/>
      <c r="ZZ632"/>
      <c r="AAA632"/>
      <c r="AAB632"/>
      <c r="AAC632"/>
      <c r="AAD632"/>
      <c r="AAE632"/>
      <c r="AAF632"/>
      <c r="AAG632"/>
      <c r="AAH632"/>
      <c r="AAI632"/>
      <c r="AAJ632"/>
      <c r="AAK632"/>
      <c r="AAL632"/>
      <c r="AAM632"/>
      <c r="AAN632"/>
      <c r="AAO632"/>
      <c r="AAP632"/>
      <c r="AAQ632"/>
      <c r="AAR632"/>
      <c r="AAS632"/>
      <c r="AAT632"/>
      <c r="AAU632"/>
      <c r="AAV632"/>
      <c r="AAW632"/>
      <c r="AAX632"/>
      <c r="AAY632"/>
      <c r="AAZ632"/>
      <c r="ABA632"/>
      <c r="ABB632"/>
      <c r="ABC632"/>
      <c r="ABD632"/>
      <c r="ABE632"/>
      <c r="ABF632"/>
      <c r="ABG632"/>
      <c r="ABH632"/>
      <c r="ABI632"/>
      <c r="ABJ632"/>
      <c r="ABK632"/>
      <c r="ABL632"/>
      <c r="ABM632"/>
      <c r="ABN632"/>
      <c r="ABO632"/>
      <c r="ABP632"/>
      <c r="ABQ632"/>
      <c r="ABR632"/>
      <c r="ABS632"/>
      <c r="ABT632"/>
      <c r="ABU632"/>
      <c r="ABV632"/>
      <c r="ABW632"/>
      <c r="ABX632"/>
      <c r="ABY632"/>
      <c r="ABZ632"/>
      <c r="ACA632"/>
      <c r="ACB632"/>
      <c r="ACC632"/>
      <c r="ACD632"/>
      <c r="ACE632"/>
      <c r="ACF632"/>
      <c r="ACG632"/>
      <c r="ACH632"/>
      <c r="ACI632"/>
      <c r="ACJ632"/>
      <c r="ACK632"/>
      <c r="ACL632"/>
      <c r="ACM632"/>
      <c r="ACN632"/>
      <c r="ACO632"/>
      <c r="ACP632"/>
      <c r="ACQ632"/>
      <c r="ACR632"/>
      <c r="ACS632"/>
      <c r="ACT632"/>
      <c r="ACU632"/>
      <c r="ACV632"/>
      <c r="ACW632"/>
      <c r="ACX632"/>
      <c r="ACY632"/>
      <c r="ACZ632"/>
      <c r="ADA632"/>
      <c r="ADB632"/>
      <c r="ADC632"/>
      <c r="ADD632"/>
      <c r="ADE632"/>
      <c r="ADF632"/>
      <c r="ADG632"/>
      <c r="ADH632"/>
      <c r="ADI632"/>
      <c r="ADJ632"/>
      <c r="ADK632"/>
      <c r="ADL632"/>
      <c r="ADM632"/>
      <c r="ADN632"/>
      <c r="ADO632"/>
      <c r="ADP632"/>
      <c r="ADQ632"/>
      <c r="ADR632"/>
      <c r="ADS632"/>
      <c r="ADT632"/>
      <c r="ADU632"/>
      <c r="ADV632"/>
      <c r="ADW632"/>
      <c r="ADX632"/>
      <c r="ADY632"/>
      <c r="ADZ632"/>
      <c r="AEA632"/>
      <c r="AEB632"/>
      <c r="AEC632"/>
      <c r="AED632"/>
      <c r="AEE632"/>
      <c r="AEF632"/>
      <c r="AEG632"/>
      <c r="AEH632"/>
      <c r="AEI632"/>
      <c r="AEJ632"/>
      <c r="AEK632"/>
      <c r="AEL632"/>
      <c r="AEM632"/>
      <c r="AEN632"/>
      <c r="AEO632"/>
      <c r="AEP632"/>
      <c r="AEQ632"/>
      <c r="AER632"/>
      <c r="AES632"/>
      <c r="AET632"/>
      <c r="AEU632"/>
      <c r="AEV632"/>
      <c r="AEW632"/>
      <c r="AEX632"/>
      <c r="AEY632"/>
      <c r="AEZ632"/>
      <c r="AFA632"/>
      <c r="AFB632"/>
      <c r="AFC632"/>
      <c r="AFD632"/>
      <c r="AFE632"/>
      <c r="AFF632"/>
      <c r="AFG632"/>
      <c r="AFH632"/>
      <c r="AFI632"/>
      <c r="AFJ632"/>
      <c r="AFK632"/>
      <c r="AFL632"/>
      <c r="AFM632"/>
      <c r="AFN632"/>
      <c r="AFO632"/>
      <c r="AFP632"/>
      <c r="AFQ632"/>
      <c r="AFR632"/>
      <c r="AFS632"/>
      <c r="AFT632"/>
      <c r="AFU632"/>
      <c r="AFV632"/>
      <c r="AFW632"/>
      <c r="AFX632"/>
      <c r="AFY632"/>
      <c r="AFZ632"/>
      <c r="AGA632"/>
      <c r="AGB632"/>
      <c r="AGC632"/>
      <c r="AGD632"/>
      <c r="AGE632"/>
      <c r="AGF632"/>
      <c r="AGG632"/>
      <c r="AGH632"/>
      <c r="AGI632"/>
      <c r="AGJ632"/>
      <c r="AGK632"/>
      <c r="AGL632"/>
      <c r="AGM632"/>
      <c r="AGN632"/>
      <c r="AGO632"/>
      <c r="AGP632"/>
      <c r="AGQ632"/>
      <c r="AGR632"/>
      <c r="AGS632"/>
      <c r="AGT632"/>
      <c r="AGU632"/>
      <c r="AGV632"/>
      <c r="AGW632"/>
      <c r="AGX632"/>
      <c r="AGY632"/>
      <c r="AGZ632"/>
      <c r="AHA632"/>
      <c r="AHB632"/>
      <c r="AHC632"/>
      <c r="AHD632"/>
      <c r="AHE632"/>
      <c r="AHF632"/>
      <c r="AHG632"/>
      <c r="AHH632"/>
      <c r="AHI632"/>
      <c r="AHJ632"/>
      <c r="AHK632"/>
      <c r="AHL632"/>
      <c r="AHM632"/>
      <c r="AHN632"/>
      <c r="AHO632"/>
      <c r="AHP632"/>
      <c r="AHQ632"/>
      <c r="AHR632"/>
      <c r="AHS632"/>
      <c r="AHT632"/>
      <c r="AHU632"/>
      <c r="AHV632"/>
      <c r="AHW632"/>
      <c r="AHX632"/>
      <c r="AHY632"/>
      <c r="AHZ632"/>
      <c r="AIA632"/>
      <c r="AIB632"/>
      <c r="AIC632"/>
      <c r="AID632"/>
      <c r="AIE632"/>
      <c r="AIF632"/>
      <c r="AIG632"/>
      <c r="AIH632"/>
      <c r="AII632"/>
      <c r="AIJ632"/>
      <c r="AIK632"/>
      <c r="AIL632"/>
      <c r="AIM632"/>
      <c r="AIN632"/>
      <c r="AIO632"/>
      <c r="AIP632"/>
      <c r="AIQ632"/>
      <c r="AIR632"/>
      <c r="AIS632"/>
      <c r="AIT632"/>
      <c r="AIU632"/>
      <c r="AIV632"/>
      <c r="AIW632"/>
      <c r="AIX632"/>
      <c r="AIY632"/>
      <c r="AIZ632"/>
      <c r="AJA632"/>
      <c r="AJB632"/>
      <c r="AJC632"/>
      <c r="AJD632"/>
      <c r="AJE632"/>
      <c r="AJF632"/>
      <c r="AJG632"/>
      <c r="AJH632"/>
      <c r="AJI632"/>
      <c r="AJJ632"/>
      <c r="AJK632"/>
      <c r="AJL632"/>
      <c r="AJM632"/>
      <c r="AJN632"/>
      <c r="AJO632"/>
      <c r="AJP632"/>
      <c r="AJQ632"/>
      <c r="AJR632"/>
      <c r="AJS632"/>
      <c r="AJT632"/>
      <c r="AJU632"/>
      <c r="AJV632"/>
      <c r="AJW632"/>
      <c r="AJX632"/>
      <c r="AJY632"/>
      <c r="AJZ632"/>
      <c r="AKA632"/>
      <c r="AKB632"/>
      <c r="AKC632"/>
      <c r="AKD632"/>
      <c r="AKE632"/>
      <c r="AKF632"/>
      <c r="AKG632"/>
      <c r="AKH632"/>
      <c r="AKI632"/>
      <c r="AKJ632"/>
      <c r="AKK632"/>
      <c r="AKL632"/>
      <c r="AKM632"/>
      <c r="AKN632"/>
      <c r="AKO632"/>
      <c r="AKP632"/>
      <c r="AKQ632"/>
      <c r="AKR632"/>
      <c r="AKS632"/>
      <c r="AKT632"/>
      <c r="AKU632"/>
      <c r="AKV632"/>
      <c r="AKW632"/>
      <c r="AKX632"/>
      <c r="AKY632"/>
      <c r="AKZ632"/>
      <c r="ALA632"/>
      <c r="ALB632"/>
      <c r="ALC632"/>
      <c r="ALD632"/>
      <c r="ALE632"/>
      <c r="ALF632"/>
      <c r="ALG632"/>
      <c r="ALH632"/>
      <c r="ALI632"/>
      <c r="ALJ632"/>
      <c r="ALK632"/>
      <c r="ALL632"/>
      <c r="ALM632"/>
      <c r="ALN632"/>
      <c r="ALO632"/>
      <c r="ALP632"/>
      <c r="ALQ632"/>
      <c r="ALR632"/>
      <c r="ALS632"/>
      <c r="ALT632"/>
      <c r="ALU632"/>
      <c r="ALV632"/>
      <c r="ALW632"/>
      <c r="ALX632"/>
      <c r="ALY632"/>
      <c r="ALZ632"/>
      <c r="AMA632"/>
      <c r="AMB632"/>
      <c r="AMC632"/>
      <c r="AMD632"/>
    </row>
    <row r="633" spans="1:1018">
      <c r="B633" s="439"/>
      <c r="C633" s="450"/>
      <c r="D633" s="450"/>
      <c r="J633" s="439"/>
      <c r="K633" s="440"/>
      <c r="L633" s="440"/>
      <c r="M633" s="440"/>
      <c r="N633" s="222"/>
      <c r="O633" s="426"/>
      <c r="P633" s="13"/>
      <c r="Q633" s="13"/>
      <c r="R633" s="431"/>
      <c r="S633" s="13"/>
      <c r="T633" s="13"/>
      <c r="U633" s="429"/>
      <c r="V633" s="429"/>
      <c r="W633" s="430"/>
      <c r="X633" s="430"/>
      <c r="Y633" s="430"/>
      <c r="Z633" s="430"/>
      <c r="AA633" s="430"/>
      <c r="AB633" s="430"/>
      <c r="AC633" s="430"/>
      <c r="AD633" s="430"/>
      <c r="AE633" s="430"/>
      <c r="AF633" s="430"/>
      <c r="AG633" s="430"/>
      <c r="AH633" s="430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  <c r="ZW633"/>
      <c r="ZX633"/>
      <c r="ZY633"/>
      <c r="ZZ633"/>
      <c r="AAA633"/>
      <c r="AAB633"/>
      <c r="AAC633"/>
      <c r="AAD633"/>
      <c r="AAE633"/>
      <c r="AAF633"/>
      <c r="AAG633"/>
      <c r="AAH633"/>
      <c r="AAI633"/>
      <c r="AAJ633"/>
      <c r="AAK633"/>
      <c r="AAL633"/>
      <c r="AAM633"/>
      <c r="AAN633"/>
      <c r="AAO633"/>
      <c r="AAP633"/>
      <c r="AAQ633"/>
      <c r="AAR633"/>
      <c r="AAS633"/>
      <c r="AAT633"/>
      <c r="AAU633"/>
      <c r="AAV633"/>
      <c r="AAW633"/>
      <c r="AAX633"/>
      <c r="AAY633"/>
      <c r="AAZ633"/>
      <c r="ABA633"/>
      <c r="ABB633"/>
      <c r="ABC633"/>
      <c r="ABD633"/>
      <c r="ABE633"/>
      <c r="ABF633"/>
      <c r="ABG633"/>
      <c r="ABH633"/>
      <c r="ABI633"/>
      <c r="ABJ633"/>
      <c r="ABK633"/>
      <c r="ABL633"/>
      <c r="ABM633"/>
      <c r="ABN633"/>
      <c r="ABO633"/>
      <c r="ABP633"/>
      <c r="ABQ633"/>
      <c r="ABR633"/>
      <c r="ABS633"/>
      <c r="ABT633"/>
      <c r="ABU633"/>
      <c r="ABV633"/>
      <c r="ABW633"/>
      <c r="ABX633"/>
      <c r="ABY633"/>
      <c r="ABZ633"/>
      <c r="ACA633"/>
      <c r="ACB633"/>
      <c r="ACC633"/>
      <c r="ACD633"/>
      <c r="ACE633"/>
      <c r="ACF633"/>
      <c r="ACG633"/>
      <c r="ACH633"/>
      <c r="ACI633"/>
      <c r="ACJ633"/>
      <c r="ACK633"/>
      <c r="ACL633"/>
      <c r="ACM633"/>
      <c r="ACN633"/>
      <c r="ACO633"/>
      <c r="ACP633"/>
      <c r="ACQ633"/>
      <c r="ACR633"/>
      <c r="ACS633"/>
      <c r="ACT633"/>
      <c r="ACU633"/>
      <c r="ACV633"/>
      <c r="ACW633"/>
      <c r="ACX633"/>
      <c r="ACY633"/>
      <c r="ACZ633"/>
      <c r="ADA633"/>
      <c r="ADB633"/>
      <c r="ADC633"/>
      <c r="ADD633"/>
      <c r="ADE633"/>
      <c r="ADF633"/>
      <c r="ADG633"/>
      <c r="ADH633"/>
      <c r="ADI633"/>
      <c r="ADJ633"/>
      <c r="ADK633"/>
      <c r="ADL633"/>
      <c r="ADM633"/>
      <c r="ADN633"/>
      <c r="ADO633"/>
      <c r="ADP633"/>
      <c r="ADQ633"/>
      <c r="ADR633"/>
      <c r="ADS633"/>
      <c r="ADT633"/>
      <c r="ADU633"/>
      <c r="ADV633"/>
      <c r="ADW633"/>
      <c r="ADX633"/>
      <c r="ADY633"/>
      <c r="ADZ633"/>
      <c r="AEA633"/>
      <c r="AEB633"/>
      <c r="AEC633"/>
      <c r="AED633"/>
      <c r="AEE633"/>
      <c r="AEF633"/>
      <c r="AEG633"/>
      <c r="AEH633"/>
      <c r="AEI633"/>
      <c r="AEJ633"/>
      <c r="AEK633"/>
      <c r="AEL633"/>
      <c r="AEM633"/>
      <c r="AEN633"/>
      <c r="AEO633"/>
      <c r="AEP633"/>
      <c r="AEQ633"/>
      <c r="AER633"/>
      <c r="AES633"/>
      <c r="AET633"/>
      <c r="AEU633"/>
      <c r="AEV633"/>
      <c r="AEW633"/>
      <c r="AEX633"/>
      <c r="AEY633"/>
      <c r="AEZ633"/>
      <c r="AFA633"/>
      <c r="AFB633"/>
      <c r="AFC633"/>
      <c r="AFD633"/>
      <c r="AFE633"/>
      <c r="AFF633"/>
      <c r="AFG633"/>
      <c r="AFH633"/>
      <c r="AFI633"/>
      <c r="AFJ633"/>
      <c r="AFK633"/>
      <c r="AFL633"/>
      <c r="AFM633"/>
      <c r="AFN633"/>
      <c r="AFO633"/>
      <c r="AFP633"/>
      <c r="AFQ633"/>
      <c r="AFR633"/>
      <c r="AFS633"/>
      <c r="AFT633"/>
      <c r="AFU633"/>
      <c r="AFV633"/>
      <c r="AFW633"/>
      <c r="AFX633"/>
      <c r="AFY633"/>
      <c r="AFZ633"/>
      <c r="AGA633"/>
      <c r="AGB633"/>
      <c r="AGC633"/>
      <c r="AGD633"/>
      <c r="AGE633"/>
      <c r="AGF633"/>
      <c r="AGG633"/>
      <c r="AGH633"/>
      <c r="AGI633"/>
      <c r="AGJ633"/>
      <c r="AGK633"/>
      <c r="AGL633"/>
      <c r="AGM633"/>
      <c r="AGN633"/>
      <c r="AGO633"/>
      <c r="AGP633"/>
      <c r="AGQ633"/>
      <c r="AGR633"/>
      <c r="AGS633"/>
      <c r="AGT633"/>
      <c r="AGU633"/>
      <c r="AGV633"/>
      <c r="AGW633"/>
      <c r="AGX633"/>
      <c r="AGY633"/>
      <c r="AGZ633"/>
      <c r="AHA633"/>
      <c r="AHB633"/>
      <c r="AHC633"/>
      <c r="AHD633"/>
      <c r="AHE633"/>
      <c r="AHF633"/>
      <c r="AHG633"/>
      <c r="AHH633"/>
      <c r="AHI633"/>
      <c r="AHJ633"/>
      <c r="AHK633"/>
      <c r="AHL633"/>
      <c r="AHM633"/>
      <c r="AHN633"/>
      <c r="AHO633"/>
      <c r="AHP633"/>
      <c r="AHQ633"/>
      <c r="AHR633"/>
      <c r="AHS633"/>
      <c r="AHT633"/>
      <c r="AHU633"/>
      <c r="AHV633"/>
      <c r="AHW633"/>
      <c r="AHX633"/>
      <c r="AHY633"/>
      <c r="AHZ633"/>
      <c r="AIA633"/>
      <c r="AIB633"/>
      <c r="AIC633"/>
      <c r="AID633"/>
      <c r="AIE633"/>
      <c r="AIF633"/>
      <c r="AIG633"/>
      <c r="AIH633"/>
      <c r="AII633"/>
      <c r="AIJ633"/>
      <c r="AIK633"/>
      <c r="AIL633"/>
      <c r="AIM633"/>
      <c r="AIN633"/>
      <c r="AIO633"/>
      <c r="AIP633"/>
      <c r="AIQ633"/>
      <c r="AIR633"/>
      <c r="AIS633"/>
      <c r="AIT633"/>
      <c r="AIU633"/>
      <c r="AIV633"/>
      <c r="AIW633"/>
      <c r="AIX633"/>
      <c r="AIY633"/>
      <c r="AIZ633"/>
      <c r="AJA633"/>
      <c r="AJB633"/>
      <c r="AJC633"/>
      <c r="AJD633"/>
      <c r="AJE633"/>
      <c r="AJF633"/>
      <c r="AJG633"/>
      <c r="AJH633"/>
      <c r="AJI633"/>
      <c r="AJJ633"/>
      <c r="AJK633"/>
      <c r="AJL633"/>
      <c r="AJM633"/>
      <c r="AJN633"/>
      <c r="AJO633"/>
      <c r="AJP633"/>
      <c r="AJQ633"/>
      <c r="AJR633"/>
      <c r="AJS633"/>
      <c r="AJT633"/>
      <c r="AJU633"/>
      <c r="AJV633"/>
      <c r="AJW633"/>
      <c r="AJX633"/>
      <c r="AJY633"/>
      <c r="AJZ633"/>
      <c r="AKA633"/>
      <c r="AKB633"/>
      <c r="AKC633"/>
      <c r="AKD633"/>
      <c r="AKE633"/>
      <c r="AKF633"/>
      <c r="AKG633"/>
      <c r="AKH633"/>
      <c r="AKI633"/>
      <c r="AKJ633"/>
      <c r="AKK633"/>
      <c r="AKL633"/>
      <c r="AKM633"/>
      <c r="AKN633"/>
      <c r="AKO633"/>
      <c r="AKP633"/>
      <c r="AKQ633"/>
      <c r="AKR633"/>
      <c r="AKS633"/>
      <c r="AKT633"/>
      <c r="AKU633"/>
      <c r="AKV633"/>
      <c r="AKW633"/>
      <c r="AKX633"/>
      <c r="AKY633"/>
      <c r="AKZ633"/>
      <c r="ALA633"/>
      <c r="ALB633"/>
      <c r="ALC633"/>
      <c r="ALD633"/>
      <c r="ALE633"/>
      <c r="ALF633"/>
      <c r="ALG633"/>
      <c r="ALH633"/>
      <c r="ALI633"/>
      <c r="ALJ633"/>
      <c r="ALK633"/>
      <c r="ALL633"/>
      <c r="ALM633"/>
      <c r="ALN633"/>
      <c r="ALO633"/>
      <c r="ALP633"/>
      <c r="ALQ633"/>
      <c r="ALR633"/>
      <c r="ALS633"/>
      <c r="ALT633"/>
      <c r="ALU633"/>
      <c r="ALV633"/>
      <c r="ALW633"/>
      <c r="ALX633"/>
      <c r="ALY633"/>
      <c r="ALZ633"/>
      <c r="AMA633"/>
      <c r="AMB633"/>
      <c r="AMC633"/>
      <c r="AMD633"/>
    </row>
    <row r="634" spans="1:1018">
      <c r="B634" s="439"/>
      <c r="C634" s="450"/>
      <c r="D634" s="450"/>
      <c r="E634" s="445"/>
      <c r="J634" s="439"/>
      <c r="K634" s="440"/>
      <c r="L634" s="440"/>
      <c r="M634" s="440"/>
      <c r="N634" s="222"/>
      <c r="O634" s="426"/>
      <c r="P634" s="13"/>
      <c r="Q634" s="13"/>
      <c r="R634" s="431"/>
      <c r="S634" s="13"/>
      <c r="T634" s="13"/>
      <c r="U634" s="429"/>
      <c r="V634" s="429"/>
      <c r="W634" s="430"/>
      <c r="X634" s="430"/>
      <c r="Y634" s="430"/>
      <c r="Z634" s="430"/>
      <c r="AA634" s="430"/>
      <c r="AB634" s="430"/>
      <c r="AC634" s="430"/>
      <c r="AD634" s="430"/>
      <c r="AE634" s="430"/>
      <c r="AF634" s="430"/>
      <c r="AG634" s="430"/>
      <c r="AH634" s="430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  <c r="ZW634"/>
      <c r="ZX634"/>
      <c r="ZY634"/>
      <c r="ZZ634"/>
      <c r="AAA634"/>
      <c r="AAB634"/>
      <c r="AAC634"/>
      <c r="AAD634"/>
      <c r="AAE634"/>
      <c r="AAF634"/>
      <c r="AAG634"/>
      <c r="AAH634"/>
      <c r="AAI634"/>
      <c r="AAJ634"/>
      <c r="AAK634"/>
      <c r="AAL634"/>
      <c r="AAM634"/>
      <c r="AAN634"/>
      <c r="AAO634"/>
      <c r="AAP634"/>
      <c r="AAQ634"/>
      <c r="AAR634"/>
      <c r="AAS634"/>
      <c r="AAT634"/>
      <c r="AAU634"/>
      <c r="AAV634"/>
      <c r="AAW634"/>
      <c r="AAX634"/>
      <c r="AAY634"/>
      <c r="AAZ634"/>
      <c r="ABA634"/>
      <c r="ABB634"/>
      <c r="ABC634"/>
      <c r="ABD634"/>
      <c r="ABE634"/>
      <c r="ABF634"/>
      <c r="ABG634"/>
      <c r="ABH634"/>
      <c r="ABI634"/>
      <c r="ABJ634"/>
      <c r="ABK634"/>
      <c r="ABL634"/>
      <c r="ABM634"/>
      <c r="ABN634"/>
      <c r="ABO634"/>
      <c r="ABP634"/>
      <c r="ABQ634"/>
      <c r="ABR634"/>
      <c r="ABS634"/>
      <c r="ABT634"/>
      <c r="ABU634"/>
      <c r="ABV634"/>
      <c r="ABW634"/>
      <c r="ABX634"/>
      <c r="ABY634"/>
      <c r="ABZ634"/>
      <c r="ACA634"/>
      <c r="ACB634"/>
      <c r="ACC634"/>
      <c r="ACD634"/>
      <c r="ACE634"/>
      <c r="ACF634"/>
      <c r="ACG634"/>
      <c r="ACH634"/>
      <c r="ACI634"/>
      <c r="ACJ634"/>
      <c r="ACK634"/>
      <c r="ACL634"/>
      <c r="ACM634"/>
      <c r="ACN634"/>
      <c r="ACO634"/>
      <c r="ACP634"/>
      <c r="ACQ634"/>
      <c r="ACR634"/>
      <c r="ACS634"/>
      <c r="ACT634"/>
      <c r="ACU634"/>
      <c r="ACV634"/>
      <c r="ACW634"/>
      <c r="ACX634"/>
      <c r="ACY634"/>
      <c r="ACZ634"/>
      <c r="ADA634"/>
      <c r="ADB634"/>
      <c r="ADC634"/>
      <c r="ADD634"/>
      <c r="ADE634"/>
      <c r="ADF634"/>
      <c r="ADG634"/>
      <c r="ADH634"/>
      <c r="ADI634"/>
      <c r="ADJ634"/>
      <c r="ADK634"/>
      <c r="ADL634"/>
      <c r="ADM634"/>
      <c r="ADN634"/>
      <c r="ADO634"/>
      <c r="ADP634"/>
      <c r="ADQ634"/>
      <c r="ADR634"/>
      <c r="ADS634"/>
      <c r="ADT634"/>
      <c r="ADU634"/>
      <c r="ADV634"/>
      <c r="ADW634"/>
      <c r="ADX634"/>
      <c r="ADY634"/>
      <c r="ADZ634"/>
      <c r="AEA634"/>
      <c r="AEB634"/>
      <c r="AEC634"/>
      <c r="AED634"/>
      <c r="AEE634"/>
      <c r="AEF634"/>
      <c r="AEG634"/>
      <c r="AEH634"/>
      <c r="AEI634"/>
      <c r="AEJ634"/>
      <c r="AEK634"/>
      <c r="AEL634"/>
      <c r="AEM634"/>
      <c r="AEN634"/>
      <c r="AEO634"/>
      <c r="AEP634"/>
      <c r="AEQ634"/>
      <c r="AER634"/>
      <c r="AES634"/>
      <c r="AET634"/>
      <c r="AEU634"/>
      <c r="AEV634"/>
      <c r="AEW634"/>
      <c r="AEX634"/>
      <c r="AEY634"/>
      <c r="AEZ634"/>
      <c r="AFA634"/>
      <c r="AFB634"/>
      <c r="AFC634"/>
      <c r="AFD634"/>
      <c r="AFE634"/>
      <c r="AFF634"/>
      <c r="AFG634"/>
      <c r="AFH634"/>
      <c r="AFI634"/>
      <c r="AFJ634"/>
      <c r="AFK634"/>
      <c r="AFL634"/>
      <c r="AFM634"/>
      <c r="AFN634"/>
      <c r="AFO634"/>
      <c r="AFP634"/>
      <c r="AFQ634"/>
      <c r="AFR634"/>
      <c r="AFS634"/>
      <c r="AFT634"/>
      <c r="AFU634"/>
      <c r="AFV634"/>
      <c r="AFW634"/>
      <c r="AFX634"/>
      <c r="AFY634"/>
      <c r="AFZ634"/>
      <c r="AGA634"/>
      <c r="AGB634"/>
      <c r="AGC634"/>
      <c r="AGD634"/>
      <c r="AGE634"/>
      <c r="AGF634"/>
      <c r="AGG634"/>
      <c r="AGH634"/>
      <c r="AGI634"/>
      <c r="AGJ634"/>
      <c r="AGK634"/>
      <c r="AGL634"/>
      <c r="AGM634"/>
      <c r="AGN634"/>
      <c r="AGO634"/>
      <c r="AGP634"/>
      <c r="AGQ634"/>
      <c r="AGR634"/>
      <c r="AGS634"/>
      <c r="AGT634"/>
      <c r="AGU634"/>
      <c r="AGV634"/>
      <c r="AGW634"/>
      <c r="AGX634"/>
      <c r="AGY634"/>
      <c r="AGZ634"/>
      <c r="AHA634"/>
      <c r="AHB634"/>
      <c r="AHC634"/>
      <c r="AHD634"/>
      <c r="AHE634"/>
      <c r="AHF634"/>
      <c r="AHG634"/>
      <c r="AHH634"/>
      <c r="AHI634"/>
      <c r="AHJ634"/>
      <c r="AHK634"/>
      <c r="AHL634"/>
      <c r="AHM634"/>
      <c r="AHN634"/>
      <c r="AHO634"/>
      <c r="AHP634"/>
      <c r="AHQ634"/>
      <c r="AHR634"/>
      <c r="AHS634"/>
      <c r="AHT634"/>
      <c r="AHU634"/>
      <c r="AHV634"/>
      <c r="AHW634"/>
      <c r="AHX634"/>
      <c r="AHY634"/>
      <c r="AHZ634"/>
      <c r="AIA634"/>
      <c r="AIB634"/>
      <c r="AIC634"/>
      <c r="AID634"/>
      <c r="AIE634"/>
      <c r="AIF634"/>
      <c r="AIG634"/>
      <c r="AIH634"/>
      <c r="AII634"/>
      <c r="AIJ634"/>
      <c r="AIK634"/>
      <c r="AIL634"/>
      <c r="AIM634"/>
      <c r="AIN634"/>
      <c r="AIO634"/>
      <c r="AIP634"/>
      <c r="AIQ634"/>
      <c r="AIR634"/>
      <c r="AIS634"/>
      <c r="AIT634"/>
      <c r="AIU634"/>
      <c r="AIV634"/>
      <c r="AIW634"/>
      <c r="AIX634"/>
      <c r="AIY634"/>
      <c r="AIZ634"/>
      <c r="AJA634"/>
      <c r="AJB634"/>
      <c r="AJC634"/>
      <c r="AJD634"/>
      <c r="AJE634"/>
      <c r="AJF634"/>
      <c r="AJG634"/>
      <c r="AJH634"/>
      <c r="AJI634"/>
      <c r="AJJ634"/>
      <c r="AJK634"/>
      <c r="AJL634"/>
      <c r="AJM634"/>
      <c r="AJN634"/>
      <c r="AJO634"/>
      <c r="AJP634"/>
      <c r="AJQ634"/>
      <c r="AJR634"/>
      <c r="AJS634"/>
      <c r="AJT634"/>
      <c r="AJU634"/>
      <c r="AJV634"/>
      <c r="AJW634"/>
      <c r="AJX634"/>
      <c r="AJY634"/>
      <c r="AJZ634"/>
      <c r="AKA634"/>
      <c r="AKB634"/>
      <c r="AKC634"/>
      <c r="AKD634"/>
      <c r="AKE634"/>
      <c r="AKF634"/>
      <c r="AKG634"/>
      <c r="AKH634"/>
      <c r="AKI634"/>
      <c r="AKJ634"/>
      <c r="AKK634"/>
      <c r="AKL634"/>
      <c r="AKM634"/>
      <c r="AKN634"/>
      <c r="AKO634"/>
      <c r="AKP634"/>
      <c r="AKQ634"/>
      <c r="AKR634"/>
      <c r="AKS634"/>
      <c r="AKT634"/>
      <c r="AKU634"/>
      <c r="AKV634"/>
      <c r="AKW634"/>
      <c r="AKX634"/>
      <c r="AKY634"/>
      <c r="AKZ634"/>
      <c r="ALA634"/>
      <c r="ALB634"/>
      <c r="ALC634"/>
      <c r="ALD634"/>
      <c r="ALE634"/>
      <c r="ALF634"/>
      <c r="ALG634"/>
      <c r="ALH634"/>
      <c r="ALI634"/>
      <c r="ALJ634"/>
      <c r="ALK634"/>
      <c r="ALL634"/>
      <c r="ALM634"/>
      <c r="ALN634"/>
      <c r="ALO634"/>
      <c r="ALP634"/>
      <c r="ALQ634"/>
      <c r="ALR634"/>
      <c r="ALS634"/>
      <c r="ALT634"/>
      <c r="ALU634"/>
      <c r="ALV634"/>
      <c r="ALW634"/>
      <c r="ALX634"/>
      <c r="ALY634"/>
      <c r="ALZ634"/>
      <c r="AMA634"/>
      <c r="AMB634"/>
      <c r="AMC634"/>
      <c r="AMD634"/>
    </row>
    <row r="635" spans="1:1018">
      <c r="B635" s="439"/>
      <c r="C635" s="450"/>
      <c r="D635" s="450"/>
      <c r="J635" s="439"/>
      <c r="K635" s="440"/>
      <c r="L635" s="440"/>
      <c r="M635" s="440"/>
      <c r="N635" s="222"/>
      <c r="O635" s="426"/>
      <c r="P635" s="13"/>
      <c r="Q635" s="13"/>
      <c r="R635" s="431"/>
      <c r="S635" s="13"/>
      <c r="T635" s="13"/>
      <c r="U635" s="429"/>
      <c r="V635" s="429"/>
      <c r="W635" s="430"/>
      <c r="X635" s="430"/>
      <c r="Y635" s="430"/>
      <c r="Z635" s="430"/>
      <c r="AA635" s="430"/>
      <c r="AB635" s="430"/>
      <c r="AC635" s="430"/>
      <c r="AD635" s="430"/>
      <c r="AE635" s="430"/>
      <c r="AF635" s="430"/>
      <c r="AG635" s="430"/>
      <c r="AH635" s="430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  <c r="ZW635"/>
      <c r="ZX635"/>
      <c r="ZY635"/>
      <c r="ZZ635"/>
      <c r="AAA635"/>
      <c r="AAB635"/>
      <c r="AAC635"/>
      <c r="AAD635"/>
      <c r="AAE635"/>
      <c r="AAF635"/>
      <c r="AAG635"/>
      <c r="AAH635"/>
      <c r="AAI635"/>
      <c r="AAJ635"/>
      <c r="AAK635"/>
      <c r="AAL635"/>
      <c r="AAM635"/>
      <c r="AAN635"/>
      <c r="AAO635"/>
      <c r="AAP635"/>
      <c r="AAQ635"/>
      <c r="AAR635"/>
      <c r="AAS635"/>
      <c r="AAT635"/>
      <c r="AAU635"/>
      <c r="AAV635"/>
      <c r="AAW635"/>
      <c r="AAX635"/>
      <c r="AAY635"/>
      <c r="AAZ635"/>
      <c r="ABA635"/>
      <c r="ABB635"/>
      <c r="ABC635"/>
      <c r="ABD635"/>
      <c r="ABE635"/>
      <c r="ABF635"/>
      <c r="ABG635"/>
      <c r="ABH635"/>
      <c r="ABI635"/>
      <c r="ABJ635"/>
      <c r="ABK635"/>
      <c r="ABL635"/>
      <c r="ABM635"/>
      <c r="ABN635"/>
      <c r="ABO635"/>
      <c r="ABP635"/>
      <c r="ABQ635"/>
      <c r="ABR635"/>
      <c r="ABS635"/>
      <c r="ABT635"/>
      <c r="ABU635"/>
      <c r="ABV635"/>
      <c r="ABW635"/>
      <c r="ABX635"/>
      <c r="ABY635"/>
      <c r="ABZ635"/>
      <c r="ACA635"/>
      <c r="ACB635"/>
      <c r="ACC635"/>
      <c r="ACD635"/>
      <c r="ACE635"/>
      <c r="ACF635"/>
      <c r="ACG635"/>
      <c r="ACH635"/>
      <c r="ACI635"/>
      <c r="ACJ635"/>
      <c r="ACK635"/>
      <c r="ACL635"/>
      <c r="ACM635"/>
      <c r="ACN635"/>
      <c r="ACO635"/>
      <c r="ACP635"/>
      <c r="ACQ635"/>
      <c r="ACR635"/>
      <c r="ACS635"/>
      <c r="ACT635"/>
      <c r="ACU635"/>
      <c r="ACV635"/>
      <c r="ACW635"/>
      <c r="ACX635"/>
      <c r="ACY635"/>
      <c r="ACZ635"/>
      <c r="ADA635"/>
      <c r="ADB635"/>
      <c r="ADC635"/>
      <c r="ADD635"/>
      <c r="ADE635"/>
      <c r="ADF635"/>
      <c r="ADG635"/>
      <c r="ADH635"/>
      <c r="ADI635"/>
      <c r="ADJ635"/>
      <c r="ADK635"/>
      <c r="ADL635"/>
      <c r="ADM635"/>
      <c r="ADN635"/>
      <c r="ADO635"/>
      <c r="ADP635"/>
      <c r="ADQ635"/>
      <c r="ADR635"/>
      <c r="ADS635"/>
      <c r="ADT635"/>
      <c r="ADU635"/>
      <c r="ADV635"/>
      <c r="ADW635"/>
      <c r="ADX635"/>
      <c r="ADY635"/>
      <c r="ADZ635"/>
      <c r="AEA635"/>
      <c r="AEB635"/>
      <c r="AEC635"/>
      <c r="AED635"/>
      <c r="AEE635"/>
      <c r="AEF635"/>
      <c r="AEG635"/>
      <c r="AEH635"/>
      <c r="AEI635"/>
      <c r="AEJ635"/>
      <c r="AEK635"/>
      <c r="AEL635"/>
      <c r="AEM635"/>
      <c r="AEN635"/>
      <c r="AEO635"/>
      <c r="AEP635"/>
      <c r="AEQ635"/>
      <c r="AER635"/>
      <c r="AES635"/>
      <c r="AET635"/>
      <c r="AEU635"/>
      <c r="AEV635"/>
      <c r="AEW635"/>
      <c r="AEX635"/>
      <c r="AEY635"/>
      <c r="AEZ635"/>
      <c r="AFA635"/>
      <c r="AFB635"/>
      <c r="AFC635"/>
      <c r="AFD635"/>
      <c r="AFE635"/>
      <c r="AFF635"/>
      <c r="AFG635"/>
      <c r="AFH635"/>
      <c r="AFI635"/>
      <c r="AFJ635"/>
      <c r="AFK635"/>
      <c r="AFL635"/>
      <c r="AFM635"/>
      <c r="AFN635"/>
      <c r="AFO635"/>
      <c r="AFP635"/>
      <c r="AFQ635"/>
      <c r="AFR635"/>
      <c r="AFS635"/>
      <c r="AFT635"/>
      <c r="AFU635"/>
      <c r="AFV635"/>
      <c r="AFW635"/>
      <c r="AFX635"/>
      <c r="AFY635"/>
      <c r="AFZ635"/>
      <c r="AGA635"/>
      <c r="AGB635"/>
      <c r="AGC635"/>
      <c r="AGD635"/>
      <c r="AGE635"/>
      <c r="AGF635"/>
      <c r="AGG635"/>
      <c r="AGH635"/>
      <c r="AGI635"/>
      <c r="AGJ635"/>
      <c r="AGK635"/>
      <c r="AGL635"/>
      <c r="AGM635"/>
      <c r="AGN635"/>
      <c r="AGO635"/>
      <c r="AGP635"/>
      <c r="AGQ635"/>
      <c r="AGR635"/>
      <c r="AGS635"/>
      <c r="AGT635"/>
      <c r="AGU635"/>
      <c r="AGV635"/>
      <c r="AGW635"/>
      <c r="AGX635"/>
      <c r="AGY635"/>
      <c r="AGZ635"/>
      <c r="AHA635"/>
      <c r="AHB635"/>
      <c r="AHC635"/>
      <c r="AHD635"/>
      <c r="AHE635"/>
      <c r="AHF635"/>
      <c r="AHG635"/>
      <c r="AHH635"/>
      <c r="AHI635"/>
      <c r="AHJ635"/>
      <c r="AHK635"/>
      <c r="AHL635"/>
      <c r="AHM635"/>
      <c r="AHN635"/>
      <c r="AHO635"/>
      <c r="AHP635"/>
      <c r="AHQ635"/>
      <c r="AHR635"/>
      <c r="AHS635"/>
      <c r="AHT635"/>
      <c r="AHU635"/>
      <c r="AHV635"/>
      <c r="AHW635"/>
      <c r="AHX635"/>
      <c r="AHY635"/>
      <c r="AHZ635"/>
      <c r="AIA635"/>
      <c r="AIB635"/>
      <c r="AIC635"/>
      <c r="AID635"/>
      <c r="AIE635"/>
      <c r="AIF635"/>
      <c r="AIG635"/>
      <c r="AIH635"/>
      <c r="AII635"/>
      <c r="AIJ635"/>
      <c r="AIK635"/>
      <c r="AIL635"/>
      <c r="AIM635"/>
      <c r="AIN635"/>
      <c r="AIO635"/>
      <c r="AIP635"/>
      <c r="AIQ635"/>
      <c r="AIR635"/>
      <c r="AIS635"/>
      <c r="AIT635"/>
      <c r="AIU635"/>
      <c r="AIV635"/>
      <c r="AIW635"/>
      <c r="AIX635"/>
      <c r="AIY635"/>
      <c r="AIZ635"/>
      <c r="AJA635"/>
      <c r="AJB635"/>
      <c r="AJC635"/>
      <c r="AJD635"/>
      <c r="AJE635"/>
      <c r="AJF635"/>
      <c r="AJG635"/>
      <c r="AJH635"/>
      <c r="AJI635"/>
      <c r="AJJ635"/>
      <c r="AJK635"/>
      <c r="AJL635"/>
      <c r="AJM635"/>
      <c r="AJN635"/>
      <c r="AJO635"/>
      <c r="AJP635"/>
      <c r="AJQ635"/>
      <c r="AJR635"/>
      <c r="AJS635"/>
      <c r="AJT635"/>
      <c r="AJU635"/>
      <c r="AJV635"/>
      <c r="AJW635"/>
      <c r="AJX635"/>
      <c r="AJY635"/>
      <c r="AJZ635"/>
      <c r="AKA635"/>
      <c r="AKB635"/>
      <c r="AKC635"/>
      <c r="AKD635"/>
      <c r="AKE635"/>
      <c r="AKF635"/>
      <c r="AKG635"/>
      <c r="AKH635"/>
      <c r="AKI635"/>
      <c r="AKJ635"/>
      <c r="AKK635"/>
      <c r="AKL635"/>
      <c r="AKM635"/>
      <c r="AKN635"/>
      <c r="AKO635"/>
      <c r="AKP635"/>
      <c r="AKQ635"/>
      <c r="AKR635"/>
      <c r="AKS635"/>
      <c r="AKT635"/>
      <c r="AKU635"/>
      <c r="AKV635"/>
      <c r="AKW635"/>
      <c r="AKX635"/>
      <c r="AKY635"/>
      <c r="AKZ635"/>
      <c r="ALA635"/>
      <c r="ALB635"/>
      <c r="ALC635"/>
      <c r="ALD635"/>
      <c r="ALE635"/>
      <c r="ALF635"/>
      <c r="ALG635"/>
      <c r="ALH635"/>
      <c r="ALI635"/>
      <c r="ALJ635"/>
      <c r="ALK635"/>
      <c r="ALL635"/>
      <c r="ALM635"/>
      <c r="ALN635"/>
      <c r="ALO635"/>
      <c r="ALP635"/>
      <c r="ALQ635"/>
      <c r="ALR635"/>
      <c r="ALS635"/>
      <c r="ALT635"/>
      <c r="ALU635"/>
      <c r="ALV635"/>
      <c r="ALW635"/>
      <c r="ALX635"/>
      <c r="ALY635"/>
      <c r="ALZ635"/>
      <c r="AMA635"/>
      <c r="AMB635"/>
      <c r="AMC635"/>
      <c r="AMD635"/>
    </row>
    <row r="636" spans="1:1018">
      <c r="B636" s="439"/>
      <c r="C636" s="450"/>
      <c r="D636" s="450"/>
      <c r="E636" s="445"/>
      <c r="J636" s="439"/>
      <c r="K636" s="440"/>
      <c r="L636" s="440"/>
      <c r="M636" s="440"/>
      <c r="N636" s="222"/>
      <c r="O636" s="426"/>
      <c r="P636" s="13"/>
      <c r="Q636" s="13"/>
      <c r="R636" s="431"/>
      <c r="S636" s="13"/>
      <c r="T636" s="13"/>
      <c r="U636" s="429"/>
      <c r="V636" s="429"/>
      <c r="W636" s="430"/>
      <c r="X636" s="430"/>
      <c r="Y636" s="430"/>
      <c r="Z636" s="430"/>
      <c r="AA636" s="430"/>
      <c r="AB636" s="430"/>
      <c r="AC636" s="430"/>
      <c r="AD636" s="430"/>
      <c r="AE636" s="430"/>
      <c r="AF636" s="430"/>
      <c r="AG636" s="430"/>
      <c r="AH636" s="430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  <c r="ZW636"/>
      <c r="ZX636"/>
      <c r="ZY636"/>
      <c r="ZZ636"/>
      <c r="AAA636"/>
      <c r="AAB636"/>
      <c r="AAC636"/>
      <c r="AAD636"/>
      <c r="AAE636"/>
      <c r="AAF636"/>
      <c r="AAG636"/>
      <c r="AAH636"/>
      <c r="AAI636"/>
      <c r="AAJ636"/>
      <c r="AAK636"/>
      <c r="AAL636"/>
      <c r="AAM636"/>
      <c r="AAN636"/>
      <c r="AAO636"/>
      <c r="AAP636"/>
      <c r="AAQ636"/>
      <c r="AAR636"/>
      <c r="AAS636"/>
      <c r="AAT636"/>
      <c r="AAU636"/>
      <c r="AAV636"/>
      <c r="AAW636"/>
      <c r="AAX636"/>
      <c r="AAY636"/>
      <c r="AAZ636"/>
      <c r="ABA636"/>
      <c r="ABB636"/>
      <c r="ABC636"/>
      <c r="ABD636"/>
      <c r="ABE636"/>
      <c r="ABF636"/>
      <c r="ABG636"/>
      <c r="ABH636"/>
      <c r="ABI636"/>
      <c r="ABJ636"/>
      <c r="ABK636"/>
      <c r="ABL636"/>
      <c r="ABM636"/>
      <c r="ABN636"/>
      <c r="ABO636"/>
      <c r="ABP636"/>
      <c r="ABQ636"/>
      <c r="ABR636"/>
      <c r="ABS636"/>
      <c r="ABT636"/>
      <c r="ABU636"/>
      <c r="ABV636"/>
      <c r="ABW636"/>
      <c r="ABX636"/>
      <c r="ABY636"/>
      <c r="ABZ636"/>
      <c r="ACA636"/>
      <c r="ACB636"/>
      <c r="ACC636"/>
      <c r="ACD636"/>
      <c r="ACE636"/>
      <c r="ACF636"/>
      <c r="ACG636"/>
      <c r="ACH636"/>
      <c r="ACI636"/>
      <c r="ACJ636"/>
      <c r="ACK636"/>
      <c r="ACL636"/>
      <c r="ACM636"/>
      <c r="ACN636"/>
      <c r="ACO636"/>
      <c r="ACP636"/>
      <c r="ACQ636"/>
      <c r="ACR636"/>
      <c r="ACS636"/>
      <c r="ACT636"/>
      <c r="ACU636"/>
      <c r="ACV636"/>
      <c r="ACW636"/>
      <c r="ACX636"/>
      <c r="ACY636"/>
      <c r="ACZ636"/>
      <c r="ADA636"/>
      <c r="ADB636"/>
      <c r="ADC636"/>
      <c r="ADD636"/>
      <c r="ADE636"/>
      <c r="ADF636"/>
      <c r="ADG636"/>
      <c r="ADH636"/>
      <c r="ADI636"/>
      <c r="ADJ636"/>
      <c r="ADK636"/>
      <c r="ADL636"/>
      <c r="ADM636"/>
      <c r="ADN636"/>
      <c r="ADO636"/>
      <c r="ADP636"/>
      <c r="ADQ636"/>
      <c r="ADR636"/>
      <c r="ADS636"/>
      <c r="ADT636"/>
      <c r="ADU636"/>
      <c r="ADV636"/>
      <c r="ADW636"/>
      <c r="ADX636"/>
      <c r="ADY636"/>
      <c r="ADZ636"/>
      <c r="AEA636"/>
      <c r="AEB636"/>
      <c r="AEC636"/>
      <c r="AED636"/>
      <c r="AEE636"/>
      <c r="AEF636"/>
      <c r="AEG636"/>
      <c r="AEH636"/>
      <c r="AEI636"/>
      <c r="AEJ636"/>
      <c r="AEK636"/>
      <c r="AEL636"/>
      <c r="AEM636"/>
      <c r="AEN636"/>
      <c r="AEO636"/>
      <c r="AEP636"/>
      <c r="AEQ636"/>
      <c r="AER636"/>
      <c r="AES636"/>
      <c r="AET636"/>
      <c r="AEU636"/>
      <c r="AEV636"/>
      <c r="AEW636"/>
      <c r="AEX636"/>
      <c r="AEY636"/>
      <c r="AEZ636"/>
      <c r="AFA636"/>
      <c r="AFB636"/>
      <c r="AFC636"/>
      <c r="AFD636"/>
      <c r="AFE636"/>
      <c r="AFF636"/>
      <c r="AFG636"/>
      <c r="AFH636"/>
      <c r="AFI636"/>
      <c r="AFJ636"/>
      <c r="AFK636"/>
      <c r="AFL636"/>
      <c r="AFM636"/>
      <c r="AFN636"/>
      <c r="AFO636"/>
      <c r="AFP636"/>
      <c r="AFQ636"/>
      <c r="AFR636"/>
      <c r="AFS636"/>
      <c r="AFT636"/>
      <c r="AFU636"/>
      <c r="AFV636"/>
      <c r="AFW636"/>
      <c r="AFX636"/>
      <c r="AFY636"/>
      <c r="AFZ636"/>
      <c r="AGA636"/>
      <c r="AGB636"/>
      <c r="AGC636"/>
      <c r="AGD636"/>
      <c r="AGE636"/>
      <c r="AGF636"/>
      <c r="AGG636"/>
      <c r="AGH636"/>
      <c r="AGI636"/>
      <c r="AGJ636"/>
      <c r="AGK636"/>
      <c r="AGL636"/>
      <c r="AGM636"/>
      <c r="AGN636"/>
      <c r="AGO636"/>
      <c r="AGP636"/>
      <c r="AGQ636"/>
      <c r="AGR636"/>
      <c r="AGS636"/>
      <c r="AGT636"/>
      <c r="AGU636"/>
      <c r="AGV636"/>
      <c r="AGW636"/>
      <c r="AGX636"/>
      <c r="AGY636"/>
      <c r="AGZ636"/>
      <c r="AHA636"/>
      <c r="AHB636"/>
      <c r="AHC636"/>
      <c r="AHD636"/>
      <c r="AHE636"/>
      <c r="AHF636"/>
      <c r="AHG636"/>
      <c r="AHH636"/>
      <c r="AHI636"/>
      <c r="AHJ636"/>
      <c r="AHK636"/>
      <c r="AHL636"/>
      <c r="AHM636"/>
      <c r="AHN636"/>
      <c r="AHO636"/>
      <c r="AHP636"/>
      <c r="AHQ636"/>
      <c r="AHR636"/>
      <c r="AHS636"/>
      <c r="AHT636"/>
      <c r="AHU636"/>
      <c r="AHV636"/>
      <c r="AHW636"/>
      <c r="AHX636"/>
      <c r="AHY636"/>
      <c r="AHZ636"/>
      <c r="AIA636"/>
      <c r="AIB636"/>
      <c r="AIC636"/>
      <c r="AID636"/>
      <c r="AIE636"/>
      <c r="AIF636"/>
      <c r="AIG636"/>
      <c r="AIH636"/>
      <c r="AII636"/>
      <c r="AIJ636"/>
      <c r="AIK636"/>
      <c r="AIL636"/>
      <c r="AIM636"/>
      <c r="AIN636"/>
      <c r="AIO636"/>
      <c r="AIP636"/>
      <c r="AIQ636"/>
      <c r="AIR636"/>
      <c r="AIS636"/>
      <c r="AIT636"/>
      <c r="AIU636"/>
      <c r="AIV636"/>
      <c r="AIW636"/>
      <c r="AIX636"/>
      <c r="AIY636"/>
      <c r="AIZ636"/>
      <c r="AJA636"/>
      <c r="AJB636"/>
      <c r="AJC636"/>
      <c r="AJD636"/>
      <c r="AJE636"/>
      <c r="AJF636"/>
      <c r="AJG636"/>
      <c r="AJH636"/>
      <c r="AJI636"/>
      <c r="AJJ636"/>
      <c r="AJK636"/>
      <c r="AJL636"/>
      <c r="AJM636"/>
      <c r="AJN636"/>
      <c r="AJO636"/>
      <c r="AJP636"/>
      <c r="AJQ636"/>
      <c r="AJR636"/>
      <c r="AJS636"/>
      <c r="AJT636"/>
      <c r="AJU636"/>
      <c r="AJV636"/>
      <c r="AJW636"/>
      <c r="AJX636"/>
      <c r="AJY636"/>
      <c r="AJZ636"/>
      <c r="AKA636"/>
      <c r="AKB636"/>
      <c r="AKC636"/>
      <c r="AKD636"/>
      <c r="AKE636"/>
      <c r="AKF636"/>
      <c r="AKG636"/>
      <c r="AKH636"/>
      <c r="AKI636"/>
      <c r="AKJ636"/>
      <c r="AKK636"/>
      <c r="AKL636"/>
      <c r="AKM636"/>
      <c r="AKN636"/>
      <c r="AKO636"/>
      <c r="AKP636"/>
      <c r="AKQ636"/>
      <c r="AKR636"/>
      <c r="AKS636"/>
      <c r="AKT636"/>
      <c r="AKU636"/>
      <c r="AKV636"/>
      <c r="AKW636"/>
      <c r="AKX636"/>
      <c r="AKY636"/>
      <c r="AKZ636"/>
      <c r="ALA636"/>
      <c r="ALB636"/>
      <c r="ALC636"/>
      <c r="ALD636"/>
      <c r="ALE636"/>
      <c r="ALF636"/>
      <c r="ALG636"/>
      <c r="ALH636"/>
      <c r="ALI636"/>
      <c r="ALJ636"/>
      <c r="ALK636"/>
      <c r="ALL636"/>
      <c r="ALM636"/>
      <c r="ALN636"/>
      <c r="ALO636"/>
      <c r="ALP636"/>
      <c r="ALQ636"/>
      <c r="ALR636"/>
      <c r="ALS636"/>
      <c r="ALT636"/>
      <c r="ALU636"/>
      <c r="ALV636"/>
      <c r="ALW636"/>
      <c r="ALX636"/>
      <c r="ALY636"/>
      <c r="ALZ636"/>
      <c r="AMA636"/>
      <c r="AMB636"/>
      <c r="AMC636"/>
      <c r="AMD636"/>
    </row>
    <row r="637" spans="1:1018">
      <c r="B637" s="439"/>
      <c r="J637" s="413"/>
      <c r="K637" s="375"/>
      <c r="L637" s="375"/>
      <c r="M637" s="375"/>
      <c r="N637" s="222"/>
      <c r="W637" s="413"/>
      <c r="X637" s="413"/>
      <c r="Y637" s="413"/>
      <c r="Z637" s="413"/>
      <c r="AA637" s="413"/>
      <c r="AB637" s="413"/>
      <c r="AC637" s="413"/>
      <c r="AD637" s="413"/>
      <c r="AE637" s="413"/>
      <c r="AF637" s="413"/>
      <c r="AG637" s="413"/>
      <c r="AH637" s="413"/>
    </row>
    <row r="638" spans="1:1018">
      <c r="B638" s="439"/>
      <c r="E638" s="445"/>
      <c r="N638" s="222"/>
      <c r="W638" s="413"/>
      <c r="X638" s="413"/>
      <c r="Y638" s="413"/>
      <c r="Z638" s="413"/>
      <c r="AA638" s="413"/>
      <c r="AB638" s="413"/>
      <c r="AC638" s="413"/>
      <c r="AD638" s="413"/>
      <c r="AE638" s="413"/>
      <c r="AF638" s="413"/>
      <c r="AG638" s="413"/>
      <c r="AH638" s="413"/>
    </row>
    <row r="639" spans="1:1018" s="462" customFormat="1">
      <c r="A639" s="454"/>
      <c r="B639" s="453"/>
      <c r="C639" s="454"/>
      <c r="D639" s="454"/>
      <c r="E639" s="454"/>
      <c r="F639" s="455"/>
      <c r="G639" s="454"/>
      <c r="H639" s="454"/>
      <c r="I639" s="454"/>
      <c r="J639" s="454"/>
      <c r="K639" s="456"/>
      <c r="L639" s="456"/>
      <c r="M639" s="456"/>
      <c r="N639" s="222"/>
      <c r="O639" s="457"/>
      <c r="P639" s="458"/>
      <c r="Q639" s="458"/>
      <c r="R639" s="459"/>
      <c r="S639" s="458"/>
      <c r="T639" s="458"/>
      <c r="U639" s="460"/>
      <c r="V639" s="460"/>
      <c r="W639" s="461"/>
      <c r="X639" s="461"/>
      <c r="Y639" s="461"/>
      <c r="Z639" s="461"/>
      <c r="AA639" s="461"/>
      <c r="AB639" s="461"/>
      <c r="AC639" s="461"/>
      <c r="AD639" s="461"/>
      <c r="AE639" s="461"/>
      <c r="AF639" s="461"/>
      <c r="AG639" s="461"/>
      <c r="AH639" s="461"/>
    </row>
    <row r="640" spans="1:1018">
      <c r="B640" s="439"/>
      <c r="E640" s="445"/>
      <c r="N640" s="222"/>
      <c r="W640" s="413"/>
      <c r="X640" s="413"/>
      <c r="Y640" s="413"/>
      <c r="Z640" s="413"/>
      <c r="AA640" s="413"/>
      <c r="AB640" s="413"/>
      <c r="AC640" s="413"/>
      <c r="AD640" s="413"/>
      <c r="AE640" s="413"/>
      <c r="AF640" s="413"/>
      <c r="AG640" s="413"/>
      <c r="AH640" s="413"/>
    </row>
    <row r="641" spans="2:1018">
      <c r="B641" s="439"/>
      <c r="K641" s="440"/>
      <c r="L641" s="440"/>
      <c r="M641" s="440"/>
      <c r="N641" s="222"/>
      <c r="O641" s="426"/>
      <c r="P641" s="13"/>
      <c r="Q641" s="13"/>
      <c r="R641" s="431"/>
      <c r="S641" s="13"/>
      <c r="T641" s="13"/>
      <c r="U641" s="429"/>
      <c r="V641" s="429"/>
      <c r="W641" s="430"/>
      <c r="X641" s="430"/>
      <c r="Y641" s="430"/>
      <c r="Z641" s="430"/>
      <c r="AA641" s="430"/>
      <c r="AB641" s="430"/>
      <c r="AC641" s="430"/>
      <c r="AD641" s="430"/>
      <c r="AE641" s="430"/>
      <c r="AF641" s="430"/>
      <c r="AG641" s="430"/>
      <c r="AH641" s="430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  <c r="ZW641"/>
      <c r="ZX641"/>
      <c r="ZY641"/>
      <c r="ZZ641"/>
      <c r="AAA641"/>
      <c r="AAB641"/>
      <c r="AAC641"/>
      <c r="AAD641"/>
      <c r="AAE641"/>
      <c r="AAF641"/>
      <c r="AAG641"/>
      <c r="AAH641"/>
      <c r="AAI641"/>
      <c r="AAJ641"/>
      <c r="AAK641"/>
      <c r="AAL641"/>
      <c r="AAM641"/>
      <c r="AAN641"/>
      <c r="AAO641"/>
      <c r="AAP641"/>
      <c r="AAQ641"/>
      <c r="AAR641"/>
      <c r="AAS641"/>
      <c r="AAT641"/>
      <c r="AAU641"/>
      <c r="AAV641"/>
      <c r="AAW641"/>
      <c r="AAX641"/>
      <c r="AAY641"/>
      <c r="AAZ641"/>
      <c r="ABA641"/>
      <c r="ABB641"/>
      <c r="ABC641"/>
      <c r="ABD641"/>
      <c r="ABE641"/>
      <c r="ABF641"/>
      <c r="ABG641"/>
      <c r="ABH641"/>
      <c r="ABI641"/>
      <c r="ABJ641"/>
      <c r="ABK641"/>
      <c r="ABL641"/>
      <c r="ABM641"/>
      <c r="ABN641"/>
      <c r="ABO641"/>
      <c r="ABP641"/>
      <c r="ABQ641"/>
      <c r="ABR641"/>
      <c r="ABS641"/>
      <c r="ABT641"/>
      <c r="ABU641"/>
      <c r="ABV641"/>
      <c r="ABW641"/>
      <c r="ABX641"/>
      <c r="ABY641"/>
      <c r="ABZ641"/>
      <c r="ACA641"/>
      <c r="ACB641"/>
      <c r="ACC641"/>
      <c r="ACD641"/>
      <c r="ACE641"/>
      <c r="ACF641"/>
      <c r="ACG641"/>
      <c r="ACH641"/>
      <c r="ACI641"/>
      <c r="ACJ641"/>
      <c r="ACK641"/>
      <c r="ACL641"/>
      <c r="ACM641"/>
      <c r="ACN641"/>
      <c r="ACO641"/>
      <c r="ACP641"/>
      <c r="ACQ641"/>
      <c r="ACR641"/>
      <c r="ACS641"/>
      <c r="ACT641"/>
      <c r="ACU641"/>
      <c r="ACV641"/>
      <c r="ACW641"/>
      <c r="ACX641"/>
      <c r="ACY641"/>
      <c r="ACZ641"/>
      <c r="ADA641"/>
      <c r="ADB641"/>
      <c r="ADC641"/>
      <c r="ADD641"/>
      <c r="ADE641"/>
      <c r="ADF641"/>
      <c r="ADG641"/>
      <c r="ADH641"/>
      <c r="ADI641"/>
      <c r="ADJ641"/>
      <c r="ADK641"/>
      <c r="ADL641"/>
      <c r="ADM641"/>
      <c r="ADN641"/>
      <c r="ADO641"/>
      <c r="ADP641"/>
      <c r="ADQ641"/>
      <c r="ADR641"/>
      <c r="ADS641"/>
      <c r="ADT641"/>
      <c r="ADU641"/>
      <c r="ADV641"/>
      <c r="ADW641"/>
      <c r="ADX641"/>
      <c r="ADY641"/>
      <c r="ADZ641"/>
      <c r="AEA641"/>
      <c r="AEB641"/>
      <c r="AEC641"/>
      <c r="AED641"/>
      <c r="AEE641"/>
      <c r="AEF641"/>
      <c r="AEG641"/>
      <c r="AEH641"/>
      <c r="AEI641"/>
      <c r="AEJ641"/>
      <c r="AEK641"/>
      <c r="AEL641"/>
      <c r="AEM641"/>
      <c r="AEN641"/>
      <c r="AEO641"/>
      <c r="AEP641"/>
      <c r="AEQ641"/>
      <c r="AER641"/>
      <c r="AES641"/>
      <c r="AET641"/>
      <c r="AEU641"/>
      <c r="AEV641"/>
      <c r="AEW641"/>
      <c r="AEX641"/>
      <c r="AEY641"/>
      <c r="AEZ641"/>
      <c r="AFA641"/>
      <c r="AFB641"/>
      <c r="AFC641"/>
      <c r="AFD641"/>
      <c r="AFE641"/>
      <c r="AFF641"/>
      <c r="AFG641"/>
      <c r="AFH641"/>
      <c r="AFI641"/>
      <c r="AFJ641"/>
      <c r="AFK641"/>
      <c r="AFL641"/>
      <c r="AFM641"/>
      <c r="AFN641"/>
      <c r="AFO641"/>
      <c r="AFP641"/>
      <c r="AFQ641"/>
      <c r="AFR641"/>
      <c r="AFS641"/>
      <c r="AFT641"/>
      <c r="AFU641"/>
      <c r="AFV641"/>
      <c r="AFW641"/>
      <c r="AFX641"/>
      <c r="AFY641"/>
      <c r="AFZ641"/>
      <c r="AGA641"/>
      <c r="AGB641"/>
      <c r="AGC641"/>
      <c r="AGD641"/>
      <c r="AGE641"/>
      <c r="AGF641"/>
      <c r="AGG641"/>
      <c r="AGH641"/>
      <c r="AGI641"/>
      <c r="AGJ641"/>
      <c r="AGK641"/>
      <c r="AGL641"/>
      <c r="AGM641"/>
      <c r="AGN641"/>
      <c r="AGO641"/>
      <c r="AGP641"/>
      <c r="AGQ641"/>
      <c r="AGR641"/>
      <c r="AGS641"/>
      <c r="AGT641"/>
      <c r="AGU641"/>
      <c r="AGV641"/>
      <c r="AGW641"/>
      <c r="AGX641"/>
      <c r="AGY641"/>
      <c r="AGZ641"/>
      <c r="AHA641"/>
      <c r="AHB641"/>
      <c r="AHC641"/>
      <c r="AHD641"/>
      <c r="AHE641"/>
      <c r="AHF641"/>
      <c r="AHG641"/>
      <c r="AHH641"/>
      <c r="AHI641"/>
      <c r="AHJ641"/>
      <c r="AHK641"/>
      <c r="AHL641"/>
      <c r="AHM641"/>
      <c r="AHN641"/>
      <c r="AHO641"/>
      <c r="AHP641"/>
      <c r="AHQ641"/>
      <c r="AHR641"/>
      <c r="AHS641"/>
      <c r="AHT641"/>
      <c r="AHU641"/>
      <c r="AHV641"/>
      <c r="AHW641"/>
      <c r="AHX641"/>
      <c r="AHY641"/>
      <c r="AHZ641"/>
      <c r="AIA641"/>
      <c r="AIB641"/>
      <c r="AIC641"/>
      <c r="AID641"/>
      <c r="AIE641"/>
      <c r="AIF641"/>
      <c r="AIG641"/>
      <c r="AIH641"/>
      <c r="AII641"/>
      <c r="AIJ641"/>
      <c r="AIK641"/>
      <c r="AIL641"/>
      <c r="AIM641"/>
      <c r="AIN641"/>
      <c r="AIO641"/>
      <c r="AIP641"/>
      <c r="AIQ641"/>
      <c r="AIR641"/>
      <c r="AIS641"/>
      <c r="AIT641"/>
      <c r="AIU641"/>
      <c r="AIV641"/>
      <c r="AIW641"/>
      <c r="AIX641"/>
      <c r="AIY641"/>
      <c r="AIZ641"/>
      <c r="AJA641"/>
      <c r="AJB641"/>
      <c r="AJC641"/>
      <c r="AJD641"/>
      <c r="AJE641"/>
      <c r="AJF641"/>
      <c r="AJG641"/>
      <c r="AJH641"/>
      <c r="AJI641"/>
      <c r="AJJ641"/>
      <c r="AJK641"/>
      <c r="AJL641"/>
      <c r="AJM641"/>
      <c r="AJN641"/>
      <c r="AJO641"/>
      <c r="AJP641"/>
      <c r="AJQ641"/>
      <c r="AJR641"/>
      <c r="AJS641"/>
      <c r="AJT641"/>
      <c r="AJU641"/>
      <c r="AJV641"/>
      <c r="AJW641"/>
      <c r="AJX641"/>
      <c r="AJY641"/>
      <c r="AJZ641"/>
      <c r="AKA641"/>
      <c r="AKB641"/>
      <c r="AKC641"/>
      <c r="AKD641"/>
      <c r="AKE641"/>
      <c r="AKF641"/>
      <c r="AKG641"/>
      <c r="AKH641"/>
      <c r="AKI641"/>
      <c r="AKJ641"/>
      <c r="AKK641"/>
      <c r="AKL641"/>
      <c r="AKM641"/>
      <c r="AKN641"/>
      <c r="AKO641"/>
      <c r="AKP641"/>
      <c r="AKQ641"/>
      <c r="AKR641"/>
      <c r="AKS641"/>
      <c r="AKT641"/>
      <c r="AKU641"/>
      <c r="AKV641"/>
      <c r="AKW641"/>
      <c r="AKX641"/>
      <c r="AKY641"/>
      <c r="AKZ641"/>
      <c r="ALA641"/>
      <c r="ALB641"/>
      <c r="ALC641"/>
      <c r="ALD641"/>
      <c r="ALE641"/>
      <c r="ALF641"/>
      <c r="ALG641"/>
      <c r="ALH641"/>
      <c r="ALI641"/>
      <c r="ALJ641"/>
      <c r="ALK641"/>
      <c r="ALL641"/>
      <c r="ALM641"/>
      <c r="ALN641"/>
      <c r="ALO641"/>
      <c r="ALP641"/>
      <c r="ALQ641"/>
      <c r="ALR641"/>
      <c r="ALS641"/>
      <c r="ALT641"/>
      <c r="ALU641"/>
      <c r="ALV641"/>
      <c r="ALW641"/>
      <c r="ALX641"/>
      <c r="ALY641"/>
      <c r="ALZ641"/>
      <c r="AMA641"/>
      <c r="AMB641"/>
      <c r="AMC641"/>
      <c r="AMD641"/>
    </row>
    <row r="642" spans="2:1018">
      <c r="B642" s="439"/>
      <c r="E642" s="445"/>
      <c r="N642" s="222"/>
      <c r="W642" s="413"/>
      <c r="X642" s="413"/>
      <c r="Y642" s="413"/>
      <c r="Z642" s="413"/>
      <c r="AA642" s="413"/>
      <c r="AB642" s="413"/>
      <c r="AC642" s="413"/>
      <c r="AD642" s="413"/>
      <c r="AE642" s="413"/>
      <c r="AF642" s="413"/>
      <c r="AG642" s="413"/>
      <c r="AH642" s="413"/>
    </row>
    <row r="643" spans="2:1018">
      <c r="B643" s="439"/>
      <c r="N643" s="222"/>
    </row>
    <row r="644" spans="2:1018">
      <c r="B644" s="413"/>
      <c r="E644" s="445"/>
      <c r="N644" s="222"/>
    </row>
    <row r="646" spans="2:1018">
      <c r="C646" s="296"/>
      <c r="D646" s="296"/>
      <c r="E646" s="245"/>
      <c r="F646" s="245"/>
    </row>
    <row r="647" spans="2:1018">
      <c r="B647" s="296"/>
      <c r="C647" s="245"/>
      <c r="D647" s="245"/>
      <c r="E647" s="463"/>
      <c r="F647" s="464"/>
    </row>
    <row r="648" spans="2:1018">
      <c r="B648" s="296"/>
      <c r="C648" s="370"/>
      <c r="D648" s="370"/>
      <c r="E648" s="465"/>
      <c r="F648" s="464"/>
    </row>
    <row r="649" spans="2:1018">
      <c r="B649" s="296"/>
      <c r="C649" s="370"/>
      <c r="D649" s="370"/>
      <c r="E649" s="465"/>
      <c r="F649" s="464"/>
    </row>
    <row r="650" spans="2:1018">
      <c r="B650" s="296"/>
      <c r="C650" s="370"/>
      <c r="D650" s="370"/>
      <c r="E650" s="465"/>
      <c r="F650" s="464"/>
    </row>
    <row r="651" spans="2:1018">
      <c r="B651" s="296"/>
      <c r="C651" s="370"/>
      <c r="D651" s="370"/>
      <c r="E651" s="465"/>
      <c r="F651" s="464"/>
    </row>
    <row r="652" spans="2:1018">
      <c r="B652" s="296"/>
      <c r="C652" s="370"/>
      <c r="D652" s="370"/>
      <c r="E652" s="465"/>
      <c r="F652" s="464"/>
    </row>
    <row r="653" spans="2:1018">
      <c r="B653" s="296"/>
      <c r="C653" s="370"/>
      <c r="D653" s="370"/>
      <c r="E653" s="465"/>
      <c r="F653" s="466"/>
    </row>
    <row r="654" spans="2:1018">
      <c r="B654" s="296"/>
      <c r="C654" s="370"/>
      <c r="D654" s="370"/>
      <c r="E654" s="465"/>
      <c r="F654" s="466"/>
    </row>
    <row r="655" spans="2:1018">
      <c r="B655" s="296"/>
      <c r="C655" s="370"/>
      <c r="D655" s="370"/>
      <c r="E655" s="465"/>
      <c r="F655" s="464"/>
    </row>
    <row r="656" spans="2:1018">
      <c r="B656" s="296"/>
      <c r="C656" s="370"/>
      <c r="D656" s="370"/>
      <c r="E656" s="465"/>
      <c r="F656" s="464"/>
    </row>
    <row r="657" spans="2:6">
      <c r="B657" s="296"/>
      <c r="C657" s="370"/>
      <c r="D657" s="370"/>
      <c r="E657" s="465"/>
      <c r="F657" s="464"/>
    </row>
    <row r="658" spans="2:6">
      <c r="B658" s="296"/>
      <c r="C658" s="370"/>
      <c r="D658" s="370"/>
      <c r="E658" s="465"/>
      <c r="F658" s="466"/>
    </row>
    <row r="659" spans="2:6">
      <c r="B659" s="296"/>
      <c r="C659" s="370"/>
      <c r="D659" s="370"/>
      <c r="E659" s="465"/>
      <c r="F659" s="464"/>
    </row>
    <row r="660" spans="2:6">
      <c r="B660" s="296"/>
      <c r="C660" s="370"/>
      <c r="D660" s="370"/>
      <c r="E660" s="465"/>
      <c r="F660" s="464"/>
    </row>
    <row r="661" spans="2:6">
      <c r="B661" s="296"/>
      <c r="C661" s="370"/>
      <c r="D661" s="370"/>
      <c r="E661" s="465"/>
      <c r="F661" s="464"/>
    </row>
    <row r="662" spans="2:6">
      <c r="B662" s="296"/>
      <c r="C662" s="370"/>
      <c r="D662" s="370"/>
      <c r="E662" s="465"/>
      <c r="F662" s="464"/>
    </row>
    <row r="663" spans="2:6">
      <c r="B663" s="296"/>
      <c r="C663" s="370"/>
      <c r="D663" s="370"/>
      <c r="E663" s="465"/>
      <c r="F663" s="466"/>
    </row>
    <row r="664" spans="2:6">
      <c r="B664" s="296"/>
      <c r="E664" s="296"/>
      <c r="F664" s="151"/>
    </row>
    <row r="665" spans="2:6">
      <c r="B665" s="296"/>
      <c r="C665" s="464"/>
      <c r="D665" s="464"/>
      <c r="E665" s="467"/>
      <c r="F665" s="466"/>
    </row>
    <row r="666" spans="2:6">
      <c r="F666" s="151"/>
    </row>
  </sheetData>
  <sortState xmlns:xlrd2="http://schemas.microsoft.com/office/spreadsheetml/2017/richdata2" ref="A582:AME609">
    <sortCondition ref="A582:A609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A4CE-E5E8-4900-A6AE-7AC63DDEEA36}">
  <dimension ref="B3:G677"/>
  <sheetViews>
    <sheetView topLeftCell="A636" workbookViewId="0">
      <selection activeCell="C666" sqref="C666"/>
    </sheetView>
  </sheetViews>
  <sheetFormatPr defaultColWidth="11.42578125" defaultRowHeight="15"/>
  <cols>
    <col min="4" max="4" width="23.5703125" customWidth="1"/>
    <col min="5" max="5" width="15.42578125" customWidth="1"/>
    <col min="6" max="6" width="31.28515625" customWidth="1"/>
  </cols>
  <sheetData>
    <row r="3" spans="2:7">
      <c r="B3" s="27">
        <v>45700</v>
      </c>
      <c r="C3" s="8">
        <v>2961</v>
      </c>
      <c r="D3" t="s">
        <v>1553</v>
      </c>
      <c r="E3" t="s">
        <v>1554</v>
      </c>
      <c r="F3" t="s">
        <v>1555</v>
      </c>
      <c r="G3" t="s">
        <v>1556</v>
      </c>
    </row>
    <row r="4" spans="2:7">
      <c r="C4" s="8">
        <v>39</v>
      </c>
      <c r="D4" t="s">
        <v>1553</v>
      </c>
      <c r="E4" t="s">
        <v>1554</v>
      </c>
      <c r="F4" t="s">
        <v>1557</v>
      </c>
      <c r="G4" t="s">
        <v>1556</v>
      </c>
    </row>
    <row r="5" spans="2:7">
      <c r="C5" s="8"/>
    </row>
    <row r="6" spans="2:7">
      <c r="B6" s="27">
        <v>45709</v>
      </c>
      <c r="C6" s="8">
        <v>13449</v>
      </c>
      <c r="D6" t="s">
        <v>1558</v>
      </c>
      <c r="E6" t="s">
        <v>1559</v>
      </c>
      <c r="F6" t="s">
        <v>1560</v>
      </c>
    </row>
    <row r="7" spans="2:7">
      <c r="C7" s="8"/>
    </row>
    <row r="8" spans="2:7">
      <c r="B8" s="27">
        <v>45713</v>
      </c>
      <c r="C8" s="8">
        <v>11378.5</v>
      </c>
      <c r="D8" t="s">
        <v>1561</v>
      </c>
      <c r="E8" t="s">
        <v>1562</v>
      </c>
      <c r="F8" t="s">
        <v>1563</v>
      </c>
    </row>
    <row r="9" spans="2:7">
      <c r="C9" s="8"/>
    </row>
    <row r="10" spans="2:7">
      <c r="B10" s="27">
        <v>45714</v>
      </c>
      <c r="C10" s="8">
        <v>2105</v>
      </c>
      <c r="D10" t="s">
        <v>1564</v>
      </c>
      <c r="E10" t="s">
        <v>1565</v>
      </c>
      <c r="F10" t="s">
        <v>1566</v>
      </c>
    </row>
    <row r="11" spans="2:7">
      <c r="C11" s="8"/>
    </row>
    <row r="12" spans="2:7">
      <c r="B12" s="27">
        <v>45714</v>
      </c>
      <c r="C12" s="8">
        <v>1800</v>
      </c>
      <c r="D12" t="s">
        <v>1567</v>
      </c>
      <c r="E12" t="s">
        <v>1568</v>
      </c>
      <c r="F12" t="s">
        <v>1569</v>
      </c>
    </row>
    <row r="13" spans="2:7">
      <c r="C13" s="8"/>
    </row>
    <row r="14" spans="2:7">
      <c r="B14" s="27">
        <v>45715</v>
      </c>
      <c r="C14" s="8">
        <v>2961</v>
      </c>
      <c r="D14" t="s">
        <v>1570</v>
      </c>
      <c r="E14" t="s">
        <v>1571</v>
      </c>
      <c r="F14" t="s">
        <v>1572</v>
      </c>
    </row>
    <row r="15" spans="2:7">
      <c r="C15" s="8"/>
    </row>
    <row r="16" spans="2:7">
      <c r="B16" s="27">
        <v>45716</v>
      </c>
      <c r="C16" s="8">
        <v>3526</v>
      </c>
      <c r="D16" t="s">
        <v>1573</v>
      </c>
      <c r="E16" t="s">
        <v>1574</v>
      </c>
      <c r="F16" t="s">
        <v>1575</v>
      </c>
    </row>
    <row r="17" spans="2:6">
      <c r="C17" s="8"/>
    </row>
    <row r="18" spans="2:6">
      <c r="B18" s="27">
        <v>45716</v>
      </c>
      <c r="C18" s="8">
        <v>4628.25</v>
      </c>
      <c r="D18" t="s">
        <v>1576</v>
      </c>
      <c r="E18" t="s">
        <v>1577</v>
      </c>
      <c r="F18" t="s">
        <v>1572</v>
      </c>
    </row>
    <row r="19" spans="2:6">
      <c r="C19" s="8"/>
    </row>
    <row r="20" spans="2:6">
      <c r="B20" s="27">
        <v>45716</v>
      </c>
      <c r="C20" s="8">
        <v>5300</v>
      </c>
      <c r="D20" t="s">
        <v>1578</v>
      </c>
      <c r="E20" t="s">
        <v>1579</v>
      </c>
    </row>
    <row r="21" spans="2:6">
      <c r="C21" s="8"/>
    </row>
    <row r="22" spans="2:6">
      <c r="B22" s="27">
        <v>45350</v>
      </c>
      <c r="C22" s="8">
        <v>1000</v>
      </c>
      <c r="D22" t="s">
        <v>1580</v>
      </c>
      <c r="E22" t="s">
        <v>1581</v>
      </c>
      <c r="F22" t="s">
        <v>1582</v>
      </c>
    </row>
    <row r="23" spans="2:6">
      <c r="C23" s="8">
        <v>2105</v>
      </c>
      <c r="D23" t="s">
        <v>1580</v>
      </c>
      <c r="E23" t="s">
        <v>1581</v>
      </c>
      <c r="F23" t="s">
        <v>1583</v>
      </c>
    </row>
    <row r="24" spans="2:6">
      <c r="C24" s="8"/>
    </row>
    <row r="25" spans="2:6">
      <c r="B25" s="27">
        <v>45716</v>
      </c>
      <c r="C25" s="8">
        <v>5545</v>
      </c>
      <c r="D25" t="s">
        <v>1584</v>
      </c>
      <c r="F25" t="s">
        <v>1585</v>
      </c>
    </row>
    <row r="26" spans="2:6">
      <c r="B26" s="27"/>
      <c r="C26" s="8">
        <v>370</v>
      </c>
      <c r="D26" t="s">
        <v>1584</v>
      </c>
      <c r="F26" t="s">
        <v>1586</v>
      </c>
    </row>
    <row r="27" spans="2:6">
      <c r="C27" s="8"/>
    </row>
    <row r="28" spans="2:6">
      <c r="B28" s="27">
        <v>45716</v>
      </c>
      <c r="C28" s="8">
        <v>6024</v>
      </c>
      <c r="D28" t="s">
        <v>1587</v>
      </c>
      <c r="E28" t="s">
        <v>1588</v>
      </c>
      <c r="F28" t="s">
        <v>1589</v>
      </c>
    </row>
    <row r="29" spans="2:6">
      <c r="C29" s="8"/>
    </row>
    <row r="30" spans="2:6">
      <c r="B30" s="27">
        <v>45721</v>
      </c>
      <c r="C30" s="8">
        <v>6183</v>
      </c>
      <c r="D30" t="s">
        <v>1590</v>
      </c>
      <c r="E30" t="s">
        <v>1591</v>
      </c>
      <c r="F30" t="s">
        <v>1572</v>
      </c>
    </row>
    <row r="31" spans="2:6">
      <c r="B31" s="27"/>
      <c r="C31" s="8"/>
    </row>
    <row r="32" spans="2:6">
      <c r="B32" s="27">
        <v>45721</v>
      </c>
      <c r="C32" s="8">
        <v>3450</v>
      </c>
      <c r="D32" t="s">
        <v>1592</v>
      </c>
      <c r="E32" t="s">
        <v>46</v>
      </c>
      <c r="F32" t="s">
        <v>1572</v>
      </c>
    </row>
    <row r="33" spans="2:6">
      <c r="B33" s="27"/>
      <c r="C33" s="8"/>
    </row>
    <row r="34" spans="2:6">
      <c r="B34" s="27">
        <v>45722</v>
      </c>
      <c r="C34" s="8">
        <v>4208</v>
      </c>
      <c r="D34" t="s">
        <v>1593</v>
      </c>
      <c r="E34" t="s">
        <v>1594</v>
      </c>
      <c r="F34" t="s">
        <v>1572</v>
      </c>
    </row>
    <row r="35" spans="2:6">
      <c r="C35" s="8"/>
    </row>
    <row r="36" spans="2:6">
      <c r="B36" s="27">
        <v>45724</v>
      </c>
      <c r="C36" s="8">
        <v>5584</v>
      </c>
      <c r="D36" t="s">
        <v>1595</v>
      </c>
      <c r="E36" t="s">
        <v>1596</v>
      </c>
      <c r="F36" t="s">
        <v>1572</v>
      </c>
    </row>
    <row r="37" spans="2:6">
      <c r="C37" s="8"/>
    </row>
    <row r="38" spans="2:6">
      <c r="B38" s="27">
        <v>45724</v>
      </c>
      <c r="C38" s="8">
        <v>2961</v>
      </c>
      <c r="D38" t="s">
        <v>1597</v>
      </c>
      <c r="E38" t="s">
        <v>1598</v>
      </c>
      <c r="F38" t="s">
        <v>1599</v>
      </c>
    </row>
    <row r="39" spans="2:6">
      <c r="B39" s="27"/>
      <c r="C39" s="8"/>
    </row>
    <row r="40" spans="2:6">
      <c r="B40" s="27">
        <v>45717</v>
      </c>
      <c r="C40" s="8">
        <v>4394.5</v>
      </c>
      <c r="D40" t="s">
        <v>1600</v>
      </c>
      <c r="E40" t="s">
        <v>1574</v>
      </c>
      <c r="F40" t="s">
        <v>1572</v>
      </c>
    </row>
    <row r="41" spans="2:6">
      <c r="B41" s="27"/>
      <c r="C41" s="8"/>
    </row>
    <row r="42" spans="2:6">
      <c r="B42" s="27">
        <v>45717</v>
      </c>
      <c r="C42" s="8">
        <v>1055</v>
      </c>
      <c r="D42" t="s">
        <v>1601</v>
      </c>
      <c r="E42" t="s">
        <v>1602</v>
      </c>
      <c r="F42" t="s">
        <v>1603</v>
      </c>
    </row>
    <row r="43" spans="2:6">
      <c r="B43" s="27"/>
      <c r="C43" s="8"/>
    </row>
    <row r="44" spans="2:6">
      <c r="B44" s="27">
        <v>45717</v>
      </c>
      <c r="C44" s="8">
        <v>370</v>
      </c>
      <c r="D44" t="s">
        <v>1601</v>
      </c>
      <c r="E44" t="s">
        <v>1602</v>
      </c>
      <c r="F44" t="s">
        <v>1604</v>
      </c>
    </row>
    <row r="45" spans="2:6">
      <c r="B45" s="27"/>
      <c r="C45" s="8"/>
    </row>
    <row r="46" spans="2:6">
      <c r="B46" s="27">
        <v>45717</v>
      </c>
      <c r="C46" s="8">
        <v>2355</v>
      </c>
      <c r="D46" t="s">
        <v>1605</v>
      </c>
      <c r="E46" t="s">
        <v>1574</v>
      </c>
      <c r="F46" t="s">
        <v>1606</v>
      </c>
    </row>
    <row r="47" spans="2:6">
      <c r="C47" s="8"/>
    </row>
    <row r="48" spans="2:6">
      <c r="B48" s="27">
        <v>45718</v>
      </c>
      <c r="C48" s="8">
        <v>4710</v>
      </c>
      <c r="D48" t="s">
        <v>1607</v>
      </c>
      <c r="E48" t="s">
        <v>1608</v>
      </c>
      <c r="F48" t="s">
        <v>1555</v>
      </c>
    </row>
    <row r="49" spans="2:6">
      <c r="C49" s="8"/>
    </row>
    <row r="50" spans="2:6">
      <c r="B50" s="27">
        <v>45719</v>
      </c>
      <c r="C50" s="8">
        <v>3955</v>
      </c>
      <c r="D50" t="s">
        <v>1609</v>
      </c>
      <c r="E50" t="s">
        <v>1610</v>
      </c>
      <c r="F50" t="s">
        <v>1555</v>
      </c>
    </row>
    <row r="51" spans="2:6">
      <c r="B51" s="27"/>
      <c r="C51" s="8"/>
    </row>
    <row r="52" spans="2:6">
      <c r="B52" s="27">
        <v>45719</v>
      </c>
      <c r="C52" s="8">
        <v>2796</v>
      </c>
      <c r="D52" t="s">
        <v>1611</v>
      </c>
      <c r="E52" t="s">
        <v>1612</v>
      </c>
      <c r="F52" t="s">
        <v>1572</v>
      </c>
    </row>
    <row r="53" spans="2:6">
      <c r="B53" s="27"/>
      <c r="C53" s="8">
        <v>2703</v>
      </c>
      <c r="D53" t="s">
        <v>1613</v>
      </c>
      <c r="E53" t="s">
        <v>56</v>
      </c>
      <c r="F53" t="s">
        <v>1614</v>
      </c>
    </row>
    <row r="54" spans="2:6">
      <c r="B54" s="27"/>
      <c r="C54" s="8"/>
    </row>
    <row r="55" spans="2:6">
      <c r="B55" s="27">
        <v>45719</v>
      </c>
      <c r="C55" s="8">
        <v>3784</v>
      </c>
      <c r="D55" t="s">
        <v>1615</v>
      </c>
      <c r="E55" t="s">
        <v>1616</v>
      </c>
      <c r="F55" t="s">
        <v>1599</v>
      </c>
    </row>
    <row r="56" spans="2:6">
      <c r="B56" s="27"/>
      <c r="C56" s="8">
        <v>370</v>
      </c>
      <c r="D56" t="s">
        <v>1615</v>
      </c>
      <c r="E56" t="s">
        <v>1616</v>
      </c>
      <c r="F56" t="s">
        <v>1599</v>
      </c>
    </row>
    <row r="57" spans="2:6">
      <c r="B57" s="27"/>
      <c r="C57" s="8"/>
    </row>
    <row r="58" spans="2:6">
      <c r="B58" s="27">
        <v>45719</v>
      </c>
      <c r="C58" s="8">
        <v>2105</v>
      </c>
      <c r="D58" t="s">
        <v>1617</v>
      </c>
      <c r="E58" t="s">
        <v>1618</v>
      </c>
      <c r="F58" t="s">
        <v>1569</v>
      </c>
    </row>
    <row r="59" spans="2:6">
      <c r="B59" s="27"/>
      <c r="C59" s="8"/>
    </row>
    <row r="60" spans="2:6">
      <c r="B60" s="27">
        <v>45719</v>
      </c>
      <c r="C60" s="8">
        <v>2000</v>
      </c>
      <c r="D60" t="s">
        <v>1619</v>
      </c>
      <c r="E60" t="s">
        <v>1620</v>
      </c>
      <c r="F60" t="s">
        <v>1606</v>
      </c>
    </row>
    <row r="61" spans="2:6">
      <c r="B61" s="27"/>
      <c r="C61" s="8"/>
    </row>
    <row r="62" spans="2:6">
      <c r="B62" s="27">
        <v>45719</v>
      </c>
      <c r="C62" s="8">
        <v>1125</v>
      </c>
      <c r="D62" t="s">
        <v>1621</v>
      </c>
      <c r="E62" t="s">
        <v>1610</v>
      </c>
    </row>
    <row r="63" spans="2:6">
      <c r="B63" s="27"/>
      <c r="C63" s="8"/>
    </row>
    <row r="64" spans="2:6">
      <c r="B64" s="27">
        <v>45719</v>
      </c>
      <c r="C64" s="8">
        <v>3562</v>
      </c>
      <c r="D64" t="s">
        <v>1622</v>
      </c>
      <c r="E64" t="s">
        <v>1623</v>
      </c>
      <c r="F64" t="s">
        <v>1563</v>
      </c>
    </row>
    <row r="65" spans="2:6">
      <c r="B65" s="27"/>
      <c r="C65" s="8"/>
    </row>
    <row r="66" spans="2:6">
      <c r="B66" s="27">
        <v>45719</v>
      </c>
      <c r="C66" s="8">
        <v>3216</v>
      </c>
      <c r="D66" t="s">
        <v>1624</v>
      </c>
      <c r="E66" t="s">
        <v>1625</v>
      </c>
      <c r="F66" t="s">
        <v>1563</v>
      </c>
    </row>
    <row r="67" spans="2:6">
      <c r="B67" s="27"/>
      <c r="C67" s="8"/>
    </row>
    <row r="68" spans="2:6">
      <c r="B68" s="27">
        <v>45720</v>
      </c>
      <c r="C68" s="8">
        <v>5606</v>
      </c>
      <c r="D68" t="s">
        <v>1626</v>
      </c>
      <c r="E68" t="s">
        <v>1627</v>
      </c>
      <c r="F68" t="s">
        <v>1628</v>
      </c>
    </row>
    <row r="69" spans="2:6">
      <c r="B69" s="27"/>
      <c r="C69" s="8"/>
    </row>
    <row r="70" spans="2:6">
      <c r="B70" s="27">
        <v>45720</v>
      </c>
      <c r="C70" s="8">
        <v>6600</v>
      </c>
      <c r="D70" t="s">
        <v>1629</v>
      </c>
      <c r="E70" t="s">
        <v>1630</v>
      </c>
      <c r="F70" t="s">
        <v>1572</v>
      </c>
    </row>
    <row r="71" spans="2:6">
      <c r="B71" s="27"/>
      <c r="C71" s="8"/>
    </row>
    <row r="72" spans="2:6">
      <c r="B72" s="27">
        <v>45720</v>
      </c>
      <c r="C72" s="8">
        <v>4628.25</v>
      </c>
      <c r="D72" t="s">
        <v>1619</v>
      </c>
      <c r="E72" t="s">
        <v>1630</v>
      </c>
      <c r="F72" t="s">
        <v>1631</v>
      </c>
    </row>
    <row r="73" spans="2:6">
      <c r="B73" s="27"/>
      <c r="C73" s="8"/>
    </row>
    <row r="74" spans="2:6">
      <c r="B74" s="27">
        <v>45720</v>
      </c>
      <c r="C74" s="8">
        <v>3405.6</v>
      </c>
      <c r="D74" t="s">
        <v>1632</v>
      </c>
      <c r="F74" t="s">
        <v>1633</v>
      </c>
    </row>
    <row r="75" spans="2:6">
      <c r="B75" s="27"/>
      <c r="C75" s="8"/>
    </row>
    <row r="76" spans="2:6">
      <c r="B76" s="27">
        <v>45721</v>
      </c>
      <c r="C76" s="8">
        <v>6462.9</v>
      </c>
      <c r="D76" t="s">
        <v>1634</v>
      </c>
      <c r="E76" t="s">
        <v>1608</v>
      </c>
      <c r="F76" t="s">
        <v>1563</v>
      </c>
    </row>
    <row r="77" spans="2:6">
      <c r="B77" s="27"/>
      <c r="C77" s="8"/>
    </row>
    <row r="78" spans="2:6">
      <c r="B78" s="27"/>
      <c r="C78" s="8"/>
    </row>
    <row r="79" spans="2:6">
      <c r="B79" s="27">
        <v>45722</v>
      </c>
      <c r="C79" s="8">
        <v>5181</v>
      </c>
      <c r="D79" t="s">
        <v>1635</v>
      </c>
      <c r="E79" t="s">
        <v>1608</v>
      </c>
      <c r="F79" t="s">
        <v>1599</v>
      </c>
    </row>
    <row r="80" spans="2:6">
      <c r="B80" s="27"/>
      <c r="C80" s="8"/>
    </row>
    <row r="81" spans="2:6">
      <c r="B81" s="27">
        <v>45722</v>
      </c>
      <c r="C81" s="8">
        <v>4235</v>
      </c>
      <c r="D81" t="s">
        <v>1636</v>
      </c>
      <c r="E81" t="s">
        <v>1562</v>
      </c>
      <c r="F81" t="s">
        <v>1637</v>
      </c>
    </row>
    <row r="82" spans="2:6">
      <c r="B82" s="27"/>
      <c r="C82" s="8"/>
    </row>
    <row r="83" spans="2:6">
      <c r="B83" s="27">
        <v>45723</v>
      </c>
      <c r="C83" s="8">
        <v>4191</v>
      </c>
      <c r="D83" t="s">
        <v>1638</v>
      </c>
      <c r="E83" t="s">
        <v>1639</v>
      </c>
      <c r="F83" t="s">
        <v>1637</v>
      </c>
    </row>
    <row r="84" spans="2:6">
      <c r="B84" s="27"/>
      <c r="C84" s="8"/>
    </row>
    <row r="85" spans="2:6">
      <c r="B85" s="27">
        <v>45723</v>
      </c>
      <c r="C85" s="8">
        <v>5132.2</v>
      </c>
      <c r="D85" t="s">
        <v>1640</v>
      </c>
      <c r="E85" t="s">
        <v>1641</v>
      </c>
      <c r="F85" t="s">
        <v>1599</v>
      </c>
    </row>
    <row r="86" spans="2:6">
      <c r="B86" s="27"/>
      <c r="C86" s="8"/>
    </row>
    <row r="87" spans="2:6">
      <c r="B87" s="27">
        <v>45723</v>
      </c>
      <c r="C87" s="8">
        <v>4200</v>
      </c>
      <c r="D87" t="s">
        <v>1642</v>
      </c>
      <c r="E87" t="s">
        <v>1618</v>
      </c>
      <c r="F87" t="s">
        <v>1572</v>
      </c>
    </row>
    <row r="88" spans="2:6">
      <c r="B88" s="27"/>
      <c r="C88" s="8"/>
    </row>
    <row r="89" spans="2:6">
      <c r="C89" s="8"/>
    </row>
    <row r="90" spans="2:6">
      <c r="B90" s="27">
        <v>45724</v>
      </c>
      <c r="C90" s="8">
        <v>4551.1499999999996</v>
      </c>
      <c r="D90" t="s">
        <v>1643</v>
      </c>
      <c r="E90" t="s">
        <v>1644</v>
      </c>
      <c r="F90" t="s">
        <v>1645</v>
      </c>
    </row>
    <row r="91" spans="2:6">
      <c r="C91" s="8">
        <v>370</v>
      </c>
      <c r="D91" t="s">
        <v>1643</v>
      </c>
      <c r="E91" t="s">
        <v>1644</v>
      </c>
      <c r="F91" t="s">
        <v>1604</v>
      </c>
    </row>
    <row r="92" spans="2:6">
      <c r="C92" s="8"/>
    </row>
    <row r="93" spans="2:6">
      <c r="B93" s="27">
        <v>45724</v>
      </c>
      <c r="C93" s="8">
        <v>4200</v>
      </c>
      <c r="D93" t="s">
        <v>1646</v>
      </c>
      <c r="E93" t="s">
        <v>1639</v>
      </c>
      <c r="F93" t="s">
        <v>1563</v>
      </c>
    </row>
    <row r="94" spans="2:6">
      <c r="B94" s="27"/>
      <c r="C94" s="8"/>
    </row>
    <row r="95" spans="2:6">
      <c r="B95" s="27">
        <v>45724</v>
      </c>
      <c r="C95" s="8">
        <v>6298</v>
      </c>
      <c r="D95" t="s">
        <v>1647</v>
      </c>
      <c r="E95" t="s">
        <v>1648</v>
      </c>
      <c r="F95" t="s">
        <v>1649</v>
      </c>
    </row>
    <row r="96" spans="2:6">
      <c r="C96" s="8"/>
    </row>
    <row r="97" spans="2:6">
      <c r="B97" s="27">
        <v>45725</v>
      </c>
      <c r="C97" s="8">
        <v>5684</v>
      </c>
      <c r="D97" t="s">
        <v>1650</v>
      </c>
      <c r="E97" t="s">
        <v>1651</v>
      </c>
      <c r="F97" t="s">
        <v>1652</v>
      </c>
    </row>
    <row r="98" spans="2:6">
      <c r="B98" s="27"/>
      <c r="C98" s="8"/>
    </row>
    <row r="99" spans="2:6">
      <c r="B99" s="27">
        <v>45725</v>
      </c>
      <c r="C99" s="8">
        <v>5362.1</v>
      </c>
      <c r="D99" t="s">
        <v>1653</v>
      </c>
      <c r="E99" t="s">
        <v>1654</v>
      </c>
      <c r="F99" t="s">
        <v>1572</v>
      </c>
    </row>
    <row r="100" spans="2:6">
      <c r="B100" s="27"/>
      <c r="C100" s="8"/>
    </row>
    <row r="101" spans="2:6">
      <c r="B101" s="27">
        <v>45724</v>
      </c>
      <c r="C101" s="8">
        <v>4551.1499999999996</v>
      </c>
      <c r="D101" t="s">
        <v>1655</v>
      </c>
      <c r="E101">
        <v>2</v>
      </c>
      <c r="F101" t="s">
        <v>1656</v>
      </c>
    </row>
    <row r="102" spans="2:6">
      <c r="C102" s="8">
        <v>370</v>
      </c>
      <c r="D102" t="s">
        <v>1655</v>
      </c>
      <c r="F102" t="s">
        <v>1657</v>
      </c>
    </row>
    <row r="103" spans="2:6">
      <c r="C103" s="8"/>
    </row>
    <row r="104" spans="2:6">
      <c r="B104" s="27">
        <v>45726</v>
      </c>
      <c r="C104" s="8">
        <v>7980</v>
      </c>
      <c r="D104" t="s">
        <v>1658</v>
      </c>
      <c r="E104" t="s">
        <v>1659</v>
      </c>
      <c r="F104" t="s">
        <v>1563</v>
      </c>
    </row>
    <row r="105" spans="2:6">
      <c r="C105" s="8"/>
    </row>
    <row r="106" spans="2:6">
      <c r="B106" s="27">
        <v>45726</v>
      </c>
      <c r="C106">
        <v>370</v>
      </c>
      <c r="D106" t="s">
        <v>1658</v>
      </c>
      <c r="E106" t="s">
        <v>1660</v>
      </c>
      <c r="F106" t="s">
        <v>1586</v>
      </c>
    </row>
    <row r="108" spans="2:6">
      <c r="B108" s="27">
        <v>45726</v>
      </c>
      <c r="C108">
        <v>5321.4</v>
      </c>
      <c r="D108" t="s">
        <v>1661</v>
      </c>
      <c r="E108" t="s">
        <v>1662</v>
      </c>
      <c r="F108" t="s">
        <v>1663</v>
      </c>
    </row>
    <row r="110" spans="2:6">
      <c r="B110" s="27">
        <v>45726</v>
      </c>
      <c r="C110">
        <v>1323.3</v>
      </c>
      <c r="D110" t="s">
        <v>1592</v>
      </c>
      <c r="E110" t="s">
        <v>46</v>
      </c>
      <c r="F110" t="s">
        <v>1664</v>
      </c>
    </row>
    <row r="112" spans="2:6">
      <c r="B112" s="27">
        <v>45726</v>
      </c>
      <c r="C112">
        <v>1800</v>
      </c>
      <c r="D112" t="s">
        <v>1638</v>
      </c>
      <c r="E112" t="s">
        <v>1639</v>
      </c>
      <c r="F112" t="s">
        <v>1665</v>
      </c>
    </row>
    <row r="113" spans="2:6">
      <c r="B113" s="27"/>
    </row>
    <row r="115" spans="2:6">
      <c r="B115" s="27">
        <v>45727</v>
      </c>
      <c r="C115">
        <v>5545</v>
      </c>
      <c r="D115" t="s">
        <v>1666</v>
      </c>
      <c r="E115" t="s">
        <v>1651</v>
      </c>
      <c r="F115" t="s">
        <v>1667</v>
      </c>
    </row>
    <row r="116" spans="2:6">
      <c r="C116">
        <v>370</v>
      </c>
      <c r="D116" t="s">
        <v>1666</v>
      </c>
      <c r="E116" t="s">
        <v>1651</v>
      </c>
      <c r="F116" t="s">
        <v>1586</v>
      </c>
    </row>
    <row r="117" spans="2:6">
      <c r="C117">
        <v>85</v>
      </c>
      <c r="D117" t="s">
        <v>1666</v>
      </c>
      <c r="E117" t="s">
        <v>1651</v>
      </c>
      <c r="F117" t="s">
        <v>1668</v>
      </c>
    </row>
    <row r="119" spans="2:6">
      <c r="B119" s="27">
        <v>45728</v>
      </c>
      <c r="C119">
        <v>5510.6</v>
      </c>
      <c r="D119" t="s">
        <v>1669</v>
      </c>
      <c r="E119" t="s">
        <v>1662</v>
      </c>
      <c r="F119" t="s">
        <v>1563</v>
      </c>
    </row>
    <row r="121" spans="2:6">
      <c r="B121" s="27">
        <v>45728</v>
      </c>
      <c r="C121">
        <v>5724</v>
      </c>
      <c r="D121" t="s">
        <v>1670</v>
      </c>
      <c r="E121" t="s">
        <v>1671</v>
      </c>
      <c r="F121" t="s">
        <v>1599</v>
      </c>
    </row>
    <row r="123" spans="2:6">
      <c r="B123" s="27">
        <v>45728</v>
      </c>
      <c r="C123">
        <v>5510.6</v>
      </c>
      <c r="D123" t="s">
        <v>1672</v>
      </c>
      <c r="E123" t="s">
        <v>1616</v>
      </c>
      <c r="F123" t="s">
        <v>1599</v>
      </c>
    </row>
    <row r="124" spans="2:6">
      <c r="B124" s="27"/>
    </row>
    <row r="125" spans="2:6">
      <c r="B125" s="27">
        <v>45732</v>
      </c>
      <c r="C125">
        <v>4000</v>
      </c>
      <c r="D125" t="s">
        <v>1673</v>
      </c>
      <c r="E125" t="s">
        <v>1674</v>
      </c>
      <c r="F125" t="s">
        <v>1606</v>
      </c>
    </row>
    <row r="126" spans="2:6">
      <c r="B126" s="27"/>
      <c r="C126">
        <v>300</v>
      </c>
      <c r="D126" t="s">
        <v>1673</v>
      </c>
      <c r="E126" t="s">
        <v>1674</v>
      </c>
      <c r="F126" t="s">
        <v>1675</v>
      </c>
    </row>
    <row r="127" spans="2:6">
      <c r="B127" s="27"/>
    </row>
    <row r="128" spans="2:6">
      <c r="B128" s="27">
        <v>45732</v>
      </c>
      <c r="C128">
        <f>3440*2</f>
        <v>6880</v>
      </c>
      <c r="D128" t="s">
        <v>1676</v>
      </c>
      <c r="E128" t="s">
        <v>1568</v>
      </c>
      <c r="F128" t="s">
        <v>1677</v>
      </c>
    </row>
    <row r="130" spans="2:6">
      <c r="B130" s="27">
        <v>45733</v>
      </c>
      <c r="C130">
        <v>5362.1</v>
      </c>
      <c r="D130" t="s">
        <v>1678</v>
      </c>
      <c r="E130" t="s">
        <v>1679</v>
      </c>
      <c r="F130" t="s">
        <v>1680</v>
      </c>
    </row>
    <row r="132" spans="2:6">
      <c r="B132" s="27">
        <v>45733</v>
      </c>
      <c r="C132">
        <v>5789</v>
      </c>
      <c r="D132" t="s">
        <v>1681</v>
      </c>
      <c r="E132" t="s">
        <v>1654</v>
      </c>
      <c r="F132" t="s">
        <v>1682</v>
      </c>
    </row>
    <row r="133" spans="2:6">
      <c r="B133" s="27"/>
    </row>
    <row r="134" spans="2:6">
      <c r="B134" s="27">
        <v>45733</v>
      </c>
      <c r="C134">
        <v>10092.549999999999</v>
      </c>
      <c r="D134" t="s">
        <v>1683</v>
      </c>
    </row>
    <row r="135" spans="2:6">
      <c r="B135" s="27"/>
    </row>
    <row r="136" spans="2:6">
      <c r="B136" s="27">
        <v>45734</v>
      </c>
      <c r="C136">
        <v>3575.88</v>
      </c>
      <c r="D136" t="s">
        <v>1684</v>
      </c>
      <c r="E136" t="s">
        <v>1579</v>
      </c>
    </row>
    <row r="137" spans="2:6">
      <c r="B137" s="27"/>
    </row>
    <row r="138" spans="2:6">
      <c r="B138" s="27">
        <v>45734</v>
      </c>
      <c r="C138">
        <v>5889</v>
      </c>
      <c r="D138" t="s">
        <v>1685</v>
      </c>
      <c r="E138" t="s">
        <v>1651</v>
      </c>
      <c r="F138" t="s">
        <v>1686</v>
      </c>
    </row>
    <row r="139" spans="2:6">
      <c r="B139" s="27"/>
    </row>
    <row r="140" spans="2:6">
      <c r="B140" s="27">
        <v>45734</v>
      </c>
      <c r="C140">
        <v>5732</v>
      </c>
      <c r="D140" t="s">
        <v>1687</v>
      </c>
      <c r="E140" t="s">
        <v>1688</v>
      </c>
      <c r="F140" t="s">
        <v>1689</v>
      </c>
    </row>
    <row r="141" spans="2:6">
      <c r="B141" s="27"/>
    </row>
    <row r="142" spans="2:6">
      <c r="B142" s="27">
        <v>45735</v>
      </c>
      <c r="C142">
        <v>1900</v>
      </c>
      <c r="D142" t="s">
        <v>1636</v>
      </c>
      <c r="E142" t="s">
        <v>1562</v>
      </c>
      <c r="F142" t="s">
        <v>1690</v>
      </c>
    </row>
    <row r="143" spans="2:6">
      <c r="B143" s="27"/>
    </row>
    <row r="144" spans="2:6">
      <c r="B144" s="27">
        <v>45735</v>
      </c>
      <c r="C144">
        <v>1475</v>
      </c>
      <c r="D144" t="s">
        <v>1691</v>
      </c>
      <c r="E144" t="s">
        <v>1688</v>
      </c>
      <c r="F144" t="s">
        <v>1692</v>
      </c>
    </row>
    <row r="145" spans="2:6">
      <c r="B145" s="27"/>
    </row>
    <row r="146" spans="2:6">
      <c r="B146" s="27">
        <v>45736</v>
      </c>
      <c r="C146">
        <v>6600</v>
      </c>
      <c r="D146" t="s">
        <v>1629</v>
      </c>
      <c r="E146" t="s">
        <v>1630</v>
      </c>
    </row>
    <row r="147" spans="2:6">
      <c r="B147" s="27"/>
    </row>
    <row r="148" spans="2:6">
      <c r="B148" s="27">
        <v>45737</v>
      </c>
      <c r="C148">
        <v>3526</v>
      </c>
      <c r="D148" t="s">
        <v>1693</v>
      </c>
      <c r="E148" t="s">
        <v>1639</v>
      </c>
    </row>
    <row r="149" spans="2:6">
      <c r="B149" s="27"/>
    </row>
    <row r="150" spans="2:6">
      <c r="B150" s="27">
        <v>45737</v>
      </c>
      <c r="C150">
        <v>2961</v>
      </c>
      <c r="D150" t="s">
        <v>1570</v>
      </c>
      <c r="E150" t="s">
        <v>1694</v>
      </c>
      <c r="F150" t="s">
        <v>1695</v>
      </c>
    </row>
    <row r="152" spans="2:6">
      <c r="B152" s="27">
        <v>45737</v>
      </c>
      <c r="C152">
        <v>3619</v>
      </c>
      <c r="D152" t="s">
        <v>1696</v>
      </c>
      <c r="E152" t="s">
        <v>1644</v>
      </c>
      <c r="F152" t="s">
        <v>1697</v>
      </c>
    </row>
    <row r="153" spans="2:6">
      <c r="B153" s="27"/>
    </row>
    <row r="154" spans="2:6">
      <c r="B154" s="27">
        <v>45739</v>
      </c>
      <c r="C154">
        <v>4663</v>
      </c>
      <c r="D154" t="s">
        <v>1698</v>
      </c>
      <c r="E154" t="s">
        <v>1699</v>
      </c>
      <c r="F154" t="s">
        <v>1563</v>
      </c>
    </row>
    <row r="155" spans="2:6">
      <c r="B155" s="27"/>
    </row>
    <row r="156" spans="2:6">
      <c r="B156" s="27">
        <v>45740</v>
      </c>
      <c r="C156">
        <v>5282.1</v>
      </c>
      <c r="D156" t="s">
        <v>1700</v>
      </c>
      <c r="F156" t="s">
        <v>1695</v>
      </c>
    </row>
    <row r="157" spans="2:6">
      <c r="B157" s="27"/>
      <c r="C157">
        <v>370</v>
      </c>
      <c r="D157" t="s">
        <v>1700</v>
      </c>
      <c r="F157" t="s">
        <v>1604</v>
      </c>
    </row>
    <row r="158" spans="2:6">
      <c r="B158" s="27"/>
    </row>
    <row r="159" spans="2:6">
      <c r="B159" s="27">
        <v>45740</v>
      </c>
      <c r="C159">
        <v>5599.75</v>
      </c>
      <c r="D159" t="s">
        <v>1701</v>
      </c>
      <c r="E159" t="s">
        <v>1702</v>
      </c>
      <c r="F159" t="s">
        <v>1695</v>
      </c>
    </row>
    <row r="160" spans="2:6">
      <c r="B160" s="27"/>
      <c r="C160">
        <v>6207.5</v>
      </c>
      <c r="D160" t="s">
        <v>1703</v>
      </c>
      <c r="E160" t="s">
        <v>1660</v>
      </c>
      <c r="F160" t="s">
        <v>1695</v>
      </c>
    </row>
    <row r="161" spans="2:6">
      <c r="B161" s="27"/>
    </row>
    <row r="162" spans="2:6">
      <c r="B162" s="27">
        <v>45740</v>
      </c>
      <c r="C162">
        <v>5076.1499999999996</v>
      </c>
      <c r="D162" t="s">
        <v>1704</v>
      </c>
      <c r="E162" t="s">
        <v>1705</v>
      </c>
      <c r="F162" t="s">
        <v>1572</v>
      </c>
    </row>
    <row r="163" spans="2:6">
      <c r="B163" s="27"/>
      <c r="C163">
        <v>5959.73</v>
      </c>
      <c r="D163" t="s">
        <v>1706</v>
      </c>
      <c r="E163" t="s">
        <v>1562</v>
      </c>
      <c r="F163" t="s">
        <v>1572</v>
      </c>
    </row>
    <row r="164" spans="2:6">
      <c r="B164" s="27"/>
      <c r="C164">
        <v>210.12</v>
      </c>
      <c r="D164" t="s">
        <v>1706</v>
      </c>
      <c r="E164" t="s">
        <v>1562</v>
      </c>
      <c r="F164" t="s">
        <v>1707</v>
      </c>
    </row>
    <row r="165" spans="2:6">
      <c r="B165" s="27"/>
    </row>
    <row r="166" spans="2:6">
      <c r="B166" s="27">
        <v>45741</v>
      </c>
      <c r="C166">
        <v>3784</v>
      </c>
      <c r="D166" t="s">
        <v>1708</v>
      </c>
      <c r="E166" t="s">
        <v>1568</v>
      </c>
      <c r="F166" t="s">
        <v>1709</v>
      </c>
    </row>
    <row r="167" spans="2:6">
      <c r="B167" s="27"/>
      <c r="C167">
        <v>1800</v>
      </c>
      <c r="D167" t="s">
        <v>1708</v>
      </c>
      <c r="E167" t="s">
        <v>1568</v>
      </c>
      <c r="F167" t="s">
        <v>1710</v>
      </c>
    </row>
    <row r="168" spans="2:6">
      <c r="B168" s="27"/>
    </row>
    <row r="169" spans="2:6">
      <c r="B169" s="27">
        <v>45741</v>
      </c>
      <c r="C169">
        <v>4151.7</v>
      </c>
      <c r="D169" t="s">
        <v>1711</v>
      </c>
      <c r="E169" t="s">
        <v>1579</v>
      </c>
      <c r="F169" t="s">
        <v>1572</v>
      </c>
    </row>
    <row r="171" spans="2:6">
      <c r="B171" s="27">
        <v>45742</v>
      </c>
      <c r="C171">
        <v>10851.6</v>
      </c>
      <c r="D171" t="s">
        <v>1712</v>
      </c>
      <c r="F171" t="s">
        <v>1695</v>
      </c>
    </row>
    <row r="172" spans="2:6">
      <c r="D172" t="s">
        <v>1713</v>
      </c>
      <c r="E172" t="s">
        <v>1714</v>
      </c>
      <c r="F172" t="s">
        <v>1715</v>
      </c>
    </row>
    <row r="174" spans="2:6">
      <c r="B174" s="27">
        <v>45742</v>
      </c>
      <c r="C174">
        <v>3290</v>
      </c>
      <c r="D174" t="s">
        <v>1601</v>
      </c>
      <c r="E174" t="s">
        <v>1679</v>
      </c>
      <c r="F174" t="s">
        <v>1709</v>
      </c>
    </row>
    <row r="175" spans="2:6">
      <c r="B175" s="27">
        <v>45742</v>
      </c>
      <c r="C175">
        <v>2110</v>
      </c>
      <c r="D175" t="s">
        <v>1601</v>
      </c>
      <c r="E175" t="s">
        <v>1679</v>
      </c>
      <c r="F175" t="s">
        <v>1716</v>
      </c>
    </row>
    <row r="179" spans="2:6">
      <c r="B179" s="27">
        <v>45742</v>
      </c>
      <c r="C179">
        <v>3665</v>
      </c>
      <c r="D179" t="s">
        <v>1717</v>
      </c>
      <c r="E179" t="s">
        <v>1644</v>
      </c>
      <c r="F179" t="s">
        <v>1563</v>
      </c>
    </row>
    <row r="181" spans="2:6">
      <c r="B181" s="27">
        <v>45743</v>
      </c>
      <c r="C181">
        <v>5668</v>
      </c>
      <c r="D181" t="s">
        <v>1718</v>
      </c>
      <c r="E181" t="s">
        <v>1719</v>
      </c>
      <c r="F181" t="s">
        <v>1720</v>
      </c>
    </row>
    <row r="182" spans="2:6">
      <c r="B182" s="27"/>
    </row>
    <row r="183" spans="2:6">
      <c r="B183" s="27">
        <v>45743</v>
      </c>
      <c r="C183">
        <f>3216.4+1925</f>
        <v>5141.3999999999996</v>
      </c>
      <c r="D183" t="s">
        <v>1721</v>
      </c>
      <c r="E183" t="s">
        <v>1579</v>
      </c>
      <c r="F183" t="s">
        <v>1572</v>
      </c>
    </row>
    <row r="184" spans="2:6">
      <c r="B184" s="27"/>
      <c r="C184">
        <f>3959.73+1925</f>
        <v>5884.73</v>
      </c>
      <c r="D184" t="s">
        <v>1722</v>
      </c>
      <c r="E184" t="s">
        <v>1648</v>
      </c>
      <c r="F184" t="s">
        <v>1572</v>
      </c>
    </row>
    <row r="185" spans="2:6">
      <c r="B185" s="27"/>
      <c r="C185">
        <v>394.25</v>
      </c>
      <c r="D185" t="s">
        <v>1721</v>
      </c>
      <c r="F185" t="s">
        <v>1586</v>
      </c>
    </row>
    <row r="186" spans="2:6">
      <c r="B186" s="27"/>
    </row>
    <row r="187" spans="2:6">
      <c r="B187" s="27">
        <v>45744</v>
      </c>
      <c r="C187">
        <v>6763.5</v>
      </c>
      <c r="D187" t="s">
        <v>1723</v>
      </c>
      <c r="E187" t="s">
        <v>1591</v>
      </c>
      <c r="F187" t="s">
        <v>1599</v>
      </c>
    </row>
    <row r="189" spans="2:6">
      <c r="B189" s="27">
        <v>45744</v>
      </c>
      <c r="C189">
        <v>5240</v>
      </c>
      <c r="D189" t="s">
        <v>1724</v>
      </c>
      <c r="E189" t="s">
        <v>1725</v>
      </c>
      <c r="F189" t="s">
        <v>1726</v>
      </c>
    </row>
    <row r="191" spans="2:6">
      <c r="B191" s="27">
        <v>45744</v>
      </c>
      <c r="C191" s="8">
        <v>2796</v>
      </c>
      <c r="D191" t="s">
        <v>1611</v>
      </c>
      <c r="E191" t="s">
        <v>1612</v>
      </c>
      <c r="F191" t="s">
        <v>1563</v>
      </c>
    </row>
    <row r="192" spans="2:6">
      <c r="C192" s="8">
        <v>2703</v>
      </c>
      <c r="D192" t="s">
        <v>1613</v>
      </c>
      <c r="E192" t="s">
        <v>56</v>
      </c>
      <c r="F192" t="s">
        <v>1727</v>
      </c>
    </row>
    <row r="193" spans="2:6">
      <c r="C193" s="8"/>
    </row>
    <row r="194" spans="2:6">
      <c r="B194" s="27">
        <v>45745</v>
      </c>
      <c r="C194" s="8">
        <v>5369.5</v>
      </c>
      <c r="D194" t="s">
        <v>1728</v>
      </c>
      <c r="E194" t="s">
        <v>1574</v>
      </c>
      <c r="F194" t="s">
        <v>1729</v>
      </c>
    </row>
    <row r="195" spans="2:6">
      <c r="B195" s="27"/>
      <c r="C195" s="8"/>
    </row>
    <row r="196" spans="2:6">
      <c r="B196" s="27">
        <v>45745</v>
      </c>
      <c r="C196" s="8">
        <v>3076.15</v>
      </c>
      <c r="D196" t="s">
        <v>1730</v>
      </c>
      <c r="E196" t="s">
        <v>1554</v>
      </c>
      <c r="F196" t="s">
        <v>1731</v>
      </c>
    </row>
    <row r="197" spans="2:6">
      <c r="B197" s="27"/>
      <c r="C197" s="8">
        <v>3216.4</v>
      </c>
      <c r="D197" t="s">
        <v>1732</v>
      </c>
      <c r="E197" t="s">
        <v>1733</v>
      </c>
      <c r="F197" t="s">
        <v>1731</v>
      </c>
    </row>
    <row r="198" spans="2:6">
      <c r="B198" s="27"/>
      <c r="C198" s="8"/>
    </row>
    <row r="199" spans="2:6">
      <c r="C199" s="8"/>
    </row>
    <row r="200" spans="2:6">
      <c r="B200" s="27">
        <v>45746</v>
      </c>
      <c r="C200" s="8">
        <v>5441</v>
      </c>
      <c r="D200" t="s">
        <v>1734</v>
      </c>
      <c r="E200" t="s">
        <v>1735</v>
      </c>
    </row>
    <row r="202" spans="2:6">
      <c r="B202" s="27">
        <v>45747</v>
      </c>
      <c r="C202">
        <v>4936</v>
      </c>
      <c r="D202" t="s">
        <v>1736</v>
      </c>
      <c r="E202" t="s">
        <v>1737</v>
      </c>
      <c r="F202" t="s">
        <v>1738</v>
      </c>
    </row>
    <row r="203" spans="2:6">
      <c r="F203" t="s">
        <v>1739</v>
      </c>
    </row>
    <row r="204" spans="2:6">
      <c r="B204" s="27">
        <v>45747</v>
      </c>
      <c r="C204">
        <v>3216.4</v>
      </c>
      <c r="D204" t="s">
        <v>1740</v>
      </c>
      <c r="E204" t="s">
        <v>1662</v>
      </c>
      <c r="F204" t="s">
        <v>1563</v>
      </c>
    </row>
    <row r="206" spans="2:6">
      <c r="B206" s="27">
        <v>45747</v>
      </c>
      <c r="C206">
        <v>4628.25</v>
      </c>
      <c r="D206" t="s">
        <v>1741</v>
      </c>
      <c r="E206" t="s">
        <v>1581</v>
      </c>
      <c r="F206" t="s">
        <v>1563</v>
      </c>
    </row>
    <row r="208" spans="2:6">
      <c r="B208" s="27">
        <v>45747</v>
      </c>
      <c r="C208">
        <v>3627.1</v>
      </c>
      <c r="D208" t="s">
        <v>1742</v>
      </c>
      <c r="E208" t="s">
        <v>1743</v>
      </c>
      <c r="F208" t="s">
        <v>1744</v>
      </c>
    </row>
    <row r="210" spans="2:6">
      <c r="B210" s="27">
        <v>45747</v>
      </c>
      <c r="C210">
        <v>6940</v>
      </c>
      <c r="D210" t="s">
        <v>1617</v>
      </c>
      <c r="E210" t="s">
        <v>1618</v>
      </c>
      <c r="F210" t="s">
        <v>1695</v>
      </c>
    </row>
    <row r="212" spans="2:6">
      <c r="B212" s="27">
        <v>45747</v>
      </c>
      <c r="C212">
        <v>6340</v>
      </c>
      <c r="D212" t="s">
        <v>1745</v>
      </c>
      <c r="E212" t="s">
        <v>1562</v>
      </c>
      <c r="F212" t="s">
        <v>1729</v>
      </c>
    </row>
    <row r="213" spans="2:6">
      <c r="B213" s="27"/>
    </row>
    <row r="214" spans="2:6">
      <c r="B214" s="27">
        <v>45747</v>
      </c>
      <c r="C214">
        <v>5298</v>
      </c>
      <c r="D214" t="s">
        <v>1746</v>
      </c>
      <c r="E214" t="s">
        <v>1719</v>
      </c>
      <c r="F214" t="s">
        <v>1747</v>
      </c>
    </row>
    <row r="215" spans="2:6">
      <c r="B215" s="27"/>
    </row>
    <row r="216" spans="2:6">
      <c r="B216" s="27">
        <v>45747</v>
      </c>
      <c r="C216">
        <v>3526</v>
      </c>
      <c r="D216" t="s">
        <v>1748</v>
      </c>
      <c r="E216" t="s">
        <v>1574</v>
      </c>
      <c r="F216" t="s">
        <v>1749</v>
      </c>
    </row>
    <row r="217" spans="2:6">
      <c r="B217" s="27"/>
    </row>
    <row r="218" spans="2:6">
      <c r="B218" s="27">
        <v>45747</v>
      </c>
      <c r="C218">
        <v>5724</v>
      </c>
      <c r="D218" t="s">
        <v>1750</v>
      </c>
      <c r="E218" t="s">
        <v>1735</v>
      </c>
      <c r="F218" t="s">
        <v>1563</v>
      </c>
    </row>
    <row r="219" spans="2:6">
      <c r="B219" s="27"/>
    </row>
    <row r="220" spans="2:6">
      <c r="B220" s="27">
        <v>45748</v>
      </c>
      <c r="C220">
        <v>5794</v>
      </c>
      <c r="D220" t="s">
        <v>1751</v>
      </c>
      <c r="E220" t="s">
        <v>1752</v>
      </c>
      <c r="F220" t="s">
        <v>1563</v>
      </c>
    </row>
    <row r="221" spans="2:6">
      <c r="B221" s="27"/>
    </row>
    <row r="222" spans="2:6">
      <c r="B222" s="27">
        <v>45748</v>
      </c>
      <c r="C222">
        <v>4628.25</v>
      </c>
      <c r="D222" t="s">
        <v>1619</v>
      </c>
      <c r="E222" t="s">
        <v>1630</v>
      </c>
      <c r="F222" t="s">
        <v>1563</v>
      </c>
    </row>
    <row r="223" spans="2:6">
      <c r="B223" s="27">
        <v>45748</v>
      </c>
      <c r="C223">
        <v>2000</v>
      </c>
      <c r="D223" t="s">
        <v>1619</v>
      </c>
      <c r="E223" t="s">
        <v>1630</v>
      </c>
      <c r="F223" t="s">
        <v>1563</v>
      </c>
    </row>
    <row r="224" spans="2:6">
      <c r="B224" s="27"/>
    </row>
    <row r="225" spans="2:6">
      <c r="B225" s="27"/>
    </row>
    <row r="226" spans="2:6">
      <c r="B226" s="27"/>
    </row>
    <row r="227" spans="2:6">
      <c r="B227" s="27">
        <v>45748</v>
      </c>
      <c r="C227">
        <v>5132.2</v>
      </c>
      <c r="D227" t="s">
        <v>1640</v>
      </c>
      <c r="E227" t="s">
        <v>1641</v>
      </c>
      <c r="F227" t="s">
        <v>1563</v>
      </c>
    </row>
    <row r="228" spans="2:6">
      <c r="B228" s="27"/>
    </row>
    <row r="229" spans="2:6">
      <c r="B229" s="27">
        <v>45748</v>
      </c>
      <c r="C229">
        <v>4141.8999999999996</v>
      </c>
      <c r="D229" t="s">
        <v>1753</v>
      </c>
      <c r="E229" t="s">
        <v>1639</v>
      </c>
      <c r="F229" t="s">
        <v>1754</v>
      </c>
    </row>
    <row r="231" spans="2:6">
      <c r="B231" s="27">
        <v>45748</v>
      </c>
      <c r="C231">
        <v>3405.6</v>
      </c>
      <c r="D231" t="s">
        <v>1684</v>
      </c>
      <c r="E231" t="s">
        <v>1579</v>
      </c>
      <c r="F231" t="s">
        <v>1755</v>
      </c>
    </row>
    <row r="232" spans="2:6">
      <c r="B232" s="27"/>
    </row>
    <row r="233" spans="2:6">
      <c r="B233" s="27">
        <v>45748</v>
      </c>
      <c r="C233">
        <v>6298</v>
      </c>
      <c r="D233" t="s">
        <v>1756</v>
      </c>
      <c r="E233" t="s">
        <v>1562</v>
      </c>
      <c r="F233" t="s">
        <v>1563</v>
      </c>
    </row>
    <row r="234" spans="2:6">
      <c r="B234" s="27"/>
    </row>
    <row r="235" spans="2:6">
      <c r="B235" s="27">
        <v>45748</v>
      </c>
      <c r="C235">
        <v>3336</v>
      </c>
      <c r="D235" t="s">
        <v>1757</v>
      </c>
      <c r="E235" t="s">
        <v>1735</v>
      </c>
      <c r="F235" t="s">
        <v>1563</v>
      </c>
    </row>
    <row r="236" spans="2:6">
      <c r="B236" s="27"/>
    </row>
    <row r="237" spans="2:6">
      <c r="B237" s="27"/>
    </row>
    <row r="238" spans="2:6">
      <c r="B238" s="27">
        <v>45749</v>
      </c>
      <c r="C238">
        <v>124</v>
      </c>
      <c r="D238" t="s">
        <v>1758</v>
      </c>
      <c r="F238" t="s">
        <v>1759</v>
      </c>
    </row>
    <row r="239" spans="2:6">
      <c r="B239" s="27"/>
      <c r="C239">
        <v>5676</v>
      </c>
      <c r="D239" t="s">
        <v>1758</v>
      </c>
      <c r="F239" t="s">
        <v>1760</v>
      </c>
    </row>
    <row r="241" spans="2:6">
      <c r="B241" s="27">
        <v>45749</v>
      </c>
      <c r="C241">
        <v>370</v>
      </c>
      <c r="D241" t="s">
        <v>1611</v>
      </c>
      <c r="E241" t="s">
        <v>1612</v>
      </c>
      <c r="F241" t="s">
        <v>1761</v>
      </c>
    </row>
    <row r="242" spans="2:6">
      <c r="C242">
        <v>370</v>
      </c>
      <c r="D242" t="s">
        <v>1613</v>
      </c>
      <c r="E242" t="s">
        <v>56</v>
      </c>
      <c r="F242" t="s">
        <v>1761</v>
      </c>
    </row>
    <row r="244" spans="2:6">
      <c r="B244" s="27">
        <v>45749</v>
      </c>
      <c r="C244">
        <v>5362.1</v>
      </c>
      <c r="D244" t="s">
        <v>1762</v>
      </c>
      <c r="E244" t="s">
        <v>1763</v>
      </c>
      <c r="F244" t="s">
        <v>1729</v>
      </c>
    </row>
    <row r="246" spans="2:6">
      <c r="B246" s="27">
        <v>45749</v>
      </c>
      <c r="C246">
        <v>2105</v>
      </c>
      <c r="D246" t="s">
        <v>1580</v>
      </c>
      <c r="E246" t="s">
        <v>1764</v>
      </c>
      <c r="F246" t="s">
        <v>1765</v>
      </c>
    </row>
    <row r="248" spans="2:6">
      <c r="B248" s="27">
        <v>45749</v>
      </c>
      <c r="C248">
        <v>5823</v>
      </c>
      <c r="D248" t="s">
        <v>1766</v>
      </c>
      <c r="E248" t="s">
        <v>1725</v>
      </c>
      <c r="F248" t="s">
        <v>1680</v>
      </c>
    </row>
    <row r="250" spans="2:6">
      <c r="B250" s="27">
        <v>45749</v>
      </c>
      <c r="C250">
        <f>2798.4+375</f>
        <v>3173.4</v>
      </c>
      <c r="D250" t="s">
        <v>1767</v>
      </c>
      <c r="E250" t="s">
        <v>46</v>
      </c>
      <c r="F250" t="s">
        <v>1768</v>
      </c>
    </row>
    <row r="251" spans="2:6">
      <c r="C251">
        <f>2895+375</f>
        <v>3270</v>
      </c>
      <c r="D251" t="s">
        <v>1769</v>
      </c>
      <c r="F251" t="s">
        <v>1768</v>
      </c>
    </row>
    <row r="252" spans="2:6">
      <c r="C252">
        <v>3027.2</v>
      </c>
      <c r="D252" t="s">
        <v>1770</v>
      </c>
      <c r="E252" t="s">
        <v>1616</v>
      </c>
      <c r="F252" t="s">
        <v>1771</v>
      </c>
    </row>
    <row r="254" spans="2:6">
      <c r="B254" s="27">
        <v>45749</v>
      </c>
      <c r="C254">
        <v>5510.6</v>
      </c>
      <c r="D254" t="s">
        <v>1672</v>
      </c>
      <c r="E254" t="s">
        <v>1616</v>
      </c>
      <c r="F254" t="s">
        <v>1563</v>
      </c>
    </row>
    <row r="255" spans="2:6">
      <c r="B255" s="27"/>
    </row>
    <row r="256" spans="2:6">
      <c r="B256" s="27">
        <v>45749</v>
      </c>
      <c r="C256">
        <v>58979</v>
      </c>
      <c r="D256" t="s">
        <v>1772</v>
      </c>
      <c r="E256" t="s">
        <v>1773</v>
      </c>
      <c r="F256" t="s">
        <v>1720</v>
      </c>
    </row>
    <row r="257" spans="2:6">
      <c r="B257" s="27"/>
    </row>
    <row r="258" spans="2:6">
      <c r="B258" s="27">
        <v>45749</v>
      </c>
      <c r="C258">
        <v>3216</v>
      </c>
      <c r="D258" t="s">
        <v>1774</v>
      </c>
      <c r="E258" t="s">
        <v>1651</v>
      </c>
      <c r="F258" t="s">
        <v>1775</v>
      </c>
    </row>
    <row r="259" spans="2:6">
      <c r="B259" s="27">
        <v>45749</v>
      </c>
      <c r="C259">
        <v>3562</v>
      </c>
      <c r="D259" t="s">
        <v>1776</v>
      </c>
      <c r="E259" t="s">
        <v>1623</v>
      </c>
      <c r="F259" t="s">
        <v>1775</v>
      </c>
    </row>
    <row r="260" spans="2:6">
      <c r="B260" s="27"/>
    </row>
    <row r="261" spans="2:6">
      <c r="B261" s="27">
        <v>45750</v>
      </c>
      <c r="C261">
        <v>5592</v>
      </c>
      <c r="D261" t="s">
        <v>1777</v>
      </c>
      <c r="E261" t="s">
        <v>1735</v>
      </c>
      <c r="F261" t="s">
        <v>1778</v>
      </c>
    </row>
    <row r="262" spans="2:6">
      <c r="B262" s="27"/>
    </row>
    <row r="263" spans="2:6">
      <c r="B263" s="27"/>
    </row>
    <row r="264" spans="2:6">
      <c r="B264" s="27">
        <v>45750</v>
      </c>
      <c r="C264">
        <v>5889</v>
      </c>
      <c r="D264" t="s">
        <v>1779</v>
      </c>
      <c r="F264" t="s">
        <v>1563</v>
      </c>
    </row>
    <row r="265" spans="2:6">
      <c r="B265" s="27"/>
      <c r="C265">
        <v>26</v>
      </c>
      <c r="D265" t="s">
        <v>1779</v>
      </c>
      <c r="F265" t="s">
        <v>1780</v>
      </c>
    </row>
    <row r="266" spans="2:6">
      <c r="B266" s="27"/>
    </row>
    <row r="267" spans="2:6">
      <c r="B267" s="27">
        <v>45750</v>
      </c>
      <c r="C267">
        <v>6462.9</v>
      </c>
      <c r="D267" t="s">
        <v>1634</v>
      </c>
      <c r="E267" t="s">
        <v>1781</v>
      </c>
      <c r="F267" t="s">
        <v>1563</v>
      </c>
    </row>
    <row r="268" spans="2:6">
      <c r="B268" s="27"/>
    </row>
    <row r="269" spans="2:6">
      <c r="B269" s="27">
        <v>45750</v>
      </c>
      <c r="C269">
        <v>4154</v>
      </c>
      <c r="D269" t="s">
        <v>1615</v>
      </c>
      <c r="E269" t="s">
        <v>1616</v>
      </c>
      <c r="F269" t="s">
        <v>1782</v>
      </c>
    </row>
    <row r="270" spans="2:6">
      <c r="B270" s="27"/>
    </row>
    <row r="271" spans="2:6">
      <c r="B271" s="27">
        <v>45750</v>
      </c>
      <c r="C271">
        <v>6939.5</v>
      </c>
      <c r="D271" t="s">
        <v>1783</v>
      </c>
      <c r="E271" t="s">
        <v>1618</v>
      </c>
      <c r="F271" t="s">
        <v>1563</v>
      </c>
    </row>
    <row r="273" spans="2:6">
      <c r="B273" s="27">
        <v>45750</v>
      </c>
      <c r="C273">
        <v>2105</v>
      </c>
      <c r="D273" t="s">
        <v>1784</v>
      </c>
      <c r="E273" t="s">
        <v>1574</v>
      </c>
      <c r="F273" t="s">
        <v>1606</v>
      </c>
    </row>
    <row r="274" spans="2:6">
      <c r="B274" s="27"/>
      <c r="C274">
        <v>4395.5</v>
      </c>
      <c r="D274" t="s">
        <v>1784</v>
      </c>
      <c r="E274" t="s">
        <v>1574</v>
      </c>
      <c r="F274" t="s">
        <v>1709</v>
      </c>
    </row>
    <row r="275" spans="2:6">
      <c r="B275" s="27"/>
      <c r="C275">
        <v>2105</v>
      </c>
      <c r="D275" t="s">
        <v>1784</v>
      </c>
      <c r="E275" t="s">
        <v>1574</v>
      </c>
      <c r="F275" t="s">
        <v>1710</v>
      </c>
    </row>
    <row r="276" spans="2:6">
      <c r="B276" s="27"/>
    </row>
    <row r="277" spans="2:6">
      <c r="B277" s="27">
        <v>45750</v>
      </c>
      <c r="C277">
        <v>7842.6</v>
      </c>
      <c r="D277" t="s">
        <v>1785</v>
      </c>
      <c r="E277" t="s">
        <v>1610</v>
      </c>
      <c r="F277" t="s">
        <v>1572</v>
      </c>
    </row>
    <row r="278" spans="2:6">
      <c r="B278" s="27"/>
    </row>
    <row r="279" spans="2:6">
      <c r="B279" s="27">
        <v>45750</v>
      </c>
      <c r="C279">
        <v>7407.75</v>
      </c>
      <c r="D279" t="s">
        <v>1786</v>
      </c>
      <c r="E279" t="s">
        <v>1581</v>
      </c>
      <c r="F279" t="s">
        <v>1649</v>
      </c>
    </row>
    <row r="280" spans="2:6">
      <c r="B280" s="27"/>
      <c r="C280">
        <v>7055</v>
      </c>
      <c r="D280" t="s">
        <v>1786</v>
      </c>
      <c r="E280" t="s">
        <v>1581</v>
      </c>
      <c r="F280" t="s">
        <v>1563</v>
      </c>
    </row>
    <row r="281" spans="2:6">
      <c r="B281" s="27"/>
    </row>
    <row r="282" spans="2:6">
      <c r="B282" s="27">
        <v>45750</v>
      </c>
      <c r="C282">
        <v>6763.5</v>
      </c>
      <c r="D282" t="s">
        <v>1723</v>
      </c>
      <c r="E282" t="s">
        <v>1591</v>
      </c>
      <c r="F282" t="s">
        <v>1563</v>
      </c>
    </row>
    <row r="283" spans="2:6">
      <c r="B283" s="27"/>
    </row>
    <row r="284" spans="2:6">
      <c r="B284" s="27">
        <v>45750</v>
      </c>
      <c r="C284">
        <f>3216.4*2</f>
        <v>6432.8</v>
      </c>
      <c r="D284" t="s">
        <v>1787</v>
      </c>
      <c r="F284" t="s">
        <v>1788</v>
      </c>
    </row>
    <row r="285" spans="2:6">
      <c r="B285" s="27"/>
      <c r="C285">
        <f>4403.85*2</f>
        <v>8807.7000000000007</v>
      </c>
      <c r="D285" t="s">
        <v>1789</v>
      </c>
      <c r="F285" t="s">
        <v>1788</v>
      </c>
    </row>
    <row r="286" spans="2:6">
      <c r="B286" s="27"/>
      <c r="C286">
        <f>1710*2</f>
        <v>3420</v>
      </c>
      <c r="D286" t="s">
        <v>1790</v>
      </c>
      <c r="F286" t="s">
        <v>1791</v>
      </c>
    </row>
    <row r="287" spans="2:6">
      <c r="B287" s="27"/>
      <c r="C287">
        <v>740</v>
      </c>
      <c r="D287" t="s">
        <v>1790</v>
      </c>
      <c r="F287" t="s">
        <v>1604</v>
      </c>
    </row>
    <row r="288" spans="2:6">
      <c r="B288" s="27"/>
      <c r="C288">
        <v>-762.02</v>
      </c>
      <c r="D288" t="s">
        <v>1790</v>
      </c>
      <c r="F288" t="s">
        <v>1792</v>
      </c>
    </row>
    <row r="289" spans="2:6">
      <c r="B289" s="27"/>
      <c r="C289">
        <f>SUM(C284:C288)</f>
        <v>18638.48</v>
      </c>
    </row>
    <row r="290" spans="2:6">
      <c r="B290" s="27"/>
    </row>
    <row r="291" spans="2:6">
      <c r="B291" s="27">
        <v>45750</v>
      </c>
      <c r="C291">
        <v>4403.8500000000004</v>
      </c>
      <c r="D291" t="s">
        <v>1793</v>
      </c>
      <c r="E291" t="s">
        <v>1781</v>
      </c>
      <c r="F291" t="s">
        <v>1709</v>
      </c>
    </row>
    <row r="292" spans="2:6">
      <c r="B292" s="27"/>
      <c r="C292">
        <v>370</v>
      </c>
      <c r="D292" t="s">
        <v>1793</v>
      </c>
      <c r="E292" t="s">
        <v>1781</v>
      </c>
      <c r="F292" t="s">
        <v>1586</v>
      </c>
    </row>
    <row r="293" spans="2:6">
      <c r="B293" s="27"/>
      <c r="C293">
        <v>881.15</v>
      </c>
      <c r="D293" t="s">
        <v>1793</v>
      </c>
      <c r="E293" t="s">
        <v>1781</v>
      </c>
      <c r="F293" t="s">
        <v>1794</v>
      </c>
    </row>
    <row r="294" spans="2:6">
      <c r="B294" s="27"/>
    </row>
    <row r="296" spans="2:6">
      <c r="B296" s="27">
        <v>45751</v>
      </c>
      <c r="C296">
        <v>3735.33</v>
      </c>
      <c r="D296" t="s">
        <v>1795</v>
      </c>
      <c r="E296" t="s">
        <v>1752</v>
      </c>
      <c r="F296" t="s">
        <v>1695</v>
      </c>
    </row>
    <row r="297" spans="2:6">
      <c r="C297">
        <v>3216.4</v>
      </c>
      <c r="D297" t="s">
        <v>1796</v>
      </c>
      <c r="E297" t="s">
        <v>1797</v>
      </c>
      <c r="F297" t="s">
        <v>1695</v>
      </c>
    </row>
    <row r="299" spans="2:6">
      <c r="B299" s="27">
        <v>45751</v>
      </c>
      <c r="C299">
        <f>5667.35+370</f>
        <v>6037.35</v>
      </c>
      <c r="D299" t="s">
        <v>1798</v>
      </c>
      <c r="E299" t="s">
        <v>1623</v>
      </c>
      <c r="F299" t="s">
        <v>1775</v>
      </c>
    </row>
    <row r="300" spans="2:6">
      <c r="C300">
        <f>5076.15+370</f>
        <v>5446.15</v>
      </c>
      <c r="D300" t="s">
        <v>1799</v>
      </c>
      <c r="E300" t="s">
        <v>1735</v>
      </c>
      <c r="F300" t="s">
        <v>1775</v>
      </c>
    </row>
    <row r="301" spans="2:6">
      <c r="D301" t="s">
        <v>1800</v>
      </c>
    </row>
    <row r="303" spans="2:6">
      <c r="B303" s="27">
        <v>45751</v>
      </c>
      <c r="C303">
        <v>5584</v>
      </c>
      <c r="D303" t="s">
        <v>1595</v>
      </c>
      <c r="E303" t="s">
        <v>1596</v>
      </c>
      <c r="F303" t="s">
        <v>1801</v>
      </c>
    </row>
    <row r="304" spans="2:6">
      <c r="B304" s="27"/>
    </row>
    <row r="305" spans="2:6">
      <c r="B305" s="27">
        <v>45753</v>
      </c>
      <c r="C305">
        <v>4235</v>
      </c>
      <c r="D305" t="s">
        <v>1636</v>
      </c>
      <c r="E305" t="s">
        <v>1562</v>
      </c>
      <c r="F305" t="s">
        <v>1802</v>
      </c>
    </row>
    <row r="307" spans="2:6">
      <c r="B307" s="27">
        <v>45754</v>
      </c>
      <c r="C307">
        <v>5181</v>
      </c>
      <c r="D307" t="s">
        <v>1635</v>
      </c>
      <c r="E307" t="s">
        <v>1781</v>
      </c>
      <c r="F307" t="s">
        <v>1563</v>
      </c>
    </row>
    <row r="308" spans="2:6">
      <c r="B308" s="27">
        <v>45754</v>
      </c>
      <c r="C308">
        <v>370</v>
      </c>
      <c r="D308" t="s">
        <v>1635</v>
      </c>
      <c r="E308" t="s">
        <v>1781</v>
      </c>
      <c r="F308" t="s">
        <v>1803</v>
      </c>
    </row>
    <row r="310" spans="2:6">
      <c r="B310" s="27">
        <v>45754</v>
      </c>
      <c r="C310">
        <v>5484</v>
      </c>
      <c r="D310" t="s">
        <v>1804</v>
      </c>
      <c r="E310" t="s">
        <v>1651</v>
      </c>
      <c r="F310" t="s">
        <v>1563</v>
      </c>
    </row>
    <row r="312" spans="2:6">
      <c r="B312" s="27">
        <v>45754</v>
      </c>
      <c r="C312">
        <v>370</v>
      </c>
      <c r="D312" t="s">
        <v>1723</v>
      </c>
      <c r="E312" t="s">
        <v>1562</v>
      </c>
      <c r="F312" t="s">
        <v>1805</v>
      </c>
    </row>
    <row r="314" spans="2:6">
      <c r="B314" s="27">
        <v>45754</v>
      </c>
      <c r="C314">
        <v>370</v>
      </c>
      <c r="D314" t="s">
        <v>1745</v>
      </c>
      <c r="E314" t="s">
        <v>1591</v>
      </c>
      <c r="F314" t="s">
        <v>1806</v>
      </c>
    </row>
    <row r="316" spans="2:6">
      <c r="B316" s="27">
        <v>45754</v>
      </c>
      <c r="C316">
        <v>3890.6</v>
      </c>
      <c r="D316" t="s">
        <v>1807</v>
      </c>
      <c r="E316" t="s">
        <v>1752</v>
      </c>
      <c r="F316" t="s">
        <v>1695</v>
      </c>
    </row>
    <row r="317" spans="2:6">
      <c r="C317">
        <v>4242</v>
      </c>
      <c r="D317" t="s">
        <v>1621</v>
      </c>
      <c r="E317" t="s">
        <v>1610</v>
      </c>
      <c r="F317" t="s">
        <v>1695</v>
      </c>
    </row>
    <row r="318" spans="2:6">
      <c r="C318">
        <v>3118.2</v>
      </c>
      <c r="D318" t="s">
        <v>1808</v>
      </c>
      <c r="E318" t="s">
        <v>1610</v>
      </c>
      <c r="F318" t="s">
        <v>1749</v>
      </c>
    </row>
    <row r="320" spans="2:6">
      <c r="B320" s="27">
        <v>45754</v>
      </c>
      <c r="C320">
        <v>2800</v>
      </c>
      <c r="D320" t="s">
        <v>1777</v>
      </c>
      <c r="E320" t="s">
        <v>1554</v>
      </c>
      <c r="F320" t="s">
        <v>1775</v>
      </c>
    </row>
    <row r="321" spans="2:6">
      <c r="B321" s="27"/>
    </row>
    <row r="322" spans="2:6">
      <c r="B322" s="27">
        <v>45754</v>
      </c>
      <c r="C322">
        <v>5510.6</v>
      </c>
      <c r="D322" t="s">
        <v>1809</v>
      </c>
      <c r="E322" t="s">
        <v>1797</v>
      </c>
      <c r="F322" t="s">
        <v>1563</v>
      </c>
    </row>
    <row r="323" spans="2:6">
      <c r="B323" s="27"/>
    </row>
    <row r="324" spans="2:6">
      <c r="B324" s="27">
        <v>45754</v>
      </c>
      <c r="C324">
        <v>370</v>
      </c>
      <c r="D324" t="s">
        <v>1810</v>
      </c>
      <c r="F324" t="s">
        <v>1604</v>
      </c>
    </row>
    <row r="325" spans="2:6">
      <c r="B325" s="27"/>
    </row>
    <row r="326" spans="2:6">
      <c r="B326" s="27">
        <v>45755</v>
      </c>
      <c r="C326">
        <v>5321.4</v>
      </c>
      <c r="D326" t="s">
        <v>1811</v>
      </c>
      <c r="E326" t="s">
        <v>1596</v>
      </c>
      <c r="F326" t="s">
        <v>1695</v>
      </c>
    </row>
    <row r="327" spans="2:6">
      <c r="C327">
        <v>5003.25</v>
      </c>
      <c r="D327" t="s">
        <v>1812</v>
      </c>
      <c r="E327" t="s">
        <v>1813</v>
      </c>
      <c r="F327" t="s">
        <v>1695</v>
      </c>
    </row>
    <row r="329" spans="2:6">
      <c r="B329" s="27">
        <v>45755</v>
      </c>
      <c r="C329">
        <v>4578</v>
      </c>
      <c r="D329" t="s">
        <v>1593</v>
      </c>
      <c r="E329" t="s">
        <v>1630</v>
      </c>
      <c r="F329" t="s">
        <v>1563</v>
      </c>
    </row>
    <row r="331" spans="2:6">
      <c r="B331" s="27">
        <v>45755</v>
      </c>
      <c r="C331">
        <v>7550</v>
      </c>
      <c r="D331" t="s">
        <v>1814</v>
      </c>
      <c r="E331" t="s">
        <v>1581</v>
      </c>
      <c r="F331" t="s">
        <v>1695</v>
      </c>
    </row>
    <row r="333" spans="2:6">
      <c r="B333" s="27">
        <v>45755</v>
      </c>
      <c r="C333">
        <v>370</v>
      </c>
      <c r="D333" t="s">
        <v>1815</v>
      </c>
      <c r="E333" t="s">
        <v>1651</v>
      </c>
      <c r="F333" t="s">
        <v>1816</v>
      </c>
    </row>
    <row r="335" spans="2:6">
      <c r="B335" s="27">
        <v>45755</v>
      </c>
      <c r="C335">
        <v>4200</v>
      </c>
      <c r="D335" t="s">
        <v>1642</v>
      </c>
      <c r="E335" t="s">
        <v>1618</v>
      </c>
      <c r="F335" t="s">
        <v>1563</v>
      </c>
    </row>
    <row r="337" spans="2:6">
      <c r="B337" s="27">
        <v>45755</v>
      </c>
      <c r="C337">
        <v>418.66</v>
      </c>
      <c r="D337" t="s">
        <v>1817</v>
      </c>
      <c r="E337" t="s">
        <v>1574</v>
      </c>
      <c r="F337" t="s">
        <v>1818</v>
      </c>
    </row>
    <row r="339" spans="2:6">
      <c r="B339" s="27">
        <v>45755</v>
      </c>
      <c r="C339">
        <v>3775.6</v>
      </c>
      <c r="D339" t="s">
        <v>1819</v>
      </c>
      <c r="E339" t="s">
        <v>1733</v>
      </c>
      <c r="F339" t="s">
        <v>1695</v>
      </c>
    </row>
    <row r="341" spans="2:6">
      <c r="B341" s="27">
        <v>45756</v>
      </c>
      <c r="C341">
        <v>4100</v>
      </c>
      <c r="D341" t="s">
        <v>1820</v>
      </c>
      <c r="E341" t="s">
        <v>1639</v>
      </c>
    </row>
    <row r="343" spans="2:6">
      <c r="B343" s="27">
        <v>45756</v>
      </c>
      <c r="C343">
        <v>5732.1</v>
      </c>
      <c r="D343" t="s">
        <v>1653</v>
      </c>
      <c r="E343" t="s">
        <v>1821</v>
      </c>
      <c r="F343" t="s">
        <v>1729</v>
      </c>
    </row>
    <row r="345" spans="2:6">
      <c r="B345" s="27">
        <v>45756</v>
      </c>
      <c r="C345" s="8">
        <f>3216.4+375</f>
        <v>3591.4</v>
      </c>
      <c r="D345" t="s">
        <v>1822</v>
      </c>
      <c r="E345" t="s">
        <v>1662</v>
      </c>
      <c r="F345" t="s">
        <v>1563</v>
      </c>
    </row>
    <row r="346" spans="2:6">
      <c r="C346" s="8">
        <v>370</v>
      </c>
      <c r="D346" t="s">
        <v>1822</v>
      </c>
      <c r="E346" t="s">
        <v>1662</v>
      </c>
      <c r="F346" t="s">
        <v>1604</v>
      </c>
    </row>
    <row r="347" spans="2:6">
      <c r="C347" s="8">
        <v>600</v>
      </c>
      <c r="D347" t="s">
        <v>1823</v>
      </c>
      <c r="E347" t="s">
        <v>1660</v>
      </c>
      <c r="F347" t="s">
        <v>1824</v>
      </c>
    </row>
    <row r="348" spans="2:6">
      <c r="C348" s="8">
        <v>370</v>
      </c>
      <c r="D348" t="s">
        <v>1823</v>
      </c>
      <c r="E348" t="s">
        <v>1660</v>
      </c>
      <c r="F348" t="s">
        <v>1604</v>
      </c>
    </row>
    <row r="349" spans="2:6">
      <c r="C349" s="8">
        <v>375</v>
      </c>
      <c r="D349" t="s">
        <v>1823</v>
      </c>
      <c r="E349" t="s">
        <v>1660</v>
      </c>
      <c r="F349" t="s">
        <v>1716</v>
      </c>
    </row>
    <row r="350" spans="2:6">
      <c r="C350" s="8">
        <v>2693.6</v>
      </c>
      <c r="D350" t="s">
        <v>1823</v>
      </c>
      <c r="E350" t="s">
        <v>1660</v>
      </c>
      <c r="F350" t="s">
        <v>1825</v>
      </c>
    </row>
    <row r="351" spans="2:6">
      <c r="C351" s="8">
        <f>SUM(C345:C350)</f>
        <v>8000</v>
      </c>
    </row>
    <row r="354" spans="2:6">
      <c r="B354" s="27">
        <v>45756</v>
      </c>
      <c r="C354" s="589">
        <v>740</v>
      </c>
      <c r="D354" t="s">
        <v>1826</v>
      </c>
      <c r="E354" t="s">
        <v>1827</v>
      </c>
      <c r="F354" t="s">
        <v>1586</v>
      </c>
    </row>
    <row r="355" spans="2:6">
      <c r="C355" s="589">
        <v>6113.85</v>
      </c>
      <c r="D355" t="s">
        <v>1828</v>
      </c>
      <c r="E355" t="s">
        <v>1659</v>
      </c>
      <c r="F355" t="s">
        <v>1563</v>
      </c>
    </row>
    <row r="356" spans="2:6">
      <c r="C356" s="589">
        <v>4926.3999999999996</v>
      </c>
      <c r="D356" t="s">
        <v>1829</v>
      </c>
      <c r="E356" t="s">
        <v>1830</v>
      </c>
      <c r="F356" t="s">
        <v>1563</v>
      </c>
    </row>
    <row r="357" spans="2:6">
      <c r="C357" s="589"/>
    </row>
    <row r="358" spans="2:6">
      <c r="B358" s="27">
        <v>45757</v>
      </c>
      <c r="C358" s="589">
        <v>6289.5</v>
      </c>
      <c r="D358" t="s">
        <v>1831</v>
      </c>
      <c r="E358" t="s">
        <v>1752</v>
      </c>
      <c r="F358" t="s">
        <v>1832</v>
      </c>
    </row>
    <row r="359" spans="2:6">
      <c r="C359" s="589"/>
    </row>
    <row r="360" spans="2:6">
      <c r="B360" s="27">
        <v>45757</v>
      </c>
      <c r="C360" s="589">
        <v>6094</v>
      </c>
      <c r="D360" t="s">
        <v>1833</v>
      </c>
      <c r="E360" t="s">
        <v>1705</v>
      </c>
      <c r="F360" t="s">
        <v>1834</v>
      </c>
    </row>
    <row r="361" spans="2:6">
      <c r="C361" s="589"/>
    </row>
    <row r="362" spans="2:6">
      <c r="B362" s="27">
        <v>45757</v>
      </c>
      <c r="C362" s="589">
        <v>5141.3999999999996</v>
      </c>
      <c r="D362" t="s">
        <v>1721</v>
      </c>
      <c r="E362" t="s">
        <v>1579</v>
      </c>
      <c r="F362" t="s">
        <v>1835</v>
      </c>
    </row>
    <row r="363" spans="2:6">
      <c r="C363" s="589">
        <v>5884.73</v>
      </c>
      <c r="D363" t="s">
        <v>1722</v>
      </c>
      <c r="E363" t="s">
        <v>1836</v>
      </c>
      <c r="F363" t="s">
        <v>1835</v>
      </c>
    </row>
    <row r="364" spans="2:6">
      <c r="C364" s="589">
        <v>370</v>
      </c>
      <c r="D364" t="s">
        <v>1722</v>
      </c>
      <c r="E364" t="s">
        <v>1836</v>
      </c>
      <c r="F364" t="s">
        <v>1816</v>
      </c>
    </row>
    <row r="365" spans="2:6">
      <c r="C365" s="589"/>
    </row>
    <row r="366" spans="2:6">
      <c r="B366" s="27">
        <v>45758</v>
      </c>
      <c r="C366" s="589">
        <v>5545</v>
      </c>
      <c r="D366" t="s">
        <v>1666</v>
      </c>
      <c r="E366" t="s">
        <v>1651</v>
      </c>
      <c r="F366" t="s">
        <v>1775</v>
      </c>
    </row>
    <row r="367" spans="2:6">
      <c r="C367" s="589">
        <v>370</v>
      </c>
      <c r="D367" t="s">
        <v>1666</v>
      </c>
      <c r="E367" t="s">
        <v>1651</v>
      </c>
      <c r="F367" t="s">
        <v>1837</v>
      </c>
    </row>
    <row r="368" spans="2:6">
      <c r="C368" s="589">
        <v>85</v>
      </c>
      <c r="D368" t="s">
        <v>1666</v>
      </c>
      <c r="E368" t="s">
        <v>1651</v>
      </c>
      <c r="F368" t="s">
        <v>1838</v>
      </c>
    </row>
    <row r="369" spans="2:6">
      <c r="C369" s="589"/>
    </row>
    <row r="370" spans="2:6">
      <c r="B370" s="27">
        <v>45758</v>
      </c>
      <c r="C370" s="589">
        <v>5076.1499999999996</v>
      </c>
      <c r="D370" t="s">
        <v>1704</v>
      </c>
      <c r="E370" t="s">
        <v>1602</v>
      </c>
      <c r="F370" t="s">
        <v>1563</v>
      </c>
    </row>
    <row r="371" spans="2:6">
      <c r="C371" s="589">
        <v>5749.61</v>
      </c>
      <c r="D371" t="s">
        <v>1706</v>
      </c>
      <c r="E371" t="s">
        <v>1591</v>
      </c>
      <c r="F371" t="s">
        <v>1563</v>
      </c>
    </row>
    <row r="372" spans="2:6">
      <c r="C372" s="589">
        <v>740</v>
      </c>
      <c r="D372" t="s">
        <v>1839</v>
      </c>
      <c r="F372" t="s">
        <v>1604</v>
      </c>
    </row>
    <row r="373" spans="2:6">
      <c r="C373" s="589"/>
    </row>
    <row r="374" spans="2:6">
      <c r="B374" s="27">
        <v>45758</v>
      </c>
      <c r="C374" s="589">
        <v>370</v>
      </c>
      <c r="D374" t="s">
        <v>1672</v>
      </c>
      <c r="E374" t="s">
        <v>1830</v>
      </c>
      <c r="F374" t="s">
        <v>1604</v>
      </c>
    </row>
    <row r="375" spans="2:6">
      <c r="C375" s="589"/>
    </row>
    <row r="376" spans="2:6">
      <c r="B376" s="27">
        <v>45761</v>
      </c>
      <c r="C376" s="589">
        <v>7842.6</v>
      </c>
      <c r="D376" t="s">
        <v>1785</v>
      </c>
      <c r="E376" t="s">
        <v>1840</v>
      </c>
      <c r="F376" t="s">
        <v>1563</v>
      </c>
    </row>
    <row r="377" spans="2:6">
      <c r="C377" s="589"/>
    </row>
    <row r="378" spans="2:6">
      <c r="B378" s="27">
        <v>45761</v>
      </c>
      <c r="C378" s="589">
        <v>4000</v>
      </c>
      <c r="D378" t="s">
        <v>1673</v>
      </c>
      <c r="F378" t="s">
        <v>1716</v>
      </c>
    </row>
    <row r="379" spans="2:6">
      <c r="C379" s="589"/>
    </row>
    <row r="380" spans="2:6">
      <c r="B380" s="27">
        <v>45768</v>
      </c>
      <c r="C380" s="589">
        <v>5574.45</v>
      </c>
      <c r="D380" t="s">
        <v>1841</v>
      </c>
      <c r="E380" t="s">
        <v>1725</v>
      </c>
      <c r="F380" t="s">
        <v>1709</v>
      </c>
    </row>
    <row r="381" spans="2:6">
      <c r="C381" s="589">
        <v>370</v>
      </c>
      <c r="D381" t="s">
        <v>1841</v>
      </c>
      <c r="E381" t="s">
        <v>1725</v>
      </c>
      <c r="F381" t="s">
        <v>1657</v>
      </c>
    </row>
    <row r="382" spans="2:6">
      <c r="C382" s="589">
        <v>185.55</v>
      </c>
      <c r="D382" t="s">
        <v>1841</v>
      </c>
      <c r="E382" t="s">
        <v>1725</v>
      </c>
      <c r="F382" t="s">
        <v>1707</v>
      </c>
    </row>
    <row r="383" spans="2:6">
      <c r="C383" s="589"/>
    </row>
    <row r="384" spans="2:6">
      <c r="B384" s="27">
        <v>45768</v>
      </c>
      <c r="C384" s="589">
        <v>1900</v>
      </c>
      <c r="D384" t="s">
        <v>1636</v>
      </c>
      <c r="E384" t="s">
        <v>1562</v>
      </c>
      <c r="F384" t="s">
        <v>1765</v>
      </c>
    </row>
    <row r="385" spans="2:6">
      <c r="C385" s="589"/>
    </row>
    <row r="386" spans="2:6">
      <c r="B386" s="27">
        <v>45768</v>
      </c>
      <c r="C386" s="589">
        <v>5676</v>
      </c>
      <c r="D386" t="s">
        <v>1842</v>
      </c>
      <c r="E386" t="s">
        <v>1843</v>
      </c>
      <c r="F386" t="s">
        <v>1731</v>
      </c>
    </row>
    <row r="387" spans="2:6">
      <c r="C387" s="589"/>
    </row>
    <row r="388" spans="2:6">
      <c r="B388" s="27">
        <v>45768</v>
      </c>
      <c r="C388" s="589">
        <v>740</v>
      </c>
      <c r="D388" t="s">
        <v>1844</v>
      </c>
      <c r="E388" t="s">
        <v>1568</v>
      </c>
      <c r="F388" t="s">
        <v>1845</v>
      </c>
    </row>
    <row r="389" spans="2:6">
      <c r="C389" s="589"/>
    </row>
    <row r="390" spans="2:6">
      <c r="B390" s="27">
        <v>45768</v>
      </c>
      <c r="C390" s="589">
        <v>7980</v>
      </c>
      <c r="D390" t="s">
        <v>1846</v>
      </c>
      <c r="E390" t="s">
        <v>1699</v>
      </c>
      <c r="F390" t="s">
        <v>1775</v>
      </c>
    </row>
    <row r="391" spans="2:6">
      <c r="C391" s="589"/>
    </row>
    <row r="392" spans="2:6">
      <c r="C392" s="589"/>
    </row>
    <row r="393" spans="2:6">
      <c r="B393" s="27">
        <v>45769</v>
      </c>
      <c r="C393" s="589">
        <v>370</v>
      </c>
      <c r="D393" t="s">
        <v>1847</v>
      </c>
      <c r="E393" t="s">
        <v>1654</v>
      </c>
      <c r="F393" t="s">
        <v>1837</v>
      </c>
    </row>
    <row r="394" spans="2:6">
      <c r="C394" s="589">
        <v>5419</v>
      </c>
      <c r="D394" t="s">
        <v>1847</v>
      </c>
      <c r="E394" t="s">
        <v>1654</v>
      </c>
      <c r="F394" t="s">
        <v>1848</v>
      </c>
    </row>
    <row r="395" spans="2:6">
      <c r="C395" s="589"/>
    </row>
    <row r="396" spans="2:6">
      <c r="B396" s="27">
        <v>45769</v>
      </c>
      <c r="C396" s="589">
        <v>740</v>
      </c>
      <c r="D396" t="s">
        <v>1849</v>
      </c>
      <c r="E396" t="s">
        <v>1630</v>
      </c>
      <c r="F396" t="s">
        <v>1850</v>
      </c>
    </row>
    <row r="397" spans="2:6">
      <c r="C397" s="589"/>
    </row>
    <row r="398" spans="2:6">
      <c r="B398" s="27">
        <v>45770</v>
      </c>
      <c r="C398" s="589">
        <v>2961</v>
      </c>
      <c r="D398" t="s">
        <v>1570</v>
      </c>
      <c r="E398" t="s">
        <v>1612</v>
      </c>
      <c r="F398" t="s">
        <v>1775</v>
      </c>
    </row>
    <row r="399" spans="2:6">
      <c r="C399" s="589"/>
    </row>
    <row r="400" spans="2:6">
      <c r="B400" s="27">
        <v>45770</v>
      </c>
      <c r="C400" s="589">
        <v>3440</v>
      </c>
      <c r="D400" t="s">
        <v>1851</v>
      </c>
      <c r="E400" t="s">
        <v>1641</v>
      </c>
      <c r="F400" t="s">
        <v>1848</v>
      </c>
    </row>
    <row r="401" spans="2:6">
      <c r="C401" s="589"/>
    </row>
    <row r="402" spans="2:6">
      <c r="B402" s="27">
        <v>45770</v>
      </c>
      <c r="C402" s="589">
        <v>5470</v>
      </c>
      <c r="D402" t="s">
        <v>1852</v>
      </c>
      <c r="E402" t="s">
        <v>1610</v>
      </c>
      <c r="F402" t="s">
        <v>1563</v>
      </c>
    </row>
    <row r="403" spans="2:6">
      <c r="C403" s="589"/>
    </row>
    <row r="404" spans="2:6">
      <c r="B404" s="27">
        <v>45770</v>
      </c>
      <c r="C404" s="589">
        <v>5599.75</v>
      </c>
      <c r="D404" t="s">
        <v>1701</v>
      </c>
      <c r="E404" t="s">
        <v>1702</v>
      </c>
      <c r="F404" t="s">
        <v>1695</v>
      </c>
    </row>
    <row r="405" spans="2:6">
      <c r="C405" s="589">
        <v>6207.5</v>
      </c>
      <c r="D405" t="s">
        <v>1703</v>
      </c>
      <c r="E405" t="s">
        <v>1660</v>
      </c>
      <c r="F405" t="s">
        <v>1695</v>
      </c>
    </row>
    <row r="406" spans="2:6">
      <c r="C406" s="589"/>
    </row>
    <row r="407" spans="2:6">
      <c r="B407" s="27">
        <v>45771</v>
      </c>
      <c r="C407" s="589">
        <v>370</v>
      </c>
      <c r="D407" t="s">
        <v>1676</v>
      </c>
      <c r="E407" t="s">
        <v>1568</v>
      </c>
      <c r="F407" t="s">
        <v>1853</v>
      </c>
    </row>
    <row r="408" spans="2:6">
      <c r="C408" s="589"/>
    </row>
    <row r="409" spans="2:6">
      <c r="C409" s="589"/>
    </row>
    <row r="410" spans="2:6">
      <c r="B410" s="27">
        <v>45771</v>
      </c>
      <c r="C410" s="589">
        <f>5000+1464</f>
        <v>6464</v>
      </c>
      <c r="D410" t="s">
        <v>1854</v>
      </c>
      <c r="E410" t="s">
        <v>1612</v>
      </c>
      <c r="F410" t="s">
        <v>1855</v>
      </c>
    </row>
    <row r="411" spans="2:6">
      <c r="C411" s="589"/>
    </row>
    <row r="412" spans="2:6">
      <c r="B412" s="27">
        <v>45771</v>
      </c>
      <c r="C412" s="589">
        <v>5889</v>
      </c>
      <c r="D412" t="s">
        <v>1856</v>
      </c>
      <c r="E412" t="s">
        <v>1651</v>
      </c>
      <c r="F412" t="s">
        <v>1731</v>
      </c>
    </row>
    <row r="413" spans="2:6">
      <c r="B413" s="27"/>
      <c r="C413" s="589"/>
    </row>
    <row r="414" spans="2:6">
      <c r="B414" s="27">
        <v>45771</v>
      </c>
      <c r="C414" s="589">
        <v>3526</v>
      </c>
      <c r="D414" t="s">
        <v>1857</v>
      </c>
      <c r="E414" t="s">
        <v>1639</v>
      </c>
      <c r="F414" t="s">
        <v>1775</v>
      </c>
    </row>
    <row r="415" spans="2:6">
      <c r="C415" s="589"/>
    </row>
    <row r="416" spans="2:6">
      <c r="B416" s="27">
        <v>45772</v>
      </c>
      <c r="C416" s="589">
        <v>1475</v>
      </c>
      <c r="D416" t="s">
        <v>1691</v>
      </c>
      <c r="E416" t="s">
        <v>1763</v>
      </c>
      <c r="F416" t="s">
        <v>1858</v>
      </c>
    </row>
    <row r="417" spans="2:6">
      <c r="C417" s="589"/>
    </row>
    <row r="418" spans="2:6">
      <c r="B418" s="27">
        <v>45773</v>
      </c>
      <c r="C418" s="589">
        <v>5679</v>
      </c>
      <c r="D418" t="s">
        <v>1859</v>
      </c>
      <c r="E418" t="s">
        <v>1679</v>
      </c>
      <c r="F418" t="s">
        <v>1860</v>
      </c>
    </row>
    <row r="419" spans="2:6">
      <c r="B419" s="27"/>
      <c r="C419" s="589"/>
    </row>
    <row r="420" spans="2:6">
      <c r="B420" s="27">
        <v>45773</v>
      </c>
      <c r="C420" s="589">
        <v>6600</v>
      </c>
      <c r="D420" t="s">
        <v>1629</v>
      </c>
      <c r="E420" t="s">
        <v>1630</v>
      </c>
    </row>
    <row r="421" spans="2:6">
      <c r="B421" s="27"/>
      <c r="C421" s="589"/>
    </row>
    <row r="422" spans="2:6">
      <c r="C422" s="589"/>
    </row>
    <row r="423" spans="2:6">
      <c r="B423" s="27">
        <v>45775</v>
      </c>
      <c r="C423" s="589">
        <v>3091.75</v>
      </c>
      <c r="D423" t="s">
        <v>1861</v>
      </c>
      <c r="E423" t="s">
        <v>1862</v>
      </c>
      <c r="F423" t="s">
        <v>1863</v>
      </c>
    </row>
    <row r="424" spans="2:6">
      <c r="C424" s="589"/>
    </row>
    <row r="425" spans="2:6">
      <c r="B425" s="27">
        <v>45775</v>
      </c>
      <c r="C425" s="589">
        <v>3559.63</v>
      </c>
      <c r="D425" t="s">
        <v>1592</v>
      </c>
      <c r="E425" t="s">
        <v>46</v>
      </c>
      <c r="F425" t="s">
        <v>1864</v>
      </c>
    </row>
    <row r="426" spans="2:6">
      <c r="C426" s="589"/>
    </row>
    <row r="427" spans="2:6">
      <c r="B427" s="27">
        <v>45775</v>
      </c>
      <c r="C427" s="589">
        <v>3665</v>
      </c>
      <c r="D427" t="s">
        <v>1865</v>
      </c>
      <c r="E427" t="s">
        <v>1612</v>
      </c>
      <c r="F427" t="s">
        <v>1866</v>
      </c>
    </row>
    <row r="428" spans="2:6">
      <c r="C428" s="589"/>
    </row>
    <row r="429" spans="2:6">
      <c r="B429" s="27">
        <v>45775</v>
      </c>
      <c r="C429" s="589">
        <v>1532.25</v>
      </c>
      <c r="D429" t="s">
        <v>1867</v>
      </c>
      <c r="E429" t="s">
        <v>1868</v>
      </c>
      <c r="F429" t="s">
        <v>1869</v>
      </c>
    </row>
    <row r="430" spans="2:6">
      <c r="C430" s="589"/>
    </row>
    <row r="431" spans="2:6">
      <c r="B431" s="27">
        <v>45775</v>
      </c>
      <c r="C431" s="589">
        <v>2105</v>
      </c>
      <c r="D431" t="s">
        <v>1580</v>
      </c>
      <c r="E431" t="s">
        <v>1616</v>
      </c>
      <c r="F431" t="s">
        <v>1870</v>
      </c>
    </row>
    <row r="432" spans="2:6">
      <c r="C432" s="589"/>
    </row>
    <row r="433" spans="2:6">
      <c r="B433" s="27">
        <v>45775</v>
      </c>
      <c r="C433" s="589">
        <v>740</v>
      </c>
      <c r="D433" t="s">
        <v>1590</v>
      </c>
      <c r="E433" t="s">
        <v>1591</v>
      </c>
      <c r="F433" t="s">
        <v>1871</v>
      </c>
    </row>
    <row r="434" spans="2:6">
      <c r="C434" s="589"/>
    </row>
    <row r="435" spans="2:6">
      <c r="B435" s="27">
        <v>45775</v>
      </c>
      <c r="C435" s="589">
        <v>5668</v>
      </c>
      <c r="D435" t="s">
        <v>1872</v>
      </c>
      <c r="E435" t="s">
        <v>46</v>
      </c>
      <c r="F435" t="s">
        <v>1873</v>
      </c>
    </row>
    <row r="436" spans="2:6">
      <c r="C436" s="589"/>
    </row>
    <row r="437" spans="2:6">
      <c r="B437" s="27">
        <v>45775</v>
      </c>
      <c r="C437" s="589">
        <v>5445</v>
      </c>
      <c r="D437" t="s">
        <v>1580</v>
      </c>
      <c r="E437" t="s">
        <v>1581</v>
      </c>
      <c r="F437" t="s">
        <v>1874</v>
      </c>
    </row>
    <row r="438" spans="2:6">
      <c r="C438" s="589"/>
    </row>
    <row r="439" spans="2:6">
      <c r="B439" s="27">
        <v>45775</v>
      </c>
      <c r="C439" s="589">
        <v>3305.4</v>
      </c>
      <c r="D439" t="s">
        <v>1875</v>
      </c>
      <c r="E439" t="s">
        <v>46</v>
      </c>
      <c r="F439" t="s">
        <v>1633</v>
      </c>
    </row>
    <row r="440" spans="2:6">
      <c r="C440" s="589">
        <v>3305.4</v>
      </c>
      <c r="D440" t="s">
        <v>1875</v>
      </c>
      <c r="E440" t="s">
        <v>46</v>
      </c>
      <c r="F440" t="s">
        <v>1563</v>
      </c>
    </row>
    <row r="441" spans="2:6">
      <c r="C441" s="589">
        <v>213.2</v>
      </c>
      <c r="D441" t="s">
        <v>1875</v>
      </c>
      <c r="E441" t="s">
        <v>46</v>
      </c>
      <c r="F441" t="s">
        <v>1876</v>
      </c>
    </row>
    <row r="442" spans="2:6">
      <c r="C442" s="589"/>
    </row>
    <row r="443" spans="2:6">
      <c r="B443" s="27">
        <v>45775</v>
      </c>
      <c r="C443" s="589">
        <v>156</v>
      </c>
      <c r="D443" t="s">
        <v>1875</v>
      </c>
      <c r="E443" t="s">
        <v>46</v>
      </c>
      <c r="F443" t="s">
        <v>1877</v>
      </c>
    </row>
    <row r="444" spans="2:6">
      <c r="B444" s="27"/>
      <c r="C444" s="589"/>
    </row>
    <row r="445" spans="2:6">
      <c r="B445" s="27">
        <v>45775</v>
      </c>
      <c r="C445" s="589">
        <v>3290</v>
      </c>
      <c r="D445" t="s">
        <v>1601</v>
      </c>
      <c r="E445" t="s">
        <v>1679</v>
      </c>
      <c r="F445" t="s">
        <v>1878</v>
      </c>
    </row>
    <row r="446" spans="2:6">
      <c r="B446" s="27">
        <v>45775</v>
      </c>
      <c r="C446" s="589">
        <v>2100</v>
      </c>
      <c r="D446" t="s">
        <v>1601</v>
      </c>
      <c r="E446" t="s">
        <v>1679</v>
      </c>
      <c r="F446" t="s">
        <v>1879</v>
      </c>
    </row>
    <row r="447" spans="2:6">
      <c r="B447" s="27"/>
      <c r="C447" s="589"/>
    </row>
    <row r="448" spans="2:6">
      <c r="C448" s="589"/>
    </row>
    <row r="449" spans="2:6">
      <c r="B449" s="27">
        <v>45776</v>
      </c>
      <c r="C449" s="589">
        <v>4895.2</v>
      </c>
      <c r="D449" t="s">
        <v>1880</v>
      </c>
      <c r="E449" t="s">
        <v>1598</v>
      </c>
      <c r="F449" t="s">
        <v>1682</v>
      </c>
    </row>
    <row r="450" spans="2:6">
      <c r="C450" s="589">
        <v>5216.3999999999996</v>
      </c>
      <c r="D450" t="s">
        <v>1881</v>
      </c>
      <c r="E450" t="s">
        <v>1651</v>
      </c>
      <c r="F450" t="s">
        <v>1682</v>
      </c>
    </row>
    <row r="451" spans="2:6">
      <c r="C451" s="589">
        <v>740</v>
      </c>
      <c r="F451" t="s">
        <v>1882</v>
      </c>
    </row>
    <row r="452" spans="2:6">
      <c r="C452" s="589"/>
    </row>
    <row r="453" spans="2:6">
      <c r="B453" s="27">
        <v>45776</v>
      </c>
      <c r="C453" s="589">
        <v>3148</v>
      </c>
      <c r="D453" t="s">
        <v>1875</v>
      </c>
      <c r="E453" t="s">
        <v>46</v>
      </c>
      <c r="F453" t="s">
        <v>1883</v>
      </c>
    </row>
    <row r="454" spans="2:6">
      <c r="C454" s="589"/>
    </row>
    <row r="455" spans="2:6">
      <c r="B455" s="27">
        <v>45776</v>
      </c>
      <c r="C455" s="589">
        <v>3257.1</v>
      </c>
      <c r="D455" t="s">
        <v>1884</v>
      </c>
      <c r="E455" t="s">
        <v>1705</v>
      </c>
      <c r="F455" t="s">
        <v>1874</v>
      </c>
    </row>
    <row r="456" spans="2:6">
      <c r="B456" s="27">
        <v>45776</v>
      </c>
      <c r="C456" s="589">
        <v>740</v>
      </c>
      <c r="D456" t="s">
        <v>1884</v>
      </c>
      <c r="E456" t="s">
        <v>1705</v>
      </c>
      <c r="F456" t="s">
        <v>1885</v>
      </c>
    </row>
    <row r="457" spans="2:6">
      <c r="B457" s="27"/>
      <c r="C457" s="589"/>
    </row>
    <row r="458" spans="2:6">
      <c r="C458" s="589"/>
    </row>
    <row r="459" spans="2:6">
      <c r="B459" s="27">
        <v>45776</v>
      </c>
      <c r="C459" s="589">
        <v>370</v>
      </c>
      <c r="D459" t="s">
        <v>1601</v>
      </c>
      <c r="E459" t="s">
        <v>1679</v>
      </c>
      <c r="F459" t="s">
        <v>1882</v>
      </c>
    </row>
    <row r="460" spans="2:6">
      <c r="C460" s="589"/>
    </row>
    <row r="461" spans="2:6">
      <c r="B461" s="27">
        <v>45776</v>
      </c>
      <c r="C461">
        <v>4926</v>
      </c>
      <c r="D461" t="s">
        <v>1886</v>
      </c>
      <c r="E461" t="s">
        <v>1641</v>
      </c>
      <c r="F461" t="s">
        <v>1874</v>
      </c>
    </row>
    <row r="462" spans="2:6">
      <c r="C462" s="589">
        <v>6114.25</v>
      </c>
      <c r="D462" t="s">
        <v>1887</v>
      </c>
      <c r="E462" t="s">
        <v>1660</v>
      </c>
      <c r="F462" t="s">
        <v>1888</v>
      </c>
    </row>
    <row r="463" spans="2:6">
      <c r="C463" s="589"/>
    </row>
    <row r="464" spans="2:6">
      <c r="B464" s="27">
        <v>45776</v>
      </c>
      <c r="C464" s="589">
        <v>5369.5</v>
      </c>
      <c r="D464" t="s">
        <v>1889</v>
      </c>
      <c r="E464" t="s">
        <v>1574</v>
      </c>
      <c r="F464" t="s">
        <v>1890</v>
      </c>
    </row>
    <row r="465" spans="2:6">
      <c r="C465" s="589">
        <v>740</v>
      </c>
      <c r="D465" t="s">
        <v>1889</v>
      </c>
      <c r="E465" t="s">
        <v>1574</v>
      </c>
      <c r="F465" t="s">
        <v>1891</v>
      </c>
    </row>
    <row r="466" spans="2:6">
      <c r="C466" s="589"/>
    </row>
    <row r="467" spans="2:6">
      <c r="B467" s="27">
        <v>45776</v>
      </c>
      <c r="C467" s="589">
        <f>6499.5*2</f>
        <v>12999</v>
      </c>
      <c r="D467" t="s">
        <v>1892</v>
      </c>
      <c r="E467" t="s">
        <v>1574</v>
      </c>
      <c r="F467" t="s">
        <v>1893</v>
      </c>
    </row>
    <row r="468" spans="2:6">
      <c r="C468" s="589">
        <v>740</v>
      </c>
      <c r="D468" t="s">
        <v>1892</v>
      </c>
      <c r="E468" t="s">
        <v>1574</v>
      </c>
      <c r="F468" t="s">
        <v>1894</v>
      </c>
    </row>
    <row r="469" spans="2:6">
      <c r="C469" s="589"/>
    </row>
    <row r="470" spans="2:6">
      <c r="B470" s="27">
        <v>45776</v>
      </c>
      <c r="C470" s="589">
        <v>5724</v>
      </c>
      <c r="D470" t="s">
        <v>1895</v>
      </c>
      <c r="E470" t="s">
        <v>1612</v>
      </c>
      <c r="F470" t="s">
        <v>1775</v>
      </c>
    </row>
    <row r="471" spans="2:6">
      <c r="C471" s="589"/>
    </row>
    <row r="473" spans="2:6">
      <c r="B473" s="27">
        <v>45777</v>
      </c>
      <c r="C473" s="589">
        <v>3627.1</v>
      </c>
      <c r="D473" t="s">
        <v>1896</v>
      </c>
      <c r="E473" t="s">
        <v>1602</v>
      </c>
      <c r="F473" t="s">
        <v>1897</v>
      </c>
    </row>
    <row r="475" spans="2:6">
      <c r="B475" s="27">
        <v>45777</v>
      </c>
      <c r="C475" s="589">
        <v>6340</v>
      </c>
      <c r="D475" t="s">
        <v>1745</v>
      </c>
      <c r="E475" t="s">
        <v>1702</v>
      </c>
      <c r="F475" t="s">
        <v>1874</v>
      </c>
    </row>
    <row r="477" spans="2:6">
      <c r="B477" s="27">
        <v>45777</v>
      </c>
      <c r="C477">
        <v>7055</v>
      </c>
      <c r="D477" t="s">
        <v>1786</v>
      </c>
      <c r="E477" t="s">
        <v>1581</v>
      </c>
      <c r="F477" t="s">
        <v>1874</v>
      </c>
    </row>
    <row r="479" spans="2:6">
      <c r="B479" s="27">
        <v>45777</v>
      </c>
      <c r="C479">
        <v>5201</v>
      </c>
      <c r="D479" t="s">
        <v>1898</v>
      </c>
      <c r="E479" t="s">
        <v>1797</v>
      </c>
      <c r="F479" t="s">
        <v>1899</v>
      </c>
    </row>
    <row r="480" spans="2:6">
      <c r="B480" s="27"/>
    </row>
    <row r="481" spans="2:6">
      <c r="B481" s="27">
        <v>45777</v>
      </c>
      <c r="C481">
        <v>4628.25</v>
      </c>
      <c r="D481" t="s">
        <v>1619</v>
      </c>
      <c r="E481" t="s">
        <v>1618</v>
      </c>
      <c r="F481" t="s">
        <v>1874</v>
      </c>
    </row>
    <row r="482" spans="2:6">
      <c r="B482" s="27">
        <v>45777</v>
      </c>
      <c r="C482">
        <v>2000</v>
      </c>
      <c r="D482" t="s">
        <v>1619</v>
      </c>
      <c r="E482" t="s">
        <v>1618</v>
      </c>
      <c r="F482" t="s">
        <v>1870</v>
      </c>
    </row>
    <row r="483" spans="2:6">
      <c r="B483" s="27"/>
    </row>
    <row r="484" spans="2:6">
      <c r="B484" s="27">
        <v>45777</v>
      </c>
      <c r="C484">
        <v>3735.33</v>
      </c>
      <c r="D484" t="s">
        <v>1573</v>
      </c>
      <c r="E484" t="s">
        <v>1574</v>
      </c>
      <c r="F484" t="s">
        <v>1900</v>
      </c>
    </row>
    <row r="485" spans="2:6">
      <c r="B485" s="27"/>
      <c r="C485">
        <v>3735.33</v>
      </c>
      <c r="D485" t="s">
        <v>1573</v>
      </c>
      <c r="E485" t="s">
        <v>1574</v>
      </c>
      <c r="F485" t="s">
        <v>1901</v>
      </c>
    </row>
    <row r="486" spans="2:6">
      <c r="B486" s="27"/>
    </row>
    <row r="487" spans="2:6">
      <c r="B487" s="27">
        <v>45777</v>
      </c>
      <c r="C487" s="8">
        <v>2796</v>
      </c>
      <c r="D487" t="s">
        <v>1611</v>
      </c>
      <c r="E487" t="s">
        <v>1644</v>
      </c>
      <c r="F487" t="s">
        <v>1775</v>
      </c>
    </row>
    <row r="488" spans="2:6">
      <c r="B488" s="27"/>
      <c r="C488" s="8">
        <v>2703</v>
      </c>
      <c r="D488" t="s">
        <v>1613</v>
      </c>
      <c r="E488" t="s">
        <v>46</v>
      </c>
      <c r="F488" t="s">
        <v>1775</v>
      </c>
    </row>
    <row r="489" spans="2:6">
      <c r="B489" s="27"/>
    </row>
    <row r="490" spans="2:6">
      <c r="B490" s="27">
        <v>45777</v>
      </c>
      <c r="C490">
        <v>153.15</v>
      </c>
      <c r="D490" t="s">
        <v>1902</v>
      </c>
      <c r="F490" t="s">
        <v>1903</v>
      </c>
    </row>
    <row r="491" spans="2:6">
      <c r="B491" s="27">
        <v>45777</v>
      </c>
      <c r="C491">
        <v>370</v>
      </c>
      <c r="D491" t="s">
        <v>1902</v>
      </c>
      <c r="F491" t="s">
        <v>1604</v>
      </c>
    </row>
    <row r="492" spans="2:6">
      <c r="B492" s="27"/>
      <c r="C492">
        <v>6244.75</v>
      </c>
      <c r="D492" t="s">
        <v>1902</v>
      </c>
      <c r="F492" t="s">
        <v>1749</v>
      </c>
    </row>
    <row r="493" spans="2:6">
      <c r="B493" s="27"/>
    </row>
    <row r="495" spans="2:6">
      <c r="B495" s="27">
        <v>45778</v>
      </c>
      <c r="C495">
        <v>3405.6</v>
      </c>
      <c r="D495" t="s">
        <v>1904</v>
      </c>
      <c r="E495" t="s">
        <v>1579</v>
      </c>
      <c r="F495" t="s">
        <v>1682</v>
      </c>
    </row>
    <row r="496" spans="2:6">
      <c r="B496" s="27"/>
    </row>
    <row r="497" spans="2:6">
      <c r="B497" s="27">
        <v>45778</v>
      </c>
      <c r="C497">
        <v>6763.5</v>
      </c>
      <c r="D497" t="s">
        <v>1723</v>
      </c>
      <c r="E497" t="s">
        <v>1616</v>
      </c>
      <c r="F497" t="s">
        <v>1848</v>
      </c>
    </row>
    <row r="498" spans="2:6">
      <c r="B498" s="27"/>
    </row>
    <row r="499" spans="2:6">
      <c r="B499" s="27">
        <v>45778</v>
      </c>
      <c r="C499">
        <v>5700</v>
      </c>
      <c r="D499" t="s">
        <v>1905</v>
      </c>
      <c r="E499" t="s">
        <v>1752</v>
      </c>
      <c r="F499" t="s">
        <v>1848</v>
      </c>
    </row>
    <row r="500" spans="2:6">
      <c r="B500" s="27"/>
      <c r="C500">
        <v>740</v>
      </c>
      <c r="D500" t="s">
        <v>1905</v>
      </c>
      <c r="E500" t="s">
        <v>1752</v>
      </c>
      <c r="F500" t="s">
        <v>1871</v>
      </c>
    </row>
    <row r="501" spans="2:6">
      <c r="B501" s="27"/>
    </row>
    <row r="502" spans="2:6">
      <c r="B502" s="27">
        <v>45778</v>
      </c>
      <c r="C502">
        <v>4628.25</v>
      </c>
      <c r="D502" t="s">
        <v>1741</v>
      </c>
      <c r="E502" t="s">
        <v>1581</v>
      </c>
      <c r="F502" t="s">
        <v>1775</v>
      </c>
    </row>
    <row r="503" spans="2:6">
      <c r="B503" s="27"/>
    </row>
    <row r="504" spans="2:6">
      <c r="B504" s="27">
        <v>45778</v>
      </c>
      <c r="C504">
        <v>5132.2</v>
      </c>
      <c r="D504" t="s">
        <v>1906</v>
      </c>
      <c r="E504" t="s">
        <v>1907</v>
      </c>
      <c r="F504" t="s">
        <v>1775</v>
      </c>
    </row>
    <row r="506" spans="2:6">
      <c r="B506" s="27">
        <v>45779</v>
      </c>
      <c r="C506">
        <v>4566</v>
      </c>
      <c r="D506" t="s">
        <v>1736</v>
      </c>
      <c r="E506" t="s">
        <v>1639</v>
      </c>
      <c r="F506" t="s">
        <v>1874</v>
      </c>
    </row>
    <row r="507" spans="2:6">
      <c r="B507" s="27">
        <v>45779</v>
      </c>
      <c r="C507">
        <v>370</v>
      </c>
      <c r="D507" t="s">
        <v>1736</v>
      </c>
      <c r="E507" t="s">
        <v>1639</v>
      </c>
      <c r="F507" t="s">
        <v>1586</v>
      </c>
    </row>
    <row r="509" spans="2:6">
      <c r="B509" s="27">
        <v>45779</v>
      </c>
      <c r="C509">
        <f>3784+2105</f>
        <v>5889</v>
      </c>
      <c r="D509" t="s">
        <v>1908</v>
      </c>
      <c r="E509" t="s">
        <v>1596</v>
      </c>
      <c r="F509" t="s">
        <v>1909</v>
      </c>
    </row>
    <row r="511" spans="2:6">
      <c r="B511" s="27">
        <v>45779</v>
      </c>
      <c r="C511">
        <v>370</v>
      </c>
      <c r="D511" t="s">
        <v>1910</v>
      </c>
      <c r="E511" t="s">
        <v>1862</v>
      </c>
      <c r="F511" t="s">
        <v>1911</v>
      </c>
    </row>
    <row r="513" spans="2:6">
      <c r="B513" s="27">
        <v>45779</v>
      </c>
      <c r="C513">
        <v>6940</v>
      </c>
      <c r="D513" t="s">
        <v>1617</v>
      </c>
      <c r="E513" t="s">
        <v>1618</v>
      </c>
      <c r="F513" t="s">
        <v>1874</v>
      </c>
    </row>
    <row r="515" spans="2:6">
      <c r="B515" s="27">
        <v>45779</v>
      </c>
      <c r="C515">
        <v>370</v>
      </c>
      <c r="D515" t="s">
        <v>1912</v>
      </c>
      <c r="E515" t="s">
        <v>1662</v>
      </c>
      <c r="F515" t="s">
        <v>1837</v>
      </c>
    </row>
    <row r="517" spans="2:6">
      <c r="B517" s="27">
        <v>45779</v>
      </c>
      <c r="C517">
        <v>176.2</v>
      </c>
      <c r="D517" t="s">
        <v>1913</v>
      </c>
      <c r="F517" t="s">
        <v>1914</v>
      </c>
    </row>
    <row r="518" spans="2:6">
      <c r="C518">
        <v>370</v>
      </c>
      <c r="D518" t="s">
        <v>1913</v>
      </c>
      <c r="F518" t="s">
        <v>1604</v>
      </c>
    </row>
    <row r="519" spans="2:6">
      <c r="C519">
        <v>5067.8</v>
      </c>
      <c r="D519" t="s">
        <v>1913</v>
      </c>
      <c r="F519" t="s">
        <v>1915</v>
      </c>
    </row>
    <row r="521" spans="2:6">
      <c r="B521" s="27">
        <v>45780</v>
      </c>
      <c r="C521">
        <v>5881</v>
      </c>
      <c r="D521" t="s">
        <v>1916</v>
      </c>
      <c r="E521" t="s">
        <v>1830</v>
      </c>
      <c r="F521" t="s">
        <v>1917</v>
      </c>
    </row>
    <row r="525" spans="2:6">
      <c r="B525" s="27">
        <v>45781</v>
      </c>
      <c r="C525">
        <v>4141.8999999999996</v>
      </c>
      <c r="D525" t="s">
        <v>1918</v>
      </c>
      <c r="E525" t="s">
        <v>1639</v>
      </c>
      <c r="F525" t="s">
        <v>1919</v>
      </c>
    </row>
    <row r="527" spans="2:6">
      <c r="B527" s="27">
        <v>45781</v>
      </c>
      <c r="C527">
        <v>5889</v>
      </c>
      <c r="D527" t="s">
        <v>1920</v>
      </c>
      <c r="E527" t="s">
        <v>1565</v>
      </c>
      <c r="F527" t="s">
        <v>1921</v>
      </c>
    </row>
    <row r="529" spans="2:6">
      <c r="B529" s="27">
        <v>45781</v>
      </c>
      <c r="C529">
        <v>5362.1</v>
      </c>
      <c r="D529" t="s">
        <v>1687</v>
      </c>
      <c r="E529" t="s">
        <v>1654</v>
      </c>
      <c r="F529" t="s">
        <v>1848</v>
      </c>
    </row>
    <row r="530" spans="2:6">
      <c r="B530" s="27"/>
      <c r="C530">
        <v>370</v>
      </c>
      <c r="D530" t="s">
        <v>1687</v>
      </c>
      <c r="E530" t="s">
        <v>1654</v>
      </c>
      <c r="F530" t="s">
        <v>1837</v>
      </c>
    </row>
    <row r="532" spans="2:6">
      <c r="B532" s="27">
        <v>45781</v>
      </c>
      <c r="C532">
        <v>6298</v>
      </c>
      <c r="D532" t="s">
        <v>1922</v>
      </c>
      <c r="E532" t="s">
        <v>1923</v>
      </c>
      <c r="F532" t="s">
        <v>1921</v>
      </c>
    </row>
    <row r="533" spans="2:6">
      <c r="B533" s="27"/>
    </row>
    <row r="534" spans="2:6">
      <c r="B534" s="27">
        <v>45782</v>
      </c>
      <c r="C534">
        <v>5076.1499999999996</v>
      </c>
      <c r="D534" t="s">
        <v>1704</v>
      </c>
      <c r="E534" t="s">
        <v>1671</v>
      </c>
      <c r="F534" t="s">
        <v>1924</v>
      </c>
    </row>
    <row r="535" spans="2:6">
      <c r="B535" s="27"/>
      <c r="C535">
        <v>5959.73</v>
      </c>
      <c r="D535" t="s">
        <v>1706</v>
      </c>
      <c r="E535" t="s">
        <v>1862</v>
      </c>
      <c r="F535" t="s">
        <v>1924</v>
      </c>
    </row>
    <row r="536" spans="2:6">
      <c r="B536" s="27"/>
    </row>
    <row r="537" spans="2:6">
      <c r="B537" s="27">
        <v>45782</v>
      </c>
      <c r="C537">
        <v>5419</v>
      </c>
      <c r="D537" t="s">
        <v>1925</v>
      </c>
      <c r="E537" t="s">
        <v>1554</v>
      </c>
      <c r="F537" t="s">
        <v>1775</v>
      </c>
    </row>
    <row r="538" spans="2:6">
      <c r="B538" s="27"/>
      <c r="C538">
        <v>5419</v>
      </c>
      <c r="D538" t="s">
        <v>1925</v>
      </c>
      <c r="E538" t="s">
        <v>1554</v>
      </c>
      <c r="F538" t="s">
        <v>1901</v>
      </c>
    </row>
    <row r="539" spans="2:6">
      <c r="B539" s="27"/>
    </row>
    <row r="540" spans="2:6">
      <c r="B540" s="27">
        <v>45782</v>
      </c>
      <c r="C540">
        <v>3216.4</v>
      </c>
      <c r="D540" t="s">
        <v>1732</v>
      </c>
      <c r="E540" t="s">
        <v>1733</v>
      </c>
      <c r="F540" t="s">
        <v>1775</v>
      </c>
    </row>
    <row r="541" spans="2:6">
      <c r="B541" s="27"/>
      <c r="C541">
        <v>3076.15</v>
      </c>
      <c r="D541" t="s">
        <v>1730</v>
      </c>
      <c r="E541" t="s">
        <v>1868</v>
      </c>
      <c r="F541" t="s">
        <v>1775</v>
      </c>
    </row>
    <row r="542" spans="2:6">
      <c r="B542" s="27"/>
    </row>
    <row r="543" spans="2:6">
      <c r="B543" s="27">
        <v>45782</v>
      </c>
      <c r="C543">
        <v>5894</v>
      </c>
      <c r="D543" t="s">
        <v>1926</v>
      </c>
      <c r="E543" t="s">
        <v>1927</v>
      </c>
      <c r="F543" t="s">
        <v>1928</v>
      </c>
    </row>
    <row r="544" spans="2:6">
      <c r="B544" s="27"/>
    </row>
    <row r="545" spans="2:6">
      <c r="B545" s="27">
        <v>45782</v>
      </c>
      <c r="C545">
        <v>5724</v>
      </c>
      <c r="D545" t="s">
        <v>1670</v>
      </c>
      <c r="E545" t="s">
        <v>1929</v>
      </c>
      <c r="F545" t="s">
        <v>1899</v>
      </c>
    </row>
    <row r="546" spans="2:6">
      <c r="B546" s="27"/>
      <c r="C546">
        <v>370</v>
      </c>
      <c r="D546" t="s">
        <v>1670</v>
      </c>
      <c r="E546" t="s">
        <v>1929</v>
      </c>
      <c r="F546" t="s">
        <v>1930</v>
      </c>
    </row>
    <row r="547" spans="2:6">
      <c r="B547" s="27"/>
    </row>
    <row r="548" spans="2:6">
      <c r="B548" s="27">
        <v>45782</v>
      </c>
      <c r="C548">
        <v>4881.1499999999996</v>
      </c>
      <c r="D548" t="s">
        <v>1931</v>
      </c>
      <c r="E548" t="s">
        <v>1763</v>
      </c>
      <c r="F548" t="s">
        <v>1775</v>
      </c>
    </row>
    <row r="549" spans="2:6">
      <c r="B549" s="27"/>
      <c r="C549">
        <v>5021.3999999999996</v>
      </c>
      <c r="D549" t="s">
        <v>1932</v>
      </c>
      <c r="E549" t="s">
        <v>1933</v>
      </c>
      <c r="F549" t="s">
        <v>1775</v>
      </c>
    </row>
    <row r="550" spans="2:6">
      <c r="B550" s="27"/>
    </row>
    <row r="551" spans="2:6">
      <c r="B551" s="27">
        <v>45782</v>
      </c>
      <c r="C551">
        <v>370</v>
      </c>
      <c r="D551" t="s">
        <v>1934</v>
      </c>
      <c r="E551" t="s">
        <v>1935</v>
      </c>
      <c r="F551" t="s">
        <v>1911</v>
      </c>
    </row>
    <row r="552" spans="2:6">
      <c r="B552" s="27"/>
    </row>
    <row r="553" spans="2:6">
      <c r="B553" s="27"/>
    </row>
    <row r="554" spans="2:6">
      <c r="B554" s="27">
        <v>45814</v>
      </c>
      <c r="C554">
        <v>1987</v>
      </c>
      <c r="D554" t="s">
        <v>1936</v>
      </c>
      <c r="E554" t="s">
        <v>46</v>
      </c>
      <c r="F554" t="s">
        <v>1775</v>
      </c>
    </row>
    <row r="555" spans="2:6">
      <c r="B555" s="27"/>
    </row>
    <row r="556" spans="2:6">
      <c r="B556" s="27">
        <v>45783</v>
      </c>
      <c r="C556">
        <v>9000</v>
      </c>
      <c r="D556" t="s">
        <v>1936</v>
      </c>
      <c r="E556" t="s">
        <v>46</v>
      </c>
      <c r="F556" t="s">
        <v>1775</v>
      </c>
    </row>
    <row r="557" spans="2:6">
      <c r="B557" s="27"/>
    </row>
    <row r="558" spans="2:6">
      <c r="B558" s="27">
        <v>45783</v>
      </c>
      <c r="C558">
        <v>5431</v>
      </c>
      <c r="D558" t="s">
        <v>1937</v>
      </c>
      <c r="E558" s="596" t="s">
        <v>1752</v>
      </c>
      <c r="F558" t="s">
        <v>1921</v>
      </c>
    </row>
    <row r="559" spans="2:6">
      <c r="B559" s="27"/>
    </row>
    <row r="560" spans="2:6">
      <c r="B560" s="27"/>
    </row>
    <row r="561" spans="2:6">
      <c r="B561" s="27">
        <v>45783</v>
      </c>
      <c r="C561">
        <v>5668</v>
      </c>
      <c r="D561" t="s">
        <v>1938</v>
      </c>
      <c r="E561" t="s">
        <v>46</v>
      </c>
      <c r="F561" t="s">
        <v>1939</v>
      </c>
    </row>
    <row r="562" spans="2:6">
      <c r="B562" s="27"/>
    </row>
    <row r="563" spans="2:6">
      <c r="B563" s="27">
        <v>45783</v>
      </c>
      <c r="C563">
        <v>5362.1</v>
      </c>
      <c r="D563" t="s">
        <v>1678</v>
      </c>
      <c r="E563" t="s">
        <v>1679</v>
      </c>
      <c r="F563" t="s">
        <v>1940</v>
      </c>
    </row>
    <row r="564" spans="2:6">
      <c r="B564" s="27"/>
    </row>
    <row r="565" spans="2:6">
      <c r="B565" s="27"/>
    </row>
    <row r="566" spans="2:6">
      <c r="B566" s="27">
        <v>45783</v>
      </c>
      <c r="C566">
        <v>3216</v>
      </c>
      <c r="D566" t="s">
        <v>1941</v>
      </c>
      <c r="E566" t="s">
        <v>1651</v>
      </c>
      <c r="F566" t="s">
        <v>1942</v>
      </c>
    </row>
    <row r="567" spans="2:6">
      <c r="B567" s="27">
        <v>46148</v>
      </c>
      <c r="C567">
        <v>3562</v>
      </c>
      <c r="D567" t="s">
        <v>1943</v>
      </c>
      <c r="E567" t="s">
        <v>1651</v>
      </c>
      <c r="F567" t="s">
        <v>1942</v>
      </c>
    </row>
    <row r="568" spans="2:6">
      <c r="B568" s="27"/>
    </row>
    <row r="570" spans="2:6">
      <c r="B570" s="27">
        <v>45783</v>
      </c>
      <c r="C570">
        <v>4191</v>
      </c>
      <c r="D570" t="s">
        <v>1944</v>
      </c>
      <c r="E570" t="s">
        <v>1639</v>
      </c>
      <c r="F570" t="s">
        <v>1874</v>
      </c>
    </row>
    <row r="571" spans="2:6">
      <c r="B571" s="27">
        <v>45783</v>
      </c>
      <c r="C571">
        <v>1800</v>
      </c>
      <c r="D571" t="s">
        <v>1944</v>
      </c>
      <c r="E571" t="s">
        <v>1639</v>
      </c>
      <c r="F571" t="s">
        <v>1870</v>
      </c>
    </row>
    <row r="573" spans="2:6">
      <c r="B573" s="27">
        <v>45783</v>
      </c>
      <c r="C573">
        <v>4235</v>
      </c>
      <c r="D573" t="s">
        <v>1636</v>
      </c>
      <c r="E573" t="s">
        <v>1648</v>
      </c>
      <c r="F573" t="s">
        <v>1899</v>
      </c>
    </row>
    <row r="575" spans="2:6">
      <c r="B575" s="27">
        <v>45784</v>
      </c>
      <c r="C575">
        <v>5584</v>
      </c>
      <c r="D575" t="s">
        <v>1815</v>
      </c>
      <c r="E575" t="s">
        <v>1651</v>
      </c>
      <c r="F575" t="s">
        <v>1924</v>
      </c>
    </row>
    <row r="577" spans="2:6">
      <c r="B577" s="27">
        <v>45784</v>
      </c>
      <c r="C577">
        <v>294.45</v>
      </c>
      <c r="D577" t="s">
        <v>1945</v>
      </c>
      <c r="E577" t="s">
        <v>1651</v>
      </c>
      <c r="F577" t="s">
        <v>1946</v>
      </c>
    </row>
    <row r="578" spans="2:6">
      <c r="C578">
        <v>700</v>
      </c>
      <c r="D578" t="s">
        <v>1945</v>
      </c>
      <c r="E578" t="s">
        <v>1651</v>
      </c>
      <c r="F578" t="s">
        <v>1871</v>
      </c>
    </row>
    <row r="580" spans="2:6">
      <c r="B580" s="27">
        <v>45784</v>
      </c>
      <c r="C580">
        <v>5510</v>
      </c>
      <c r="D580" t="s">
        <v>1947</v>
      </c>
      <c r="E580" t="s">
        <v>1797</v>
      </c>
      <c r="F580" t="s">
        <v>1775</v>
      </c>
    </row>
    <row r="582" spans="2:6">
      <c r="B582" s="27">
        <v>45784</v>
      </c>
      <c r="C582">
        <v>1223</v>
      </c>
      <c r="D582" t="s">
        <v>1793</v>
      </c>
      <c r="E582" t="s">
        <v>1948</v>
      </c>
      <c r="F582" t="s">
        <v>1949</v>
      </c>
    </row>
    <row r="583" spans="2:6">
      <c r="C583">
        <v>6508.85</v>
      </c>
      <c r="D583" t="s">
        <v>1793</v>
      </c>
      <c r="E583" t="s">
        <v>1948</v>
      </c>
      <c r="F583" t="s">
        <v>1883</v>
      </c>
    </row>
    <row r="584" spans="2:6">
      <c r="C584">
        <v>370</v>
      </c>
      <c r="D584" t="s">
        <v>1793</v>
      </c>
      <c r="E584" t="s">
        <v>1948</v>
      </c>
      <c r="F584" t="s">
        <v>1950</v>
      </c>
    </row>
    <row r="587" spans="2:6">
      <c r="B587" s="27">
        <v>45785</v>
      </c>
      <c r="C587">
        <v>91</v>
      </c>
      <c r="D587" t="s">
        <v>1820</v>
      </c>
      <c r="E587" t="s">
        <v>1639</v>
      </c>
      <c r="F587" t="s">
        <v>1951</v>
      </c>
    </row>
    <row r="588" spans="2:6">
      <c r="C588">
        <v>4191</v>
      </c>
      <c r="D588" t="s">
        <v>1820</v>
      </c>
      <c r="E588" t="s">
        <v>1639</v>
      </c>
      <c r="F588" t="s">
        <v>1901</v>
      </c>
    </row>
    <row r="590" spans="2:6">
      <c r="B590" s="27">
        <v>45785</v>
      </c>
      <c r="C590">
        <v>5181</v>
      </c>
      <c r="D590" t="s">
        <v>1635</v>
      </c>
      <c r="E590" t="s">
        <v>1948</v>
      </c>
      <c r="F590" t="s">
        <v>1874</v>
      </c>
    </row>
    <row r="592" spans="2:6">
      <c r="B592" s="27">
        <v>45789</v>
      </c>
      <c r="C592">
        <v>7550</v>
      </c>
      <c r="D592" t="s">
        <v>1814</v>
      </c>
      <c r="E592" t="s">
        <v>1764</v>
      </c>
      <c r="F592" t="s">
        <v>1952</v>
      </c>
    </row>
    <row r="593" spans="2:6">
      <c r="B593" s="27"/>
    </row>
    <row r="594" spans="2:6">
      <c r="B594" s="27">
        <v>45790</v>
      </c>
      <c r="C594" s="8">
        <v>4996</v>
      </c>
      <c r="D594" t="s">
        <v>1953</v>
      </c>
      <c r="E594" t="s">
        <v>1579</v>
      </c>
      <c r="F594" t="s">
        <v>1848</v>
      </c>
    </row>
    <row r="595" spans="2:6">
      <c r="B595" s="27"/>
      <c r="C595" s="8">
        <v>370</v>
      </c>
      <c r="D595" t="s">
        <v>1953</v>
      </c>
      <c r="E595" t="s">
        <v>1579</v>
      </c>
      <c r="F595" t="s">
        <v>1954</v>
      </c>
    </row>
    <row r="596" spans="2:6">
      <c r="B596" s="27"/>
      <c r="C596" s="8">
        <v>1934</v>
      </c>
      <c r="D596" t="s">
        <v>1953</v>
      </c>
      <c r="E596" t="s">
        <v>1579</v>
      </c>
      <c r="F596" t="s">
        <v>1955</v>
      </c>
    </row>
    <row r="598" spans="2:6">
      <c r="B598" s="27">
        <v>45790</v>
      </c>
      <c r="C598">
        <v>5375</v>
      </c>
      <c r="D598" t="s">
        <v>1666</v>
      </c>
      <c r="E598" t="s">
        <v>1956</v>
      </c>
      <c r="F598" t="s">
        <v>1957</v>
      </c>
    </row>
    <row r="599" spans="2:6">
      <c r="C599">
        <v>625</v>
      </c>
      <c r="D599" t="s">
        <v>1666</v>
      </c>
      <c r="E599" t="s">
        <v>1956</v>
      </c>
      <c r="F599" t="s">
        <v>1958</v>
      </c>
    </row>
    <row r="601" spans="2:6">
      <c r="B601" s="27">
        <v>45790</v>
      </c>
      <c r="C601">
        <v>7245</v>
      </c>
      <c r="D601" t="s">
        <v>1849</v>
      </c>
      <c r="E601" t="s">
        <v>1699</v>
      </c>
      <c r="F601" t="s">
        <v>1775</v>
      </c>
    </row>
    <row r="604" spans="2:6">
      <c r="B604" s="27">
        <v>45791</v>
      </c>
      <c r="C604">
        <v>370</v>
      </c>
      <c r="D604" t="s">
        <v>1635</v>
      </c>
      <c r="E604" t="s">
        <v>1948</v>
      </c>
      <c r="F604" t="s">
        <v>1930</v>
      </c>
    </row>
    <row r="606" spans="2:6">
      <c r="B606" s="27">
        <v>45791</v>
      </c>
      <c r="C606">
        <v>5789</v>
      </c>
      <c r="D606" t="s">
        <v>1959</v>
      </c>
      <c r="E606" t="s">
        <v>1654</v>
      </c>
      <c r="F606" t="s">
        <v>1960</v>
      </c>
    </row>
    <row r="607" spans="2:6">
      <c r="B607" s="27"/>
    </row>
    <row r="608" spans="2:6">
      <c r="B608" s="27">
        <v>45791</v>
      </c>
      <c r="C608">
        <v>4779</v>
      </c>
      <c r="D608" t="s">
        <v>1655</v>
      </c>
      <c r="E608" t="s">
        <v>1612</v>
      </c>
      <c r="F608" t="s">
        <v>1848</v>
      </c>
    </row>
    <row r="609" spans="2:6">
      <c r="B609" s="27"/>
    </row>
    <row r="610" spans="2:6">
      <c r="B610" s="27"/>
    </row>
    <row r="612" spans="2:6">
      <c r="B612" s="27">
        <v>45792</v>
      </c>
      <c r="C612">
        <v>3784</v>
      </c>
      <c r="D612" t="s">
        <v>1615</v>
      </c>
      <c r="E612" t="s">
        <v>1830</v>
      </c>
      <c r="F612" t="s">
        <v>1775</v>
      </c>
    </row>
    <row r="613" spans="2:6">
      <c r="C613">
        <v>370</v>
      </c>
      <c r="D613" t="s">
        <v>1615</v>
      </c>
      <c r="E613" t="s">
        <v>1830</v>
      </c>
      <c r="F613" t="s">
        <v>1955</v>
      </c>
    </row>
    <row r="615" spans="2:6">
      <c r="B615" s="27">
        <v>45792</v>
      </c>
      <c r="C615">
        <v>740</v>
      </c>
      <c r="D615" t="s">
        <v>1925</v>
      </c>
      <c r="F615" t="s">
        <v>1894</v>
      </c>
    </row>
    <row r="616" spans="2:6">
      <c r="B616" s="27"/>
    </row>
    <row r="617" spans="2:6">
      <c r="B617" s="27">
        <v>45792</v>
      </c>
      <c r="C617">
        <v>4000</v>
      </c>
      <c r="D617" t="s">
        <v>1673</v>
      </c>
      <c r="F617" t="s">
        <v>1961</v>
      </c>
    </row>
    <row r="618" spans="2:6">
      <c r="B618" s="27"/>
    </row>
    <row r="619" spans="2:6">
      <c r="B619" s="27">
        <v>45793</v>
      </c>
      <c r="C619">
        <v>5018.8999999999996</v>
      </c>
      <c r="D619" t="s">
        <v>1962</v>
      </c>
      <c r="E619" t="s">
        <v>1830</v>
      </c>
      <c r="F619" t="s">
        <v>1775</v>
      </c>
    </row>
    <row r="620" spans="2:6">
      <c r="B620" s="27"/>
      <c r="C620">
        <v>370</v>
      </c>
      <c r="D620" t="s">
        <v>1962</v>
      </c>
      <c r="E620" t="s">
        <v>1830</v>
      </c>
      <c r="F620" t="s">
        <v>1586</v>
      </c>
    </row>
    <row r="622" spans="2:6">
      <c r="B622" s="27">
        <v>45793</v>
      </c>
      <c r="C622">
        <v>942.4</v>
      </c>
      <c r="D622" t="s">
        <v>1963</v>
      </c>
      <c r="E622" t="s">
        <v>1671</v>
      </c>
      <c r="F622" t="s">
        <v>1964</v>
      </c>
    </row>
    <row r="623" spans="2:6">
      <c r="C623">
        <v>370</v>
      </c>
      <c r="D623" t="s">
        <v>1963</v>
      </c>
      <c r="E623" t="s">
        <v>1671</v>
      </c>
      <c r="F623" t="s">
        <v>1954</v>
      </c>
    </row>
    <row r="624" spans="2:6">
      <c r="C624">
        <v>6010.2</v>
      </c>
      <c r="D624" t="s">
        <v>1963</v>
      </c>
      <c r="E624" t="s">
        <v>1671</v>
      </c>
      <c r="F624" t="s">
        <v>1924</v>
      </c>
    </row>
    <row r="626" spans="2:6">
      <c r="B626" s="27">
        <v>45793</v>
      </c>
      <c r="C626">
        <v>370</v>
      </c>
      <c r="D626" t="s">
        <v>1638</v>
      </c>
      <c r="E626" t="s">
        <v>1965</v>
      </c>
      <c r="F626" t="s">
        <v>1837</v>
      </c>
    </row>
    <row r="628" spans="2:6">
      <c r="B628" s="27">
        <v>45793</v>
      </c>
      <c r="C628">
        <v>4402.28</v>
      </c>
      <c r="D628" t="s">
        <v>1966</v>
      </c>
      <c r="E628" t="s">
        <v>1862</v>
      </c>
      <c r="F628" t="s">
        <v>1921</v>
      </c>
    </row>
    <row r="630" spans="2:6">
      <c r="B630" s="27">
        <v>45793</v>
      </c>
      <c r="C630">
        <v>4151.7</v>
      </c>
      <c r="D630" t="s">
        <v>1711</v>
      </c>
      <c r="E630" t="s">
        <v>1907</v>
      </c>
      <c r="F630" t="s">
        <v>1775</v>
      </c>
    </row>
    <row r="632" spans="2:6">
      <c r="B632" s="27">
        <v>45793</v>
      </c>
      <c r="C632">
        <v>370</v>
      </c>
      <c r="D632" t="s">
        <v>1678</v>
      </c>
      <c r="E632" t="s">
        <v>1763</v>
      </c>
      <c r="F632" t="s">
        <v>1837</v>
      </c>
    </row>
    <row r="634" spans="2:6">
      <c r="B634" s="27">
        <v>45793</v>
      </c>
      <c r="C634">
        <v>640</v>
      </c>
      <c r="D634" t="s">
        <v>1673</v>
      </c>
      <c r="E634" t="s">
        <v>1967</v>
      </c>
      <c r="F634" t="s">
        <v>1968</v>
      </c>
    </row>
    <row r="635" spans="2:6">
      <c r="B635" s="27"/>
    </row>
    <row r="636" spans="2:6">
      <c r="B636" s="27">
        <v>45793</v>
      </c>
      <c r="C636">
        <v>740</v>
      </c>
      <c r="D636" t="s">
        <v>1969</v>
      </c>
      <c r="E636" t="s">
        <v>1970</v>
      </c>
      <c r="F636" t="s">
        <v>1837</v>
      </c>
    </row>
    <row r="638" spans="2:6">
      <c r="B638" s="27">
        <v>45794</v>
      </c>
      <c r="C638">
        <v>5398.47</v>
      </c>
      <c r="D638" t="s">
        <v>1721</v>
      </c>
      <c r="F638" t="s">
        <v>1775</v>
      </c>
    </row>
    <row r="639" spans="2:6">
      <c r="C639">
        <v>5627.66</v>
      </c>
      <c r="D639" t="s">
        <v>1722</v>
      </c>
      <c r="F639" t="s">
        <v>1971</v>
      </c>
    </row>
    <row r="640" spans="2:6">
      <c r="C640">
        <v>740</v>
      </c>
      <c r="D640" t="s">
        <v>1972</v>
      </c>
      <c r="F640" t="s">
        <v>1837</v>
      </c>
    </row>
    <row r="642" spans="2:6">
      <c r="B642" s="27">
        <v>45795</v>
      </c>
      <c r="C642">
        <v>4170</v>
      </c>
      <c r="D642" t="s">
        <v>1973</v>
      </c>
      <c r="E642" t="s">
        <v>1763</v>
      </c>
      <c r="F642" t="s">
        <v>1974</v>
      </c>
    </row>
    <row r="644" spans="2:6">
      <c r="B644" s="27">
        <v>45796</v>
      </c>
      <c r="C644">
        <v>3257.1</v>
      </c>
      <c r="D644" t="s">
        <v>1975</v>
      </c>
      <c r="E644" t="s">
        <v>1679</v>
      </c>
    </row>
    <row r="646" spans="2:6">
      <c r="B646" s="27">
        <v>45796</v>
      </c>
      <c r="C646">
        <v>5000</v>
      </c>
      <c r="D646" t="s">
        <v>1976</v>
      </c>
      <c r="E646" t="s">
        <v>1562</v>
      </c>
      <c r="F646" t="s">
        <v>1977</v>
      </c>
    </row>
    <row r="649" spans="2:6">
      <c r="B649" s="27">
        <v>45798</v>
      </c>
      <c r="C649">
        <v>5599</v>
      </c>
      <c r="D649" t="s">
        <v>1978</v>
      </c>
      <c r="E649" t="s">
        <v>1591</v>
      </c>
      <c r="F649" t="s">
        <v>1901</v>
      </c>
    </row>
    <row r="650" spans="2:6">
      <c r="C650">
        <v>6207.5</v>
      </c>
      <c r="D650" t="s">
        <v>1703</v>
      </c>
      <c r="E650" t="s">
        <v>1594</v>
      </c>
      <c r="F650" t="s">
        <v>1901</v>
      </c>
    </row>
    <row r="652" spans="2:6">
      <c r="B652" s="27">
        <v>45798</v>
      </c>
      <c r="C652">
        <v>370</v>
      </c>
      <c r="D652" t="s">
        <v>1979</v>
      </c>
      <c r="F652" t="s">
        <v>1586</v>
      </c>
    </row>
    <row r="653" spans="2:6">
      <c r="C653">
        <v>370</v>
      </c>
      <c r="D653" t="s">
        <v>1613</v>
      </c>
      <c r="F653" t="s">
        <v>1586</v>
      </c>
    </row>
    <row r="655" spans="2:6">
      <c r="B655" s="27">
        <v>45798</v>
      </c>
      <c r="C655">
        <v>2000</v>
      </c>
      <c r="D655" t="s">
        <v>1636</v>
      </c>
      <c r="E655" t="s">
        <v>1562</v>
      </c>
      <c r="F655" t="s">
        <v>1858</v>
      </c>
    </row>
    <row r="658" spans="2:6">
      <c r="B658" s="27">
        <v>45798</v>
      </c>
      <c r="C658">
        <v>7650.3</v>
      </c>
      <c r="D658" t="s">
        <v>1980</v>
      </c>
      <c r="E658" t="s">
        <v>1781</v>
      </c>
      <c r="F658" t="s">
        <v>1572</v>
      </c>
    </row>
    <row r="659" spans="2:6">
      <c r="C659">
        <v>7650.3</v>
      </c>
      <c r="D659" t="s">
        <v>1980</v>
      </c>
      <c r="E659" t="s">
        <v>1781</v>
      </c>
      <c r="F659" t="s">
        <v>1563</v>
      </c>
    </row>
    <row r="660" spans="2:6">
      <c r="C660">
        <v>7650.3</v>
      </c>
      <c r="D660" t="s">
        <v>1980</v>
      </c>
      <c r="E660" t="s">
        <v>1781</v>
      </c>
      <c r="F660" t="s">
        <v>1775</v>
      </c>
    </row>
    <row r="661" spans="2:6">
      <c r="C661">
        <v>740</v>
      </c>
      <c r="D661" t="s">
        <v>1980</v>
      </c>
      <c r="E661" t="s">
        <v>1781</v>
      </c>
      <c r="F661" t="s">
        <v>1894</v>
      </c>
    </row>
    <row r="663" spans="2:6">
      <c r="B663" s="27">
        <v>45798</v>
      </c>
      <c r="C663">
        <v>6499.5</v>
      </c>
      <c r="D663" t="s">
        <v>1892</v>
      </c>
      <c r="E663" t="s">
        <v>1574</v>
      </c>
      <c r="F663" t="s">
        <v>1901</v>
      </c>
    </row>
    <row r="665" spans="2:6">
      <c r="B665" s="27">
        <v>45798</v>
      </c>
      <c r="C665">
        <f>3885.75+1894.5</f>
        <v>5780.25</v>
      </c>
      <c r="D665" t="s">
        <v>1981</v>
      </c>
      <c r="E665" t="s">
        <v>1699</v>
      </c>
      <c r="F665" t="s">
        <v>1775</v>
      </c>
    </row>
    <row r="666" spans="2:6">
      <c r="C666">
        <f>816.75+1894.5</f>
        <v>2711.25</v>
      </c>
      <c r="D666" t="s">
        <v>1982</v>
      </c>
      <c r="E666" t="s">
        <v>1630</v>
      </c>
      <c r="F666" t="s">
        <v>1775</v>
      </c>
    </row>
    <row r="667" spans="2:6">
      <c r="C667">
        <v>740</v>
      </c>
    </row>
    <row r="670" spans="2:6">
      <c r="B670" s="27">
        <v>45799</v>
      </c>
      <c r="C670">
        <v>4694</v>
      </c>
      <c r="D670" t="s">
        <v>1711</v>
      </c>
      <c r="F670" t="s">
        <v>1983</v>
      </c>
    </row>
    <row r="672" spans="2:6">
      <c r="B672" s="27">
        <v>45799</v>
      </c>
      <c r="C672">
        <v>5546.2</v>
      </c>
      <c r="D672" t="s">
        <v>1984</v>
      </c>
      <c r="E672" t="s">
        <v>1654</v>
      </c>
      <c r="F672" t="s">
        <v>1563</v>
      </c>
    </row>
    <row r="673" spans="2:6">
      <c r="C673">
        <v>5282.1</v>
      </c>
      <c r="D673" t="s">
        <v>1984</v>
      </c>
      <c r="E673" t="s">
        <v>1654</v>
      </c>
      <c r="F673" t="s">
        <v>1775</v>
      </c>
    </row>
    <row r="674" spans="2:6">
      <c r="C674">
        <v>370</v>
      </c>
      <c r="D674" t="s">
        <v>1984</v>
      </c>
      <c r="E674" t="s">
        <v>1654</v>
      </c>
      <c r="F674" t="s">
        <v>1837</v>
      </c>
    </row>
    <row r="676" spans="2:6">
      <c r="B676" s="27">
        <v>45799</v>
      </c>
      <c r="C676">
        <v>740</v>
      </c>
      <c r="D676" t="s">
        <v>1932</v>
      </c>
      <c r="E676" t="s">
        <v>1651</v>
      </c>
      <c r="F676" t="s">
        <v>1985</v>
      </c>
    </row>
    <row r="677" spans="2:6">
      <c r="C677">
        <f>180+370</f>
        <v>550</v>
      </c>
      <c r="D677" t="s">
        <v>1931</v>
      </c>
      <c r="E677" t="s">
        <v>1763</v>
      </c>
      <c r="F677" t="s">
        <v>1986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0A71D-B6C7-4320-9C11-FEFCFA687EC6}">
  <dimension ref="A1:AKX642"/>
  <sheetViews>
    <sheetView topLeftCell="A344" workbookViewId="0">
      <selection activeCell="A362" sqref="A362"/>
    </sheetView>
  </sheetViews>
  <sheetFormatPr defaultColWidth="9.140625" defaultRowHeight="15"/>
  <cols>
    <col min="1" max="1" width="39" style="151" customWidth="1"/>
    <col min="2" max="2" width="15.5703125" style="370" customWidth="1"/>
    <col min="3" max="985" width="10.7109375" style="151" customWidth="1"/>
  </cols>
  <sheetData>
    <row r="1" spans="1:2" s="151" customFormat="1">
      <c r="A1" s="134" t="s">
        <v>423</v>
      </c>
      <c r="B1" s="150" t="s">
        <v>4</v>
      </c>
    </row>
    <row r="2" spans="1:2" s="151" customFormat="1">
      <c r="A2" s="134"/>
      <c r="B2" s="157" t="s">
        <v>4</v>
      </c>
    </row>
    <row r="3" spans="1:2" s="151" customFormat="1">
      <c r="A3" s="169" t="s">
        <v>443</v>
      </c>
      <c r="B3" s="157">
        <v>2973.3</v>
      </c>
    </row>
    <row r="4" spans="1:2" s="151" customFormat="1">
      <c r="A4" s="169" t="s">
        <v>445</v>
      </c>
      <c r="B4" s="595"/>
    </row>
    <row r="5" spans="1:2" s="151" customFormat="1">
      <c r="A5" s="169" t="s">
        <v>447</v>
      </c>
      <c r="B5" s="157"/>
    </row>
    <row r="6" spans="1:2" s="151" customFormat="1">
      <c r="A6" s="169" t="s">
        <v>450</v>
      </c>
      <c r="B6" s="184">
        <v>4623.5</v>
      </c>
    </row>
    <row r="7" spans="1:2" s="151" customFormat="1">
      <c r="A7" s="169" t="s">
        <v>453</v>
      </c>
      <c r="B7" s="157">
        <v>3148.2</v>
      </c>
    </row>
    <row r="8" spans="1:2" s="151" customFormat="1">
      <c r="A8" s="169" t="s">
        <v>198</v>
      </c>
      <c r="B8" s="168"/>
    </row>
    <row r="9" spans="1:2" s="151" customFormat="1">
      <c r="A9" s="169" t="s">
        <v>457</v>
      </c>
      <c r="B9" s="168">
        <v>2765.17</v>
      </c>
    </row>
    <row r="10" spans="1:2" s="151" customFormat="1">
      <c r="A10" s="169" t="s">
        <v>460</v>
      </c>
      <c r="B10" s="157">
        <v>2798.4</v>
      </c>
    </row>
    <row r="11" spans="1:2" s="151" customFormat="1">
      <c r="A11" s="169" t="s">
        <v>201</v>
      </c>
      <c r="B11" s="183">
        <v>2703</v>
      </c>
    </row>
    <row r="12" spans="1:2" s="151" customFormat="1">
      <c r="A12" s="169" t="s">
        <v>463</v>
      </c>
      <c r="B12" s="157">
        <v>5253.2</v>
      </c>
    </row>
    <row r="13" spans="1:2" s="151" customFormat="1">
      <c r="A13" s="169" t="s">
        <v>466</v>
      </c>
      <c r="B13" s="203">
        <v>4973.3</v>
      </c>
    </row>
    <row r="14" spans="1:2" s="151" customFormat="1">
      <c r="A14" s="169" t="s">
        <v>468</v>
      </c>
      <c r="B14" s="157"/>
    </row>
    <row r="15" spans="1:2" s="151" customFormat="1">
      <c r="A15" s="169" t="s">
        <v>470</v>
      </c>
      <c r="B15" s="157"/>
    </row>
    <row r="16" spans="1:2" s="151" customFormat="1">
      <c r="A16" s="169" t="s">
        <v>472</v>
      </c>
      <c r="B16" s="157">
        <v>3732.75</v>
      </c>
    </row>
    <row r="17" spans="1:2" s="151" customFormat="1">
      <c r="A17" s="169"/>
      <c r="B17" s="157"/>
    </row>
    <row r="18" spans="1:2" s="151" customFormat="1">
      <c r="A18" s="134" t="s">
        <v>475</v>
      </c>
      <c r="B18" s="157"/>
    </row>
    <row r="19" spans="1:2" s="151" customFormat="1">
      <c r="A19" s="169" t="s">
        <v>476</v>
      </c>
      <c r="B19" s="183">
        <v>5298</v>
      </c>
    </row>
    <row r="20" spans="1:2" s="151" customFormat="1">
      <c r="A20" s="169" t="s">
        <v>478</v>
      </c>
      <c r="B20" s="157" t="s">
        <v>1987</v>
      </c>
    </row>
    <row r="21" spans="1:2" s="151" customFormat="1">
      <c r="A21" s="501" t="s">
        <v>197</v>
      </c>
      <c r="B21" s="157">
        <v>2973.3</v>
      </c>
    </row>
    <row r="22" spans="1:2" s="151" customFormat="1">
      <c r="A22" s="169" t="s">
        <v>483</v>
      </c>
      <c r="B22" s="183">
        <v>4623.5</v>
      </c>
    </row>
    <row r="23" spans="1:2" s="151" customFormat="1">
      <c r="A23" s="169" t="s">
        <v>485</v>
      </c>
      <c r="B23" s="157"/>
    </row>
    <row r="24" spans="1:2" s="151" customFormat="1">
      <c r="A24" s="169" t="s">
        <v>489</v>
      </c>
      <c r="B24" s="157">
        <v>3498</v>
      </c>
    </row>
    <row r="25" spans="1:2" s="151" customFormat="1">
      <c r="A25" s="501" t="s">
        <v>491</v>
      </c>
      <c r="B25" s="157">
        <v>2602.5100000000002</v>
      </c>
    </row>
    <row r="26" spans="1:2" s="151" customFormat="1">
      <c r="A26" s="169" t="s">
        <v>493</v>
      </c>
      <c r="B26" s="203">
        <v>4967</v>
      </c>
    </row>
    <row r="27" spans="1:2" s="151" customFormat="1">
      <c r="A27" s="169" t="s">
        <v>496</v>
      </c>
      <c r="B27" s="157">
        <v>0</v>
      </c>
    </row>
    <row r="28" spans="1:2" s="151" customFormat="1">
      <c r="A28" s="169" t="s">
        <v>500</v>
      </c>
      <c r="B28" s="157"/>
    </row>
    <row r="29" spans="1:2" s="151" customFormat="1">
      <c r="A29" s="169" t="s">
        <v>202</v>
      </c>
      <c r="B29" s="183">
        <v>5298</v>
      </c>
    </row>
    <row r="30" spans="1:2" s="151" customFormat="1">
      <c r="A30" s="169" t="s">
        <v>505</v>
      </c>
      <c r="B30" s="157"/>
    </row>
    <row r="31" spans="1:2" s="151" customFormat="1">
      <c r="A31" s="169" t="s">
        <v>195</v>
      </c>
      <c r="B31" s="157">
        <v>2824.63</v>
      </c>
    </row>
    <row r="32" spans="1:2" s="151" customFormat="1">
      <c r="A32" s="169" t="s">
        <v>510</v>
      </c>
      <c r="B32" s="183">
        <v>3148</v>
      </c>
    </row>
    <row r="33" spans="1:2" s="151" customFormat="1">
      <c r="A33" s="169" t="s">
        <v>512</v>
      </c>
      <c r="B33" s="183">
        <f>3547.67+1225.63</f>
        <v>4773.3</v>
      </c>
    </row>
    <row r="34" spans="1:2" s="151" customFormat="1">
      <c r="A34" s="178"/>
      <c r="B34" s="157"/>
    </row>
    <row r="35" spans="1:2" s="151" customFormat="1">
      <c r="A35" s="187" t="s">
        <v>171</v>
      </c>
      <c r="B35" s="150" t="s">
        <v>4</v>
      </c>
    </row>
    <row r="36" spans="1:2" s="151" customFormat="1">
      <c r="A36" s="178"/>
      <c r="B36" s="157"/>
    </row>
    <row r="37" spans="1:2" s="151" customFormat="1">
      <c r="A37" s="169" t="s">
        <v>515</v>
      </c>
      <c r="B37" s="175"/>
    </row>
    <row r="38" spans="1:2" s="151" customFormat="1">
      <c r="A38" s="169" t="s">
        <v>518</v>
      </c>
      <c r="B38" s="176"/>
    </row>
    <row r="39" spans="1:2" s="151" customFormat="1">
      <c r="A39" s="169" t="s">
        <v>521</v>
      </c>
      <c r="B39" s="175"/>
    </row>
    <row r="40" spans="1:2" s="151" customFormat="1">
      <c r="A40" s="169" t="s">
        <v>523</v>
      </c>
      <c r="B40" s="176">
        <v>4895.2</v>
      </c>
    </row>
    <row r="41" spans="1:2" s="151" customFormat="1">
      <c r="A41" s="169" t="s">
        <v>525</v>
      </c>
      <c r="B41" s="176">
        <v>5419</v>
      </c>
    </row>
    <row r="42" spans="1:2" s="151" customFormat="1">
      <c r="A42" s="169" t="s">
        <v>527</v>
      </c>
      <c r="B42" s="198"/>
    </row>
    <row r="43" spans="1:2" s="151" customFormat="1">
      <c r="A43" s="169" t="s">
        <v>530</v>
      </c>
      <c r="B43" s="176"/>
    </row>
    <row r="44" spans="1:2" s="151" customFormat="1">
      <c r="A44" s="169" t="s">
        <v>532</v>
      </c>
      <c r="B44" s="198">
        <v>5090</v>
      </c>
    </row>
    <row r="45" spans="1:2" s="151" customFormat="1">
      <c r="A45" s="169" t="s">
        <v>534</v>
      </c>
      <c r="B45" s="157"/>
    </row>
    <row r="46" spans="1:2" s="151" customFormat="1">
      <c r="A46" s="169" t="s">
        <v>537</v>
      </c>
      <c r="B46" s="157"/>
    </row>
    <row r="47" spans="1:2" s="151" customFormat="1">
      <c r="A47" s="169" t="s">
        <v>541</v>
      </c>
      <c r="B47" s="175"/>
    </row>
    <row r="48" spans="1:2" s="151" customFormat="1">
      <c r="A48" s="282" t="s">
        <v>204</v>
      </c>
      <c r="B48" s="175">
        <v>5191.1499999999996</v>
      </c>
    </row>
    <row r="49" spans="1:2" s="151" customFormat="1">
      <c r="A49" s="169" t="s">
        <v>206</v>
      </c>
      <c r="B49" s="198">
        <v>5362.1</v>
      </c>
    </row>
    <row r="50" spans="1:2" s="151" customFormat="1">
      <c r="A50" s="169" t="s">
        <v>546</v>
      </c>
      <c r="B50" s="175"/>
    </row>
    <row r="51" spans="1:2" s="151" customFormat="1">
      <c r="A51" s="169"/>
      <c r="B51" s="175"/>
    </row>
    <row r="52" spans="1:2" s="151" customFormat="1">
      <c r="A52" s="169"/>
      <c r="B52" s="175"/>
    </row>
    <row r="53" spans="1:2" s="151" customFormat="1">
      <c r="A53" s="169" t="s">
        <v>552</v>
      </c>
      <c r="B53" s="175">
        <v>4949</v>
      </c>
    </row>
    <row r="54" spans="1:2" s="151" customFormat="1">
      <c r="A54" s="169" t="s">
        <v>556</v>
      </c>
      <c r="B54" s="201">
        <v>2860.81</v>
      </c>
    </row>
    <row r="55" spans="1:2" s="151" customFormat="1">
      <c r="A55" s="169" t="s">
        <v>208</v>
      </c>
      <c r="B55" s="176">
        <v>5076.1499999999996</v>
      </c>
    </row>
    <row r="56" spans="1:2" s="151" customFormat="1">
      <c r="A56" s="169" t="s">
        <v>561</v>
      </c>
      <c r="B56" s="175">
        <v>5419</v>
      </c>
    </row>
    <row r="57" spans="1:2" s="151" customFormat="1">
      <c r="A57" s="169" t="s">
        <v>203</v>
      </c>
      <c r="B57" s="198">
        <v>2895.2</v>
      </c>
    </row>
    <row r="58" spans="1:2" s="151" customFormat="1">
      <c r="A58" s="169" t="s">
        <v>564</v>
      </c>
      <c r="B58" s="198">
        <f>2895.2+2000</f>
        <v>4895.2</v>
      </c>
    </row>
    <row r="59" spans="1:2" s="151" customFormat="1">
      <c r="A59" s="169" t="s">
        <v>566</v>
      </c>
      <c r="B59" s="176">
        <v>3076.15</v>
      </c>
    </row>
    <row r="60" spans="1:2" s="151" customFormat="1">
      <c r="A60" s="169" t="s">
        <v>207</v>
      </c>
      <c r="B60" s="175">
        <v>2961</v>
      </c>
    </row>
    <row r="61" spans="1:2" s="151" customFormat="1">
      <c r="A61" s="169" t="s">
        <v>569</v>
      </c>
      <c r="B61" s="157"/>
    </row>
    <row r="62" spans="1:2" s="151" customFormat="1" ht="14.25" customHeight="1">
      <c r="A62" s="169" t="s">
        <v>209</v>
      </c>
      <c r="B62" s="175"/>
    </row>
    <row r="63" spans="1:2" s="151" customFormat="1">
      <c r="A63" s="169" t="s">
        <v>574</v>
      </c>
      <c r="B63" s="157"/>
    </row>
    <row r="64" spans="1:2" s="151" customFormat="1">
      <c r="A64" s="169" t="s">
        <v>578</v>
      </c>
      <c r="B64" s="176">
        <v>4895.2</v>
      </c>
    </row>
    <row r="65" spans="1:2" s="151" customFormat="1">
      <c r="A65" s="169" t="s">
        <v>580</v>
      </c>
      <c r="B65" s="175"/>
    </row>
    <row r="66" spans="1:2" s="151" customFormat="1">
      <c r="A66" s="169" t="s">
        <v>583</v>
      </c>
      <c r="B66" s="176">
        <v>2800</v>
      </c>
    </row>
    <row r="67" spans="1:2" s="151" customFormat="1">
      <c r="A67" s="169"/>
      <c r="B67" s="175"/>
    </row>
    <row r="68" spans="1:2" s="151" customFormat="1">
      <c r="A68" s="169"/>
      <c r="B68" s="175"/>
    </row>
    <row r="69" spans="1:2" s="151" customFormat="1">
      <c r="A69" s="134" t="s">
        <v>585</v>
      </c>
      <c r="B69" s="150" t="s">
        <v>4</v>
      </c>
    </row>
    <row r="70" spans="1:2" s="151" customFormat="1">
      <c r="A70" s="243" t="s">
        <v>587</v>
      </c>
      <c r="B70" s="176">
        <f>1524.95+1475</f>
        <v>2999.95</v>
      </c>
    </row>
    <row r="71" spans="1:2" s="151" customFormat="1">
      <c r="A71" s="199" t="s">
        <v>589</v>
      </c>
      <c r="B71" s="198">
        <v>723.8</v>
      </c>
    </row>
    <row r="72" spans="1:2" s="151" customFormat="1">
      <c r="A72" s="199" t="s">
        <v>592</v>
      </c>
      <c r="B72" s="216">
        <v>5076.1499999999996</v>
      </c>
    </row>
    <row r="73" spans="1:2" s="151" customFormat="1">
      <c r="A73" s="199" t="s">
        <v>221</v>
      </c>
      <c r="B73" s="176">
        <v>2961</v>
      </c>
    </row>
    <row r="74" spans="1:2" s="151" customFormat="1">
      <c r="A74" s="199" t="s">
        <v>594</v>
      </c>
      <c r="B74" s="176"/>
    </row>
    <row r="75" spans="1:2" s="151" customFormat="1">
      <c r="A75" s="206" t="s">
        <v>597</v>
      </c>
      <c r="B75" s="175"/>
    </row>
    <row r="76" spans="1:2" s="151" customFormat="1">
      <c r="A76" s="199" t="s">
        <v>1988</v>
      </c>
      <c r="B76" s="175">
        <v>2961</v>
      </c>
    </row>
    <row r="77" spans="1:2" s="151" customFormat="1" ht="28.5" customHeight="1">
      <c r="A77" s="199" t="s">
        <v>602</v>
      </c>
      <c r="B77" s="198">
        <v>3665</v>
      </c>
    </row>
    <row r="78" spans="1:2" s="151" customFormat="1">
      <c r="A78" s="206" t="s">
        <v>604</v>
      </c>
      <c r="B78" s="175"/>
    </row>
    <row r="79" spans="1:2" s="151" customFormat="1">
      <c r="A79" s="199" t="s">
        <v>606</v>
      </c>
      <c r="B79" s="175">
        <v>3257.1</v>
      </c>
    </row>
    <row r="80" spans="1:2" s="151" customFormat="1" ht="18.75" customHeight="1">
      <c r="A80" s="199" t="s">
        <v>608</v>
      </c>
      <c r="B80" s="175">
        <f t="shared" ref="B80" si="0">2105+724</f>
        <v>2829</v>
      </c>
    </row>
    <row r="81" spans="1:2" s="151" customFormat="1">
      <c r="A81" s="199" t="s">
        <v>219</v>
      </c>
      <c r="B81" s="175"/>
    </row>
    <row r="82" spans="1:2" s="151" customFormat="1">
      <c r="A82" s="199" t="s">
        <v>215</v>
      </c>
      <c r="B82" s="157">
        <v>4732.1000000000004</v>
      </c>
    </row>
    <row r="83" spans="1:2" s="151" customFormat="1">
      <c r="A83" s="199" t="s">
        <v>613</v>
      </c>
      <c r="B83" s="176"/>
    </row>
    <row r="84" spans="1:2" s="151" customFormat="1">
      <c r="A84" s="199" t="s">
        <v>616</v>
      </c>
      <c r="B84" s="176">
        <v>3665</v>
      </c>
    </row>
    <row r="85" spans="1:2" s="151" customFormat="1">
      <c r="A85" s="199" t="s">
        <v>619</v>
      </c>
      <c r="B85" s="201">
        <v>3619</v>
      </c>
    </row>
    <row r="86" spans="1:2" s="151" customFormat="1">
      <c r="A86" s="199" t="s">
        <v>622</v>
      </c>
      <c r="B86" s="175"/>
    </row>
    <row r="87" spans="1:2" s="151" customFormat="1">
      <c r="A87" s="517" t="s">
        <v>624</v>
      </c>
      <c r="B87" s="176">
        <v>5724</v>
      </c>
    </row>
    <row r="88" spans="1:2" s="151" customFormat="1">
      <c r="A88" s="199"/>
      <c r="B88" s="176"/>
    </row>
    <row r="89" spans="1:2" s="151" customFormat="1">
      <c r="A89" s="199"/>
      <c r="B89" s="176"/>
    </row>
    <row r="90" spans="1:2" s="151" customFormat="1">
      <c r="A90" s="134" t="s">
        <v>627</v>
      </c>
      <c r="B90" s="176"/>
    </row>
    <row r="91" spans="1:2" s="151" customFormat="1">
      <c r="A91" s="199" t="s">
        <v>628</v>
      </c>
      <c r="B91" s="157">
        <v>3619</v>
      </c>
    </row>
    <row r="92" spans="1:2" s="151" customFormat="1">
      <c r="A92" s="199" t="s">
        <v>211</v>
      </c>
      <c r="B92" s="175">
        <v>4732.1000000000004</v>
      </c>
    </row>
    <row r="93" spans="1:2" s="151" customFormat="1">
      <c r="A93" s="199" t="s">
        <v>214</v>
      </c>
      <c r="B93" s="175">
        <v>2714.25</v>
      </c>
    </row>
    <row r="94" spans="1:2" s="151" customFormat="1" ht="16.5" customHeight="1">
      <c r="A94" s="199" t="s">
        <v>631</v>
      </c>
      <c r="B94" s="175"/>
    </row>
    <row r="95" spans="1:2" s="151" customFormat="1">
      <c r="A95" s="199" t="s">
        <v>633</v>
      </c>
      <c r="B95" s="175"/>
    </row>
    <row r="96" spans="1:2" s="151" customFormat="1">
      <c r="A96" s="199" t="s">
        <v>220</v>
      </c>
      <c r="B96" s="175">
        <v>4506.5</v>
      </c>
    </row>
    <row r="97" spans="1:2" s="151" customFormat="1">
      <c r="A97" s="206" t="s">
        <v>635</v>
      </c>
      <c r="B97" s="198">
        <v>0</v>
      </c>
    </row>
    <row r="98" spans="1:2" s="151" customFormat="1">
      <c r="A98" s="199" t="s">
        <v>212</v>
      </c>
      <c r="B98" s="175"/>
    </row>
    <row r="99" spans="1:2" s="151" customFormat="1">
      <c r="A99" s="199" t="s">
        <v>639</v>
      </c>
      <c r="B99" s="175">
        <v>3257.1</v>
      </c>
    </row>
    <row r="100" spans="1:2" s="151" customFormat="1">
      <c r="A100" s="199" t="s">
        <v>641</v>
      </c>
      <c r="B100" s="176">
        <v>5362.1</v>
      </c>
    </row>
    <row r="101" spans="1:2" s="151" customFormat="1">
      <c r="A101" s="199" t="s">
        <v>218</v>
      </c>
      <c r="B101" s="175"/>
    </row>
    <row r="102" spans="1:2" s="151" customFormat="1">
      <c r="A102" s="199" t="s">
        <v>645</v>
      </c>
      <c r="B102" s="176">
        <v>5362.1</v>
      </c>
    </row>
    <row r="103" spans="1:2" s="151" customFormat="1">
      <c r="A103" s="199" t="s">
        <v>647</v>
      </c>
      <c r="B103" s="198">
        <v>5419</v>
      </c>
    </row>
    <row r="104" spans="1:2" s="151" customFormat="1">
      <c r="A104" s="243" t="s">
        <v>649</v>
      </c>
      <c r="B104" s="198">
        <v>4732.1000000000004</v>
      </c>
    </row>
    <row r="105" spans="1:2" s="151" customFormat="1">
      <c r="A105" s="199" t="s">
        <v>652</v>
      </c>
      <c r="B105" s="198">
        <v>3076.15</v>
      </c>
    </row>
    <row r="106" spans="1:2" s="151" customFormat="1">
      <c r="A106" s="199" t="s">
        <v>216</v>
      </c>
      <c r="B106" s="176">
        <v>5419</v>
      </c>
    </row>
    <row r="107" spans="1:2" s="151" customFormat="1">
      <c r="A107" s="199" t="s">
        <v>217</v>
      </c>
      <c r="B107" s="176">
        <v>2796</v>
      </c>
    </row>
    <row r="108" spans="1:2" s="151" customFormat="1">
      <c r="A108" s="199" t="s">
        <v>655</v>
      </c>
      <c r="B108" s="176"/>
    </row>
    <row r="111" spans="1:2" s="151" customFormat="1">
      <c r="A111" s="133" t="s">
        <v>173</v>
      </c>
      <c r="B111" s="150" t="s">
        <v>4</v>
      </c>
    </row>
    <row r="112" spans="1:2" s="151" customFormat="1">
      <c r="A112" s="253" t="s">
        <v>657</v>
      </c>
      <c r="B112" s="176">
        <v>2961</v>
      </c>
    </row>
    <row r="113" spans="1:2" s="151" customFormat="1">
      <c r="A113" s="253" t="s">
        <v>222</v>
      </c>
      <c r="B113" s="176">
        <v>3257.1</v>
      </c>
    </row>
    <row r="114" spans="1:2" s="151" customFormat="1">
      <c r="A114" s="253" t="s">
        <v>662</v>
      </c>
      <c r="B114" s="198">
        <v>5724</v>
      </c>
    </row>
    <row r="115" spans="1:2" s="151" customFormat="1">
      <c r="A115" s="253" t="s">
        <v>665</v>
      </c>
      <c r="B115" s="175">
        <f>3290+1800</f>
        <v>5090</v>
      </c>
    </row>
    <row r="116" spans="1:2" s="151" customFormat="1">
      <c r="A116" s="253" t="s">
        <v>668</v>
      </c>
      <c r="B116" s="176">
        <v>3257.1</v>
      </c>
    </row>
    <row r="117" spans="1:2" s="151" customFormat="1">
      <c r="A117" s="253" t="s">
        <v>670</v>
      </c>
      <c r="B117" s="175">
        <v>3619</v>
      </c>
    </row>
    <row r="118" spans="1:2" s="151" customFormat="1">
      <c r="A118" s="253" t="s">
        <v>229</v>
      </c>
      <c r="B118" s="175">
        <f>3094.24+1475</f>
        <v>4569.24</v>
      </c>
    </row>
    <row r="119" spans="1:2" s="151" customFormat="1">
      <c r="A119" s="253" t="s">
        <v>675</v>
      </c>
      <c r="B119" s="175"/>
    </row>
    <row r="120" spans="1:2" s="151" customFormat="1">
      <c r="A120" s="253" t="s">
        <v>223</v>
      </c>
      <c r="B120" s="175"/>
    </row>
    <row r="121" spans="1:2" s="151" customFormat="1">
      <c r="A121" s="253" t="s">
        <v>225</v>
      </c>
      <c r="B121" s="175">
        <v>5191.1499999999996</v>
      </c>
    </row>
    <row r="122" spans="1:2" s="151" customFormat="1">
      <c r="A122" s="253" t="s">
        <v>681</v>
      </c>
      <c r="B122" s="175">
        <v>3257.1</v>
      </c>
    </row>
    <row r="123" spans="1:2" s="151" customFormat="1">
      <c r="A123" s="253" t="s">
        <v>684</v>
      </c>
      <c r="B123" s="176">
        <f>3290+2100</f>
        <v>5390</v>
      </c>
    </row>
    <row r="124" spans="1:2" s="151" customFormat="1">
      <c r="A124" s="253" t="s">
        <v>686</v>
      </c>
      <c r="B124" s="201" t="s">
        <v>688</v>
      </c>
    </row>
    <row r="125" spans="1:2" s="151" customFormat="1">
      <c r="A125" s="253" t="s">
        <v>227</v>
      </c>
      <c r="B125" s="175">
        <v>3619</v>
      </c>
    </row>
    <row r="126" spans="1:2" s="151" customFormat="1">
      <c r="A126" s="262" t="s">
        <v>690</v>
      </c>
      <c r="B126" s="176">
        <v>5362.1</v>
      </c>
    </row>
    <row r="127" spans="1:2" s="151" customFormat="1">
      <c r="A127" s="254" t="s">
        <v>694</v>
      </c>
      <c r="B127" s="175"/>
    </row>
    <row r="128" spans="1:2" s="151" customFormat="1">
      <c r="A128" s="254" t="s">
        <v>697</v>
      </c>
      <c r="B128" s="176"/>
    </row>
    <row r="129" spans="1:2" s="151" customFormat="1">
      <c r="A129" s="254" t="s">
        <v>699</v>
      </c>
      <c r="B129" s="176">
        <v>5395</v>
      </c>
    </row>
    <row r="130" spans="1:2" s="151" customFormat="1">
      <c r="A130" s="254" t="s">
        <v>701</v>
      </c>
      <c r="B130" s="175">
        <v>5362.1</v>
      </c>
    </row>
    <row r="131" spans="1:2" s="151" customFormat="1">
      <c r="A131" s="254" t="s">
        <v>704</v>
      </c>
      <c r="B131" s="175"/>
    </row>
    <row r="132" spans="1:2" s="151" customFormat="1">
      <c r="A132" s="254" t="s">
        <v>706</v>
      </c>
      <c r="B132" s="198">
        <v>2895.2</v>
      </c>
    </row>
    <row r="133" spans="1:2" s="151" customFormat="1">
      <c r="A133" s="254"/>
      <c r="B133" s="175"/>
    </row>
    <row r="134" spans="1:2" s="151" customFormat="1">
      <c r="A134" s="254"/>
      <c r="B134" s="175"/>
    </row>
    <row r="135" spans="1:2" s="151" customFormat="1">
      <c r="A135" s="254"/>
      <c r="B135" s="175"/>
    </row>
    <row r="136" spans="1:2" s="151" customFormat="1">
      <c r="A136" s="254" t="s">
        <v>226</v>
      </c>
      <c r="B136" s="175"/>
    </row>
    <row r="137" spans="1:2" s="151" customFormat="1">
      <c r="A137" s="254" t="s">
        <v>709</v>
      </c>
      <c r="B137" s="198"/>
    </row>
    <row r="138" spans="1:2" s="151" customFormat="1">
      <c r="A138" s="254" t="s">
        <v>712</v>
      </c>
      <c r="B138" s="175">
        <v>3076.15</v>
      </c>
    </row>
    <row r="139" spans="1:2" s="151" customFormat="1">
      <c r="A139" s="254" t="s">
        <v>715</v>
      </c>
      <c r="B139" s="175">
        <v>5057.1000000000004</v>
      </c>
    </row>
    <row r="140" spans="1:2" s="151" customFormat="1">
      <c r="A140" s="254" t="s">
        <v>718</v>
      </c>
      <c r="B140" s="175">
        <v>3257</v>
      </c>
    </row>
    <row r="141" spans="1:2" s="151" customFormat="1">
      <c r="A141" s="254" t="s">
        <v>720</v>
      </c>
      <c r="B141" s="175"/>
    </row>
    <row r="142" spans="1:2" s="151" customFormat="1">
      <c r="A142" s="254" t="s">
        <v>723</v>
      </c>
      <c r="B142" s="175"/>
    </row>
    <row r="143" spans="1:2" s="151" customFormat="1" ht="21.75" customHeight="1">
      <c r="A143" s="254" t="s">
        <v>725</v>
      </c>
      <c r="B143" s="176" t="s">
        <v>481</v>
      </c>
    </row>
    <row r="144" spans="1:2" s="151" customFormat="1" ht="15" customHeight="1">
      <c r="A144" s="254" t="s">
        <v>728</v>
      </c>
      <c r="B144" s="175">
        <v>4551.1499999999996</v>
      </c>
    </row>
    <row r="145" spans="1:2" s="151" customFormat="1" ht="20.25" customHeight="1">
      <c r="A145" s="254" t="s">
        <v>731</v>
      </c>
      <c r="B145" s="175"/>
    </row>
    <row r="146" spans="1:2" s="151" customFormat="1">
      <c r="A146" s="254" t="s">
        <v>735</v>
      </c>
      <c r="B146" s="176">
        <v>5076.1499999999996</v>
      </c>
    </row>
    <row r="147" spans="1:2" s="151" customFormat="1">
      <c r="A147" s="262" t="s">
        <v>738</v>
      </c>
      <c r="B147" s="175">
        <v>3076.15</v>
      </c>
    </row>
    <row r="148" spans="1:2" s="151" customFormat="1" ht="15.75" customHeight="1">
      <c r="A148" s="262" t="s">
        <v>740</v>
      </c>
      <c r="B148" s="175">
        <v>3076.15</v>
      </c>
    </row>
    <row r="149" spans="1:2" s="151" customFormat="1">
      <c r="A149" s="254" t="s">
        <v>742</v>
      </c>
      <c r="B149" s="175"/>
    </row>
    <row r="150" spans="1:2" s="151" customFormat="1">
      <c r="A150" s="263" t="s">
        <v>228</v>
      </c>
      <c r="B150" s="175">
        <v>5724</v>
      </c>
    </row>
    <row r="151" spans="1:2" s="151" customFormat="1">
      <c r="A151" s="263" t="s">
        <v>747</v>
      </c>
      <c r="B151" s="176"/>
    </row>
    <row r="152" spans="1:2" s="151" customFormat="1">
      <c r="A152" s="263" t="s">
        <v>750</v>
      </c>
      <c r="B152" s="176">
        <v>5724</v>
      </c>
    </row>
    <row r="153" spans="1:2" s="151" customFormat="1">
      <c r="A153" s="263" t="s">
        <v>752</v>
      </c>
      <c r="B153" s="201">
        <v>3257.1</v>
      </c>
    </row>
    <row r="154" spans="1:2" s="151" customFormat="1">
      <c r="A154" s="263" t="s">
        <v>755</v>
      </c>
      <c r="B154" s="175"/>
    </row>
    <row r="155" spans="1:2" s="151" customFormat="1">
      <c r="A155" s="263" t="s">
        <v>758</v>
      </c>
      <c r="B155" s="198">
        <v>4336.1499999999996</v>
      </c>
    </row>
    <row r="156" spans="1:2" s="151" customFormat="1">
      <c r="A156" s="263" t="s">
        <v>760</v>
      </c>
      <c r="B156" s="201">
        <v>3619</v>
      </c>
    </row>
    <row r="157" spans="1:2" s="151" customFormat="1">
      <c r="A157" s="263"/>
      <c r="B157" s="175"/>
    </row>
    <row r="158" spans="1:2" s="151" customFormat="1">
      <c r="A158" s="263"/>
      <c r="B158" s="175"/>
    </row>
    <row r="159" spans="1:2" s="151" customFormat="1">
      <c r="A159" s="134"/>
      <c r="B159" s="175"/>
    </row>
    <row r="160" spans="1:2" s="151" customFormat="1">
      <c r="A160" s="187" t="s">
        <v>762</v>
      </c>
      <c r="B160" s="150" t="s">
        <v>4</v>
      </c>
    </row>
    <row r="161" spans="1:986" s="151" customFormat="1">
      <c r="A161" s="273" t="s">
        <v>763</v>
      </c>
      <c r="B161" s="201">
        <v>4475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</row>
    <row r="162" spans="1:986" s="151" customFormat="1">
      <c r="A162" s="273" t="s">
        <v>240</v>
      </c>
      <c r="B162" s="176">
        <v>3440</v>
      </c>
      <c r="AKX162"/>
    </row>
    <row r="163" spans="1:986">
      <c r="A163" s="273" t="s">
        <v>767</v>
      </c>
      <c r="B163" s="175"/>
      <c r="AKX163" s="151"/>
    </row>
    <row r="164" spans="1:986" s="151" customFormat="1">
      <c r="A164" s="278" t="s">
        <v>769</v>
      </c>
      <c r="B164" s="176">
        <v>4926</v>
      </c>
    </row>
    <row r="165" spans="1:986" s="151" customFormat="1">
      <c r="A165" s="278" t="s">
        <v>771</v>
      </c>
      <c r="B165" s="176">
        <v>3216.4</v>
      </c>
    </row>
    <row r="166" spans="1:986" s="151" customFormat="1">
      <c r="A166" s="278" t="s">
        <v>773</v>
      </c>
      <c r="B166" s="175"/>
    </row>
    <row r="167" spans="1:986" s="151" customFormat="1">
      <c r="A167" s="273" t="s">
        <v>241</v>
      </c>
      <c r="B167" s="175"/>
    </row>
    <row r="168" spans="1:986" s="151" customFormat="1">
      <c r="A168" s="278" t="s">
        <v>776</v>
      </c>
      <c r="B168" s="175">
        <v>5405.6</v>
      </c>
    </row>
    <row r="169" spans="1:986" s="151" customFormat="1">
      <c r="A169" s="278" t="s">
        <v>242</v>
      </c>
      <c r="B169" s="198">
        <v>3405.6</v>
      </c>
    </row>
    <row r="170" spans="1:986" s="151" customFormat="1">
      <c r="A170" s="278" t="s">
        <v>779</v>
      </c>
      <c r="B170" s="183">
        <v>5584</v>
      </c>
    </row>
    <row r="171" spans="1:986" s="151" customFormat="1">
      <c r="A171" s="273" t="s">
        <v>781</v>
      </c>
      <c r="B171" s="216">
        <v>5510.6</v>
      </c>
    </row>
    <row r="172" spans="1:986" s="151" customFormat="1">
      <c r="A172" s="278" t="s">
        <v>247</v>
      </c>
      <c r="B172" s="157">
        <f>2924+2000</f>
        <v>4924</v>
      </c>
    </row>
    <row r="173" spans="1:986" s="151" customFormat="1">
      <c r="A173" s="278" t="s">
        <v>243</v>
      </c>
      <c r="B173" s="175">
        <v>3216.4</v>
      </c>
    </row>
    <row r="174" spans="1:986" s="151" customFormat="1">
      <c r="A174" s="278" t="s">
        <v>789</v>
      </c>
      <c r="B174" s="175"/>
    </row>
    <row r="175" spans="1:986" s="151" customFormat="1">
      <c r="A175" s="278" t="s">
        <v>245</v>
      </c>
      <c r="B175" s="250">
        <v>5584</v>
      </c>
    </row>
    <row r="176" spans="1:986" s="151" customFormat="1">
      <c r="A176" s="273" t="s">
        <v>793</v>
      </c>
      <c r="B176" s="175"/>
    </row>
    <row r="177" spans="1:2" s="151" customFormat="1">
      <c r="A177" s="278" t="s">
        <v>795</v>
      </c>
      <c r="B177" s="175">
        <v>1710</v>
      </c>
    </row>
    <row r="178" spans="1:2" s="151" customFormat="1">
      <c r="A178" s="442" t="s">
        <v>797</v>
      </c>
      <c r="B178" s="198">
        <v>5510.6</v>
      </c>
    </row>
    <row r="179" spans="1:2" s="151" customFormat="1">
      <c r="A179" s="273" t="s">
        <v>801</v>
      </c>
      <c r="B179" s="157">
        <v>5584</v>
      </c>
    </row>
    <row r="180" spans="1:2" s="151" customFormat="1">
      <c r="A180" s="518" t="s">
        <v>804</v>
      </c>
      <c r="B180" s="157"/>
    </row>
    <row r="181" spans="1:2" s="151" customFormat="1">
      <c r="A181" s="273" t="s">
        <v>246</v>
      </c>
      <c r="B181" s="183"/>
    </row>
    <row r="182" spans="1:2" s="151" customFormat="1">
      <c r="A182" s="273" t="s">
        <v>807</v>
      </c>
      <c r="B182" s="157"/>
    </row>
    <row r="183" spans="1:2" s="151" customFormat="1">
      <c r="A183" s="273" t="s">
        <v>239</v>
      </c>
      <c r="B183" s="176">
        <f>3405.6+1565</f>
        <v>4970.6000000000004</v>
      </c>
    </row>
    <row r="184" spans="1:2" s="151" customFormat="1">
      <c r="A184" s="278"/>
      <c r="B184" s="175"/>
    </row>
    <row r="185" spans="1:2" s="151" customFormat="1">
      <c r="A185" s="278"/>
      <c r="B185" s="175"/>
    </row>
    <row r="186" spans="1:2" s="151" customFormat="1">
      <c r="A186" s="187" t="s">
        <v>810</v>
      </c>
      <c r="B186" s="175"/>
    </row>
    <row r="187" spans="1:2" s="151" customFormat="1">
      <c r="A187" s="273" t="s">
        <v>811</v>
      </c>
      <c r="B187" s="198">
        <v>5510.6</v>
      </c>
    </row>
    <row r="188" spans="1:2" s="151" customFormat="1">
      <c r="A188" s="273" t="s">
        <v>814</v>
      </c>
      <c r="B188" s="183"/>
    </row>
    <row r="189" spans="1:2" s="151" customFormat="1">
      <c r="A189" s="273" t="s">
        <v>230</v>
      </c>
      <c r="B189" s="201" t="s">
        <v>1989</v>
      </c>
    </row>
    <row r="190" spans="1:2" s="151" customFormat="1">
      <c r="A190" s="278" t="s">
        <v>818</v>
      </c>
      <c r="B190" s="175"/>
    </row>
    <row r="191" spans="1:2" s="151" customFormat="1">
      <c r="A191" s="278" t="s">
        <v>821</v>
      </c>
      <c r="B191" s="175">
        <v>2879.28</v>
      </c>
    </row>
    <row r="192" spans="1:2" s="151" customFormat="1">
      <c r="A192" s="278" t="s">
        <v>823</v>
      </c>
      <c r="B192" s="175">
        <v>4926.3999999999996</v>
      </c>
    </row>
    <row r="193" spans="1:2" s="151" customFormat="1">
      <c r="A193" s="278" t="s">
        <v>826</v>
      </c>
      <c r="B193" s="198">
        <v>756</v>
      </c>
    </row>
    <row r="194" spans="1:2" s="151" customFormat="1">
      <c r="A194" s="278" t="s">
        <v>828</v>
      </c>
      <c r="B194" s="198">
        <v>3376.4</v>
      </c>
    </row>
    <row r="195" spans="1:2" s="151" customFormat="1">
      <c r="A195" s="273" t="s">
        <v>831</v>
      </c>
      <c r="B195" s="175"/>
    </row>
    <row r="196" spans="1:2" s="151" customFormat="1">
      <c r="A196" s="278" t="s">
        <v>833</v>
      </c>
      <c r="B196" s="175"/>
    </row>
    <row r="197" spans="1:2" s="151" customFormat="1">
      <c r="A197" s="283" t="s">
        <v>836</v>
      </c>
      <c r="B197" s="198">
        <v>5216.3999999999996</v>
      </c>
    </row>
    <row r="198" spans="1:2" s="151" customFormat="1">
      <c r="A198" s="273" t="s">
        <v>232</v>
      </c>
      <c r="B198" s="176"/>
    </row>
    <row r="199" spans="1:2" s="151" customFormat="1">
      <c r="A199" s="273" t="s">
        <v>840</v>
      </c>
      <c r="B199" s="176"/>
    </row>
    <row r="200" spans="1:2" s="151" customFormat="1">
      <c r="A200" s="273" t="s">
        <v>842</v>
      </c>
      <c r="B200" s="201">
        <f>2105+525</f>
        <v>2630</v>
      </c>
    </row>
    <row r="201" spans="1:2" s="151" customFormat="1">
      <c r="A201" s="273" t="s">
        <v>234</v>
      </c>
      <c r="B201" s="175">
        <v>3216.4</v>
      </c>
    </row>
    <row r="202" spans="1:2" s="151" customFormat="1" ht="17.25" customHeight="1">
      <c r="A202" s="273" t="s">
        <v>236</v>
      </c>
      <c r="B202" s="175">
        <v>3216.4</v>
      </c>
    </row>
    <row r="203" spans="1:2" s="151" customFormat="1">
      <c r="A203" s="273" t="s">
        <v>849</v>
      </c>
      <c r="B203" s="176"/>
    </row>
    <row r="204" spans="1:2" s="151" customFormat="1">
      <c r="A204" s="273" t="s">
        <v>852</v>
      </c>
      <c r="B204" s="176"/>
    </row>
    <row r="205" spans="1:2" s="151" customFormat="1">
      <c r="A205" s="273" t="s">
        <v>237</v>
      </c>
      <c r="B205" s="176"/>
    </row>
    <row r="206" spans="1:2" s="151" customFormat="1">
      <c r="A206" s="278" t="s">
        <v>858</v>
      </c>
      <c r="B206" s="198">
        <v>3216.4</v>
      </c>
    </row>
    <row r="207" spans="1:2" s="151" customFormat="1">
      <c r="A207" s="273" t="s">
        <v>861</v>
      </c>
      <c r="B207" s="176">
        <v>3405.6</v>
      </c>
    </row>
    <row r="208" spans="1:2" s="151" customFormat="1">
      <c r="A208" s="273" t="s">
        <v>863</v>
      </c>
      <c r="B208" s="201"/>
    </row>
    <row r="209" spans="1:985" s="151" customFormat="1">
      <c r="A209" s="278"/>
      <c r="B209" s="175"/>
    </row>
    <row r="210" spans="1:985" s="151" customFormat="1">
      <c r="A210" s="278"/>
      <c r="B210" s="175"/>
    </row>
    <row r="211" spans="1:985" s="151" customFormat="1">
      <c r="A211" s="274"/>
      <c r="B211" s="175"/>
    </row>
    <row r="212" spans="1:985" s="151" customFormat="1">
      <c r="A212" s="296"/>
      <c r="B212" s="175"/>
    </row>
    <row r="213" spans="1:985">
      <c r="B213" s="175"/>
    </row>
    <row r="214" spans="1:985">
      <c r="B214" s="175"/>
    </row>
    <row r="215" spans="1:985" s="151" customFormat="1">
      <c r="A215" s="134" t="s">
        <v>865</v>
      </c>
      <c r="B215" s="150" t="s">
        <v>4</v>
      </c>
    </row>
    <row r="216" spans="1:985">
      <c r="A216" s="293" t="s">
        <v>866</v>
      </c>
      <c r="B216" s="290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</row>
    <row r="217" spans="1:985">
      <c r="A217" s="4" t="s">
        <v>869</v>
      </c>
      <c r="B217" s="291">
        <v>2815.3</v>
      </c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</row>
    <row r="218" spans="1:985">
      <c r="A218" s="293" t="s">
        <v>252</v>
      </c>
      <c r="B218" s="289">
        <v>5889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</row>
    <row r="219" spans="1:985">
      <c r="A219" s="293" t="s">
        <v>253</v>
      </c>
      <c r="B219" s="315">
        <v>3027.2</v>
      </c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</row>
    <row r="220" spans="1:985">
      <c r="A220" s="293" t="s">
        <v>254</v>
      </c>
      <c r="B220" s="443">
        <v>5884</v>
      </c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</row>
    <row r="221" spans="1:985">
      <c r="A221" s="293" t="s">
        <v>875</v>
      </c>
      <c r="B221" s="291">
        <v>4926.3999999999996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</row>
    <row r="222" spans="1:985">
      <c r="A222" s="282" t="s">
        <v>877</v>
      </c>
      <c r="B222" s="290">
        <v>5201</v>
      </c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</row>
    <row r="223" spans="1:985">
      <c r="A223" s="293" t="s">
        <v>255</v>
      </c>
      <c r="B223" s="291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</row>
    <row r="224" spans="1:985">
      <c r="A224" s="293" t="s">
        <v>250</v>
      </c>
      <c r="B224" s="291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</row>
    <row r="225" spans="1:985" ht="15.75" customHeight="1">
      <c r="A225" s="293" t="s">
        <v>882</v>
      </c>
      <c r="B225" s="291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</row>
    <row r="226" spans="1:985">
      <c r="A226" s="293" t="s">
        <v>884</v>
      </c>
      <c r="B226" s="289">
        <v>5510.6</v>
      </c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</row>
    <row r="227" spans="1:985">
      <c r="A227" s="4" t="s">
        <v>256</v>
      </c>
      <c r="B227" s="291">
        <v>3216.4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</row>
    <row r="228" spans="1:985">
      <c r="A228" s="282" t="s">
        <v>888</v>
      </c>
      <c r="B228" s="290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</row>
    <row r="229" spans="1:985">
      <c r="A229" s="293" t="s">
        <v>257</v>
      </c>
      <c r="B229" s="291">
        <f t="shared" ref="B229" si="1">2991.25+2000</f>
        <v>4991.25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</row>
    <row r="230" spans="1:985">
      <c r="A230" s="293" t="s">
        <v>893</v>
      </c>
      <c r="B230" s="326">
        <v>2991.25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</row>
    <row r="231" spans="1:985">
      <c r="A231" s="293" t="s">
        <v>258</v>
      </c>
      <c r="B231" s="315">
        <v>5510.6</v>
      </c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</row>
    <row r="232" spans="1:985">
      <c r="A232" s="293" t="s">
        <v>898</v>
      </c>
      <c r="B232" s="291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</row>
    <row r="233" spans="1:985">
      <c r="A233" s="4" t="s">
        <v>900</v>
      </c>
      <c r="B233" s="290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</row>
    <row r="234" spans="1:985">
      <c r="A234" s="293" t="s">
        <v>903</v>
      </c>
      <c r="B234" s="315">
        <v>5309</v>
      </c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</row>
    <row r="235" spans="1:985">
      <c r="A235" s="293" t="s">
        <v>259</v>
      </c>
      <c r="B235" s="289">
        <v>3784</v>
      </c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</row>
    <row r="236" spans="1:985">
      <c r="A236" s="293" t="s">
        <v>907</v>
      </c>
      <c r="B236" s="291">
        <v>3405.6</v>
      </c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</row>
    <row r="237" spans="1:985">
      <c r="A237" s="293"/>
      <c r="B237" s="291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</row>
    <row r="238" spans="1:985">
      <c r="A238" s="293"/>
      <c r="B238" s="291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</row>
    <row r="239" spans="1:985">
      <c r="A239" s="293"/>
      <c r="B239" s="291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</row>
    <row r="240" spans="1:985">
      <c r="A240" s="134" t="s">
        <v>909</v>
      </c>
      <c r="B240" s="291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</row>
    <row r="241" spans="1:985">
      <c r="A241" s="293" t="s">
        <v>910</v>
      </c>
      <c r="B241" s="291">
        <v>2991.25</v>
      </c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</row>
    <row r="242" spans="1:985">
      <c r="A242" s="282" t="s">
        <v>912</v>
      </c>
      <c r="B242" s="307">
        <v>5889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</row>
    <row r="243" spans="1:985">
      <c r="A243" s="282" t="s">
        <v>915</v>
      </c>
      <c r="B243" s="291">
        <v>5510.6</v>
      </c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</row>
    <row r="244" spans="1:985">
      <c r="A244" s="293" t="s">
        <v>920</v>
      </c>
      <c r="B244" s="290">
        <v>5321.4</v>
      </c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</row>
    <row r="245" spans="1:985">
      <c r="A245" s="293" t="s">
        <v>923</v>
      </c>
      <c r="B245" s="176">
        <v>5889</v>
      </c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</row>
    <row r="246" spans="1:985">
      <c r="A246" s="293" t="s">
        <v>926</v>
      </c>
      <c r="B246" s="291">
        <v>5205.6000000000004</v>
      </c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</row>
    <row r="247" spans="1:985">
      <c r="A247" s="293" t="s">
        <v>928</v>
      </c>
      <c r="B247" s="291">
        <v>3784</v>
      </c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</row>
    <row r="248" spans="1:985">
      <c r="A248" s="282" t="s">
        <v>930</v>
      </c>
      <c r="B248" s="315">
        <v>3216.4</v>
      </c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</row>
    <row r="249" spans="1:985">
      <c r="A249" s="293" t="s">
        <v>932</v>
      </c>
      <c r="B249" s="291">
        <v>5405.6</v>
      </c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</row>
    <row r="250" spans="1:985">
      <c r="A250" s="293" t="s">
        <v>934</v>
      </c>
      <c r="B250" s="316">
        <v>3405.6</v>
      </c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</row>
    <row r="251" spans="1:985">
      <c r="A251" s="293" t="s">
        <v>936</v>
      </c>
      <c r="B251" s="29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</row>
    <row r="252" spans="1:985">
      <c r="A252" s="293" t="s">
        <v>938</v>
      </c>
      <c r="B252" s="291">
        <v>3216.4</v>
      </c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</row>
    <row r="253" spans="1:985">
      <c r="A253" s="293" t="s">
        <v>248</v>
      </c>
      <c r="B253" s="291">
        <v>3027.2</v>
      </c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</row>
    <row r="254" spans="1:985">
      <c r="A254" s="4" t="s">
        <v>249</v>
      </c>
      <c r="B254" s="291">
        <f>90+4544</f>
        <v>4634</v>
      </c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</row>
    <row r="255" spans="1:985">
      <c r="A255" s="293" t="s">
        <v>251</v>
      </c>
      <c r="B255" s="291">
        <v>3405</v>
      </c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</row>
    <row r="256" spans="1:985">
      <c r="A256" s="293" t="s">
        <v>944</v>
      </c>
      <c r="B256" s="289">
        <v>5786.13</v>
      </c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</row>
    <row r="257" spans="1:985" ht="13.5" customHeight="1">
      <c r="A257" s="4" t="s">
        <v>946</v>
      </c>
      <c r="B257" s="290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</row>
    <row r="258" spans="1:985">
      <c r="A258" s="4" t="s">
        <v>948</v>
      </c>
      <c r="B258" s="289">
        <v>3973.2</v>
      </c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</row>
    <row r="259" spans="1:985">
      <c r="A259" s="335" t="s">
        <v>953</v>
      </c>
      <c r="B259" s="291">
        <v>5863.2</v>
      </c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</row>
    <row r="260" spans="1:985">
      <c r="A260" s="282" t="s">
        <v>955</v>
      </c>
      <c r="B260" s="291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</row>
    <row r="261" spans="1:985">
      <c r="A261" s="293" t="s">
        <v>957</v>
      </c>
      <c r="B261" s="290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</row>
    <row r="262" spans="1:985">
      <c r="A262" s="293" t="s">
        <v>959</v>
      </c>
      <c r="B262" s="289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</row>
    <row r="263" spans="1:985">
      <c r="A263" s="4"/>
      <c r="B263" s="291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</row>
    <row r="264" spans="1:985">
      <c r="A264" s="282"/>
      <c r="B264" s="291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</row>
    <row r="265" spans="1:985">
      <c r="A265" s="282"/>
      <c r="B265" s="175"/>
    </row>
    <row r="266" spans="1:985" s="151" customFormat="1">
      <c r="A266" s="134" t="s">
        <v>176</v>
      </c>
      <c r="B266" s="150" t="s">
        <v>4</v>
      </c>
    </row>
    <row r="267" spans="1:985">
      <c r="A267" s="335" t="s">
        <v>962</v>
      </c>
      <c r="B267" s="308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</row>
    <row r="268" spans="1:985">
      <c r="A268" s="293" t="s">
        <v>965</v>
      </c>
      <c r="B268" s="315">
        <v>5205.6000000000004</v>
      </c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</row>
    <row r="269" spans="1:985">
      <c r="A269" s="282" t="s">
        <v>967</v>
      </c>
      <c r="B269" s="289">
        <v>3216.4</v>
      </c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</row>
    <row r="270" spans="1:985">
      <c r="A270" s="293" t="s">
        <v>260</v>
      </c>
      <c r="B270" s="290">
        <v>5240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</row>
    <row r="271" spans="1:985">
      <c r="A271" s="293" t="s">
        <v>970</v>
      </c>
      <c r="B271" s="29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</row>
    <row r="272" spans="1:985">
      <c r="A272" s="293" t="s">
        <v>973</v>
      </c>
      <c r="B272" s="291">
        <v>5584</v>
      </c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</row>
    <row r="273" spans="1:985">
      <c r="A273" s="293" t="s">
        <v>975</v>
      </c>
      <c r="B273" s="291">
        <v>3784</v>
      </c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</row>
    <row r="274" spans="1:985">
      <c r="A274" s="282" t="s">
        <v>262</v>
      </c>
      <c r="B274" s="290">
        <f>185.55+370</f>
        <v>555.54999999999995</v>
      </c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</row>
    <row r="275" spans="1:985">
      <c r="A275" s="282" t="s">
        <v>979</v>
      </c>
      <c r="B275" s="291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</row>
    <row r="276" spans="1:985" ht="14.25" customHeight="1">
      <c r="A276" s="293" t="s">
        <v>984</v>
      </c>
      <c r="B276" s="307">
        <v>5216.3999999999996</v>
      </c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</row>
    <row r="277" spans="1:985">
      <c r="A277" s="282" t="s">
        <v>987</v>
      </c>
      <c r="B277" s="290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</row>
    <row r="278" spans="1:985">
      <c r="A278" s="282" t="s">
        <v>990</v>
      </c>
      <c r="B278" s="315">
        <v>5889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</row>
    <row r="279" spans="1:985">
      <c r="A279" s="293" t="s">
        <v>993</v>
      </c>
      <c r="B279" s="315">
        <v>5027.2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</row>
    <row r="280" spans="1:985">
      <c r="A280" s="4" t="s">
        <v>995</v>
      </c>
      <c r="B280" s="315">
        <v>5510.6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</row>
    <row r="281" spans="1:985">
      <c r="A281" s="293" t="s">
        <v>997</v>
      </c>
      <c r="B281" s="291">
        <v>3167.2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</row>
    <row r="282" spans="1:985">
      <c r="A282" s="293" t="s">
        <v>999</v>
      </c>
      <c r="B282" s="291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</row>
    <row r="283" spans="1:985">
      <c r="A283" s="293" t="s">
        <v>1002</v>
      </c>
      <c r="B283" s="291">
        <v>6327.95</v>
      </c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</row>
    <row r="284" spans="1:985">
      <c r="A284" s="282" t="s">
        <v>1005</v>
      </c>
      <c r="B284" s="290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</row>
    <row r="285" spans="1:985">
      <c r="A285" s="293" t="s">
        <v>267</v>
      </c>
      <c r="B285" s="291">
        <v>4896</v>
      </c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</row>
    <row r="286" spans="1:985">
      <c r="A286" s="293" t="s">
        <v>1009</v>
      </c>
      <c r="B286" s="315">
        <v>5545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</row>
    <row r="287" spans="1:985">
      <c r="A287" s="293"/>
      <c r="B287" s="291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</row>
    <row r="288" spans="1:985">
      <c r="A288" s="293"/>
      <c r="B288" s="291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</row>
    <row r="289" spans="1:985">
      <c r="A289" s="293"/>
      <c r="B289" s="291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</row>
    <row r="290" spans="1:985">
      <c r="A290" s="293" t="s">
        <v>1010</v>
      </c>
      <c r="B290" s="291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</row>
    <row r="291" spans="1:985">
      <c r="A291" s="293" t="s">
        <v>261</v>
      </c>
      <c r="B291" s="291">
        <v>3405.6</v>
      </c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</row>
    <row r="292" spans="1:985">
      <c r="A292" s="293" t="s">
        <v>1013</v>
      </c>
      <c r="B292" s="290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</row>
    <row r="293" spans="1:985">
      <c r="A293" s="293" t="s">
        <v>268</v>
      </c>
      <c r="B293" s="290">
        <v>5545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</row>
    <row r="294" spans="1:985">
      <c r="A294" s="293" t="s">
        <v>1017</v>
      </c>
      <c r="B294" s="290">
        <v>5584</v>
      </c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</row>
    <row r="295" spans="1:985">
      <c r="A295" s="293" t="s">
        <v>1019</v>
      </c>
      <c r="B295" s="315">
        <v>3405.6</v>
      </c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</row>
    <row r="296" spans="1:985">
      <c r="A296" s="293" t="s">
        <v>263</v>
      </c>
      <c r="B296" s="291">
        <f>3167.2+1475</f>
        <v>4642.2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</row>
    <row r="297" spans="1:985">
      <c r="A297" s="282" t="s">
        <v>1023</v>
      </c>
      <c r="B297" s="290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</row>
    <row r="298" spans="1:985">
      <c r="A298" s="282" t="s">
        <v>1025</v>
      </c>
      <c r="B298" s="290">
        <v>3784</v>
      </c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</row>
    <row r="299" spans="1:985">
      <c r="A299" s="293" t="s">
        <v>1027</v>
      </c>
      <c r="B299" s="291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</row>
    <row r="300" spans="1:985">
      <c r="A300" s="293" t="s">
        <v>1029</v>
      </c>
      <c r="B300" s="307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</row>
    <row r="301" spans="1:985">
      <c r="A301" s="282" t="s">
        <v>1031</v>
      </c>
      <c r="B301" s="290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</row>
    <row r="302" spans="1:985">
      <c r="A302" s="293" t="s">
        <v>1034</v>
      </c>
      <c r="B302" s="291">
        <v>2680.33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</row>
    <row r="303" spans="1:985">
      <c r="A303" s="282" t="s">
        <v>264</v>
      </c>
      <c r="B303" s="291">
        <v>3055.58</v>
      </c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</row>
    <row r="304" spans="1:985">
      <c r="A304" s="293" t="s">
        <v>1037</v>
      </c>
      <c r="B304" s="291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</row>
    <row r="305" spans="1:985">
      <c r="A305" s="293" t="s">
        <v>266</v>
      </c>
      <c r="B305" s="291">
        <v>4159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</row>
    <row r="306" spans="1:985">
      <c r="A306" s="293" t="s">
        <v>1041</v>
      </c>
      <c r="B306" s="291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</row>
    <row r="307" spans="1:985">
      <c r="A307" s="282" t="s">
        <v>1044</v>
      </c>
      <c r="B307" s="291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</row>
    <row r="308" spans="1:985">
      <c r="A308" s="293" t="s">
        <v>1047</v>
      </c>
      <c r="B308" s="291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</row>
    <row r="309" spans="1:985">
      <c r="A309" s="293" t="s">
        <v>1049</v>
      </c>
      <c r="B309" s="290">
        <v>3216</v>
      </c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</row>
    <row r="310" spans="1:985">
      <c r="A310" s="293" t="s">
        <v>1052</v>
      </c>
      <c r="B310" s="290">
        <v>5216.3999999999996</v>
      </c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</row>
    <row r="311" spans="1:985">
      <c r="A311" s="356"/>
      <c r="B311" s="290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</row>
    <row r="312" spans="1:985">
      <c r="A312" s="356"/>
      <c r="B312" s="290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</row>
    <row r="313" spans="1:985">
      <c r="B313" s="175"/>
    </row>
    <row r="314" spans="1:985" s="151" customFormat="1">
      <c r="A314" s="134" t="s">
        <v>1054</v>
      </c>
      <c r="B314" s="150" t="s">
        <v>4</v>
      </c>
    </row>
    <row r="315" spans="1:985">
      <c r="A315" s="293" t="s">
        <v>1055</v>
      </c>
      <c r="B315" s="290">
        <v>5599.75</v>
      </c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</row>
    <row r="316" spans="1:985">
      <c r="A316" s="293" t="s">
        <v>270</v>
      </c>
      <c r="B316" s="291">
        <v>4192.6499999999996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</row>
    <row r="317" spans="1:985">
      <c r="A317" s="293" t="s">
        <v>271</v>
      </c>
      <c r="B317" s="291">
        <f t="shared" ref="B317" si="2">3761.74+2000</f>
        <v>5761.74</v>
      </c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</row>
    <row r="318" spans="1:985">
      <c r="A318" s="293" t="s">
        <v>1060</v>
      </c>
      <c r="B318" s="291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</row>
    <row r="319" spans="1:985">
      <c r="A319" s="293" t="s">
        <v>1064</v>
      </c>
      <c r="B319" s="291">
        <v>3682.54</v>
      </c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</row>
    <row r="320" spans="1:985">
      <c r="A320" s="293" t="s">
        <v>1067</v>
      </c>
      <c r="B320" s="289">
        <v>3899.16</v>
      </c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</row>
    <row r="321" spans="1:985">
      <c r="A321" s="282" t="s">
        <v>273</v>
      </c>
      <c r="B321" s="290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</row>
    <row r="322" spans="1:985">
      <c r="A322" s="357" t="s">
        <v>1073</v>
      </c>
      <c r="B322" s="315">
        <v>3959.73</v>
      </c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</row>
    <row r="323" spans="1:985">
      <c r="A323" s="357" t="s">
        <v>274</v>
      </c>
      <c r="B323" s="315">
        <v>3726.8</v>
      </c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</row>
    <row r="324" spans="1:985">
      <c r="A324" s="352" t="s">
        <v>1076</v>
      </c>
      <c r="B324" s="290">
        <v>6340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</row>
    <row r="325" spans="1:985">
      <c r="A325" s="254" t="s">
        <v>1079</v>
      </c>
      <c r="B325" s="307">
        <v>5959.73</v>
      </c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</row>
    <row r="326" spans="1:985">
      <c r="A326" s="357" t="s">
        <v>1082</v>
      </c>
      <c r="B326" s="291">
        <v>6763.5</v>
      </c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</row>
    <row r="327" spans="1:985">
      <c r="A327" s="357" t="s">
        <v>1085</v>
      </c>
      <c r="B327" s="315">
        <v>3726.8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</row>
    <row r="328" spans="1:985">
      <c r="A328" s="254" t="s">
        <v>275</v>
      </c>
      <c r="B328" s="309">
        <f>2105+4658.5</f>
        <v>6763.5</v>
      </c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</row>
    <row r="329" spans="1:985">
      <c r="A329" s="293" t="s">
        <v>1088</v>
      </c>
      <c r="B329" s="291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</row>
    <row r="330" spans="1:985">
      <c r="A330" s="282" t="s">
        <v>1090</v>
      </c>
      <c r="B330" s="290">
        <v>5959.73</v>
      </c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</row>
    <row r="331" spans="1:985">
      <c r="A331" s="293" t="s">
        <v>1093</v>
      </c>
      <c r="B331" s="290">
        <v>3091.75</v>
      </c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</row>
    <row r="332" spans="1:985">
      <c r="A332" s="293" t="s">
        <v>1096</v>
      </c>
      <c r="B332" s="291">
        <v>5669.73</v>
      </c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</row>
    <row r="333" spans="1:985">
      <c r="A333" s="282" t="s">
        <v>1098</v>
      </c>
      <c r="B333" s="315">
        <v>6297.65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</row>
    <row r="334" spans="1:985">
      <c r="A334" s="293"/>
      <c r="B334" s="291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</row>
    <row r="335" spans="1:985">
      <c r="A335" s="293"/>
      <c r="B335" s="291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</row>
    <row r="336" spans="1:985">
      <c r="A336" s="134" t="s">
        <v>1101</v>
      </c>
      <c r="B336" s="291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</row>
    <row r="337" spans="1:985">
      <c r="A337" s="282" t="s">
        <v>1102</v>
      </c>
      <c r="B337" s="291">
        <v>2034.7</v>
      </c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</row>
    <row r="338" spans="1:985">
      <c r="A338" s="293" t="s">
        <v>1105</v>
      </c>
      <c r="B338" s="291">
        <v>3682.55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</row>
    <row r="339" spans="1:985">
      <c r="A339" s="282" t="s">
        <v>1107</v>
      </c>
      <c r="B339" s="290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</row>
    <row r="340" spans="1:985">
      <c r="A340" s="421" t="s">
        <v>1111</v>
      </c>
      <c r="B340" s="315">
        <v>3959.73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</row>
    <row r="341" spans="1:985">
      <c r="A341" s="421" t="s">
        <v>276</v>
      </c>
      <c r="B341" s="290">
        <v>6298</v>
      </c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</row>
    <row r="342" spans="1:985">
      <c r="A342" s="357" t="s">
        <v>279</v>
      </c>
      <c r="B342" s="315">
        <v>4192.6499999999996</v>
      </c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</row>
    <row r="343" spans="1:985">
      <c r="A343" s="357" t="s">
        <v>1117</v>
      </c>
      <c r="B343" s="291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</row>
    <row r="344" spans="1:985" ht="15.75" customHeight="1">
      <c r="A344" s="357" t="s">
        <v>1119</v>
      </c>
      <c r="B344" s="291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</row>
    <row r="345" spans="1:985">
      <c r="A345" s="357" t="s">
        <v>1122</v>
      </c>
      <c r="B345" s="315">
        <v>6763.5</v>
      </c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</row>
    <row r="346" spans="1:985">
      <c r="A346" s="509" t="s">
        <v>272</v>
      </c>
      <c r="B346" s="291">
        <v>1035</v>
      </c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</row>
    <row r="347" spans="1:985">
      <c r="A347" s="293" t="s">
        <v>280</v>
      </c>
      <c r="B347" s="289">
        <f>117.5+3580</f>
        <v>3697.5</v>
      </c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</row>
    <row r="348" spans="1:985">
      <c r="A348" s="293" t="s">
        <v>1126</v>
      </c>
      <c r="B348" s="289">
        <v>3682.55</v>
      </c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</row>
    <row r="349" spans="1:985">
      <c r="A349" s="4" t="s">
        <v>1128</v>
      </c>
      <c r="B349" s="290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</row>
    <row r="350" spans="1:985">
      <c r="A350" s="293" t="s">
        <v>1131</v>
      </c>
      <c r="B350" s="289">
        <v>3682.55</v>
      </c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</row>
    <row r="351" spans="1:985">
      <c r="A351" s="293" t="s">
        <v>1133</v>
      </c>
      <c r="B351" s="291">
        <v>931.7</v>
      </c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</row>
    <row r="352" spans="1:985">
      <c r="A352" s="293" t="s">
        <v>281</v>
      </c>
      <c r="B352" s="291">
        <v>3726.8</v>
      </c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</row>
    <row r="353" spans="1:985">
      <c r="A353" s="293" t="s">
        <v>1138</v>
      </c>
      <c r="B353" s="291">
        <v>3983.01</v>
      </c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</row>
    <row r="354" spans="1:985">
      <c r="A354" s="293" t="s">
        <v>1140</v>
      </c>
      <c r="B354" s="290">
        <v>4235</v>
      </c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</row>
    <row r="355" spans="1:985">
      <c r="A355" s="282" t="s">
        <v>1142</v>
      </c>
      <c r="B355" s="289">
        <v>5959.73</v>
      </c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</row>
    <row r="356" spans="1:985">
      <c r="A356" s="293" t="s">
        <v>1144</v>
      </c>
      <c r="B356" s="290">
        <v>6763.5</v>
      </c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</row>
    <row r="357" spans="1:985">
      <c r="A357" s="293"/>
      <c r="B357" s="291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</row>
    <row r="358" spans="1:985">
      <c r="A358" s="293"/>
      <c r="B358" s="291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</row>
    <row r="359" spans="1:985" s="151" customFormat="1">
      <c r="A359" s="187" t="s">
        <v>1147</v>
      </c>
      <c r="B359" s="149" t="s">
        <v>4</v>
      </c>
    </row>
    <row r="360" spans="1:985">
      <c r="A360" s="293" t="s">
        <v>1148</v>
      </c>
      <c r="B360" s="315">
        <v>6773.85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</row>
    <row r="361" spans="1:985">
      <c r="A361" s="293" t="s">
        <v>1150</v>
      </c>
      <c r="B361" s="289">
        <v>6815</v>
      </c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</row>
    <row r="362" spans="1:985">
      <c r="A362" s="293" t="s">
        <v>1152</v>
      </c>
      <c r="B362" s="291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</row>
    <row r="363" spans="1:985">
      <c r="A363" s="293" t="s">
        <v>1154</v>
      </c>
      <c r="B363" s="290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</row>
    <row r="364" spans="1:985">
      <c r="A364" s="293" t="s">
        <v>1157</v>
      </c>
      <c r="B364" s="290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</row>
    <row r="365" spans="1:985">
      <c r="A365" s="293" t="s">
        <v>1159</v>
      </c>
      <c r="B365" s="315">
        <v>4403.8500000000004</v>
      </c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</row>
    <row r="366" spans="1:985">
      <c r="A366" s="293" t="s">
        <v>283</v>
      </c>
      <c r="B366" s="291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</row>
    <row r="367" spans="1:985">
      <c r="A367" s="293" t="s">
        <v>284</v>
      </c>
      <c r="B367" s="291">
        <v>6767.9</v>
      </c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</row>
    <row r="368" spans="1:985">
      <c r="A368" s="293" t="s">
        <v>1163</v>
      </c>
      <c r="B368" s="291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</row>
    <row r="369" spans="1:985">
      <c r="A369" s="293" t="s">
        <v>1165</v>
      </c>
      <c r="B369" s="308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</row>
    <row r="370" spans="1:985">
      <c r="A370" s="293" t="s">
        <v>285</v>
      </c>
      <c r="B370" s="289">
        <v>2590.5</v>
      </c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</row>
    <row r="371" spans="1:985">
      <c r="A371" s="4" t="s">
        <v>287</v>
      </c>
      <c r="B371" s="291">
        <v>4403.8500000000004</v>
      </c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</row>
    <row r="372" spans="1:985">
      <c r="A372" s="293" t="s">
        <v>288</v>
      </c>
      <c r="B372" s="290">
        <v>5181</v>
      </c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</row>
    <row r="373" spans="1:985">
      <c r="A373" s="293" t="s">
        <v>1171</v>
      </c>
      <c r="B373" s="289">
        <v>5878.85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</row>
    <row r="374" spans="1:985">
      <c r="A374" s="293" t="s">
        <v>1173</v>
      </c>
      <c r="B374" s="326">
        <v>4095.58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</row>
    <row r="375" spans="1:985">
      <c r="A375" s="293" t="s">
        <v>1177</v>
      </c>
      <c r="B375" s="307">
        <v>7286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</row>
    <row r="376" spans="1:985">
      <c r="A376" s="293" t="s">
        <v>1180</v>
      </c>
      <c r="B376" s="315">
        <v>1228.2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</row>
    <row r="377" spans="1:985">
      <c r="A377" s="293" t="s">
        <v>1183</v>
      </c>
      <c r="B377" s="291">
        <v>3854.66</v>
      </c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</row>
    <row r="378" spans="1:985">
      <c r="A378" s="293" t="s">
        <v>1185</v>
      </c>
      <c r="B378" s="291">
        <f>424+315</f>
        <v>739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</row>
    <row r="379" spans="1:985">
      <c r="A379" s="293"/>
      <c r="B379" s="291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</row>
    <row r="380" spans="1:985">
      <c r="A380" s="187" t="s">
        <v>1187</v>
      </c>
      <c r="B380" s="291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</row>
    <row r="381" spans="1:985">
      <c r="A381" s="293" t="s">
        <v>1188</v>
      </c>
      <c r="B381" s="29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</row>
    <row r="382" spans="1:985">
      <c r="A382" s="293" t="s">
        <v>1190</v>
      </c>
      <c r="B382" s="290">
        <v>4662.8999999999996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</row>
    <row r="383" spans="1:985">
      <c r="A383" s="293" t="s">
        <v>289</v>
      </c>
      <c r="B383" s="291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</row>
    <row r="384" spans="1:985">
      <c r="A384" s="293" t="s">
        <v>1193</v>
      </c>
      <c r="B384" s="291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</row>
    <row r="385" spans="1:985">
      <c r="A385" s="293" t="s">
        <v>1195</v>
      </c>
      <c r="B385" s="289">
        <v>4403.8500000000004</v>
      </c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</row>
    <row r="386" spans="1:985">
      <c r="A386" s="293" t="s">
        <v>1197</v>
      </c>
      <c r="B386" s="289">
        <v>6203.85</v>
      </c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</row>
    <row r="387" spans="1:985">
      <c r="A387" s="293" t="s">
        <v>1199</v>
      </c>
      <c r="B387" s="290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</row>
    <row r="388" spans="1:985">
      <c r="A388" s="293" t="s">
        <v>1202</v>
      </c>
      <c r="B388" s="291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</row>
    <row r="389" spans="1:985">
      <c r="A389" s="311" t="s">
        <v>1206</v>
      </c>
      <c r="B389" s="291">
        <v>6113.85</v>
      </c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</row>
    <row r="390" spans="1:985">
      <c r="A390" s="4" t="s">
        <v>1208</v>
      </c>
      <c r="B390" s="291">
        <v>4710</v>
      </c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</row>
    <row r="391" spans="1:985">
      <c r="A391" s="293" t="s">
        <v>1210</v>
      </c>
      <c r="B391" s="291">
        <v>4403.8500000000004</v>
      </c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</row>
    <row r="392" spans="1:985">
      <c r="A392" s="293" t="s">
        <v>290</v>
      </c>
      <c r="B392" s="315">
        <v>6328.85</v>
      </c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</row>
    <row r="393" spans="1:985">
      <c r="A393" s="293" t="s">
        <v>1213</v>
      </c>
      <c r="B393" s="291">
        <v>6981</v>
      </c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</row>
    <row r="394" spans="1:985">
      <c r="A394" s="293" t="s">
        <v>1215</v>
      </c>
      <c r="B394" s="289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</row>
    <row r="395" spans="1:985" ht="15.75" customHeight="1">
      <c r="A395" s="327" t="s">
        <v>1217</v>
      </c>
      <c r="B395" s="291">
        <v>5037.8999999999996</v>
      </c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</row>
    <row r="396" spans="1:985">
      <c r="A396" s="335" t="s">
        <v>1219</v>
      </c>
      <c r="B396" s="291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</row>
    <row r="397" spans="1:985">
      <c r="A397" s="335" t="s">
        <v>1221</v>
      </c>
      <c r="B397" s="290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</row>
    <row r="398" spans="1:985">
      <c r="A398" s="327" t="s">
        <v>1223</v>
      </c>
      <c r="B398" s="291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</row>
    <row r="399" spans="1:985">
      <c r="A399" s="293" t="s">
        <v>1226</v>
      </c>
      <c r="B399" s="315">
        <v>6203.85</v>
      </c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</row>
    <row r="400" spans="1:985">
      <c r="A400" s="293" t="s">
        <v>1228</v>
      </c>
      <c r="B400" s="291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</row>
    <row r="401" spans="1:985">
      <c r="A401" s="282"/>
      <c r="B401" s="29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</row>
    <row r="402" spans="1:985">
      <c r="B402" s="175"/>
    </row>
    <row r="403" spans="1:985" s="151" customFormat="1">
      <c r="A403" s="134" t="s">
        <v>291</v>
      </c>
      <c r="B403" s="150" t="s">
        <v>4</v>
      </c>
    </row>
    <row r="404" spans="1:985" ht="15.75" customHeight="1">
      <c r="A404" s="293" t="s">
        <v>1232</v>
      </c>
      <c r="B404" s="315">
        <v>5037.8999999999996</v>
      </c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</row>
    <row r="405" spans="1:985">
      <c r="A405" s="293" t="s">
        <v>1234</v>
      </c>
      <c r="B405" s="290">
        <v>6114.25</v>
      </c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</row>
    <row r="406" spans="1:985">
      <c r="A406" s="293" t="s">
        <v>1238</v>
      </c>
      <c r="B406" s="315">
        <v>5181</v>
      </c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</row>
    <row r="407" spans="1:985">
      <c r="A407" s="293" t="s">
        <v>1241</v>
      </c>
      <c r="B407" s="291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</row>
    <row r="408" spans="1:985">
      <c r="A408" s="263" t="s">
        <v>1243</v>
      </c>
      <c r="B408" s="290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</row>
    <row r="409" spans="1:985">
      <c r="A409" s="282" t="s">
        <v>1245</v>
      </c>
      <c r="B409" s="290">
        <v>85</v>
      </c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</row>
    <row r="410" spans="1:985">
      <c r="A410" s="387" t="s">
        <v>1247</v>
      </c>
      <c r="B410" s="315">
        <v>5663.85</v>
      </c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</row>
    <row r="411" spans="1:985">
      <c r="A411" s="293" t="s">
        <v>1249</v>
      </c>
      <c r="B411" s="289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</row>
    <row r="412" spans="1:985">
      <c r="A412" s="293" t="s">
        <v>1251</v>
      </c>
      <c r="B412" s="290">
        <v>6144.8</v>
      </c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</row>
    <row r="413" spans="1:985">
      <c r="A413" s="293" t="s">
        <v>1253</v>
      </c>
      <c r="B413" s="290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</row>
    <row r="414" spans="1:985">
      <c r="A414" s="293" t="s">
        <v>1256</v>
      </c>
      <c r="B414" s="291">
        <v>5780.25</v>
      </c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</row>
    <row r="415" spans="1:985">
      <c r="A415" s="293" t="s">
        <v>1259</v>
      </c>
      <c r="B415" s="289">
        <v>6403.85</v>
      </c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</row>
    <row r="416" spans="1:985">
      <c r="A416" s="293" t="s">
        <v>292</v>
      </c>
      <c r="B416" s="291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</row>
    <row r="417" spans="1:985">
      <c r="A417" s="282" t="s">
        <v>295</v>
      </c>
      <c r="B417" s="290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</row>
    <row r="418" spans="1:985">
      <c r="A418" s="293" t="s">
        <v>1264</v>
      </c>
      <c r="B418" s="291">
        <v>4662.8999999999996</v>
      </c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</row>
    <row r="419" spans="1:985">
      <c r="A419" s="387" t="s">
        <v>1266</v>
      </c>
      <c r="B419" s="315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</row>
    <row r="420" spans="1:985">
      <c r="A420" s="293" t="s">
        <v>1268</v>
      </c>
      <c r="B420" s="291">
        <v>5781</v>
      </c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</row>
    <row r="421" spans="1:985">
      <c r="A421" s="282" t="s">
        <v>1271</v>
      </c>
      <c r="B421" s="289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</row>
    <row r="422" spans="1:985">
      <c r="A422" s="293" t="s">
        <v>1273</v>
      </c>
      <c r="B422" s="291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</row>
    <row r="423" spans="1:985">
      <c r="A423" s="293" t="s">
        <v>1276</v>
      </c>
      <c r="B423" s="291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</row>
    <row r="424" spans="1:985">
      <c r="A424" s="293" t="s">
        <v>1278</v>
      </c>
      <c r="B424" s="290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</row>
    <row r="425" spans="1:985">
      <c r="A425" s="282" t="s">
        <v>1281</v>
      </c>
      <c r="B425" s="291">
        <v>7003.85</v>
      </c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</row>
    <row r="426" spans="1:985">
      <c r="A426" s="293" t="s">
        <v>294</v>
      </c>
      <c r="B426" s="308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</row>
    <row r="427" spans="1:985">
      <c r="A427" s="293" t="s">
        <v>296</v>
      </c>
      <c r="B427" s="290">
        <v>7980</v>
      </c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</row>
    <row r="428" spans="1:985">
      <c r="A428" s="282" t="s">
        <v>1287</v>
      </c>
      <c r="B428" s="291">
        <v>7003.85</v>
      </c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</row>
    <row r="429" spans="1:985">
      <c r="A429" s="293" t="s">
        <v>1289</v>
      </c>
      <c r="B429" s="291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</row>
    <row r="430" spans="1:985">
      <c r="A430" s="293" t="s">
        <v>1291</v>
      </c>
      <c r="B430" s="316">
        <v>6981</v>
      </c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</row>
    <row r="431" spans="1:985">
      <c r="A431" s="352" t="s">
        <v>1293</v>
      </c>
      <c r="B431" s="29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</row>
    <row r="432" spans="1:985">
      <c r="A432" s="293" t="s">
        <v>297</v>
      </c>
      <c r="B432" s="308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</row>
    <row r="433" spans="1:985">
      <c r="A433" s="293" t="s">
        <v>1297</v>
      </c>
      <c r="B433" s="290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</row>
    <row r="434" spans="1:985">
      <c r="A434" s="293"/>
      <c r="B434" s="290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</row>
    <row r="435" spans="1:985">
      <c r="A435" s="282"/>
      <c r="B435" s="291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</row>
    <row r="436" spans="1:985">
      <c r="B436" s="291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</row>
    <row r="437" spans="1:985" s="151" customFormat="1">
      <c r="A437" s="133" t="s">
        <v>298</v>
      </c>
      <c r="B437" s="150" t="s">
        <v>4</v>
      </c>
    </row>
    <row r="438" spans="1:985">
      <c r="A438" s="352" t="s">
        <v>299</v>
      </c>
      <c r="B438" s="315">
        <v>7005.5</v>
      </c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</row>
    <row r="439" spans="1:985" ht="15.75" customHeight="1">
      <c r="A439" s="356" t="s">
        <v>1301</v>
      </c>
      <c r="B439" s="289">
        <v>4207.5</v>
      </c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</row>
    <row r="440" spans="1:985">
      <c r="A440" s="421" t="s">
        <v>300</v>
      </c>
      <c r="B440" s="291">
        <v>4900.5</v>
      </c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</row>
    <row r="441" spans="1:985">
      <c r="A441" s="421" t="s">
        <v>301</v>
      </c>
      <c r="B441" s="289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</row>
    <row r="442" spans="1:985" ht="18" customHeight="1">
      <c r="A442" s="352" t="s">
        <v>1305</v>
      </c>
      <c r="B442" s="291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</row>
    <row r="443" spans="1:985">
      <c r="A443" s="421" t="s">
        <v>302</v>
      </c>
      <c r="B443" s="290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</row>
    <row r="444" spans="1:985">
      <c r="A444" s="421" t="s">
        <v>308</v>
      </c>
      <c r="B444" s="175">
        <f>4207.5+2000</f>
        <v>6207.5</v>
      </c>
    </row>
    <row r="445" spans="1:985">
      <c r="A445" s="357" t="s">
        <v>1309</v>
      </c>
      <c r="B445" s="31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</row>
    <row r="446" spans="1:985">
      <c r="A446" s="421" t="s">
        <v>1312</v>
      </c>
      <c r="B446" s="315">
        <f>4628.25+2000</f>
        <v>6628.25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</row>
    <row r="447" spans="1:985">
      <c r="A447" s="352" t="s">
        <v>1315</v>
      </c>
      <c r="B447" s="290">
        <v>2711.25</v>
      </c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</row>
    <row r="448" spans="1:985">
      <c r="A448" s="352" t="s">
        <v>1317</v>
      </c>
      <c r="B448" s="307">
        <v>6628.25</v>
      </c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</row>
    <row r="449" spans="1:985">
      <c r="A449" s="352" t="s">
        <v>1319</v>
      </c>
      <c r="B449" s="290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</row>
    <row r="450" spans="1:985">
      <c r="A450" s="352" t="s">
        <v>1322</v>
      </c>
      <c r="B450" s="307">
        <v>6628.25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</row>
    <row r="451" spans="1:985">
      <c r="A451" s="352" t="s">
        <v>1324</v>
      </c>
      <c r="B451" s="29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</row>
    <row r="452" spans="1:985">
      <c r="A452" s="352" t="s">
        <v>304</v>
      </c>
      <c r="B452" s="291">
        <v>3811.5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</row>
    <row r="453" spans="1:985">
      <c r="A453" s="352" t="s">
        <v>1328</v>
      </c>
      <c r="B453" s="290">
        <v>6207.5</v>
      </c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</row>
    <row r="454" spans="1:985">
      <c r="A454" s="352" t="s">
        <v>1330</v>
      </c>
      <c r="B454" s="291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</row>
    <row r="455" spans="1:985">
      <c r="A455" s="421" t="s">
        <v>309</v>
      </c>
      <c r="B455" s="291">
        <v>5820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</row>
    <row r="456" spans="1:985">
      <c r="A456" s="293" t="s">
        <v>1333</v>
      </c>
      <c r="B456" s="290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</row>
    <row r="457" spans="1:985">
      <c r="A457" s="293" t="s">
        <v>1336</v>
      </c>
      <c r="B457" s="290">
        <f>4628.25+2000</f>
        <v>6628.25</v>
      </c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</row>
    <row r="458" spans="1:985">
      <c r="A458" s="513" t="s">
        <v>305</v>
      </c>
      <c r="B458" s="393">
        <v>4628.25</v>
      </c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</row>
    <row r="459" spans="1:985">
      <c r="A459" s="293" t="s">
        <v>1339</v>
      </c>
      <c r="B459" s="289">
        <v>4304.2700000000004</v>
      </c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</row>
    <row r="460" spans="1:985">
      <c r="A460" s="512" t="s">
        <v>306</v>
      </c>
      <c r="B460" s="404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</row>
    <row r="461" spans="1:985">
      <c r="A461" s="512" t="s">
        <v>1342</v>
      </c>
      <c r="B461" s="403">
        <v>5445</v>
      </c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</row>
    <row r="462" spans="1:985">
      <c r="A462" s="352" t="s">
        <v>1344</v>
      </c>
      <c r="B462" s="291">
        <v>4628.25</v>
      </c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</row>
    <row r="463" spans="1:985">
      <c r="A463" s="352" t="s">
        <v>1346</v>
      </c>
      <c r="B463" s="515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</row>
    <row r="464" spans="1:985">
      <c r="A464" s="352" t="s">
        <v>307</v>
      </c>
      <c r="B464" s="40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</row>
    <row r="465" spans="1:985">
      <c r="A465" s="293"/>
      <c r="B465" s="404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</row>
    <row r="466" spans="1:985">
      <c r="A466" s="293"/>
      <c r="B466" s="404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</row>
    <row r="467" spans="1:985">
      <c r="A467" s="264"/>
      <c r="B467" s="402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</row>
    <row r="468" spans="1:985">
      <c r="A468" s="263"/>
      <c r="B468" s="291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</row>
    <row r="469" spans="1:985">
      <c r="A469" s="263"/>
      <c r="B469" s="291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</row>
    <row r="470" spans="1:985">
      <c r="B470" s="175"/>
    </row>
    <row r="471" spans="1:985">
      <c r="B471" s="175"/>
    </row>
    <row r="472" spans="1:985" s="151" customFormat="1">
      <c r="A472" s="133" t="s">
        <v>310</v>
      </c>
      <c r="B472" s="150" t="s">
        <v>4</v>
      </c>
    </row>
    <row r="473" spans="1:985">
      <c r="A473" s="282" t="s">
        <v>342</v>
      </c>
      <c r="B473" s="354">
        <v>5445</v>
      </c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</row>
    <row r="474" spans="1:985">
      <c r="A474" s="282" t="s">
        <v>343</v>
      </c>
      <c r="B474" s="289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</row>
    <row r="475" spans="1:985">
      <c r="A475" s="293" t="s">
        <v>311</v>
      </c>
      <c r="B475" s="315">
        <v>6553.25</v>
      </c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</row>
    <row r="476" spans="1:985">
      <c r="A476" s="282" t="s">
        <v>346</v>
      </c>
      <c r="B476" s="290">
        <v>7550</v>
      </c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</row>
    <row r="477" spans="1:985">
      <c r="A477" s="282" t="s">
        <v>312</v>
      </c>
      <c r="B477" s="290">
        <v>7055</v>
      </c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</row>
    <row r="478" spans="1:985">
      <c r="A478" s="282" t="s">
        <v>349</v>
      </c>
      <c r="B478" s="291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</row>
    <row r="479" spans="1:985" ht="15.75" customHeight="1">
      <c r="A479" s="282" t="s">
        <v>351</v>
      </c>
      <c r="B479" s="291">
        <v>7355.77</v>
      </c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</row>
    <row r="480" spans="1:985">
      <c r="A480" s="293" t="s">
        <v>353</v>
      </c>
      <c r="B480" s="290" t="s">
        <v>1363</v>
      </c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</row>
    <row r="481" spans="1:985">
      <c r="A481" s="282" t="s">
        <v>354</v>
      </c>
      <c r="B481" s="289">
        <v>7550</v>
      </c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</row>
    <row r="482" spans="1:985">
      <c r="A482" s="293" t="s">
        <v>356</v>
      </c>
      <c r="B482" s="290">
        <v>5003.25</v>
      </c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</row>
    <row r="483" spans="1:985">
      <c r="A483" s="282" t="s">
        <v>358</v>
      </c>
      <c r="B483" s="291">
        <v>6338.25</v>
      </c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</row>
    <row r="484" spans="1:985">
      <c r="A484" s="282" t="s">
        <v>360</v>
      </c>
      <c r="B484" s="315">
        <f>4628.25+2000</f>
        <v>6628.25</v>
      </c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</row>
    <row r="485" spans="1:985">
      <c r="A485" s="293" t="s">
        <v>362</v>
      </c>
      <c r="B485" s="308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</row>
    <row r="486" spans="1:985">
      <c r="A486" s="282" t="s">
        <v>364</v>
      </c>
      <c r="B486" s="291">
        <v>3856.87</v>
      </c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</row>
    <row r="487" spans="1:985">
      <c r="A487" s="293" t="s">
        <v>365</v>
      </c>
      <c r="B487" s="291">
        <v>6338.25</v>
      </c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</row>
    <row r="488" spans="1:985">
      <c r="A488" s="293" t="s">
        <v>366</v>
      </c>
      <c r="B488" s="291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</row>
    <row r="489" spans="1:985">
      <c r="A489" s="293" t="s">
        <v>368</v>
      </c>
      <c r="B489" s="289">
        <v>7055</v>
      </c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</row>
    <row r="490" spans="1:985">
      <c r="A490" s="282" t="s">
        <v>370</v>
      </c>
      <c r="B490" s="308">
        <v>5445</v>
      </c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</row>
    <row r="491" spans="1:985">
      <c r="A491" s="293" t="s">
        <v>371</v>
      </c>
      <c r="B491" s="290">
        <v>4628.25</v>
      </c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</row>
    <row r="492" spans="1:985">
      <c r="A492" s="293" t="s">
        <v>373</v>
      </c>
      <c r="B492" s="290">
        <f>2105+5445</f>
        <v>7550</v>
      </c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</row>
    <row r="493" spans="1:985">
      <c r="A493" s="293" t="s">
        <v>375</v>
      </c>
      <c r="B493" s="290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</row>
    <row r="494" spans="1:985">
      <c r="A494" s="293" t="s">
        <v>376</v>
      </c>
      <c r="B494" s="291">
        <v>7245</v>
      </c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</row>
    <row r="495" spans="1:985">
      <c r="A495" s="282" t="s">
        <v>377</v>
      </c>
      <c r="B495" s="291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</row>
    <row r="496" spans="1:985">
      <c r="A496" s="293" t="s">
        <v>379</v>
      </c>
      <c r="B496" s="291">
        <v>4557.46</v>
      </c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</row>
    <row r="497" spans="1:985">
      <c r="A497" s="293" t="s">
        <v>380</v>
      </c>
      <c r="B497" s="290">
        <f>3960+2396</f>
        <v>6356</v>
      </c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</row>
    <row r="498" spans="1:985">
      <c r="A498" s="282"/>
      <c r="B498" s="291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</row>
    <row r="499" spans="1:985">
      <c r="A499" s="282"/>
      <c r="B499" s="291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</row>
    <row r="500" spans="1:985">
      <c r="A500" s="282" t="s">
        <v>1383</v>
      </c>
      <c r="B500" s="175"/>
    </row>
    <row r="501" spans="1:985">
      <c r="A501" s="414" t="s">
        <v>313</v>
      </c>
      <c r="B501" s="150" t="s">
        <v>4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</row>
    <row r="502" spans="1:985">
      <c r="A502" s="169" t="s">
        <v>1384</v>
      </c>
      <c r="B502" s="183">
        <v>3562</v>
      </c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</row>
    <row r="503" spans="1:985">
      <c r="A503" s="169" t="s">
        <v>320</v>
      </c>
      <c r="B503" s="183">
        <v>5667.35</v>
      </c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</row>
    <row r="504" spans="1:985">
      <c r="A504" s="293" t="s">
        <v>315</v>
      </c>
      <c r="B504" s="291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</row>
    <row r="505" spans="1:985">
      <c r="A505" s="169" t="s">
        <v>1389</v>
      </c>
      <c r="B505" s="157">
        <v>6006.9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</row>
    <row r="506" spans="1:985">
      <c r="A506" s="169" t="s">
        <v>1392</v>
      </c>
      <c r="B506" s="183">
        <f>4100+91</f>
        <v>4191</v>
      </c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</row>
    <row r="507" spans="1:985">
      <c r="A507" s="169" t="s">
        <v>1394</v>
      </c>
      <c r="B507" s="15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</row>
    <row r="508" spans="1:985">
      <c r="A508" s="169" t="s">
        <v>1396</v>
      </c>
      <c r="B508" s="157">
        <v>3562.33</v>
      </c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</row>
    <row r="509" spans="1:985">
      <c r="A509" s="169" t="s">
        <v>1398</v>
      </c>
      <c r="B509" s="183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</row>
    <row r="510" spans="1:985">
      <c r="A510" s="293" t="s">
        <v>316</v>
      </c>
      <c r="B510" s="291">
        <v>3810</v>
      </c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</row>
    <row r="511" spans="1:985">
      <c r="A511" s="169" t="s">
        <v>1402</v>
      </c>
      <c r="B511" s="203">
        <v>4569</v>
      </c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</row>
    <row r="512" spans="1:985">
      <c r="A512" s="169" t="s">
        <v>317</v>
      </c>
      <c r="B512" s="295">
        <v>3771.9</v>
      </c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</row>
    <row r="513" spans="1:985">
      <c r="A513" s="169" t="s">
        <v>1405</v>
      </c>
      <c r="B513" s="157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/>
      <c r="ACQ513"/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/>
      <c r="AFE513"/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/>
      <c r="AHS513"/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/>
      <c r="AKG513"/>
      <c r="AKH513"/>
      <c r="AKI513"/>
      <c r="AKJ513"/>
      <c r="AKK513"/>
      <c r="AKL513"/>
      <c r="AKM513"/>
      <c r="AKN513"/>
      <c r="AKO513"/>
      <c r="AKP513"/>
      <c r="AKQ513"/>
      <c r="AKR513"/>
      <c r="AKS513"/>
      <c r="AKT513"/>
      <c r="AKU513"/>
      <c r="AKV513"/>
      <c r="AKW513"/>
    </row>
    <row r="514" spans="1:985">
      <c r="A514" s="169" t="s">
        <v>1409</v>
      </c>
      <c r="B514" s="183">
        <v>3526</v>
      </c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</row>
    <row r="515" spans="1:985">
      <c r="A515" s="169" t="s">
        <v>1411</v>
      </c>
      <c r="B515" s="157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</row>
    <row r="516" spans="1:985">
      <c r="A516" s="169" t="s">
        <v>321</v>
      </c>
      <c r="B516" s="157">
        <v>4566</v>
      </c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</row>
    <row r="517" spans="1:985">
      <c r="A517" s="169" t="s">
        <v>1415</v>
      </c>
      <c r="B517" s="157">
        <v>4191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</row>
    <row r="518" spans="1:985">
      <c r="A518" s="169" t="s">
        <v>1417</v>
      </c>
      <c r="B518" s="183">
        <f>4191+1800</f>
        <v>5991</v>
      </c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</row>
    <row r="519" spans="1:985">
      <c r="A519" s="169" t="s">
        <v>1419</v>
      </c>
      <c r="B519" s="183">
        <v>4566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</row>
    <row r="520" spans="1:985">
      <c r="A520" s="169" t="s">
        <v>318</v>
      </c>
      <c r="B520" s="295">
        <v>3771.9</v>
      </c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</row>
    <row r="521" spans="1:985">
      <c r="A521" s="169"/>
      <c r="B521" s="157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</row>
    <row r="522" spans="1:985">
      <c r="A522" s="169"/>
      <c r="B522" s="157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/>
      <c r="ADK522"/>
      <c r="ADL522"/>
      <c r="ADM522"/>
      <c r="ADN522"/>
      <c r="ADO522"/>
      <c r="ADP522"/>
      <c r="ADQ522"/>
      <c r="ADR522"/>
      <c r="ADS522"/>
      <c r="ADT522"/>
      <c r="ADU522"/>
      <c r="ADV522"/>
      <c r="ADW522"/>
      <c r="ADX522"/>
      <c r="ADY522"/>
      <c r="ADZ522"/>
      <c r="AEA522"/>
      <c r="AEB522"/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/>
      <c r="AEU522"/>
      <c r="AEV522"/>
      <c r="AEW522"/>
      <c r="AEX522"/>
      <c r="AEY522"/>
      <c r="AEZ522"/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/>
      <c r="AJE522"/>
      <c r="AJF522"/>
      <c r="AJG522"/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/>
      <c r="AJZ522"/>
      <c r="AKA522"/>
      <c r="AKB522"/>
      <c r="AKC522"/>
      <c r="AKD522"/>
      <c r="AKE522"/>
      <c r="AKF522"/>
      <c r="AKG522"/>
      <c r="AKH522"/>
      <c r="AKI522"/>
      <c r="AKJ522"/>
      <c r="AKK522"/>
      <c r="AKL522"/>
      <c r="AKM522"/>
      <c r="AKN522"/>
      <c r="AKO522"/>
      <c r="AKP522"/>
      <c r="AKQ522"/>
      <c r="AKR522"/>
      <c r="AKS522"/>
      <c r="AKT522"/>
      <c r="AKU522"/>
      <c r="AKV522"/>
      <c r="AKW522"/>
    </row>
    <row r="523" spans="1:985">
      <c r="A523" s="178"/>
      <c r="B523" s="157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</row>
    <row r="524" spans="1:985">
      <c r="A524" s="414" t="s">
        <v>323</v>
      </c>
      <c r="B524" s="150" t="s">
        <v>4</v>
      </c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</row>
    <row r="525" spans="1:985">
      <c r="A525" s="169" t="s">
        <v>1422</v>
      </c>
      <c r="B525" s="157">
        <f>270+600+3400+595</f>
        <v>4865</v>
      </c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</row>
    <row r="526" spans="1:985">
      <c r="A526" s="169" t="s">
        <v>1426</v>
      </c>
      <c r="B526" s="157">
        <v>375</v>
      </c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  <c r="ZY526"/>
      <c r="ZZ526"/>
      <c r="AAA526"/>
      <c r="AAB526"/>
      <c r="AAC526"/>
      <c r="AAD526"/>
      <c r="AAE526"/>
      <c r="AAF526"/>
      <c r="AAG526"/>
      <c r="AAH526"/>
      <c r="AAI526"/>
      <c r="AAJ526"/>
      <c r="AAK526"/>
      <c r="AAL526"/>
      <c r="AAM526"/>
      <c r="AAN526"/>
      <c r="AAO526"/>
      <c r="AAP526"/>
      <c r="AAQ526"/>
      <c r="AAR526"/>
      <c r="AAS526"/>
      <c r="AAT526"/>
      <c r="AAU526"/>
      <c r="AAV526"/>
      <c r="AAW526"/>
      <c r="AAX526"/>
      <c r="AAY526"/>
      <c r="AAZ526"/>
      <c r="ABA526"/>
      <c r="ABB526"/>
      <c r="ABC526"/>
      <c r="ABD526"/>
      <c r="ABE526"/>
      <c r="ABF526"/>
      <c r="ABG526"/>
      <c r="ABH526"/>
      <c r="ABI526"/>
      <c r="ABJ526"/>
      <c r="ABK526"/>
      <c r="ABL526"/>
      <c r="ABM526"/>
      <c r="ABN526"/>
      <c r="ABO526"/>
      <c r="ABP526"/>
      <c r="ABQ526"/>
      <c r="ABR526"/>
      <c r="ABS526"/>
      <c r="ABT526"/>
      <c r="ABU526"/>
      <c r="ABV526"/>
      <c r="ABW526"/>
      <c r="ABX526"/>
      <c r="ABY526"/>
      <c r="ABZ526"/>
      <c r="ACA526"/>
      <c r="ACB526"/>
      <c r="ACC526"/>
      <c r="ACD526"/>
      <c r="ACE526"/>
      <c r="ACF526"/>
      <c r="ACG526"/>
      <c r="ACH526"/>
      <c r="ACI526"/>
      <c r="ACJ526"/>
      <c r="ACK526"/>
      <c r="ACL526"/>
      <c r="ACM526"/>
      <c r="ACN526"/>
      <c r="ACO526"/>
      <c r="ACP526"/>
      <c r="ACQ526"/>
      <c r="ACR526"/>
      <c r="ACS526"/>
      <c r="ACT526"/>
      <c r="ACU526"/>
      <c r="ACV526"/>
      <c r="ACW526"/>
      <c r="ACX526"/>
      <c r="ACY526"/>
      <c r="ACZ526"/>
      <c r="ADA526"/>
      <c r="ADB526"/>
      <c r="ADC526"/>
      <c r="ADD526"/>
      <c r="ADE526"/>
      <c r="ADF526"/>
      <c r="ADG526"/>
      <c r="ADH526"/>
      <c r="ADI526"/>
      <c r="ADJ526"/>
      <c r="ADK526"/>
      <c r="ADL526"/>
      <c r="ADM526"/>
      <c r="ADN526"/>
      <c r="ADO526"/>
      <c r="ADP526"/>
      <c r="ADQ526"/>
      <c r="ADR526"/>
      <c r="ADS526"/>
      <c r="ADT526"/>
      <c r="ADU526"/>
      <c r="ADV526"/>
      <c r="ADW526"/>
      <c r="ADX526"/>
      <c r="ADY526"/>
      <c r="ADZ526"/>
      <c r="AEA526"/>
      <c r="AEB526"/>
      <c r="AEC526"/>
      <c r="AED526"/>
      <c r="AEE526"/>
      <c r="AEF526"/>
      <c r="AEG526"/>
      <c r="AEH526"/>
      <c r="AEI526"/>
      <c r="AEJ526"/>
      <c r="AEK526"/>
      <c r="AEL526"/>
      <c r="AEM526"/>
      <c r="AEN526"/>
      <c r="AEO526"/>
      <c r="AEP526"/>
      <c r="AEQ526"/>
      <c r="AER526"/>
      <c r="AES526"/>
      <c r="AET526"/>
      <c r="AEU526"/>
      <c r="AEV526"/>
      <c r="AEW526"/>
      <c r="AEX526"/>
      <c r="AEY526"/>
      <c r="AEZ526"/>
      <c r="AFA526"/>
      <c r="AFB526"/>
      <c r="AFC526"/>
      <c r="AFD526"/>
      <c r="AFE526"/>
      <c r="AFF526"/>
      <c r="AFG526"/>
      <c r="AFH526"/>
      <c r="AFI526"/>
      <c r="AFJ526"/>
      <c r="AFK526"/>
      <c r="AFL526"/>
      <c r="AFM526"/>
      <c r="AFN526"/>
      <c r="AFO526"/>
      <c r="AFP526"/>
      <c r="AFQ526"/>
      <c r="AFR526"/>
      <c r="AFS526"/>
      <c r="AFT526"/>
      <c r="AFU526"/>
      <c r="AFV526"/>
      <c r="AFW526"/>
      <c r="AFX526"/>
      <c r="AFY526"/>
      <c r="AFZ526"/>
      <c r="AGA526"/>
      <c r="AGB526"/>
      <c r="AGC526"/>
      <c r="AGD526"/>
      <c r="AGE526"/>
      <c r="AGF526"/>
      <c r="AGG526"/>
      <c r="AGH526"/>
      <c r="AGI526"/>
      <c r="AGJ526"/>
      <c r="AGK526"/>
      <c r="AGL526"/>
      <c r="AGM526"/>
      <c r="AGN526"/>
      <c r="AGO526"/>
      <c r="AGP526"/>
      <c r="AGQ526"/>
      <c r="AGR526"/>
      <c r="AGS526"/>
      <c r="AGT526"/>
      <c r="AGU526"/>
      <c r="AGV526"/>
      <c r="AGW526"/>
      <c r="AGX526"/>
      <c r="AGY526"/>
      <c r="AGZ526"/>
      <c r="AHA526"/>
      <c r="AHB526"/>
      <c r="AHC526"/>
      <c r="AHD526"/>
      <c r="AHE526"/>
      <c r="AHF526"/>
      <c r="AHG526"/>
      <c r="AHH526"/>
      <c r="AHI526"/>
      <c r="AHJ526"/>
      <c r="AHK526"/>
      <c r="AHL526"/>
      <c r="AHM526"/>
      <c r="AHN526"/>
      <c r="AHO526"/>
      <c r="AHP526"/>
      <c r="AHQ526"/>
      <c r="AHR526"/>
      <c r="AHS526"/>
      <c r="AHT526"/>
      <c r="AHU526"/>
      <c r="AHV526"/>
      <c r="AHW526"/>
      <c r="AHX526"/>
      <c r="AHY526"/>
      <c r="AHZ526"/>
      <c r="AIA526"/>
      <c r="AIB526"/>
      <c r="AIC526"/>
      <c r="AID526"/>
      <c r="AIE526"/>
      <c r="AIF526"/>
      <c r="AIG526"/>
      <c r="AIH526"/>
      <c r="AII526"/>
      <c r="AIJ526"/>
      <c r="AIK526"/>
      <c r="AIL526"/>
      <c r="AIM526"/>
      <c r="AIN526"/>
      <c r="AIO526"/>
      <c r="AIP526"/>
      <c r="AIQ526"/>
      <c r="AIR526"/>
      <c r="AIS526"/>
      <c r="AIT526"/>
      <c r="AIU526"/>
      <c r="AIV526"/>
      <c r="AIW526"/>
      <c r="AIX526"/>
      <c r="AIY526"/>
      <c r="AIZ526"/>
      <c r="AJA526"/>
      <c r="AJB526"/>
      <c r="AJC526"/>
      <c r="AJD526"/>
      <c r="AJE526"/>
      <c r="AJF526"/>
      <c r="AJG526"/>
      <c r="AJH526"/>
      <c r="AJI526"/>
      <c r="AJJ526"/>
      <c r="AJK526"/>
      <c r="AJL526"/>
      <c r="AJM526"/>
      <c r="AJN526"/>
      <c r="AJO526"/>
      <c r="AJP526"/>
      <c r="AJQ526"/>
      <c r="AJR526"/>
      <c r="AJS526"/>
      <c r="AJT526"/>
      <c r="AJU526"/>
      <c r="AJV526"/>
      <c r="AJW526"/>
      <c r="AJX526"/>
      <c r="AJY526"/>
      <c r="AJZ526"/>
      <c r="AKA526"/>
      <c r="AKB526"/>
      <c r="AKC526"/>
      <c r="AKD526"/>
      <c r="AKE526"/>
      <c r="AKF526"/>
      <c r="AKG526"/>
      <c r="AKH526"/>
      <c r="AKI526"/>
      <c r="AKJ526"/>
      <c r="AKK526"/>
      <c r="AKL526"/>
      <c r="AKM526"/>
      <c r="AKN526"/>
      <c r="AKO526"/>
      <c r="AKP526"/>
      <c r="AKQ526"/>
      <c r="AKR526"/>
      <c r="AKS526"/>
      <c r="AKT526"/>
      <c r="AKU526"/>
      <c r="AKV526"/>
      <c r="AKW526"/>
    </row>
    <row r="527" spans="1:985">
      <c r="A527" s="293" t="s">
        <v>325</v>
      </c>
      <c r="B527" s="15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/>
      <c r="AIP527"/>
      <c r="AIQ527"/>
      <c r="AIR527"/>
      <c r="AIS527"/>
      <c r="AIT527"/>
      <c r="AIU527"/>
      <c r="AIV527"/>
      <c r="AIW527"/>
      <c r="AIX527"/>
      <c r="AIY527"/>
      <c r="AIZ527"/>
      <c r="AJA527"/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/>
      <c r="AJZ527"/>
      <c r="AKA527"/>
      <c r="AKB527"/>
      <c r="AKC527"/>
      <c r="AKD527"/>
      <c r="AKE527"/>
      <c r="AKF527"/>
      <c r="AKG527"/>
      <c r="AKH527"/>
      <c r="AKI527"/>
      <c r="AKJ527"/>
      <c r="AKK527"/>
      <c r="AKL527"/>
      <c r="AKM527"/>
      <c r="AKN527"/>
      <c r="AKO527"/>
      <c r="AKP527"/>
      <c r="AKQ527"/>
      <c r="AKR527"/>
      <c r="AKS527"/>
      <c r="AKT527"/>
      <c r="AKU527"/>
      <c r="AKV527"/>
      <c r="AKW527"/>
    </row>
    <row r="528" spans="1:985">
      <c r="A528" s="293" t="s">
        <v>1429</v>
      </c>
      <c r="B528" s="291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  <c r="ZW528"/>
      <c r="ZX528"/>
      <c r="ZY528"/>
      <c r="ZZ528"/>
      <c r="AAA528"/>
      <c r="AAB528"/>
      <c r="AAC528"/>
      <c r="AAD528"/>
      <c r="AAE528"/>
      <c r="AAF528"/>
      <c r="AAG528"/>
      <c r="AAH528"/>
      <c r="AAI528"/>
      <c r="AAJ528"/>
      <c r="AAK528"/>
      <c r="AAL528"/>
      <c r="AAM528"/>
      <c r="AAN528"/>
      <c r="AAO528"/>
      <c r="AAP528"/>
      <c r="AAQ528"/>
      <c r="AAR528"/>
      <c r="AAS528"/>
      <c r="AAT528"/>
      <c r="AAU528"/>
      <c r="AAV528"/>
      <c r="AAW528"/>
      <c r="AAX528"/>
      <c r="AAY528"/>
      <c r="AAZ528"/>
      <c r="ABA528"/>
      <c r="ABB528"/>
      <c r="ABC528"/>
      <c r="ABD528"/>
      <c r="ABE528"/>
      <c r="ABF528"/>
      <c r="ABG528"/>
      <c r="ABH528"/>
      <c r="ABI528"/>
      <c r="ABJ528"/>
      <c r="ABK528"/>
      <c r="ABL528"/>
      <c r="ABM528"/>
      <c r="ABN528"/>
      <c r="ABO528"/>
      <c r="ABP528"/>
      <c r="ABQ528"/>
      <c r="ABR528"/>
      <c r="ABS528"/>
      <c r="ABT528"/>
      <c r="ABU528"/>
      <c r="ABV528"/>
      <c r="ABW528"/>
      <c r="ABX528"/>
      <c r="ABY528"/>
      <c r="ABZ528"/>
      <c r="ACA528"/>
      <c r="ACB528"/>
      <c r="ACC528"/>
      <c r="ACD528"/>
      <c r="ACE528"/>
      <c r="ACF528"/>
      <c r="ACG528"/>
      <c r="ACH528"/>
      <c r="ACI528"/>
      <c r="ACJ528"/>
      <c r="ACK528"/>
      <c r="ACL528"/>
      <c r="ACM528"/>
      <c r="ACN528"/>
      <c r="ACO528"/>
      <c r="ACP528"/>
      <c r="ACQ528"/>
      <c r="ACR528"/>
      <c r="ACS528"/>
      <c r="ACT528"/>
      <c r="ACU528"/>
      <c r="ACV528"/>
      <c r="ACW528"/>
      <c r="ACX528"/>
      <c r="ACY528"/>
      <c r="ACZ528"/>
      <c r="ADA528"/>
      <c r="ADB528"/>
      <c r="ADC528"/>
      <c r="ADD528"/>
      <c r="ADE528"/>
      <c r="ADF528"/>
      <c r="ADG528"/>
      <c r="ADH528"/>
      <c r="ADI528"/>
      <c r="ADJ528"/>
      <c r="ADK528"/>
      <c r="ADL528"/>
      <c r="ADM528"/>
      <c r="ADN528"/>
      <c r="ADO528"/>
      <c r="ADP528"/>
      <c r="ADQ528"/>
      <c r="ADR528"/>
      <c r="ADS528"/>
      <c r="ADT528"/>
      <c r="ADU528"/>
      <c r="ADV528"/>
      <c r="ADW528"/>
      <c r="ADX528"/>
      <c r="ADY528"/>
      <c r="ADZ528"/>
      <c r="AEA528"/>
      <c r="AEB528"/>
      <c r="AEC528"/>
      <c r="AED528"/>
      <c r="AEE528"/>
      <c r="AEF528"/>
      <c r="AEG528"/>
      <c r="AEH528"/>
      <c r="AEI528"/>
      <c r="AEJ528"/>
      <c r="AEK528"/>
      <c r="AEL528"/>
      <c r="AEM528"/>
      <c r="AEN528"/>
      <c r="AEO528"/>
      <c r="AEP528"/>
      <c r="AEQ528"/>
      <c r="AER528"/>
      <c r="AES528"/>
      <c r="AET528"/>
      <c r="AEU528"/>
      <c r="AEV528"/>
      <c r="AEW528"/>
      <c r="AEX528"/>
      <c r="AEY528"/>
      <c r="AEZ528"/>
      <c r="AFA528"/>
      <c r="AFB528"/>
      <c r="AFC528"/>
      <c r="AFD528"/>
      <c r="AFE528"/>
      <c r="AFF528"/>
      <c r="AFG528"/>
      <c r="AFH528"/>
      <c r="AFI528"/>
      <c r="AFJ528"/>
      <c r="AFK528"/>
      <c r="AFL528"/>
      <c r="AFM528"/>
      <c r="AFN528"/>
      <c r="AFO528"/>
      <c r="AFP528"/>
      <c r="AFQ528"/>
      <c r="AFR528"/>
      <c r="AFS528"/>
      <c r="AFT528"/>
      <c r="AFU528"/>
      <c r="AFV528"/>
      <c r="AFW528"/>
      <c r="AFX528"/>
      <c r="AFY528"/>
      <c r="AFZ528"/>
      <c r="AGA528"/>
      <c r="AGB528"/>
      <c r="AGC528"/>
      <c r="AGD528"/>
      <c r="AGE528"/>
      <c r="AGF528"/>
      <c r="AGG528"/>
      <c r="AGH528"/>
      <c r="AGI528"/>
      <c r="AGJ528"/>
      <c r="AGK528"/>
      <c r="AGL528"/>
      <c r="AGM528"/>
      <c r="AGN528"/>
      <c r="AGO528"/>
      <c r="AGP528"/>
      <c r="AGQ528"/>
      <c r="AGR528"/>
      <c r="AGS528"/>
      <c r="AGT528"/>
      <c r="AGU528"/>
      <c r="AGV528"/>
      <c r="AGW528"/>
      <c r="AGX528"/>
      <c r="AGY528"/>
      <c r="AGZ528"/>
      <c r="AHA528"/>
      <c r="AHB528"/>
      <c r="AHC528"/>
      <c r="AHD528"/>
      <c r="AHE528"/>
      <c r="AHF528"/>
      <c r="AHG528"/>
      <c r="AHH528"/>
      <c r="AHI528"/>
      <c r="AHJ528"/>
      <c r="AHK528"/>
      <c r="AHL528"/>
      <c r="AHM528"/>
      <c r="AHN528"/>
      <c r="AHO528"/>
      <c r="AHP528"/>
      <c r="AHQ528"/>
      <c r="AHR528"/>
      <c r="AHS528"/>
      <c r="AHT528"/>
      <c r="AHU528"/>
      <c r="AHV528"/>
      <c r="AHW528"/>
      <c r="AHX528"/>
      <c r="AHY528"/>
      <c r="AHZ528"/>
      <c r="AIA528"/>
      <c r="AIB528"/>
      <c r="AIC528"/>
      <c r="AID528"/>
      <c r="AIE528"/>
      <c r="AIF528"/>
      <c r="AIG528"/>
      <c r="AIH528"/>
      <c r="AII528"/>
      <c r="AIJ528"/>
      <c r="AIK528"/>
      <c r="AIL528"/>
      <c r="AIM528"/>
      <c r="AIN528"/>
      <c r="AIO528"/>
      <c r="AIP528"/>
      <c r="AIQ528"/>
      <c r="AIR528"/>
      <c r="AIS528"/>
      <c r="AIT528"/>
      <c r="AIU528"/>
      <c r="AIV528"/>
      <c r="AIW528"/>
      <c r="AIX528"/>
      <c r="AIY528"/>
      <c r="AIZ528"/>
      <c r="AJA528"/>
      <c r="AJB528"/>
      <c r="AJC528"/>
      <c r="AJD528"/>
      <c r="AJE528"/>
      <c r="AJF528"/>
      <c r="AJG528"/>
      <c r="AJH528"/>
      <c r="AJI528"/>
      <c r="AJJ528"/>
      <c r="AJK528"/>
      <c r="AJL528"/>
      <c r="AJM528"/>
      <c r="AJN528"/>
      <c r="AJO528"/>
      <c r="AJP528"/>
      <c r="AJQ528"/>
      <c r="AJR528"/>
      <c r="AJS528"/>
      <c r="AJT528"/>
      <c r="AJU528"/>
      <c r="AJV528"/>
      <c r="AJW528"/>
      <c r="AJX528"/>
      <c r="AJY528"/>
      <c r="AJZ528"/>
      <c r="AKA528"/>
      <c r="AKB528"/>
      <c r="AKC528"/>
      <c r="AKD528"/>
      <c r="AKE528"/>
      <c r="AKF528"/>
      <c r="AKG528"/>
      <c r="AKH528"/>
      <c r="AKI528"/>
      <c r="AKJ528"/>
      <c r="AKK528"/>
      <c r="AKL528"/>
      <c r="AKM528"/>
      <c r="AKN528"/>
      <c r="AKO528"/>
      <c r="AKP528"/>
      <c r="AKQ528"/>
      <c r="AKR528"/>
      <c r="AKS528"/>
      <c r="AKT528"/>
      <c r="AKU528"/>
      <c r="AKV528"/>
      <c r="AKW528"/>
    </row>
    <row r="529" spans="1:985">
      <c r="A529" s="293" t="s">
        <v>1432</v>
      </c>
      <c r="B529" s="291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/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/>
      <c r="ABO529"/>
      <c r="ABP529"/>
      <c r="ABQ529"/>
      <c r="ABR529"/>
      <c r="ABS529"/>
      <c r="ABT529"/>
      <c r="ABU529"/>
      <c r="ABV529"/>
      <c r="ABW529"/>
      <c r="ABX529"/>
      <c r="ABY529"/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/>
      <c r="ACY529"/>
      <c r="ACZ529"/>
      <c r="ADA529"/>
      <c r="ADB529"/>
      <c r="ADC529"/>
      <c r="ADD529"/>
      <c r="ADE529"/>
      <c r="ADF529"/>
      <c r="ADG529"/>
      <c r="ADH529"/>
      <c r="ADI529"/>
      <c r="ADJ529"/>
      <c r="ADK529"/>
      <c r="ADL529"/>
      <c r="ADM529"/>
      <c r="ADN529"/>
      <c r="ADO529"/>
      <c r="ADP529"/>
      <c r="ADQ529"/>
      <c r="ADR529"/>
      <c r="ADS529"/>
      <c r="ADT529"/>
      <c r="ADU529"/>
      <c r="ADV529"/>
      <c r="ADW529"/>
      <c r="ADX529"/>
      <c r="ADY529"/>
      <c r="ADZ529"/>
      <c r="AEA529"/>
      <c r="AEB529"/>
      <c r="AEC529"/>
      <c r="AED529"/>
      <c r="AEE529"/>
      <c r="AEF529"/>
      <c r="AEG529"/>
      <c r="AEH529"/>
      <c r="AEI529"/>
      <c r="AEJ529"/>
      <c r="AEK529"/>
      <c r="AEL529"/>
      <c r="AEM529"/>
      <c r="AEN529"/>
      <c r="AEO529"/>
      <c r="AEP529"/>
      <c r="AEQ529"/>
      <c r="AER529"/>
      <c r="AES529"/>
      <c r="AET529"/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/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/>
      <c r="AIM529"/>
      <c r="AIN529"/>
      <c r="AIO529"/>
      <c r="AIP529"/>
      <c r="AIQ529"/>
      <c r="AIR529"/>
      <c r="AIS529"/>
      <c r="AIT529"/>
      <c r="AIU529"/>
      <c r="AIV529"/>
      <c r="AIW529"/>
      <c r="AIX529"/>
      <c r="AIY529"/>
      <c r="AIZ529"/>
      <c r="AJA529"/>
      <c r="AJB529"/>
      <c r="AJC529"/>
      <c r="AJD529"/>
      <c r="AJE529"/>
      <c r="AJF529"/>
      <c r="AJG529"/>
      <c r="AJH529"/>
      <c r="AJI529"/>
      <c r="AJJ529"/>
      <c r="AJK529"/>
      <c r="AJL529"/>
      <c r="AJM529"/>
      <c r="AJN529"/>
      <c r="AJO529"/>
      <c r="AJP529"/>
      <c r="AJQ529"/>
      <c r="AJR529"/>
      <c r="AJS529"/>
      <c r="AJT529"/>
      <c r="AJU529"/>
      <c r="AJV529"/>
      <c r="AJW529"/>
      <c r="AJX529"/>
      <c r="AJY529"/>
      <c r="AJZ529"/>
      <c r="AKA529"/>
      <c r="AKB529"/>
      <c r="AKC529"/>
      <c r="AKD529"/>
      <c r="AKE529"/>
      <c r="AKF529"/>
      <c r="AKG529"/>
      <c r="AKH529"/>
      <c r="AKI529"/>
      <c r="AKJ529"/>
      <c r="AKK529"/>
      <c r="AKL529"/>
      <c r="AKM529"/>
      <c r="AKN529"/>
      <c r="AKO529"/>
      <c r="AKP529"/>
      <c r="AKQ529"/>
      <c r="AKR529"/>
      <c r="AKS529"/>
      <c r="AKT529"/>
      <c r="AKU529"/>
      <c r="AKV529"/>
      <c r="AKW529"/>
    </row>
    <row r="530" spans="1:985">
      <c r="A530" s="169" t="s">
        <v>1434</v>
      </c>
      <c r="B530" s="183">
        <v>5919.5</v>
      </c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/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/>
      <c r="AJN530"/>
      <c r="AJO530"/>
      <c r="AJP530"/>
      <c r="AJQ530"/>
      <c r="AJR530"/>
      <c r="AJS530"/>
      <c r="AJT530"/>
      <c r="AJU530"/>
      <c r="AJV530"/>
      <c r="AJW530"/>
      <c r="AJX530"/>
      <c r="AJY530"/>
      <c r="AJZ530"/>
      <c r="AKA530"/>
      <c r="AKB530"/>
      <c r="AKC530"/>
      <c r="AKD530"/>
      <c r="AKE530"/>
      <c r="AKF530"/>
      <c r="AKG530"/>
      <c r="AKH530"/>
      <c r="AKI530"/>
      <c r="AKJ530"/>
      <c r="AKK530"/>
      <c r="AKL530"/>
      <c r="AKM530"/>
      <c r="AKN530"/>
      <c r="AKO530"/>
      <c r="AKP530"/>
      <c r="AKQ530"/>
      <c r="AKR530"/>
      <c r="AKS530"/>
      <c r="AKT530"/>
      <c r="AKU530"/>
      <c r="AKV530"/>
      <c r="AKW530"/>
    </row>
    <row r="531" spans="1:985">
      <c r="A531" s="169" t="s">
        <v>324</v>
      </c>
      <c r="B531" s="157">
        <v>3295.88</v>
      </c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  <c r="ZW531"/>
      <c r="ZX531"/>
      <c r="ZY531"/>
      <c r="ZZ531"/>
      <c r="AAA531"/>
      <c r="AAB531"/>
      <c r="AAC531"/>
      <c r="AAD531"/>
      <c r="AAE531"/>
      <c r="AAF531"/>
      <c r="AAG531"/>
      <c r="AAH531"/>
      <c r="AAI531"/>
      <c r="AAJ531"/>
      <c r="AAK531"/>
      <c r="AAL531"/>
      <c r="AAM531"/>
      <c r="AAN531"/>
      <c r="AAO531"/>
      <c r="AAP531"/>
      <c r="AAQ531"/>
      <c r="AAR531"/>
      <c r="AAS531"/>
      <c r="AAT531"/>
      <c r="AAU531"/>
      <c r="AAV531"/>
      <c r="AAW531"/>
      <c r="AAX531"/>
      <c r="AAY531"/>
      <c r="AAZ531"/>
      <c r="ABA531"/>
      <c r="ABB531"/>
      <c r="ABC531"/>
      <c r="ABD531"/>
      <c r="ABE531"/>
      <c r="ABF531"/>
      <c r="ABG531"/>
      <c r="ABH531"/>
      <c r="ABI531"/>
      <c r="ABJ531"/>
      <c r="ABK531"/>
      <c r="ABL531"/>
      <c r="ABM531"/>
      <c r="ABN531"/>
      <c r="ABO531"/>
      <c r="ABP531"/>
      <c r="ABQ531"/>
      <c r="ABR531"/>
      <c r="ABS531"/>
      <c r="ABT531"/>
      <c r="ABU531"/>
      <c r="ABV531"/>
      <c r="ABW531"/>
      <c r="ABX531"/>
      <c r="ABY531"/>
      <c r="ABZ531"/>
      <c r="ACA531"/>
      <c r="ACB531"/>
      <c r="ACC531"/>
      <c r="ACD531"/>
      <c r="ACE531"/>
      <c r="ACF531"/>
      <c r="ACG531"/>
      <c r="ACH531"/>
      <c r="ACI531"/>
      <c r="ACJ531"/>
      <c r="ACK531"/>
      <c r="ACL531"/>
      <c r="ACM531"/>
      <c r="ACN531"/>
      <c r="ACO531"/>
      <c r="ACP531"/>
      <c r="ACQ531"/>
      <c r="ACR531"/>
      <c r="ACS531"/>
      <c r="ACT531"/>
      <c r="ACU531"/>
      <c r="ACV531"/>
      <c r="ACW531"/>
      <c r="ACX531"/>
      <c r="ACY531"/>
      <c r="ACZ531"/>
      <c r="ADA531"/>
      <c r="ADB531"/>
      <c r="ADC531"/>
      <c r="ADD531"/>
      <c r="ADE531"/>
      <c r="ADF531"/>
      <c r="ADG531"/>
      <c r="ADH531"/>
      <c r="ADI531"/>
      <c r="ADJ531"/>
      <c r="ADK531"/>
      <c r="ADL531"/>
      <c r="ADM531"/>
      <c r="ADN531"/>
      <c r="ADO531"/>
      <c r="ADP531"/>
      <c r="ADQ531"/>
      <c r="ADR531"/>
      <c r="ADS531"/>
      <c r="ADT531"/>
      <c r="ADU531"/>
      <c r="ADV531"/>
      <c r="ADW531"/>
      <c r="ADX531"/>
      <c r="ADY531"/>
      <c r="ADZ531"/>
      <c r="AEA531"/>
      <c r="AEB531"/>
      <c r="AEC531"/>
      <c r="AED531"/>
      <c r="AEE531"/>
      <c r="AEF531"/>
      <c r="AEG531"/>
      <c r="AEH531"/>
      <c r="AEI531"/>
      <c r="AEJ531"/>
      <c r="AEK531"/>
      <c r="AEL531"/>
      <c r="AEM531"/>
      <c r="AEN531"/>
      <c r="AEO531"/>
      <c r="AEP531"/>
      <c r="AEQ531"/>
      <c r="AER531"/>
      <c r="AES531"/>
      <c r="AET531"/>
      <c r="AEU531"/>
      <c r="AEV531"/>
      <c r="AEW531"/>
      <c r="AEX531"/>
      <c r="AEY531"/>
      <c r="AEZ531"/>
      <c r="AFA531"/>
      <c r="AFB531"/>
      <c r="AFC531"/>
      <c r="AFD531"/>
      <c r="AFE531"/>
      <c r="AFF531"/>
      <c r="AFG531"/>
      <c r="AFH531"/>
      <c r="AFI531"/>
      <c r="AFJ531"/>
      <c r="AFK531"/>
      <c r="AFL531"/>
      <c r="AFM531"/>
      <c r="AFN531"/>
      <c r="AFO531"/>
      <c r="AFP531"/>
      <c r="AFQ531"/>
      <c r="AFR531"/>
      <c r="AFS531"/>
      <c r="AFT531"/>
      <c r="AFU531"/>
      <c r="AFV531"/>
      <c r="AFW531"/>
      <c r="AFX531"/>
      <c r="AFY531"/>
      <c r="AFZ531"/>
      <c r="AGA531"/>
      <c r="AGB531"/>
      <c r="AGC531"/>
      <c r="AGD531"/>
      <c r="AGE531"/>
      <c r="AGF531"/>
      <c r="AGG531"/>
      <c r="AGH531"/>
      <c r="AGI531"/>
      <c r="AGJ531"/>
      <c r="AGK531"/>
      <c r="AGL531"/>
      <c r="AGM531"/>
      <c r="AGN531"/>
      <c r="AGO531"/>
      <c r="AGP531"/>
      <c r="AGQ531"/>
      <c r="AGR531"/>
      <c r="AGS531"/>
      <c r="AGT531"/>
      <c r="AGU531"/>
      <c r="AGV531"/>
      <c r="AGW531"/>
      <c r="AGX531"/>
      <c r="AGY531"/>
      <c r="AGZ531"/>
      <c r="AHA531"/>
      <c r="AHB531"/>
      <c r="AHC531"/>
      <c r="AHD531"/>
      <c r="AHE531"/>
      <c r="AHF531"/>
      <c r="AHG531"/>
      <c r="AHH531"/>
      <c r="AHI531"/>
      <c r="AHJ531"/>
      <c r="AHK531"/>
      <c r="AHL531"/>
      <c r="AHM531"/>
      <c r="AHN531"/>
      <c r="AHO531"/>
      <c r="AHP531"/>
      <c r="AHQ531"/>
      <c r="AHR531"/>
      <c r="AHS531"/>
      <c r="AHT531"/>
      <c r="AHU531"/>
      <c r="AHV531"/>
      <c r="AHW531"/>
      <c r="AHX531"/>
      <c r="AHY531"/>
      <c r="AHZ531"/>
      <c r="AIA531"/>
      <c r="AIB531"/>
      <c r="AIC531"/>
      <c r="AID531"/>
      <c r="AIE531"/>
      <c r="AIF531"/>
      <c r="AIG531"/>
      <c r="AIH531"/>
      <c r="AII531"/>
      <c r="AIJ531"/>
      <c r="AIK531"/>
      <c r="AIL531"/>
      <c r="AIM531"/>
      <c r="AIN531"/>
      <c r="AIO531"/>
      <c r="AIP531"/>
      <c r="AIQ531"/>
      <c r="AIR531"/>
      <c r="AIS531"/>
      <c r="AIT531"/>
      <c r="AIU531"/>
      <c r="AIV531"/>
      <c r="AIW531"/>
      <c r="AIX531"/>
      <c r="AIY531"/>
      <c r="AIZ531"/>
      <c r="AJA531"/>
      <c r="AJB531"/>
      <c r="AJC531"/>
      <c r="AJD531"/>
      <c r="AJE531"/>
      <c r="AJF531"/>
      <c r="AJG531"/>
      <c r="AJH531"/>
      <c r="AJI531"/>
      <c r="AJJ531"/>
      <c r="AJK531"/>
      <c r="AJL531"/>
      <c r="AJM531"/>
      <c r="AJN531"/>
      <c r="AJO531"/>
      <c r="AJP531"/>
      <c r="AJQ531"/>
      <c r="AJR531"/>
      <c r="AJS531"/>
      <c r="AJT531"/>
      <c r="AJU531"/>
      <c r="AJV531"/>
      <c r="AJW531"/>
      <c r="AJX531"/>
      <c r="AJY531"/>
      <c r="AJZ531"/>
      <c r="AKA531"/>
      <c r="AKB531"/>
      <c r="AKC531"/>
      <c r="AKD531"/>
      <c r="AKE531"/>
      <c r="AKF531"/>
      <c r="AKG531"/>
      <c r="AKH531"/>
      <c r="AKI531"/>
      <c r="AKJ531"/>
      <c r="AKK531"/>
      <c r="AKL531"/>
      <c r="AKM531"/>
      <c r="AKN531"/>
      <c r="AKO531"/>
      <c r="AKP531"/>
      <c r="AKQ531"/>
      <c r="AKR531"/>
      <c r="AKS531"/>
      <c r="AKT531"/>
      <c r="AKU531"/>
      <c r="AKV531"/>
      <c r="AKW531"/>
    </row>
    <row r="532" spans="1:985">
      <c r="A532" s="169" t="s">
        <v>1438</v>
      </c>
      <c r="B532" s="157" t="s">
        <v>1439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</row>
    <row r="533" spans="1:985">
      <c r="A533" s="169" t="s">
        <v>1440</v>
      </c>
      <c r="B533" s="157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  <c r="ZW533"/>
      <c r="ZX533"/>
      <c r="ZY533"/>
      <c r="ZZ533"/>
      <c r="AAA533"/>
      <c r="AAB533"/>
      <c r="AAC533"/>
      <c r="AAD533"/>
      <c r="AAE533"/>
      <c r="AAF533"/>
      <c r="AAG533"/>
      <c r="AAH533"/>
      <c r="AAI533"/>
      <c r="AAJ533"/>
      <c r="AAK533"/>
      <c r="AAL533"/>
      <c r="AAM533"/>
      <c r="AAN533"/>
      <c r="AAO533"/>
      <c r="AAP533"/>
      <c r="AAQ533"/>
      <c r="AAR533"/>
      <c r="AAS533"/>
      <c r="AAT533"/>
      <c r="AAU533"/>
      <c r="AAV533"/>
      <c r="AAW533"/>
      <c r="AAX533"/>
      <c r="AAY533"/>
      <c r="AAZ533"/>
      <c r="ABA533"/>
      <c r="ABB533"/>
      <c r="ABC533"/>
      <c r="ABD533"/>
      <c r="ABE533"/>
      <c r="ABF533"/>
      <c r="ABG533"/>
      <c r="ABH533"/>
      <c r="ABI533"/>
      <c r="ABJ533"/>
      <c r="ABK533"/>
      <c r="ABL533"/>
      <c r="ABM533"/>
      <c r="ABN533"/>
      <c r="ABO533"/>
      <c r="ABP533"/>
      <c r="ABQ533"/>
      <c r="ABR533"/>
      <c r="ABS533"/>
      <c r="ABT533"/>
      <c r="ABU533"/>
      <c r="ABV533"/>
      <c r="ABW533"/>
      <c r="ABX533"/>
      <c r="ABY533"/>
      <c r="ABZ533"/>
      <c r="ACA533"/>
      <c r="ACB533"/>
      <c r="ACC533"/>
      <c r="ACD533"/>
      <c r="ACE533"/>
      <c r="ACF533"/>
      <c r="ACG533"/>
      <c r="ACH533"/>
      <c r="ACI533"/>
      <c r="ACJ533"/>
      <c r="ACK533"/>
      <c r="ACL533"/>
      <c r="ACM533"/>
      <c r="ACN533"/>
      <c r="ACO533"/>
      <c r="ACP533"/>
      <c r="ACQ533"/>
      <c r="ACR533"/>
      <c r="ACS533"/>
      <c r="ACT533"/>
      <c r="ACU533"/>
      <c r="ACV533"/>
      <c r="ACW533"/>
      <c r="ACX533"/>
      <c r="ACY533"/>
      <c r="ACZ533"/>
      <c r="ADA533"/>
      <c r="ADB533"/>
      <c r="ADC533"/>
      <c r="ADD533"/>
      <c r="ADE533"/>
      <c r="ADF533"/>
      <c r="ADG533"/>
      <c r="ADH533"/>
      <c r="ADI533"/>
      <c r="ADJ533"/>
      <c r="ADK533"/>
      <c r="ADL533"/>
      <c r="ADM533"/>
      <c r="ADN533"/>
      <c r="ADO533"/>
      <c r="ADP533"/>
      <c r="ADQ533"/>
      <c r="ADR533"/>
      <c r="ADS533"/>
      <c r="ADT533"/>
      <c r="ADU533"/>
      <c r="ADV533"/>
      <c r="ADW533"/>
      <c r="ADX533"/>
      <c r="ADY533"/>
      <c r="ADZ533"/>
      <c r="AEA533"/>
      <c r="AEB533"/>
      <c r="AEC533"/>
      <c r="AED533"/>
      <c r="AEE533"/>
      <c r="AEF533"/>
      <c r="AEG533"/>
      <c r="AEH533"/>
      <c r="AEI533"/>
      <c r="AEJ533"/>
      <c r="AEK533"/>
      <c r="AEL533"/>
      <c r="AEM533"/>
      <c r="AEN533"/>
      <c r="AEO533"/>
      <c r="AEP533"/>
      <c r="AEQ533"/>
      <c r="AER533"/>
      <c r="AES533"/>
      <c r="AET533"/>
      <c r="AEU533"/>
      <c r="AEV533"/>
      <c r="AEW533"/>
      <c r="AEX533"/>
      <c r="AEY533"/>
      <c r="AEZ533"/>
      <c r="AFA533"/>
      <c r="AFB533"/>
      <c r="AFC533"/>
      <c r="AFD533"/>
      <c r="AFE533"/>
      <c r="AFF533"/>
      <c r="AFG533"/>
      <c r="AFH533"/>
      <c r="AFI533"/>
      <c r="AFJ533"/>
      <c r="AFK533"/>
      <c r="AFL533"/>
      <c r="AFM533"/>
      <c r="AFN533"/>
      <c r="AFO533"/>
      <c r="AFP533"/>
      <c r="AFQ533"/>
      <c r="AFR533"/>
      <c r="AFS533"/>
      <c r="AFT533"/>
      <c r="AFU533"/>
      <c r="AFV533"/>
      <c r="AFW533"/>
      <c r="AFX533"/>
      <c r="AFY533"/>
      <c r="AFZ533"/>
      <c r="AGA533"/>
      <c r="AGB533"/>
      <c r="AGC533"/>
      <c r="AGD533"/>
      <c r="AGE533"/>
      <c r="AGF533"/>
      <c r="AGG533"/>
      <c r="AGH533"/>
      <c r="AGI533"/>
      <c r="AGJ533"/>
      <c r="AGK533"/>
      <c r="AGL533"/>
      <c r="AGM533"/>
      <c r="AGN533"/>
      <c r="AGO533"/>
      <c r="AGP533"/>
      <c r="AGQ533"/>
      <c r="AGR533"/>
      <c r="AGS533"/>
      <c r="AGT533"/>
      <c r="AGU533"/>
      <c r="AGV533"/>
      <c r="AGW533"/>
      <c r="AGX533"/>
      <c r="AGY533"/>
      <c r="AGZ533"/>
      <c r="AHA533"/>
      <c r="AHB533"/>
      <c r="AHC533"/>
      <c r="AHD533"/>
      <c r="AHE533"/>
      <c r="AHF533"/>
      <c r="AHG533"/>
      <c r="AHH533"/>
      <c r="AHI533"/>
      <c r="AHJ533"/>
      <c r="AHK533"/>
      <c r="AHL533"/>
      <c r="AHM533"/>
      <c r="AHN533"/>
      <c r="AHO533"/>
      <c r="AHP533"/>
      <c r="AHQ533"/>
      <c r="AHR533"/>
      <c r="AHS533"/>
      <c r="AHT533"/>
      <c r="AHU533"/>
      <c r="AHV533"/>
      <c r="AHW533"/>
      <c r="AHX533"/>
      <c r="AHY533"/>
      <c r="AHZ533"/>
      <c r="AIA533"/>
      <c r="AIB533"/>
      <c r="AIC533"/>
      <c r="AID533"/>
      <c r="AIE533"/>
      <c r="AIF533"/>
      <c r="AIG533"/>
      <c r="AIH533"/>
      <c r="AII533"/>
      <c r="AIJ533"/>
      <c r="AIK533"/>
      <c r="AIL533"/>
      <c r="AIM533"/>
      <c r="AIN533"/>
      <c r="AIO533"/>
      <c r="AIP533"/>
      <c r="AIQ533"/>
      <c r="AIR533"/>
      <c r="AIS533"/>
      <c r="AIT533"/>
      <c r="AIU533"/>
      <c r="AIV533"/>
      <c r="AIW533"/>
      <c r="AIX533"/>
      <c r="AIY533"/>
      <c r="AIZ533"/>
      <c r="AJA533"/>
      <c r="AJB533"/>
      <c r="AJC533"/>
      <c r="AJD533"/>
      <c r="AJE533"/>
      <c r="AJF533"/>
      <c r="AJG533"/>
      <c r="AJH533"/>
      <c r="AJI533"/>
      <c r="AJJ533"/>
      <c r="AJK533"/>
      <c r="AJL533"/>
      <c r="AJM533"/>
      <c r="AJN533"/>
      <c r="AJO533"/>
      <c r="AJP533"/>
      <c r="AJQ533"/>
      <c r="AJR533"/>
      <c r="AJS533"/>
      <c r="AJT533"/>
      <c r="AJU533"/>
      <c r="AJV533"/>
      <c r="AJW533"/>
      <c r="AJX533"/>
      <c r="AJY533"/>
      <c r="AJZ533"/>
      <c r="AKA533"/>
      <c r="AKB533"/>
      <c r="AKC533"/>
      <c r="AKD533"/>
      <c r="AKE533"/>
      <c r="AKF533"/>
      <c r="AKG533"/>
      <c r="AKH533"/>
      <c r="AKI533"/>
      <c r="AKJ533"/>
      <c r="AKK533"/>
      <c r="AKL533"/>
      <c r="AKM533"/>
      <c r="AKN533"/>
      <c r="AKO533"/>
      <c r="AKP533"/>
      <c r="AKQ533"/>
      <c r="AKR533"/>
      <c r="AKS533"/>
      <c r="AKT533"/>
      <c r="AKU533"/>
      <c r="AKV533"/>
      <c r="AKW533"/>
    </row>
    <row r="534" spans="1:985">
      <c r="A534" s="169" t="s">
        <v>1444</v>
      </c>
      <c r="B534" s="157">
        <v>4174.7700000000004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/>
      <c r="ADK534"/>
      <c r="ADL534"/>
      <c r="ADM534"/>
      <c r="ADN534"/>
      <c r="ADO534"/>
      <c r="ADP534"/>
      <c r="ADQ534"/>
      <c r="ADR534"/>
      <c r="ADS534"/>
      <c r="ADT534"/>
      <c r="ADU534"/>
      <c r="ADV534"/>
      <c r="ADW534"/>
      <c r="ADX534"/>
      <c r="ADY534"/>
      <c r="ADZ534"/>
      <c r="AEA534"/>
      <c r="AEB534"/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/>
      <c r="AEU534"/>
      <c r="AEV534"/>
      <c r="AEW534"/>
      <c r="AEX534"/>
      <c r="AEY534"/>
      <c r="AEZ534"/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/>
      <c r="AJE534"/>
      <c r="AJF534"/>
      <c r="AJG534"/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/>
      <c r="AJZ534"/>
      <c r="AKA534"/>
      <c r="AKB534"/>
      <c r="AKC534"/>
      <c r="AKD534"/>
      <c r="AKE534"/>
      <c r="AKF534"/>
      <c r="AKG534"/>
      <c r="AKH534"/>
      <c r="AKI534"/>
      <c r="AKJ534"/>
      <c r="AKK534"/>
      <c r="AKL534"/>
      <c r="AKM534"/>
      <c r="AKN534"/>
      <c r="AKO534"/>
      <c r="AKP534"/>
      <c r="AKQ534"/>
      <c r="AKR534"/>
      <c r="AKS534"/>
      <c r="AKT534"/>
      <c r="AKU534"/>
      <c r="AKV534"/>
      <c r="AKW534"/>
    </row>
    <row r="535" spans="1:985">
      <c r="A535" s="169" t="s">
        <v>1446</v>
      </c>
      <c r="B535" s="183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  <c r="ZY535"/>
      <c r="ZZ535"/>
      <c r="AAA535"/>
      <c r="AAB535"/>
      <c r="AAC535"/>
      <c r="AAD535"/>
      <c r="AAE535"/>
      <c r="AAF535"/>
      <c r="AAG535"/>
      <c r="AAH535"/>
      <c r="AAI535"/>
      <c r="AAJ535"/>
      <c r="AAK535"/>
      <c r="AAL535"/>
      <c r="AAM535"/>
      <c r="AAN535"/>
      <c r="AAO535"/>
      <c r="AAP535"/>
      <c r="AAQ535"/>
      <c r="AAR535"/>
      <c r="AAS535"/>
      <c r="AAT535"/>
      <c r="AAU535"/>
      <c r="AAV535"/>
      <c r="AAW535"/>
      <c r="AAX535"/>
      <c r="AAY535"/>
      <c r="AAZ535"/>
      <c r="ABA535"/>
      <c r="ABB535"/>
      <c r="ABC535"/>
      <c r="ABD535"/>
      <c r="ABE535"/>
      <c r="ABF535"/>
      <c r="ABG535"/>
      <c r="ABH535"/>
      <c r="ABI535"/>
      <c r="ABJ535"/>
      <c r="ABK535"/>
      <c r="ABL535"/>
      <c r="ABM535"/>
      <c r="ABN535"/>
      <c r="ABO535"/>
      <c r="ABP535"/>
      <c r="ABQ535"/>
      <c r="ABR535"/>
      <c r="ABS535"/>
      <c r="ABT535"/>
      <c r="ABU535"/>
      <c r="ABV535"/>
      <c r="ABW535"/>
      <c r="ABX535"/>
      <c r="ABY535"/>
      <c r="ABZ535"/>
      <c r="ACA535"/>
      <c r="ACB535"/>
      <c r="ACC535"/>
      <c r="ACD535"/>
      <c r="ACE535"/>
      <c r="ACF535"/>
      <c r="ACG535"/>
      <c r="ACH535"/>
      <c r="ACI535"/>
      <c r="ACJ535"/>
      <c r="ACK535"/>
      <c r="ACL535"/>
      <c r="ACM535"/>
      <c r="ACN535"/>
      <c r="ACO535"/>
      <c r="ACP535"/>
      <c r="ACQ535"/>
      <c r="ACR535"/>
      <c r="ACS535"/>
      <c r="ACT535"/>
      <c r="ACU535"/>
      <c r="ACV535"/>
      <c r="ACW535"/>
      <c r="ACX535"/>
      <c r="ACY535"/>
      <c r="ACZ535"/>
      <c r="ADA535"/>
      <c r="ADB535"/>
      <c r="ADC535"/>
      <c r="ADD535"/>
      <c r="ADE535"/>
      <c r="ADF535"/>
      <c r="ADG535"/>
      <c r="ADH535"/>
      <c r="ADI535"/>
      <c r="ADJ535"/>
      <c r="ADK535"/>
      <c r="ADL535"/>
      <c r="ADM535"/>
      <c r="ADN535"/>
      <c r="ADO535"/>
      <c r="ADP535"/>
      <c r="ADQ535"/>
      <c r="ADR535"/>
      <c r="ADS535"/>
      <c r="ADT535"/>
      <c r="ADU535"/>
      <c r="ADV535"/>
      <c r="ADW535"/>
      <c r="ADX535"/>
      <c r="ADY535"/>
      <c r="ADZ535"/>
      <c r="AEA535"/>
      <c r="AEB535"/>
      <c r="AEC535"/>
      <c r="AED535"/>
      <c r="AEE535"/>
      <c r="AEF535"/>
      <c r="AEG535"/>
      <c r="AEH535"/>
      <c r="AEI535"/>
      <c r="AEJ535"/>
      <c r="AEK535"/>
      <c r="AEL535"/>
      <c r="AEM535"/>
      <c r="AEN535"/>
      <c r="AEO535"/>
      <c r="AEP535"/>
      <c r="AEQ535"/>
      <c r="AER535"/>
      <c r="AES535"/>
      <c r="AET535"/>
      <c r="AEU535"/>
      <c r="AEV535"/>
      <c r="AEW535"/>
      <c r="AEX535"/>
      <c r="AEY535"/>
      <c r="AEZ535"/>
      <c r="AFA535"/>
      <c r="AFB535"/>
      <c r="AFC535"/>
      <c r="AFD535"/>
      <c r="AFE535"/>
      <c r="AFF535"/>
      <c r="AFG535"/>
      <c r="AFH535"/>
      <c r="AFI535"/>
      <c r="AFJ535"/>
      <c r="AFK535"/>
      <c r="AFL535"/>
      <c r="AFM535"/>
      <c r="AFN535"/>
      <c r="AFO535"/>
      <c r="AFP535"/>
      <c r="AFQ535"/>
      <c r="AFR535"/>
      <c r="AFS535"/>
      <c r="AFT535"/>
      <c r="AFU535"/>
      <c r="AFV535"/>
      <c r="AFW535"/>
      <c r="AFX535"/>
      <c r="AFY535"/>
      <c r="AFZ535"/>
      <c r="AGA535"/>
      <c r="AGB535"/>
      <c r="AGC535"/>
      <c r="AGD535"/>
      <c r="AGE535"/>
      <c r="AGF535"/>
      <c r="AGG535"/>
      <c r="AGH535"/>
      <c r="AGI535"/>
      <c r="AGJ535"/>
      <c r="AGK535"/>
      <c r="AGL535"/>
      <c r="AGM535"/>
      <c r="AGN535"/>
      <c r="AGO535"/>
      <c r="AGP535"/>
      <c r="AGQ535"/>
      <c r="AGR535"/>
      <c r="AGS535"/>
      <c r="AGT535"/>
      <c r="AGU535"/>
      <c r="AGV535"/>
      <c r="AGW535"/>
      <c r="AGX535"/>
      <c r="AGY535"/>
      <c r="AGZ535"/>
      <c r="AHA535"/>
      <c r="AHB535"/>
      <c r="AHC535"/>
      <c r="AHD535"/>
      <c r="AHE535"/>
      <c r="AHF535"/>
      <c r="AHG535"/>
      <c r="AHH535"/>
      <c r="AHI535"/>
      <c r="AHJ535"/>
      <c r="AHK535"/>
      <c r="AHL535"/>
      <c r="AHM535"/>
      <c r="AHN535"/>
      <c r="AHO535"/>
      <c r="AHP535"/>
      <c r="AHQ535"/>
      <c r="AHR535"/>
      <c r="AHS535"/>
      <c r="AHT535"/>
      <c r="AHU535"/>
      <c r="AHV535"/>
      <c r="AHW535"/>
      <c r="AHX535"/>
      <c r="AHY535"/>
      <c r="AHZ535"/>
      <c r="AIA535"/>
      <c r="AIB535"/>
      <c r="AIC535"/>
      <c r="AID535"/>
      <c r="AIE535"/>
      <c r="AIF535"/>
      <c r="AIG535"/>
      <c r="AIH535"/>
      <c r="AII535"/>
      <c r="AIJ535"/>
      <c r="AIK535"/>
      <c r="AIL535"/>
      <c r="AIM535"/>
      <c r="AIN535"/>
      <c r="AIO535"/>
      <c r="AIP535"/>
      <c r="AIQ535"/>
      <c r="AIR535"/>
      <c r="AIS535"/>
      <c r="AIT535"/>
      <c r="AIU535"/>
      <c r="AIV535"/>
      <c r="AIW535"/>
      <c r="AIX535"/>
      <c r="AIY535"/>
      <c r="AIZ535"/>
      <c r="AJA535"/>
      <c r="AJB535"/>
      <c r="AJC535"/>
      <c r="AJD535"/>
      <c r="AJE535"/>
      <c r="AJF535"/>
      <c r="AJG535"/>
      <c r="AJH535"/>
      <c r="AJI535"/>
      <c r="AJJ535"/>
      <c r="AJK535"/>
      <c r="AJL535"/>
      <c r="AJM535"/>
      <c r="AJN535"/>
      <c r="AJO535"/>
      <c r="AJP535"/>
      <c r="AJQ535"/>
      <c r="AJR535"/>
      <c r="AJS535"/>
      <c r="AJT535"/>
      <c r="AJU535"/>
      <c r="AJV535"/>
      <c r="AJW535"/>
      <c r="AJX535"/>
      <c r="AJY535"/>
      <c r="AJZ535"/>
      <c r="AKA535"/>
      <c r="AKB535"/>
      <c r="AKC535"/>
      <c r="AKD535"/>
      <c r="AKE535"/>
      <c r="AKF535"/>
      <c r="AKG535"/>
      <c r="AKH535"/>
      <c r="AKI535"/>
      <c r="AKJ535"/>
      <c r="AKK535"/>
      <c r="AKL535"/>
      <c r="AKM535"/>
      <c r="AKN535"/>
      <c r="AKO535"/>
      <c r="AKP535"/>
      <c r="AKQ535"/>
      <c r="AKR535"/>
      <c r="AKS535"/>
      <c r="AKT535"/>
      <c r="AKU535"/>
      <c r="AKV535"/>
      <c r="AKW535"/>
    </row>
    <row r="536" spans="1:985">
      <c r="A536" s="169" t="s">
        <v>1449</v>
      </c>
      <c r="B536" s="183">
        <v>5700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</row>
    <row r="537" spans="1:985">
      <c r="A537" s="178"/>
      <c r="B537" s="15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  <c r="ABE537"/>
      <c r="ABF537"/>
      <c r="ABG537"/>
      <c r="ABH537"/>
      <c r="ABI537"/>
      <c r="ABJ537"/>
      <c r="ABK537"/>
      <c r="ABL537"/>
      <c r="ABM537"/>
      <c r="ABN537"/>
      <c r="ABO537"/>
      <c r="ABP537"/>
      <c r="ABQ537"/>
      <c r="ABR537"/>
      <c r="ABS537"/>
      <c r="ABT537"/>
      <c r="ABU537"/>
      <c r="ABV537"/>
      <c r="ABW537"/>
      <c r="ABX537"/>
      <c r="ABY537"/>
      <c r="ABZ537"/>
      <c r="ACA537"/>
      <c r="ACB537"/>
      <c r="ACC537"/>
      <c r="ACD537"/>
      <c r="ACE537"/>
      <c r="ACF537"/>
      <c r="ACG537"/>
      <c r="ACH537"/>
      <c r="ACI537"/>
      <c r="ACJ537"/>
      <c r="ACK537"/>
      <c r="ACL537"/>
      <c r="ACM537"/>
      <c r="ACN537"/>
      <c r="ACO537"/>
      <c r="ACP537"/>
      <c r="ACQ537"/>
      <c r="ACR537"/>
      <c r="ACS537"/>
      <c r="ACT537"/>
      <c r="ACU537"/>
      <c r="ACV537"/>
      <c r="ACW537"/>
      <c r="ACX537"/>
      <c r="ACY537"/>
      <c r="ACZ537"/>
      <c r="ADA537"/>
      <c r="ADB537"/>
      <c r="ADC537"/>
      <c r="ADD537"/>
      <c r="ADE537"/>
      <c r="ADF537"/>
      <c r="ADG537"/>
      <c r="ADH537"/>
      <c r="ADI537"/>
      <c r="ADJ537"/>
      <c r="ADK537"/>
      <c r="ADL537"/>
      <c r="ADM537"/>
      <c r="ADN537"/>
      <c r="ADO537"/>
      <c r="ADP537"/>
      <c r="ADQ537"/>
      <c r="ADR537"/>
      <c r="ADS537"/>
      <c r="ADT537"/>
      <c r="ADU537"/>
      <c r="ADV537"/>
      <c r="ADW537"/>
      <c r="ADX537"/>
      <c r="ADY537"/>
      <c r="ADZ537"/>
      <c r="AEA537"/>
      <c r="AEB537"/>
      <c r="AEC537"/>
      <c r="AED537"/>
      <c r="AEE537"/>
      <c r="AEF537"/>
      <c r="AEG537"/>
      <c r="AEH537"/>
      <c r="AEI537"/>
      <c r="AEJ537"/>
      <c r="AEK537"/>
      <c r="AEL537"/>
      <c r="AEM537"/>
      <c r="AEN537"/>
      <c r="AEO537"/>
      <c r="AEP537"/>
      <c r="AEQ537"/>
      <c r="AER537"/>
      <c r="AES537"/>
      <c r="AET537"/>
      <c r="AEU537"/>
      <c r="AEV537"/>
      <c r="AEW537"/>
      <c r="AEX537"/>
      <c r="AEY537"/>
      <c r="AEZ537"/>
      <c r="AFA537"/>
      <c r="AFB537"/>
      <c r="AFC537"/>
      <c r="AFD537"/>
      <c r="AFE537"/>
      <c r="AFF537"/>
      <c r="AFG537"/>
      <c r="AFH537"/>
      <c r="AFI537"/>
      <c r="AFJ537"/>
      <c r="AFK537"/>
      <c r="AFL537"/>
      <c r="AFM537"/>
      <c r="AFN537"/>
      <c r="AFO537"/>
      <c r="AFP537"/>
      <c r="AFQ537"/>
      <c r="AFR537"/>
      <c r="AFS537"/>
      <c r="AFT537"/>
      <c r="AFU537"/>
      <c r="AFV537"/>
      <c r="AFW537"/>
      <c r="AFX537"/>
      <c r="AFY537"/>
      <c r="AFZ537"/>
      <c r="AGA537"/>
      <c r="AGB537"/>
      <c r="AGC537"/>
      <c r="AGD537"/>
      <c r="AGE537"/>
      <c r="AGF537"/>
      <c r="AGG537"/>
      <c r="AGH537"/>
      <c r="AGI537"/>
      <c r="AGJ537"/>
      <c r="AGK537"/>
      <c r="AGL537"/>
      <c r="AGM537"/>
      <c r="AGN537"/>
      <c r="AGO537"/>
      <c r="AGP537"/>
      <c r="AGQ537"/>
      <c r="AGR537"/>
      <c r="AGS537"/>
      <c r="AGT537"/>
      <c r="AGU537"/>
      <c r="AGV537"/>
      <c r="AGW537"/>
      <c r="AGX537"/>
      <c r="AGY537"/>
      <c r="AGZ537"/>
      <c r="AHA537"/>
      <c r="AHB537"/>
      <c r="AHC537"/>
      <c r="AHD537"/>
      <c r="AHE537"/>
      <c r="AHF537"/>
      <c r="AHG537"/>
      <c r="AHH537"/>
      <c r="AHI537"/>
      <c r="AHJ537"/>
      <c r="AHK537"/>
      <c r="AHL537"/>
      <c r="AHM537"/>
      <c r="AHN537"/>
      <c r="AHO537"/>
      <c r="AHP537"/>
      <c r="AHQ537"/>
      <c r="AHR537"/>
      <c r="AHS537"/>
      <c r="AHT537"/>
      <c r="AHU537"/>
      <c r="AHV537"/>
      <c r="AHW537"/>
      <c r="AHX537"/>
      <c r="AHY537"/>
      <c r="AHZ537"/>
      <c r="AIA537"/>
      <c r="AIB537"/>
      <c r="AIC537"/>
      <c r="AID537"/>
      <c r="AIE537"/>
      <c r="AIF537"/>
      <c r="AIG537"/>
      <c r="AIH537"/>
      <c r="AII537"/>
      <c r="AIJ537"/>
      <c r="AIK537"/>
      <c r="AIL537"/>
      <c r="AIM537"/>
      <c r="AIN537"/>
      <c r="AIO537"/>
      <c r="AIP537"/>
      <c r="AIQ537"/>
      <c r="AIR537"/>
      <c r="AIS537"/>
      <c r="AIT537"/>
      <c r="AIU537"/>
      <c r="AIV537"/>
      <c r="AIW537"/>
      <c r="AIX537"/>
      <c r="AIY537"/>
      <c r="AIZ537"/>
      <c r="AJA537"/>
      <c r="AJB537"/>
      <c r="AJC537"/>
      <c r="AJD537"/>
      <c r="AJE537"/>
      <c r="AJF537"/>
      <c r="AJG537"/>
      <c r="AJH537"/>
      <c r="AJI537"/>
      <c r="AJJ537"/>
      <c r="AJK537"/>
      <c r="AJL537"/>
      <c r="AJM537"/>
      <c r="AJN537"/>
      <c r="AJO537"/>
      <c r="AJP537"/>
      <c r="AJQ537"/>
      <c r="AJR537"/>
      <c r="AJS537"/>
      <c r="AJT537"/>
      <c r="AJU537"/>
      <c r="AJV537"/>
      <c r="AJW537"/>
      <c r="AJX537"/>
      <c r="AJY537"/>
      <c r="AJZ537"/>
      <c r="AKA537"/>
      <c r="AKB537"/>
      <c r="AKC537"/>
      <c r="AKD537"/>
      <c r="AKE537"/>
      <c r="AKF537"/>
      <c r="AKG537"/>
      <c r="AKH537"/>
      <c r="AKI537"/>
      <c r="AKJ537"/>
      <c r="AKK537"/>
      <c r="AKL537"/>
      <c r="AKM537"/>
      <c r="AKN537"/>
      <c r="AKO537"/>
      <c r="AKP537"/>
      <c r="AKQ537"/>
      <c r="AKR537"/>
      <c r="AKS537"/>
      <c r="AKT537"/>
      <c r="AKU537"/>
      <c r="AKV537"/>
      <c r="AKW537"/>
    </row>
    <row r="538" spans="1:985">
      <c r="A538" s="178"/>
      <c r="B538" s="157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  <c r="ZW538"/>
      <c r="ZX538"/>
      <c r="ZY538"/>
      <c r="ZZ538"/>
      <c r="AAA538"/>
      <c r="AAB538"/>
      <c r="AAC538"/>
      <c r="AAD538"/>
      <c r="AAE538"/>
      <c r="AAF538"/>
      <c r="AAG538"/>
      <c r="AAH538"/>
      <c r="AAI538"/>
      <c r="AAJ538"/>
      <c r="AAK538"/>
      <c r="AAL538"/>
      <c r="AAM538"/>
      <c r="AAN538"/>
      <c r="AAO538"/>
      <c r="AAP538"/>
      <c r="AAQ538"/>
      <c r="AAR538"/>
      <c r="AAS538"/>
      <c r="AAT538"/>
      <c r="AAU538"/>
      <c r="AAV538"/>
      <c r="AAW538"/>
      <c r="AAX538"/>
      <c r="AAY538"/>
      <c r="AAZ538"/>
      <c r="ABA538"/>
      <c r="ABB538"/>
      <c r="ABC538"/>
      <c r="ABD538"/>
      <c r="ABE538"/>
      <c r="ABF538"/>
      <c r="ABG538"/>
      <c r="ABH538"/>
      <c r="ABI538"/>
      <c r="ABJ538"/>
      <c r="ABK538"/>
      <c r="ABL538"/>
      <c r="ABM538"/>
      <c r="ABN538"/>
      <c r="ABO538"/>
      <c r="ABP538"/>
      <c r="ABQ538"/>
      <c r="ABR538"/>
      <c r="ABS538"/>
      <c r="ABT538"/>
      <c r="ABU538"/>
      <c r="ABV538"/>
      <c r="ABW538"/>
      <c r="ABX538"/>
      <c r="ABY538"/>
      <c r="ABZ538"/>
      <c r="ACA538"/>
      <c r="ACB538"/>
      <c r="ACC538"/>
      <c r="ACD538"/>
      <c r="ACE538"/>
      <c r="ACF538"/>
      <c r="ACG538"/>
      <c r="ACH538"/>
      <c r="ACI538"/>
      <c r="ACJ538"/>
      <c r="ACK538"/>
      <c r="ACL538"/>
      <c r="ACM538"/>
      <c r="ACN538"/>
      <c r="ACO538"/>
      <c r="ACP538"/>
      <c r="ACQ538"/>
      <c r="ACR538"/>
      <c r="ACS538"/>
      <c r="ACT538"/>
      <c r="ACU538"/>
      <c r="ACV538"/>
      <c r="ACW538"/>
      <c r="ACX538"/>
      <c r="ACY538"/>
      <c r="ACZ538"/>
      <c r="ADA538"/>
      <c r="ADB538"/>
      <c r="ADC538"/>
      <c r="ADD538"/>
      <c r="ADE538"/>
      <c r="ADF538"/>
      <c r="ADG538"/>
      <c r="ADH538"/>
      <c r="ADI538"/>
      <c r="ADJ538"/>
      <c r="ADK538"/>
      <c r="ADL538"/>
      <c r="ADM538"/>
      <c r="ADN538"/>
      <c r="ADO538"/>
      <c r="ADP538"/>
      <c r="ADQ538"/>
      <c r="ADR538"/>
      <c r="ADS538"/>
      <c r="ADT538"/>
      <c r="ADU538"/>
      <c r="ADV538"/>
      <c r="ADW538"/>
      <c r="ADX538"/>
      <c r="ADY538"/>
      <c r="ADZ538"/>
      <c r="AEA538"/>
      <c r="AEB538"/>
      <c r="AEC538"/>
      <c r="AED538"/>
      <c r="AEE538"/>
      <c r="AEF538"/>
      <c r="AEG538"/>
      <c r="AEH538"/>
      <c r="AEI538"/>
      <c r="AEJ538"/>
      <c r="AEK538"/>
      <c r="AEL538"/>
      <c r="AEM538"/>
      <c r="AEN538"/>
      <c r="AEO538"/>
      <c r="AEP538"/>
      <c r="AEQ538"/>
      <c r="AER538"/>
      <c r="AES538"/>
      <c r="AET538"/>
      <c r="AEU538"/>
      <c r="AEV538"/>
      <c r="AEW538"/>
      <c r="AEX538"/>
      <c r="AEY538"/>
      <c r="AEZ538"/>
      <c r="AFA538"/>
      <c r="AFB538"/>
      <c r="AFC538"/>
      <c r="AFD538"/>
      <c r="AFE538"/>
      <c r="AFF538"/>
      <c r="AFG538"/>
      <c r="AFH538"/>
      <c r="AFI538"/>
      <c r="AFJ538"/>
      <c r="AFK538"/>
      <c r="AFL538"/>
      <c r="AFM538"/>
      <c r="AFN538"/>
      <c r="AFO538"/>
      <c r="AFP538"/>
      <c r="AFQ538"/>
      <c r="AFR538"/>
      <c r="AFS538"/>
      <c r="AFT538"/>
      <c r="AFU538"/>
      <c r="AFV538"/>
      <c r="AFW538"/>
      <c r="AFX538"/>
      <c r="AFY538"/>
      <c r="AFZ538"/>
      <c r="AGA538"/>
      <c r="AGB538"/>
      <c r="AGC538"/>
      <c r="AGD538"/>
      <c r="AGE538"/>
      <c r="AGF538"/>
      <c r="AGG538"/>
      <c r="AGH538"/>
      <c r="AGI538"/>
      <c r="AGJ538"/>
      <c r="AGK538"/>
      <c r="AGL538"/>
      <c r="AGM538"/>
      <c r="AGN538"/>
      <c r="AGO538"/>
      <c r="AGP538"/>
      <c r="AGQ538"/>
      <c r="AGR538"/>
      <c r="AGS538"/>
      <c r="AGT538"/>
      <c r="AGU538"/>
      <c r="AGV538"/>
      <c r="AGW538"/>
      <c r="AGX538"/>
      <c r="AGY538"/>
      <c r="AGZ538"/>
      <c r="AHA538"/>
      <c r="AHB538"/>
      <c r="AHC538"/>
      <c r="AHD538"/>
      <c r="AHE538"/>
      <c r="AHF538"/>
      <c r="AHG538"/>
      <c r="AHH538"/>
      <c r="AHI538"/>
      <c r="AHJ538"/>
      <c r="AHK538"/>
      <c r="AHL538"/>
      <c r="AHM538"/>
      <c r="AHN538"/>
      <c r="AHO538"/>
      <c r="AHP538"/>
      <c r="AHQ538"/>
      <c r="AHR538"/>
      <c r="AHS538"/>
      <c r="AHT538"/>
      <c r="AHU538"/>
      <c r="AHV538"/>
      <c r="AHW538"/>
      <c r="AHX538"/>
      <c r="AHY538"/>
      <c r="AHZ538"/>
      <c r="AIA538"/>
      <c r="AIB538"/>
      <c r="AIC538"/>
      <c r="AID538"/>
      <c r="AIE538"/>
      <c r="AIF538"/>
      <c r="AIG538"/>
      <c r="AIH538"/>
      <c r="AII538"/>
      <c r="AIJ538"/>
      <c r="AIK538"/>
      <c r="AIL538"/>
      <c r="AIM538"/>
      <c r="AIN538"/>
      <c r="AIO538"/>
      <c r="AIP538"/>
      <c r="AIQ538"/>
      <c r="AIR538"/>
      <c r="AIS538"/>
      <c r="AIT538"/>
      <c r="AIU538"/>
      <c r="AIV538"/>
      <c r="AIW538"/>
      <c r="AIX538"/>
      <c r="AIY538"/>
      <c r="AIZ538"/>
      <c r="AJA538"/>
      <c r="AJB538"/>
      <c r="AJC538"/>
      <c r="AJD538"/>
      <c r="AJE538"/>
      <c r="AJF538"/>
      <c r="AJG538"/>
      <c r="AJH538"/>
      <c r="AJI538"/>
      <c r="AJJ538"/>
      <c r="AJK538"/>
      <c r="AJL538"/>
      <c r="AJM538"/>
      <c r="AJN538"/>
      <c r="AJO538"/>
      <c r="AJP538"/>
      <c r="AJQ538"/>
      <c r="AJR538"/>
      <c r="AJS538"/>
      <c r="AJT538"/>
      <c r="AJU538"/>
      <c r="AJV538"/>
      <c r="AJW538"/>
      <c r="AJX538"/>
      <c r="AJY538"/>
      <c r="AJZ538"/>
      <c r="AKA538"/>
      <c r="AKB538"/>
      <c r="AKC538"/>
      <c r="AKD538"/>
      <c r="AKE538"/>
      <c r="AKF538"/>
      <c r="AKG538"/>
      <c r="AKH538"/>
      <c r="AKI538"/>
      <c r="AKJ538"/>
      <c r="AKK538"/>
      <c r="AKL538"/>
      <c r="AKM538"/>
      <c r="AKN538"/>
      <c r="AKO538"/>
      <c r="AKP538"/>
      <c r="AKQ538"/>
      <c r="AKR538"/>
      <c r="AKS538"/>
      <c r="AKT538"/>
      <c r="AKU538"/>
      <c r="AKV538"/>
      <c r="AKW538"/>
    </row>
    <row r="539" spans="1:985">
      <c r="A539" s="178"/>
      <c r="B539" s="157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  <c r="ZY539"/>
      <c r="ZZ539"/>
      <c r="AAA539"/>
      <c r="AAB539"/>
      <c r="AAC539"/>
      <c r="AAD539"/>
      <c r="AAE539"/>
      <c r="AAF539"/>
      <c r="AAG539"/>
      <c r="AAH539"/>
      <c r="AAI539"/>
      <c r="AAJ539"/>
      <c r="AAK539"/>
      <c r="AAL539"/>
      <c r="AAM539"/>
      <c r="AAN539"/>
      <c r="AAO539"/>
      <c r="AAP539"/>
      <c r="AAQ539"/>
      <c r="AAR539"/>
      <c r="AAS539"/>
      <c r="AAT539"/>
      <c r="AAU539"/>
      <c r="AAV539"/>
      <c r="AAW539"/>
      <c r="AAX539"/>
      <c r="AAY539"/>
      <c r="AAZ539"/>
      <c r="ABA539"/>
      <c r="ABB539"/>
      <c r="ABC539"/>
      <c r="ABD539"/>
      <c r="ABE539"/>
      <c r="ABF539"/>
      <c r="ABG539"/>
      <c r="ABH539"/>
      <c r="ABI539"/>
      <c r="ABJ539"/>
      <c r="ABK539"/>
      <c r="ABL539"/>
      <c r="ABM539"/>
      <c r="ABN539"/>
      <c r="ABO539"/>
      <c r="ABP539"/>
      <c r="ABQ539"/>
      <c r="ABR539"/>
      <c r="ABS539"/>
      <c r="ABT539"/>
      <c r="ABU539"/>
      <c r="ABV539"/>
      <c r="ABW539"/>
      <c r="ABX539"/>
      <c r="ABY539"/>
      <c r="ABZ539"/>
      <c r="ACA539"/>
      <c r="ACB539"/>
      <c r="ACC539"/>
      <c r="ACD539"/>
      <c r="ACE539"/>
      <c r="ACF539"/>
      <c r="ACG539"/>
      <c r="ACH539"/>
      <c r="ACI539"/>
      <c r="ACJ539"/>
      <c r="ACK539"/>
      <c r="ACL539"/>
      <c r="ACM539"/>
      <c r="ACN539"/>
      <c r="ACO539"/>
      <c r="ACP539"/>
      <c r="ACQ539"/>
      <c r="ACR539"/>
      <c r="ACS539"/>
      <c r="ACT539"/>
      <c r="ACU539"/>
      <c r="ACV539"/>
      <c r="ACW539"/>
      <c r="ACX539"/>
      <c r="ACY539"/>
      <c r="ACZ539"/>
      <c r="ADA539"/>
      <c r="ADB539"/>
      <c r="ADC539"/>
      <c r="ADD539"/>
      <c r="ADE539"/>
      <c r="ADF539"/>
      <c r="ADG539"/>
      <c r="ADH539"/>
      <c r="ADI539"/>
      <c r="ADJ539"/>
      <c r="ADK539"/>
      <c r="ADL539"/>
      <c r="ADM539"/>
      <c r="ADN539"/>
      <c r="ADO539"/>
      <c r="ADP539"/>
      <c r="ADQ539"/>
      <c r="ADR539"/>
      <c r="ADS539"/>
      <c r="ADT539"/>
      <c r="ADU539"/>
      <c r="ADV539"/>
      <c r="ADW539"/>
      <c r="ADX539"/>
      <c r="ADY539"/>
      <c r="ADZ539"/>
      <c r="AEA539"/>
      <c r="AEB539"/>
      <c r="AEC539"/>
      <c r="AED539"/>
      <c r="AEE539"/>
      <c r="AEF539"/>
      <c r="AEG539"/>
      <c r="AEH539"/>
      <c r="AEI539"/>
      <c r="AEJ539"/>
      <c r="AEK539"/>
      <c r="AEL539"/>
      <c r="AEM539"/>
      <c r="AEN539"/>
      <c r="AEO539"/>
      <c r="AEP539"/>
      <c r="AEQ539"/>
      <c r="AER539"/>
      <c r="AES539"/>
      <c r="AET539"/>
      <c r="AEU539"/>
      <c r="AEV539"/>
      <c r="AEW539"/>
      <c r="AEX539"/>
      <c r="AEY539"/>
      <c r="AEZ539"/>
      <c r="AFA539"/>
      <c r="AFB539"/>
      <c r="AFC539"/>
      <c r="AFD539"/>
      <c r="AFE539"/>
      <c r="AFF539"/>
      <c r="AFG539"/>
      <c r="AFH539"/>
      <c r="AFI539"/>
      <c r="AFJ539"/>
      <c r="AFK539"/>
      <c r="AFL539"/>
      <c r="AFM539"/>
      <c r="AFN539"/>
      <c r="AFO539"/>
      <c r="AFP539"/>
      <c r="AFQ539"/>
      <c r="AFR539"/>
      <c r="AFS539"/>
      <c r="AFT539"/>
      <c r="AFU539"/>
      <c r="AFV539"/>
      <c r="AFW539"/>
      <c r="AFX539"/>
      <c r="AFY539"/>
      <c r="AFZ539"/>
      <c r="AGA539"/>
      <c r="AGB539"/>
      <c r="AGC539"/>
      <c r="AGD539"/>
      <c r="AGE539"/>
      <c r="AGF539"/>
      <c r="AGG539"/>
      <c r="AGH539"/>
      <c r="AGI539"/>
      <c r="AGJ539"/>
      <c r="AGK539"/>
      <c r="AGL539"/>
      <c r="AGM539"/>
      <c r="AGN539"/>
      <c r="AGO539"/>
      <c r="AGP539"/>
      <c r="AGQ539"/>
      <c r="AGR539"/>
      <c r="AGS539"/>
      <c r="AGT539"/>
      <c r="AGU539"/>
      <c r="AGV539"/>
      <c r="AGW539"/>
      <c r="AGX539"/>
      <c r="AGY539"/>
      <c r="AGZ539"/>
      <c r="AHA539"/>
      <c r="AHB539"/>
      <c r="AHC539"/>
      <c r="AHD539"/>
      <c r="AHE539"/>
      <c r="AHF539"/>
      <c r="AHG539"/>
      <c r="AHH539"/>
      <c r="AHI539"/>
      <c r="AHJ539"/>
      <c r="AHK539"/>
      <c r="AHL539"/>
      <c r="AHM539"/>
      <c r="AHN539"/>
      <c r="AHO539"/>
      <c r="AHP539"/>
      <c r="AHQ539"/>
      <c r="AHR539"/>
      <c r="AHS539"/>
      <c r="AHT539"/>
      <c r="AHU539"/>
      <c r="AHV539"/>
      <c r="AHW539"/>
      <c r="AHX539"/>
      <c r="AHY539"/>
      <c r="AHZ539"/>
      <c r="AIA539"/>
      <c r="AIB539"/>
      <c r="AIC539"/>
      <c r="AID539"/>
      <c r="AIE539"/>
      <c r="AIF539"/>
      <c r="AIG539"/>
      <c r="AIH539"/>
      <c r="AII539"/>
      <c r="AIJ539"/>
      <c r="AIK539"/>
      <c r="AIL539"/>
      <c r="AIM539"/>
      <c r="AIN539"/>
      <c r="AIO539"/>
      <c r="AIP539"/>
      <c r="AIQ539"/>
      <c r="AIR539"/>
      <c r="AIS539"/>
      <c r="AIT539"/>
      <c r="AIU539"/>
      <c r="AIV539"/>
      <c r="AIW539"/>
      <c r="AIX539"/>
      <c r="AIY539"/>
      <c r="AIZ539"/>
      <c r="AJA539"/>
      <c r="AJB539"/>
      <c r="AJC539"/>
      <c r="AJD539"/>
      <c r="AJE539"/>
      <c r="AJF539"/>
      <c r="AJG539"/>
      <c r="AJH539"/>
      <c r="AJI539"/>
      <c r="AJJ539"/>
      <c r="AJK539"/>
      <c r="AJL539"/>
      <c r="AJM539"/>
      <c r="AJN539"/>
      <c r="AJO539"/>
      <c r="AJP539"/>
      <c r="AJQ539"/>
      <c r="AJR539"/>
      <c r="AJS539"/>
      <c r="AJT539"/>
      <c r="AJU539"/>
      <c r="AJV539"/>
      <c r="AJW539"/>
      <c r="AJX539"/>
      <c r="AJY539"/>
      <c r="AJZ539"/>
      <c r="AKA539"/>
      <c r="AKB539"/>
      <c r="AKC539"/>
      <c r="AKD539"/>
      <c r="AKE539"/>
      <c r="AKF539"/>
      <c r="AKG539"/>
      <c r="AKH539"/>
      <c r="AKI539"/>
      <c r="AKJ539"/>
      <c r="AKK539"/>
      <c r="AKL539"/>
      <c r="AKM539"/>
      <c r="AKN539"/>
      <c r="AKO539"/>
      <c r="AKP539"/>
      <c r="AKQ539"/>
      <c r="AKR539"/>
      <c r="AKS539"/>
      <c r="AKT539"/>
      <c r="AKU539"/>
      <c r="AKV539"/>
      <c r="AKW539"/>
    </row>
    <row r="540" spans="1:985">
      <c r="A540" s="178"/>
      <c r="B540" s="157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  <c r="ZW540"/>
      <c r="ZX540"/>
      <c r="ZY540"/>
      <c r="ZZ540"/>
      <c r="AAA540"/>
      <c r="AAB540"/>
      <c r="AAC540"/>
      <c r="AAD540"/>
      <c r="AAE540"/>
      <c r="AAF540"/>
      <c r="AAG540"/>
      <c r="AAH540"/>
      <c r="AAI540"/>
      <c r="AAJ540"/>
      <c r="AAK540"/>
      <c r="AAL540"/>
      <c r="AAM540"/>
      <c r="AAN540"/>
      <c r="AAO540"/>
      <c r="AAP540"/>
      <c r="AAQ540"/>
      <c r="AAR540"/>
      <c r="AAS540"/>
      <c r="AAT540"/>
      <c r="AAU540"/>
      <c r="AAV540"/>
      <c r="AAW540"/>
      <c r="AAX540"/>
      <c r="AAY540"/>
      <c r="AAZ540"/>
      <c r="ABA540"/>
      <c r="ABB540"/>
      <c r="ABC540"/>
      <c r="ABD540"/>
      <c r="ABE540"/>
      <c r="ABF540"/>
      <c r="ABG540"/>
      <c r="ABH540"/>
      <c r="ABI540"/>
      <c r="ABJ540"/>
      <c r="ABK540"/>
      <c r="ABL540"/>
      <c r="ABM540"/>
      <c r="ABN540"/>
      <c r="ABO540"/>
      <c r="ABP540"/>
      <c r="ABQ540"/>
      <c r="ABR540"/>
      <c r="ABS540"/>
      <c r="ABT540"/>
      <c r="ABU540"/>
      <c r="ABV540"/>
      <c r="ABW540"/>
      <c r="ABX540"/>
      <c r="ABY540"/>
      <c r="ABZ540"/>
      <c r="ACA540"/>
      <c r="ACB540"/>
      <c r="ACC540"/>
      <c r="ACD540"/>
      <c r="ACE540"/>
      <c r="ACF540"/>
      <c r="ACG540"/>
      <c r="ACH540"/>
      <c r="ACI540"/>
      <c r="ACJ540"/>
      <c r="ACK540"/>
      <c r="ACL540"/>
      <c r="ACM540"/>
      <c r="ACN540"/>
      <c r="ACO540"/>
      <c r="ACP540"/>
      <c r="ACQ540"/>
      <c r="ACR540"/>
      <c r="ACS540"/>
      <c r="ACT540"/>
      <c r="ACU540"/>
      <c r="ACV540"/>
      <c r="ACW540"/>
      <c r="ACX540"/>
      <c r="ACY540"/>
      <c r="ACZ540"/>
      <c r="ADA540"/>
      <c r="ADB540"/>
      <c r="ADC540"/>
      <c r="ADD540"/>
      <c r="ADE540"/>
      <c r="ADF540"/>
      <c r="ADG540"/>
      <c r="ADH540"/>
      <c r="ADI540"/>
      <c r="ADJ540"/>
      <c r="ADK540"/>
      <c r="ADL540"/>
      <c r="ADM540"/>
      <c r="ADN540"/>
      <c r="ADO540"/>
      <c r="ADP540"/>
      <c r="ADQ540"/>
      <c r="ADR540"/>
      <c r="ADS540"/>
      <c r="ADT540"/>
      <c r="ADU540"/>
      <c r="ADV540"/>
      <c r="ADW540"/>
      <c r="ADX540"/>
      <c r="ADY540"/>
      <c r="ADZ540"/>
      <c r="AEA540"/>
      <c r="AEB540"/>
      <c r="AEC540"/>
      <c r="AED540"/>
      <c r="AEE540"/>
      <c r="AEF540"/>
      <c r="AEG540"/>
      <c r="AEH540"/>
      <c r="AEI540"/>
      <c r="AEJ540"/>
      <c r="AEK540"/>
      <c r="AEL540"/>
      <c r="AEM540"/>
      <c r="AEN540"/>
      <c r="AEO540"/>
      <c r="AEP540"/>
      <c r="AEQ540"/>
      <c r="AER540"/>
      <c r="AES540"/>
      <c r="AET540"/>
      <c r="AEU540"/>
      <c r="AEV540"/>
      <c r="AEW540"/>
      <c r="AEX540"/>
      <c r="AEY540"/>
      <c r="AEZ540"/>
      <c r="AFA540"/>
      <c r="AFB540"/>
      <c r="AFC540"/>
      <c r="AFD540"/>
      <c r="AFE540"/>
      <c r="AFF540"/>
      <c r="AFG540"/>
      <c r="AFH540"/>
      <c r="AFI540"/>
      <c r="AFJ540"/>
      <c r="AFK540"/>
      <c r="AFL540"/>
      <c r="AFM540"/>
      <c r="AFN540"/>
      <c r="AFO540"/>
      <c r="AFP540"/>
      <c r="AFQ540"/>
      <c r="AFR540"/>
      <c r="AFS540"/>
      <c r="AFT540"/>
      <c r="AFU540"/>
      <c r="AFV540"/>
      <c r="AFW540"/>
      <c r="AFX540"/>
      <c r="AFY540"/>
      <c r="AFZ540"/>
      <c r="AGA540"/>
      <c r="AGB540"/>
      <c r="AGC540"/>
      <c r="AGD540"/>
      <c r="AGE540"/>
      <c r="AGF540"/>
      <c r="AGG540"/>
      <c r="AGH540"/>
      <c r="AGI540"/>
      <c r="AGJ540"/>
      <c r="AGK540"/>
      <c r="AGL540"/>
      <c r="AGM540"/>
      <c r="AGN540"/>
      <c r="AGO540"/>
      <c r="AGP540"/>
      <c r="AGQ540"/>
      <c r="AGR540"/>
      <c r="AGS540"/>
      <c r="AGT540"/>
      <c r="AGU540"/>
      <c r="AGV540"/>
      <c r="AGW540"/>
      <c r="AGX540"/>
      <c r="AGY540"/>
      <c r="AGZ540"/>
      <c r="AHA540"/>
      <c r="AHB540"/>
      <c r="AHC540"/>
      <c r="AHD540"/>
      <c r="AHE540"/>
      <c r="AHF540"/>
      <c r="AHG540"/>
      <c r="AHH540"/>
      <c r="AHI540"/>
      <c r="AHJ540"/>
      <c r="AHK540"/>
      <c r="AHL540"/>
      <c r="AHM540"/>
      <c r="AHN540"/>
      <c r="AHO540"/>
      <c r="AHP540"/>
      <c r="AHQ540"/>
      <c r="AHR540"/>
      <c r="AHS540"/>
      <c r="AHT540"/>
      <c r="AHU540"/>
      <c r="AHV540"/>
      <c r="AHW540"/>
      <c r="AHX540"/>
      <c r="AHY540"/>
      <c r="AHZ540"/>
      <c r="AIA540"/>
      <c r="AIB540"/>
      <c r="AIC540"/>
      <c r="AID540"/>
      <c r="AIE540"/>
      <c r="AIF540"/>
      <c r="AIG540"/>
      <c r="AIH540"/>
      <c r="AII540"/>
      <c r="AIJ540"/>
      <c r="AIK540"/>
      <c r="AIL540"/>
      <c r="AIM540"/>
      <c r="AIN540"/>
      <c r="AIO540"/>
      <c r="AIP540"/>
      <c r="AIQ540"/>
      <c r="AIR540"/>
      <c r="AIS540"/>
      <c r="AIT540"/>
      <c r="AIU540"/>
      <c r="AIV540"/>
      <c r="AIW540"/>
      <c r="AIX540"/>
      <c r="AIY540"/>
      <c r="AIZ540"/>
      <c r="AJA540"/>
      <c r="AJB540"/>
      <c r="AJC540"/>
      <c r="AJD540"/>
      <c r="AJE540"/>
      <c r="AJF540"/>
      <c r="AJG540"/>
      <c r="AJH540"/>
      <c r="AJI540"/>
      <c r="AJJ540"/>
      <c r="AJK540"/>
      <c r="AJL540"/>
      <c r="AJM540"/>
      <c r="AJN540"/>
      <c r="AJO540"/>
      <c r="AJP540"/>
      <c r="AJQ540"/>
      <c r="AJR540"/>
      <c r="AJS540"/>
      <c r="AJT540"/>
      <c r="AJU540"/>
      <c r="AJV540"/>
      <c r="AJW540"/>
      <c r="AJX540"/>
      <c r="AJY540"/>
      <c r="AJZ540"/>
      <c r="AKA540"/>
      <c r="AKB540"/>
      <c r="AKC540"/>
      <c r="AKD540"/>
      <c r="AKE540"/>
      <c r="AKF540"/>
      <c r="AKG540"/>
      <c r="AKH540"/>
      <c r="AKI540"/>
      <c r="AKJ540"/>
      <c r="AKK540"/>
      <c r="AKL540"/>
      <c r="AKM540"/>
      <c r="AKN540"/>
      <c r="AKO540"/>
      <c r="AKP540"/>
      <c r="AKQ540"/>
      <c r="AKR540"/>
      <c r="AKS540"/>
      <c r="AKT540"/>
      <c r="AKU540"/>
      <c r="AKV540"/>
      <c r="AKW540"/>
    </row>
    <row r="541" spans="1:985">
      <c r="A541" s="178"/>
      <c r="B541" s="157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  <c r="ZW541"/>
      <c r="ZX541"/>
      <c r="ZY541"/>
      <c r="ZZ541"/>
      <c r="AAA541"/>
      <c r="AAB541"/>
      <c r="AAC541"/>
      <c r="AAD541"/>
      <c r="AAE541"/>
      <c r="AAF541"/>
      <c r="AAG541"/>
      <c r="AAH541"/>
      <c r="AAI541"/>
      <c r="AAJ541"/>
      <c r="AAK541"/>
      <c r="AAL541"/>
      <c r="AAM541"/>
      <c r="AAN541"/>
      <c r="AAO541"/>
      <c r="AAP541"/>
      <c r="AAQ541"/>
      <c r="AAR541"/>
      <c r="AAS541"/>
      <c r="AAT541"/>
      <c r="AAU541"/>
      <c r="AAV541"/>
      <c r="AAW541"/>
      <c r="AAX541"/>
      <c r="AAY541"/>
      <c r="AAZ541"/>
      <c r="ABA541"/>
      <c r="ABB541"/>
      <c r="ABC541"/>
      <c r="ABD541"/>
      <c r="ABE541"/>
      <c r="ABF541"/>
      <c r="ABG541"/>
      <c r="ABH541"/>
      <c r="ABI541"/>
      <c r="ABJ541"/>
      <c r="ABK541"/>
      <c r="ABL541"/>
      <c r="ABM541"/>
      <c r="ABN541"/>
      <c r="ABO541"/>
      <c r="ABP541"/>
      <c r="ABQ541"/>
      <c r="ABR541"/>
      <c r="ABS541"/>
      <c r="ABT541"/>
      <c r="ABU541"/>
      <c r="ABV541"/>
      <c r="ABW541"/>
      <c r="ABX541"/>
      <c r="ABY541"/>
      <c r="ABZ541"/>
      <c r="ACA541"/>
      <c r="ACB541"/>
      <c r="ACC541"/>
      <c r="ACD541"/>
      <c r="ACE541"/>
      <c r="ACF541"/>
      <c r="ACG541"/>
      <c r="ACH541"/>
      <c r="ACI541"/>
      <c r="ACJ541"/>
      <c r="ACK541"/>
      <c r="ACL541"/>
      <c r="ACM541"/>
      <c r="ACN541"/>
      <c r="ACO541"/>
      <c r="ACP541"/>
      <c r="ACQ541"/>
      <c r="ACR541"/>
      <c r="ACS541"/>
      <c r="ACT541"/>
      <c r="ACU541"/>
      <c r="ACV541"/>
      <c r="ACW541"/>
      <c r="ACX541"/>
      <c r="ACY541"/>
      <c r="ACZ541"/>
      <c r="ADA541"/>
      <c r="ADB541"/>
      <c r="ADC541"/>
      <c r="ADD541"/>
      <c r="ADE541"/>
      <c r="ADF541"/>
      <c r="ADG541"/>
      <c r="ADH541"/>
      <c r="ADI541"/>
      <c r="ADJ541"/>
      <c r="ADK541"/>
      <c r="ADL541"/>
      <c r="ADM541"/>
      <c r="ADN541"/>
      <c r="ADO541"/>
      <c r="ADP541"/>
      <c r="ADQ541"/>
      <c r="ADR541"/>
      <c r="ADS541"/>
      <c r="ADT541"/>
      <c r="ADU541"/>
      <c r="ADV541"/>
      <c r="ADW541"/>
      <c r="ADX541"/>
      <c r="ADY541"/>
      <c r="ADZ541"/>
      <c r="AEA541"/>
      <c r="AEB541"/>
      <c r="AEC541"/>
      <c r="AED541"/>
      <c r="AEE541"/>
      <c r="AEF541"/>
      <c r="AEG541"/>
      <c r="AEH541"/>
      <c r="AEI541"/>
      <c r="AEJ541"/>
      <c r="AEK541"/>
      <c r="AEL541"/>
      <c r="AEM541"/>
      <c r="AEN541"/>
      <c r="AEO541"/>
      <c r="AEP541"/>
      <c r="AEQ541"/>
      <c r="AER541"/>
      <c r="AES541"/>
      <c r="AET541"/>
      <c r="AEU541"/>
      <c r="AEV541"/>
      <c r="AEW541"/>
      <c r="AEX541"/>
      <c r="AEY541"/>
      <c r="AEZ541"/>
      <c r="AFA541"/>
      <c r="AFB541"/>
      <c r="AFC541"/>
      <c r="AFD541"/>
      <c r="AFE541"/>
      <c r="AFF541"/>
      <c r="AFG541"/>
      <c r="AFH541"/>
      <c r="AFI541"/>
      <c r="AFJ541"/>
      <c r="AFK541"/>
      <c r="AFL541"/>
      <c r="AFM541"/>
      <c r="AFN541"/>
      <c r="AFO541"/>
      <c r="AFP541"/>
      <c r="AFQ541"/>
      <c r="AFR541"/>
      <c r="AFS541"/>
      <c r="AFT541"/>
      <c r="AFU541"/>
      <c r="AFV541"/>
      <c r="AFW541"/>
      <c r="AFX541"/>
      <c r="AFY541"/>
      <c r="AFZ541"/>
      <c r="AGA541"/>
      <c r="AGB541"/>
      <c r="AGC541"/>
      <c r="AGD541"/>
      <c r="AGE541"/>
      <c r="AGF541"/>
      <c r="AGG541"/>
      <c r="AGH541"/>
      <c r="AGI541"/>
      <c r="AGJ541"/>
      <c r="AGK541"/>
      <c r="AGL541"/>
      <c r="AGM541"/>
      <c r="AGN541"/>
      <c r="AGO541"/>
      <c r="AGP541"/>
      <c r="AGQ541"/>
      <c r="AGR541"/>
      <c r="AGS541"/>
      <c r="AGT541"/>
      <c r="AGU541"/>
      <c r="AGV541"/>
      <c r="AGW541"/>
      <c r="AGX541"/>
      <c r="AGY541"/>
      <c r="AGZ541"/>
      <c r="AHA541"/>
      <c r="AHB541"/>
      <c r="AHC541"/>
      <c r="AHD541"/>
      <c r="AHE541"/>
      <c r="AHF541"/>
      <c r="AHG541"/>
      <c r="AHH541"/>
      <c r="AHI541"/>
      <c r="AHJ541"/>
      <c r="AHK541"/>
      <c r="AHL541"/>
      <c r="AHM541"/>
      <c r="AHN541"/>
      <c r="AHO541"/>
      <c r="AHP541"/>
      <c r="AHQ541"/>
      <c r="AHR541"/>
      <c r="AHS541"/>
      <c r="AHT541"/>
      <c r="AHU541"/>
      <c r="AHV541"/>
      <c r="AHW541"/>
      <c r="AHX541"/>
      <c r="AHY541"/>
      <c r="AHZ541"/>
      <c r="AIA541"/>
      <c r="AIB541"/>
      <c r="AIC541"/>
      <c r="AID541"/>
      <c r="AIE541"/>
      <c r="AIF541"/>
      <c r="AIG541"/>
      <c r="AIH541"/>
      <c r="AII541"/>
      <c r="AIJ541"/>
      <c r="AIK541"/>
      <c r="AIL541"/>
      <c r="AIM541"/>
      <c r="AIN541"/>
      <c r="AIO541"/>
      <c r="AIP541"/>
      <c r="AIQ541"/>
      <c r="AIR541"/>
      <c r="AIS541"/>
      <c r="AIT541"/>
      <c r="AIU541"/>
      <c r="AIV541"/>
      <c r="AIW541"/>
      <c r="AIX541"/>
      <c r="AIY541"/>
      <c r="AIZ541"/>
      <c r="AJA541"/>
      <c r="AJB541"/>
      <c r="AJC541"/>
      <c r="AJD541"/>
      <c r="AJE541"/>
      <c r="AJF541"/>
      <c r="AJG541"/>
      <c r="AJH541"/>
      <c r="AJI541"/>
      <c r="AJJ541"/>
      <c r="AJK541"/>
      <c r="AJL541"/>
      <c r="AJM541"/>
      <c r="AJN541"/>
      <c r="AJO541"/>
      <c r="AJP541"/>
      <c r="AJQ541"/>
      <c r="AJR541"/>
      <c r="AJS541"/>
      <c r="AJT541"/>
      <c r="AJU541"/>
      <c r="AJV541"/>
      <c r="AJW541"/>
      <c r="AJX541"/>
      <c r="AJY541"/>
      <c r="AJZ541"/>
      <c r="AKA541"/>
      <c r="AKB541"/>
      <c r="AKC541"/>
      <c r="AKD541"/>
      <c r="AKE541"/>
      <c r="AKF541"/>
      <c r="AKG541"/>
      <c r="AKH541"/>
      <c r="AKI541"/>
      <c r="AKJ541"/>
      <c r="AKK541"/>
      <c r="AKL541"/>
      <c r="AKM541"/>
      <c r="AKN541"/>
      <c r="AKO541"/>
      <c r="AKP541"/>
      <c r="AKQ541"/>
      <c r="AKR541"/>
      <c r="AKS541"/>
      <c r="AKT541"/>
      <c r="AKU541"/>
      <c r="AKV541"/>
      <c r="AKW541"/>
    </row>
    <row r="542" spans="1:985">
      <c r="A542" s="153" t="s">
        <v>326</v>
      </c>
      <c r="B542" s="150" t="s">
        <v>4</v>
      </c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  <c r="ZY542"/>
      <c r="ZZ542"/>
      <c r="AAA542"/>
      <c r="AAB542"/>
      <c r="AAC542"/>
      <c r="AAD542"/>
      <c r="AAE542"/>
      <c r="AAF542"/>
      <c r="AAG542"/>
      <c r="AAH542"/>
      <c r="AAI542"/>
      <c r="AAJ542"/>
      <c r="AAK542"/>
      <c r="AAL542"/>
      <c r="AAM542"/>
      <c r="AAN542"/>
      <c r="AAO542"/>
      <c r="AAP542"/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  <c r="ABE542"/>
      <c r="ABF542"/>
      <c r="ABG542"/>
      <c r="ABH542"/>
      <c r="ABI542"/>
      <c r="ABJ542"/>
      <c r="ABK542"/>
      <c r="ABL542"/>
      <c r="ABM542"/>
      <c r="ABN542"/>
      <c r="ABO542"/>
      <c r="ABP542"/>
      <c r="ABQ542"/>
      <c r="ABR542"/>
      <c r="ABS542"/>
      <c r="ABT542"/>
      <c r="ABU542"/>
      <c r="ABV542"/>
      <c r="ABW542"/>
      <c r="ABX542"/>
      <c r="ABY542"/>
      <c r="ABZ542"/>
      <c r="ACA542"/>
      <c r="ACB542"/>
      <c r="ACC542"/>
      <c r="ACD542"/>
      <c r="ACE542"/>
      <c r="ACF542"/>
      <c r="ACG542"/>
      <c r="ACH542"/>
      <c r="ACI542"/>
      <c r="ACJ542"/>
      <c r="ACK542"/>
      <c r="ACL542"/>
      <c r="ACM542"/>
      <c r="ACN542"/>
      <c r="ACO542"/>
      <c r="ACP542"/>
      <c r="ACQ542"/>
      <c r="ACR542"/>
      <c r="ACS542"/>
      <c r="ACT542"/>
      <c r="ACU542"/>
      <c r="ACV542"/>
      <c r="ACW542"/>
      <c r="ACX542"/>
      <c r="ACY542"/>
      <c r="ACZ542"/>
      <c r="ADA542"/>
      <c r="ADB542"/>
      <c r="ADC542"/>
      <c r="ADD542"/>
      <c r="ADE542"/>
      <c r="ADF542"/>
      <c r="ADG542"/>
      <c r="ADH542"/>
      <c r="ADI542"/>
      <c r="ADJ542"/>
      <c r="ADK542"/>
      <c r="ADL542"/>
      <c r="ADM542"/>
      <c r="ADN542"/>
      <c r="ADO542"/>
      <c r="ADP542"/>
      <c r="ADQ542"/>
      <c r="ADR542"/>
      <c r="ADS542"/>
      <c r="ADT542"/>
      <c r="ADU542"/>
      <c r="ADV542"/>
      <c r="ADW542"/>
      <c r="ADX542"/>
      <c r="ADY542"/>
      <c r="ADZ542"/>
      <c r="AEA542"/>
      <c r="AEB542"/>
      <c r="AEC542"/>
      <c r="AED542"/>
      <c r="AEE542"/>
      <c r="AEF542"/>
      <c r="AEG542"/>
      <c r="AEH542"/>
      <c r="AEI542"/>
      <c r="AEJ542"/>
      <c r="AEK542"/>
      <c r="AEL542"/>
      <c r="AEM542"/>
      <c r="AEN542"/>
      <c r="AEO542"/>
      <c r="AEP542"/>
      <c r="AEQ542"/>
      <c r="AER542"/>
      <c r="AES542"/>
      <c r="AET542"/>
      <c r="AEU542"/>
      <c r="AEV542"/>
      <c r="AEW542"/>
      <c r="AEX542"/>
      <c r="AEY542"/>
      <c r="AEZ542"/>
      <c r="AFA542"/>
      <c r="AFB542"/>
      <c r="AFC542"/>
      <c r="AFD542"/>
      <c r="AFE542"/>
      <c r="AFF542"/>
      <c r="AFG542"/>
      <c r="AFH542"/>
      <c r="AFI542"/>
      <c r="AFJ542"/>
      <c r="AFK542"/>
      <c r="AFL542"/>
      <c r="AFM542"/>
      <c r="AFN542"/>
      <c r="AFO542"/>
      <c r="AFP542"/>
      <c r="AFQ542"/>
      <c r="AFR542"/>
      <c r="AFS542"/>
      <c r="AFT542"/>
      <c r="AFU542"/>
      <c r="AFV542"/>
      <c r="AFW542"/>
      <c r="AFX542"/>
      <c r="AFY542"/>
      <c r="AFZ542"/>
      <c r="AGA542"/>
      <c r="AGB542"/>
      <c r="AGC542"/>
      <c r="AGD542"/>
      <c r="AGE542"/>
      <c r="AGF542"/>
      <c r="AGG542"/>
      <c r="AGH542"/>
      <c r="AGI542"/>
      <c r="AGJ542"/>
      <c r="AGK542"/>
      <c r="AGL542"/>
      <c r="AGM542"/>
      <c r="AGN542"/>
      <c r="AGO542"/>
      <c r="AGP542"/>
      <c r="AGQ542"/>
      <c r="AGR542"/>
      <c r="AGS542"/>
      <c r="AGT542"/>
      <c r="AGU542"/>
      <c r="AGV542"/>
      <c r="AGW542"/>
      <c r="AGX542"/>
      <c r="AGY542"/>
      <c r="AGZ542"/>
      <c r="AHA542"/>
      <c r="AHB542"/>
      <c r="AHC542"/>
      <c r="AHD542"/>
      <c r="AHE542"/>
      <c r="AHF542"/>
      <c r="AHG542"/>
      <c r="AHH542"/>
      <c r="AHI542"/>
      <c r="AHJ542"/>
      <c r="AHK542"/>
      <c r="AHL542"/>
      <c r="AHM542"/>
      <c r="AHN542"/>
      <c r="AHO542"/>
      <c r="AHP542"/>
      <c r="AHQ542"/>
      <c r="AHR542"/>
      <c r="AHS542"/>
      <c r="AHT542"/>
      <c r="AHU542"/>
      <c r="AHV542"/>
      <c r="AHW542"/>
      <c r="AHX542"/>
      <c r="AHY542"/>
      <c r="AHZ542"/>
      <c r="AIA542"/>
      <c r="AIB542"/>
      <c r="AIC542"/>
      <c r="AID542"/>
      <c r="AIE542"/>
      <c r="AIF542"/>
      <c r="AIG542"/>
      <c r="AIH542"/>
      <c r="AII542"/>
      <c r="AIJ542"/>
      <c r="AIK542"/>
      <c r="AIL542"/>
      <c r="AIM542"/>
      <c r="AIN542"/>
      <c r="AIO542"/>
      <c r="AIP542"/>
      <c r="AIQ542"/>
      <c r="AIR542"/>
      <c r="AIS542"/>
      <c r="AIT542"/>
      <c r="AIU542"/>
      <c r="AIV542"/>
      <c r="AIW542"/>
      <c r="AIX542"/>
      <c r="AIY542"/>
      <c r="AIZ542"/>
      <c r="AJA542"/>
      <c r="AJB542"/>
      <c r="AJC542"/>
      <c r="AJD542"/>
      <c r="AJE542"/>
      <c r="AJF542"/>
      <c r="AJG542"/>
      <c r="AJH542"/>
      <c r="AJI542"/>
      <c r="AJJ542"/>
      <c r="AJK542"/>
      <c r="AJL542"/>
      <c r="AJM542"/>
      <c r="AJN542"/>
      <c r="AJO542"/>
      <c r="AJP542"/>
      <c r="AJQ542"/>
      <c r="AJR542"/>
      <c r="AJS542"/>
      <c r="AJT542"/>
      <c r="AJU542"/>
      <c r="AJV542"/>
      <c r="AJW542"/>
      <c r="AJX542"/>
      <c r="AJY542"/>
      <c r="AJZ542"/>
      <c r="AKA542"/>
      <c r="AKB542"/>
      <c r="AKC542"/>
      <c r="AKD542"/>
      <c r="AKE542"/>
      <c r="AKF542"/>
      <c r="AKG542"/>
      <c r="AKH542"/>
      <c r="AKI542"/>
      <c r="AKJ542"/>
      <c r="AKK542"/>
      <c r="AKL542"/>
      <c r="AKM542"/>
      <c r="AKN542"/>
      <c r="AKO542"/>
      <c r="AKP542"/>
      <c r="AKQ542"/>
      <c r="AKR542"/>
      <c r="AKS542"/>
      <c r="AKT542"/>
      <c r="AKU542"/>
      <c r="AKV542"/>
      <c r="AKW542"/>
    </row>
    <row r="543" spans="1:985">
      <c r="A543" s="178"/>
      <c r="B543" s="157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  <c r="ZW543"/>
      <c r="ZX543"/>
      <c r="ZY543"/>
      <c r="ZZ543"/>
      <c r="AAA543"/>
      <c r="AAB543"/>
      <c r="AAC543"/>
      <c r="AAD543"/>
      <c r="AAE543"/>
      <c r="AAF543"/>
      <c r="AAG543"/>
      <c r="AAH543"/>
      <c r="AAI543"/>
      <c r="AAJ543"/>
      <c r="AAK543"/>
      <c r="AAL543"/>
      <c r="AAM543"/>
      <c r="AAN543"/>
      <c r="AAO543"/>
      <c r="AAP543"/>
      <c r="AAQ543"/>
      <c r="AAR543"/>
      <c r="AAS543"/>
      <c r="AAT543"/>
      <c r="AAU543"/>
      <c r="AAV543"/>
      <c r="AAW543"/>
      <c r="AAX543"/>
      <c r="AAY543"/>
      <c r="AAZ543"/>
      <c r="ABA543"/>
      <c r="ABB543"/>
      <c r="ABC543"/>
      <c r="ABD543"/>
      <c r="ABE543"/>
      <c r="ABF543"/>
      <c r="ABG543"/>
      <c r="ABH543"/>
      <c r="ABI543"/>
      <c r="ABJ543"/>
      <c r="ABK543"/>
      <c r="ABL543"/>
      <c r="ABM543"/>
      <c r="ABN543"/>
      <c r="ABO543"/>
      <c r="ABP543"/>
      <c r="ABQ543"/>
      <c r="ABR543"/>
      <c r="ABS543"/>
      <c r="ABT543"/>
      <c r="ABU543"/>
      <c r="ABV543"/>
      <c r="ABW543"/>
      <c r="ABX543"/>
      <c r="ABY543"/>
      <c r="ABZ543"/>
      <c r="ACA543"/>
      <c r="ACB543"/>
      <c r="ACC543"/>
      <c r="ACD543"/>
      <c r="ACE543"/>
      <c r="ACF543"/>
      <c r="ACG543"/>
      <c r="ACH543"/>
      <c r="ACI543"/>
      <c r="ACJ543"/>
      <c r="ACK543"/>
      <c r="ACL543"/>
      <c r="ACM543"/>
      <c r="ACN543"/>
      <c r="ACO543"/>
      <c r="ACP543"/>
      <c r="ACQ543"/>
      <c r="ACR543"/>
      <c r="ACS543"/>
      <c r="ACT543"/>
      <c r="ACU543"/>
      <c r="ACV543"/>
      <c r="ACW543"/>
      <c r="ACX543"/>
      <c r="ACY543"/>
      <c r="ACZ543"/>
      <c r="ADA543"/>
      <c r="ADB543"/>
      <c r="ADC543"/>
      <c r="ADD543"/>
      <c r="ADE543"/>
      <c r="ADF543"/>
      <c r="ADG543"/>
      <c r="ADH543"/>
      <c r="ADI543"/>
      <c r="ADJ543"/>
      <c r="ADK543"/>
      <c r="ADL543"/>
      <c r="ADM543"/>
      <c r="ADN543"/>
      <c r="ADO543"/>
      <c r="ADP543"/>
      <c r="ADQ543"/>
      <c r="ADR543"/>
      <c r="ADS543"/>
      <c r="ADT543"/>
      <c r="ADU543"/>
      <c r="ADV543"/>
      <c r="ADW543"/>
      <c r="ADX543"/>
      <c r="ADY543"/>
      <c r="ADZ543"/>
      <c r="AEA543"/>
      <c r="AEB543"/>
      <c r="AEC543"/>
      <c r="AED543"/>
      <c r="AEE543"/>
      <c r="AEF543"/>
      <c r="AEG543"/>
      <c r="AEH543"/>
      <c r="AEI543"/>
      <c r="AEJ543"/>
      <c r="AEK543"/>
      <c r="AEL543"/>
      <c r="AEM543"/>
      <c r="AEN543"/>
      <c r="AEO543"/>
      <c r="AEP543"/>
      <c r="AEQ543"/>
      <c r="AER543"/>
      <c r="AES543"/>
      <c r="AET543"/>
      <c r="AEU543"/>
      <c r="AEV543"/>
      <c r="AEW543"/>
      <c r="AEX543"/>
      <c r="AEY543"/>
      <c r="AEZ543"/>
      <c r="AFA543"/>
      <c r="AFB543"/>
      <c r="AFC543"/>
      <c r="AFD543"/>
      <c r="AFE543"/>
      <c r="AFF543"/>
      <c r="AFG543"/>
      <c r="AFH543"/>
      <c r="AFI543"/>
      <c r="AFJ543"/>
      <c r="AFK543"/>
      <c r="AFL543"/>
      <c r="AFM543"/>
      <c r="AFN543"/>
      <c r="AFO543"/>
      <c r="AFP543"/>
      <c r="AFQ543"/>
      <c r="AFR543"/>
      <c r="AFS543"/>
      <c r="AFT543"/>
      <c r="AFU543"/>
      <c r="AFV543"/>
      <c r="AFW543"/>
      <c r="AFX543"/>
      <c r="AFY543"/>
      <c r="AFZ543"/>
      <c r="AGA543"/>
      <c r="AGB543"/>
      <c r="AGC543"/>
      <c r="AGD543"/>
      <c r="AGE543"/>
      <c r="AGF543"/>
      <c r="AGG543"/>
      <c r="AGH543"/>
      <c r="AGI543"/>
      <c r="AGJ543"/>
      <c r="AGK543"/>
      <c r="AGL543"/>
      <c r="AGM543"/>
      <c r="AGN543"/>
      <c r="AGO543"/>
      <c r="AGP543"/>
      <c r="AGQ543"/>
      <c r="AGR543"/>
      <c r="AGS543"/>
      <c r="AGT543"/>
      <c r="AGU543"/>
      <c r="AGV543"/>
      <c r="AGW543"/>
      <c r="AGX543"/>
      <c r="AGY543"/>
      <c r="AGZ543"/>
      <c r="AHA543"/>
      <c r="AHB543"/>
      <c r="AHC543"/>
      <c r="AHD543"/>
      <c r="AHE543"/>
      <c r="AHF543"/>
      <c r="AHG543"/>
      <c r="AHH543"/>
      <c r="AHI543"/>
      <c r="AHJ543"/>
      <c r="AHK543"/>
      <c r="AHL543"/>
      <c r="AHM543"/>
      <c r="AHN543"/>
      <c r="AHO543"/>
      <c r="AHP543"/>
      <c r="AHQ543"/>
      <c r="AHR543"/>
      <c r="AHS543"/>
      <c r="AHT543"/>
      <c r="AHU543"/>
      <c r="AHV543"/>
      <c r="AHW543"/>
      <c r="AHX543"/>
      <c r="AHY543"/>
      <c r="AHZ543"/>
      <c r="AIA543"/>
      <c r="AIB543"/>
      <c r="AIC543"/>
      <c r="AID543"/>
      <c r="AIE543"/>
      <c r="AIF543"/>
      <c r="AIG543"/>
      <c r="AIH543"/>
      <c r="AII543"/>
      <c r="AIJ543"/>
      <c r="AIK543"/>
      <c r="AIL543"/>
      <c r="AIM543"/>
      <c r="AIN543"/>
      <c r="AIO543"/>
      <c r="AIP543"/>
      <c r="AIQ543"/>
      <c r="AIR543"/>
      <c r="AIS543"/>
      <c r="AIT543"/>
      <c r="AIU543"/>
      <c r="AIV543"/>
      <c r="AIW543"/>
      <c r="AIX543"/>
      <c r="AIY543"/>
      <c r="AIZ543"/>
      <c r="AJA543"/>
      <c r="AJB543"/>
      <c r="AJC543"/>
      <c r="AJD543"/>
      <c r="AJE543"/>
      <c r="AJF543"/>
      <c r="AJG543"/>
      <c r="AJH543"/>
      <c r="AJI543"/>
      <c r="AJJ543"/>
      <c r="AJK543"/>
      <c r="AJL543"/>
      <c r="AJM543"/>
      <c r="AJN543"/>
      <c r="AJO543"/>
      <c r="AJP543"/>
      <c r="AJQ543"/>
      <c r="AJR543"/>
      <c r="AJS543"/>
      <c r="AJT543"/>
      <c r="AJU543"/>
      <c r="AJV543"/>
      <c r="AJW543"/>
      <c r="AJX543"/>
      <c r="AJY543"/>
      <c r="AJZ543"/>
      <c r="AKA543"/>
      <c r="AKB543"/>
      <c r="AKC543"/>
      <c r="AKD543"/>
      <c r="AKE543"/>
      <c r="AKF543"/>
      <c r="AKG543"/>
      <c r="AKH543"/>
      <c r="AKI543"/>
      <c r="AKJ543"/>
      <c r="AKK543"/>
      <c r="AKL543"/>
      <c r="AKM543"/>
      <c r="AKN543"/>
      <c r="AKO543"/>
      <c r="AKP543"/>
      <c r="AKQ543"/>
      <c r="AKR543"/>
      <c r="AKS543"/>
      <c r="AKT543"/>
      <c r="AKU543"/>
      <c r="AKV543"/>
      <c r="AKW543"/>
    </row>
    <row r="544" spans="1:985">
      <c r="A544" s="421" t="s">
        <v>1451</v>
      </c>
      <c r="B544" s="291">
        <v>6100</v>
      </c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  <c r="ZY544"/>
      <c r="ZZ544"/>
      <c r="AAA544"/>
      <c r="AAB544"/>
      <c r="AAC544"/>
      <c r="AAD544"/>
      <c r="AAE544"/>
      <c r="AAF544"/>
      <c r="AAG544"/>
      <c r="AAH544"/>
      <c r="AAI544"/>
      <c r="AAJ544"/>
      <c r="AAK544"/>
      <c r="AAL544"/>
      <c r="AAM544"/>
      <c r="AAN544"/>
      <c r="AAO544"/>
      <c r="AAP544"/>
      <c r="AAQ544"/>
      <c r="AAR544"/>
      <c r="AAS544"/>
      <c r="AAT544"/>
      <c r="AAU544"/>
      <c r="AAV544"/>
      <c r="AAW544"/>
      <c r="AAX544"/>
      <c r="AAY544"/>
      <c r="AAZ544"/>
      <c r="ABA544"/>
      <c r="ABB544"/>
      <c r="ABC544"/>
      <c r="ABD544"/>
      <c r="ABE544"/>
      <c r="ABF544"/>
      <c r="ABG544"/>
      <c r="ABH544"/>
      <c r="ABI544"/>
      <c r="ABJ544"/>
      <c r="ABK544"/>
      <c r="ABL544"/>
      <c r="ABM544"/>
      <c r="ABN544"/>
      <c r="ABO544"/>
      <c r="ABP544"/>
      <c r="ABQ544"/>
      <c r="ABR544"/>
      <c r="ABS544"/>
      <c r="ABT544"/>
      <c r="ABU544"/>
      <c r="ABV544"/>
      <c r="ABW544"/>
      <c r="ABX544"/>
      <c r="ABY544"/>
      <c r="ABZ544"/>
      <c r="ACA544"/>
      <c r="ACB544"/>
      <c r="ACC544"/>
      <c r="ACD544"/>
      <c r="ACE544"/>
      <c r="ACF544"/>
      <c r="ACG544"/>
      <c r="ACH544"/>
      <c r="ACI544"/>
      <c r="ACJ544"/>
      <c r="ACK544"/>
      <c r="ACL544"/>
      <c r="ACM544"/>
      <c r="ACN544"/>
      <c r="ACO544"/>
      <c r="ACP544"/>
      <c r="ACQ544"/>
      <c r="ACR544"/>
      <c r="ACS544"/>
      <c r="ACT544"/>
      <c r="ACU544"/>
      <c r="ACV544"/>
      <c r="ACW544"/>
      <c r="ACX544"/>
      <c r="ACY544"/>
      <c r="ACZ544"/>
      <c r="ADA544"/>
      <c r="ADB544"/>
      <c r="ADC544"/>
      <c r="ADD544"/>
      <c r="ADE544"/>
      <c r="ADF544"/>
      <c r="ADG544"/>
      <c r="ADH544"/>
      <c r="ADI544"/>
      <c r="ADJ544"/>
      <c r="ADK544"/>
      <c r="ADL544"/>
      <c r="ADM544"/>
      <c r="ADN544"/>
      <c r="ADO544"/>
      <c r="ADP544"/>
      <c r="ADQ544"/>
      <c r="ADR544"/>
      <c r="ADS544"/>
      <c r="ADT544"/>
      <c r="ADU544"/>
      <c r="ADV544"/>
      <c r="ADW544"/>
      <c r="ADX544"/>
      <c r="ADY544"/>
      <c r="ADZ544"/>
      <c r="AEA544"/>
      <c r="AEB544"/>
      <c r="AEC544"/>
      <c r="AED544"/>
      <c r="AEE544"/>
      <c r="AEF544"/>
      <c r="AEG544"/>
      <c r="AEH544"/>
      <c r="AEI544"/>
      <c r="AEJ544"/>
      <c r="AEK544"/>
      <c r="AEL544"/>
      <c r="AEM544"/>
      <c r="AEN544"/>
      <c r="AEO544"/>
      <c r="AEP544"/>
      <c r="AEQ544"/>
      <c r="AER544"/>
      <c r="AES544"/>
      <c r="AET544"/>
      <c r="AEU544"/>
      <c r="AEV544"/>
      <c r="AEW544"/>
      <c r="AEX544"/>
      <c r="AEY544"/>
      <c r="AEZ544"/>
      <c r="AFA544"/>
      <c r="AFB544"/>
      <c r="AFC544"/>
      <c r="AFD544"/>
      <c r="AFE544"/>
      <c r="AFF544"/>
      <c r="AFG544"/>
      <c r="AFH544"/>
      <c r="AFI544"/>
      <c r="AFJ544"/>
      <c r="AFK544"/>
      <c r="AFL544"/>
      <c r="AFM544"/>
      <c r="AFN544"/>
      <c r="AFO544"/>
      <c r="AFP544"/>
      <c r="AFQ544"/>
      <c r="AFR544"/>
      <c r="AFS544"/>
      <c r="AFT544"/>
      <c r="AFU544"/>
      <c r="AFV544"/>
      <c r="AFW544"/>
      <c r="AFX544"/>
      <c r="AFY544"/>
      <c r="AFZ544"/>
      <c r="AGA544"/>
      <c r="AGB544"/>
      <c r="AGC544"/>
      <c r="AGD544"/>
      <c r="AGE544"/>
      <c r="AGF544"/>
      <c r="AGG544"/>
      <c r="AGH544"/>
      <c r="AGI544"/>
      <c r="AGJ544"/>
      <c r="AGK544"/>
      <c r="AGL544"/>
      <c r="AGM544"/>
      <c r="AGN544"/>
      <c r="AGO544"/>
      <c r="AGP544"/>
      <c r="AGQ544"/>
      <c r="AGR544"/>
      <c r="AGS544"/>
      <c r="AGT544"/>
      <c r="AGU544"/>
      <c r="AGV544"/>
      <c r="AGW544"/>
      <c r="AGX544"/>
      <c r="AGY544"/>
      <c r="AGZ544"/>
      <c r="AHA544"/>
      <c r="AHB544"/>
      <c r="AHC544"/>
      <c r="AHD544"/>
      <c r="AHE544"/>
      <c r="AHF544"/>
      <c r="AHG544"/>
      <c r="AHH544"/>
      <c r="AHI544"/>
      <c r="AHJ544"/>
      <c r="AHK544"/>
      <c r="AHL544"/>
      <c r="AHM544"/>
      <c r="AHN544"/>
      <c r="AHO544"/>
      <c r="AHP544"/>
      <c r="AHQ544"/>
      <c r="AHR544"/>
      <c r="AHS544"/>
      <c r="AHT544"/>
      <c r="AHU544"/>
      <c r="AHV544"/>
      <c r="AHW544"/>
      <c r="AHX544"/>
      <c r="AHY544"/>
      <c r="AHZ544"/>
      <c r="AIA544"/>
      <c r="AIB544"/>
      <c r="AIC544"/>
      <c r="AID544"/>
      <c r="AIE544"/>
      <c r="AIF544"/>
      <c r="AIG544"/>
      <c r="AIH544"/>
      <c r="AII544"/>
      <c r="AIJ544"/>
      <c r="AIK544"/>
      <c r="AIL544"/>
      <c r="AIM544"/>
      <c r="AIN544"/>
      <c r="AIO544"/>
      <c r="AIP544"/>
      <c r="AIQ544"/>
      <c r="AIR544"/>
      <c r="AIS544"/>
      <c r="AIT544"/>
      <c r="AIU544"/>
      <c r="AIV544"/>
      <c r="AIW544"/>
      <c r="AIX544"/>
      <c r="AIY544"/>
      <c r="AIZ544"/>
      <c r="AJA544"/>
      <c r="AJB544"/>
      <c r="AJC544"/>
      <c r="AJD544"/>
      <c r="AJE544"/>
      <c r="AJF544"/>
      <c r="AJG544"/>
      <c r="AJH544"/>
      <c r="AJI544"/>
      <c r="AJJ544"/>
      <c r="AJK544"/>
      <c r="AJL544"/>
      <c r="AJM544"/>
      <c r="AJN544"/>
      <c r="AJO544"/>
      <c r="AJP544"/>
      <c r="AJQ544"/>
      <c r="AJR544"/>
      <c r="AJS544"/>
      <c r="AJT544"/>
      <c r="AJU544"/>
      <c r="AJV544"/>
      <c r="AJW544"/>
      <c r="AJX544"/>
      <c r="AJY544"/>
      <c r="AJZ544"/>
      <c r="AKA544"/>
      <c r="AKB544"/>
      <c r="AKC544"/>
      <c r="AKD544"/>
      <c r="AKE544"/>
      <c r="AKF544"/>
      <c r="AKG544"/>
      <c r="AKH544"/>
      <c r="AKI544"/>
      <c r="AKJ544"/>
      <c r="AKK544"/>
      <c r="AKL544"/>
      <c r="AKM544"/>
      <c r="AKN544"/>
      <c r="AKO544"/>
      <c r="AKP544"/>
      <c r="AKQ544"/>
      <c r="AKR544"/>
      <c r="AKS544"/>
      <c r="AKT544"/>
      <c r="AKU544"/>
      <c r="AKV544"/>
      <c r="AKW544"/>
    </row>
    <row r="545" spans="1:985">
      <c r="A545" s="421" t="s">
        <v>1452</v>
      </c>
      <c r="B545" s="291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  <c r="ZW545"/>
      <c r="ZX545"/>
      <c r="ZY545"/>
      <c r="ZZ545"/>
      <c r="AAA545"/>
      <c r="AAB545"/>
      <c r="AAC545"/>
      <c r="AAD545"/>
      <c r="AAE545"/>
      <c r="AAF545"/>
      <c r="AAG545"/>
      <c r="AAH545"/>
      <c r="AAI545"/>
      <c r="AAJ545"/>
      <c r="AAK545"/>
      <c r="AAL545"/>
      <c r="AAM545"/>
      <c r="AAN545"/>
      <c r="AAO545"/>
      <c r="AAP545"/>
      <c r="AAQ545"/>
      <c r="AAR545"/>
      <c r="AAS545"/>
      <c r="AAT545"/>
      <c r="AAU545"/>
      <c r="AAV545"/>
      <c r="AAW545"/>
      <c r="AAX545"/>
      <c r="AAY545"/>
      <c r="AAZ545"/>
      <c r="ABA545"/>
      <c r="ABB545"/>
      <c r="ABC545"/>
      <c r="ABD545"/>
      <c r="ABE545"/>
      <c r="ABF545"/>
      <c r="ABG545"/>
      <c r="ABH545"/>
      <c r="ABI545"/>
      <c r="ABJ545"/>
      <c r="ABK545"/>
      <c r="ABL545"/>
      <c r="ABM545"/>
      <c r="ABN545"/>
      <c r="ABO545"/>
      <c r="ABP545"/>
      <c r="ABQ545"/>
      <c r="ABR545"/>
      <c r="ABS545"/>
      <c r="ABT545"/>
      <c r="ABU545"/>
      <c r="ABV545"/>
      <c r="ABW545"/>
      <c r="ABX545"/>
      <c r="ABY545"/>
      <c r="ABZ545"/>
      <c r="ACA545"/>
      <c r="ACB545"/>
      <c r="ACC545"/>
      <c r="ACD545"/>
      <c r="ACE545"/>
      <c r="ACF545"/>
      <c r="ACG545"/>
      <c r="ACH545"/>
      <c r="ACI545"/>
      <c r="ACJ545"/>
      <c r="ACK545"/>
      <c r="ACL545"/>
      <c r="ACM545"/>
      <c r="ACN545"/>
      <c r="ACO545"/>
      <c r="ACP545"/>
      <c r="ACQ545"/>
      <c r="ACR545"/>
      <c r="ACS545"/>
      <c r="ACT545"/>
      <c r="ACU545"/>
      <c r="ACV545"/>
      <c r="ACW545"/>
      <c r="ACX545"/>
      <c r="ACY545"/>
      <c r="ACZ545"/>
      <c r="ADA545"/>
      <c r="ADB545"/>
      <c r="ADC545"/>
      <c r="ADD545"/>
      <c r="ADE545"/>
      <c r="ADF545"/>
      <c r="ADG545"/>
      <c r="ADH545"/>
      <c r="ADI545"/>
      <c r="ADJ545"/>
      <c r="ADK545"/>
      <c r="ADL545"/>
      <c r="ADM545"/>
      <c r="ADN545"/>
      <c r="ADO545"/>
      <c r="ADP545"/>
      <c r="ADQ545"/>
      <c r="ADR545"/>
      <c r="ADS545"/>
      <c r="ADT545"/>
      <c r="ADU545"/>
      <c r="ADV545"/>
      <c r="ADW545"/>
      <c r="ADX545"/>
      <c r="ADY545"/>
      <c r="ADZ545"/>
      <c r="AEA545"/>
      <c r="AEB545"/>
      <c r="AEC545"/>
      <c r="AED545"/>
      <c r="AEE545"/>
      <c r="AEF545"/>
      <c r="AEG545"/>
      <c r="AEH545"/>
      <c r="AEI545"/>
      <c r="AEJ545"/>
      <c r="AEK545"/>
      <c r="AEL545"/>
      <c r="AEM545"/>
      <c r="AEN545"/>
      <c r="AEO545"/>
      <c r="AEP545"/>
      <c r="AEQ545"/>
      <c r="AER545"/>
      <c r="AES545"/>
      <c r="AET545"/>
      <c r="AEU545"/>
      <c r="AEV545"/>
      <c r="AEW545"/>
      <c r="AEX545"/>
      <c r="AEY545"/>
      <c r="AEZ545"/>
      <c r="AFA545"/>
      <c r="AFB545"/>
      <c r="AFC545"/>
      <c r="AFD545"/>
      <c r="AFE545"/>
      <c r="AFF545"/>
      <c r="AFG545"/>
      <c r="AFH545"/>
      <c r="AFI545"/>
      <c r="AFJ545"/>
      <c r="AFK545"/>
      <c r="AFL545"/>
      <c r="AFM545"/>
      <c r="AFN545"/>
      <c r="AFO545"/>
      <c r="AFP545"/>
      <c r="AFQ545"/>
      <c r="AFR545"/>
      <c r="AFS545"/>
      <c r="AFT545"/>
      <c r="AFU545"/>
      <c r="AFV545"/>
      <c r="AFW545"/>
      <c r="AFX545"/>
      <c r="AFY545"/>
      <c r="AFZ545"/>
      <c r="AGA545"/>
      <c r="AGB545"/>
      <c r="AGC545"/>
      <c r="AGD545"/>
      <c r="AGE545"/>
      <c r="AGF545"/>
      <c r="AGG545"/>
      <c r="AGH545"/>
      <c r="AGI545"/>
      <c r="AGJ545"/>
      <c r="AGK545"/>
      <c r="AGL545"/>
      <c r="AGM545"/>
      <c r="AGN545"/>
      <c r="AGO545"/>
      <c r="AGP545"/>
      <c r="AGQ545"/>
      <c r="AGR545"/>
      <c r="AGS545"/>
      <c r="AGT545"/>
      <c r="AGU545"/>
      <c r="AGV545"/>
      <c r="AGW545"/>
      <c r="AGX545"/>
      <c r="AGY545"/>
      <c r="AGZ545"/>
      <c r="AHA545"/>
      <c r="AHB545"/>
      <c r="AHC545"/>
      <c r="AHD545"/>
      <c r="AHE545"/>
      <c r="AHF545"/>
      <c r="AHG545"/>
      <c r="AHH545"/>
      <c r="AHI545"/>
      <c r="AHJ545"/>
      <c r="AHK545"/>
      <c r="AHL545"/>
      <c r="AHM545"/>
      <c r="AHN545"/>
      <c r="AHO545"/>
      <c r="AHP545"/>
      <c r="AHQ545"/>
      <c r="AHR545"/>
      <c r="AHS545"/>
      <c r="AHT545"/>
      <c r="AHU545"/>
      <c r="AHV545"/>
      <c r="AHW545"/>
      <c r="AHX545"/>
      <c r="AHY545"/>
      <c r="AHZ545"/>
      <c r="AIA545"/>
      <c r="AIB545"/>
      <c r="AIC545"/>
      <c r="AID545"/>
      <c r="AIE545"/>
      <c r="AIF545"/>
      <c r="AIG545"/>
      <c r="AIH545"/>
      <c r="AII545"/>
      <c r="AIJ545"/>
      <c r="AIK545"/>
      <c r="AIL545"/>
      <c r="AIM545"/>
      <c r="AIN545"/>
      <c r="AIO545"/>
      <c r="AIP545"/>
      <c r="AIQ545"/>
      <c r="AIR545"/>
      <c r="AIS545"/>
      <c r="AIT545"/>
      <c r="AIU545"/>
      <c r="AIV545"/>
      <c r="AIW545"/>
      <c r="AIX545"/>
      <c r="AIY545"/>
      <c r="AIZ545"/>
      <c r="AJA545"/>
      <c r="AJB545"/>
      <c r="AJC545"/>
      <c r="AJD545"/>
      <c r="AJE545"/>
      <c r="AJF545"/>
      <c r="AJG545"/>
      <c r="AJH545"/>
      <c r="AJI545"/>
      <c r="AJJ545"/>
      <c r="AJK545"/>
      <c r="AJL545"/>
      <c r="AJM545"/>
      <c r="AJN545"/>
      <c r="AJO545"/>
      <c r="AJP545"/>
      <c r="AJQ545"/>
      <c r="AJR545"/>
      <c r="AJS545"/>
      <c r="AJT545"/>
      <c r="AJU545"/>
      <c r="AJV545"/>
      <c r="AJW545"/>
      <c r="AJX545"/>
      <c r="AJY545"/>
      <c r="AJZ545"/>
      <c r="AKA545"/>
      <c r="AKB545"/>
      <c r="AKC545"/>
      <c r="AKD545"/>
      <c r="AKE545"/>
      <c r="AKF545"/>
      <c r="AKG545"/>
      <c r="AKH545"/>
      <c r="AKI545"/>
      <c r="AKJ545"/>
      <c r="AKK545"/>
      <c r="AKL545"/>
      <c r="AKM545"/>
      <c r="AKN545"/>
      <c r="AKO545"/>
      <c r="AKP545"/>
      <c r="AKQ545"/>
      <c r="AKR545"/>
      <c r="AKS545"/>
      <c r="AKT545"/>
      <c r="AKU545"/>
      <c r="AKV545"/>
      <c r="AKW545"/>
    </row>
    <row r="546" spans="1:985">
      <c r="A546" s="421" t="s">
        <v>1455</v>
      </c>
      <c r="B546" s="317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  <c r="ZW546"/>
      <c r="ZX546"/>
      <c r="ZY546"/>
      <c r="ZZ546"/>
      <c r="AAA546"/>
      <c r="AAB546"/>
      <c r="AAC546"/>
      <c r="AAD546"/>
      <c r="AAE546"/>
      <c r="AAF546"/>
      <c r="AAG546"/>
      <c r="AAH546"/>
      <c r="AAI546"/>
      <c r="AAJ546"/>
      <c r="AAK546"/>
      <c r="AAL546"/>
      <c r="AAM546"/>
      <c r="AAN546"/>
      <c r="AAO546"/>
      <c r="AAP546"/>
      <c r="AAQ546"/>
      <c r="AAR546"/>
      <c r="AAS546"/>
      <c r="AAT546"/>
      <c r="AAU546"/>
      <c r="AAV546"/>
      <c r="AAW546"/>
      <c r="AAX546"/>
      <c r="AAY546"/>
      <c r="AAZ546"/>
      <c r="ABA546"/>
      <c r="ABB546"/>
      <c r="ABC546"/>
      <c r="ABD546"/>
      <c r="ABE546"/>
      <c r="ABF546"/>
      <c r="ABG546"/>
      <c r="ABH546"/>
      <c r="ABI546"/>
      <c r="ABJ546"/>
      <c r="ABK546"/>
      <c r="ABL546"/>
      <c r="ABM546"/>
      <c r="ABN546"/>
      <c r="ABO546"/>
      <c r="ABP546"/>
      <c r="ABQ546"/>
      <c r="ABR546"/>
      <c r="ABS546"/>
      <c r="ABT546"/>
      <c r="ABU546"/>
      <c r="ABV546"/>
      <c r="ABW546"/>
      <c r="ABX546"/>
      <c r="ABY546"/>
      <c r="ABZ546"/>
      <c r="ACA546"/>
      <c r="ACB546"/>
      <c r="ACC546"/>
      <c r="ACD546"/>
      <c r="ACE546"/>
      <c r="ACF546"/>
      <c r="ACG546"/>
      <c r="ACH546"/>
      <c r="ACI546"/>
      <c r="ACJ546"/>
      <c r="ACK546"/>
      <c r="ACL546"/>
      <c r="ACM546"/>
      <c r="ACN546"/>
      <c r="ACO546"/>
      <c r="ACP546"/>
      <c r="ACQ546"/>
      <c r="ACR546"/>
      <c r="ACS546"/>
      <c r="ACT546"/>
      <c r="ACU546"/>
      <c r="ACV546"/>
      <c r="ACW546"/>
      <c r="ACX546"/>
      <c r="ACY546"/>
      <c r="ACZ546"/>
      <c r="ADA546"/>
      <c r="ADB546"/>
      <c r="ADC546"/>
      <c r="ADD546"/>
      <c r="ADE546"/>
      <c r="ADF546"/>
      <c r="ADG546"/>
      <c r="ADH546"/>
      <c r="ADI546"/>
      <c r="ADJ546"/>
      <c r="ADK546"/>
      <c r="ADL546"/>
      <c r="ADM546"/>
      <c r="ADN546"/>
      <c r="ADO546"/>
      <c r="ADP546"/>
      <c r="ADQ546"/>
      <c r="ADR546"/>
      <c r="ADS546"/>
      <c r="ADT546"/>
      <c r="ADU546"/>
      <c r="ADV546"/>
      <c r="ADW546"/>
      <c r="ADX546"/>
      <c r="ADY546"/>
      <c r="ADZ546"/>
      <c r="AEA546"/>
      <c r="AEB546"/>
      <c r="AEC546"/>
      <c r="AED546"/>
      <c r="AEE546"/>
      <c r="AEF546"/>
      <c r="AEG546"/>
      <c r="AEH546"/>
      <c r="AEI546"/>
      <c r="AEJ546"/>
      <c r="AEK546"/>
      <c r="AEL546"/>
      <c r="AEM546"/>
      <c r="AEN546"/>
      <c r="AEO546"/>
      <c r="AEP546"/>
      <c r="AEQ546"/>
      <c r="AER546"/>
      <c r="AES546"/>
      <c r="AET546"/>
      <c r="AEU546"/>
      <c r="AEV546"/>
      <c r="AEW546"/>
      <c r="AEX546"/>
      <c r="AEY546"/>
      <c r="AEZ546"/>
      <c r="AFA546"/>
      <c r="AFB546"/>
      <c r="AFC546"/>
      <c r="AFD546"/>
      <c r="AFE546"/>
      <c r="AFF546"/>
      <c r="AFG546"/>
      <c r="AFH546"/>
      <c r="AFI546"/>
      <c r="AFJ546"/>
      <c r="AFK546"/>
      <c r="AFL546"/>
      <c r="AFM546"/>
      <c r="AFN546"/>
      <c r="AFO546"/>
      <c r="AFP546"/>
      <c r="AFQ546"/>
      <c r="AFR546"/>
      <c r="AFS546"/>
      <c r="AFT546"/>
      <c r="AFU546"/>
      <c r="AFV546"/>
      <c r="AFW546"/>
      <c r="AFX546"/>
      <c r="AFY546"/>
      <c r="AFZ546"/>
      <c r="AGA546"/>
      <c r="AGB546"/>
      <c r="AGC546"/>
      <c r="AGD546"/>
      <c r="AGE546"/>
      <c r="AGF546"/>
      <c r="AGG546"/>
      <c r="AGH546"/>
      <c r="AGI546"/>
      <c r="AGJ546"/>
      <c r="AGK546"/>
      <c r="AGL546"/>
      <c r="AGM546"/>
      <c r="AGN546"/>
      <c r="AGO546"/>
      <c r="AGP546"/>
      <c r="AGQ546"/>
      <c r="AGR546"/>
      <c r="AGS546"/>
      <c r="AGT546"/>
      <c r="AGU546"/>
      <c r="AGV546"/>
      <c r="AGW546"/>
      <c r="AGX546"/>
      <c r="AGY546"/>
      <c r="AGZ546"/>
      <c r="AHA546"/>
      <c r="AHB546"/>
      <c r="AHC546"/>
      <c r="AHD546"/>
      <c r="AHE546"/>
      <c r="AHF546"/>
      <c r="AHG546"/>
      <c r="AHH546"/>
      <c r="AHI546"/>
      <c r="AHJ546"/>
      <c r="AHK546"/>
      <c r="AHL546"/>
      <c r="AHM546"/>
      <c r="AHN546"/>
      <c r="AHO546"/>
      <c r="AHP546"/>
      <c r="AHQ546"/>
      <c r="AHR546"/>
      <c r="AHS546"/>
      <c r="AHT546"/>
      <c r="AHU546"/>
      <c r="AHV546"/>
      <c r="AHW546"/>
      <c r="AHX546"/>
      <c r="AHY546"/>
      <c r="AHZ546"/>
      <c r="AIA546"/>
      <c r="AIB546"/>
      <c r="AIC546"/>
      <c r="AID546"/>
      <c r="AIE546"/>
      <c r="AIF546"/>
      <c r="AIG546"/>
      <c r="AIH546"/>
      <c r="AII546"/>
      <c r="AIJ546"/>
      <c r="AIK546"/>
      <c r="AIL546"/>
      <c r="AIM546"/>
      <c r="AIN546"/>
      <c r="AIO546"/>
      <c r="AIP546"/>
      <c r="AIQ546"/>
      <c r="AIR546"/>
      <c r="AIS546"/>
      <c r="AIT546"/>
      <c r="AIU546"/>
      <c r="AIV546"/>
      <c r="AIW546"/>
      <c r="AIX546"/>
      <c r="AIY546"/>
      <c r="AIZ546"/>
      <c r="AJA546"/>
      <c r="AJB546"/>
      <c r="AJC546"/>
      <c r="AJD546"/>
      <c r="AJE546"/>
      <c r="AJF546"/>
      <c r="AJG546"/>
      <c r="AJH546"/>
      <c r="AJI546"/>
      <c r="AJJ546"/>
      <c r="AJK546"/>
      <c r="AJL546"/>
      <c r="AJM546"/>
      <c r="AJN546"/>
      <c r="AJO546"/>
      <c r="AJP546"/>
      <c r="AJQ546"/>
      <c r="AJR546"/>
      <c r="AJS546"/>
      <c r="AJT546"/>
      <c r="AJU546"/>
      <c r="AJV546"/>
      <c r="AJW546"/>
      <c r="AJX546"/>
      <c r="AJY546"/>
      <c r="AJZ546"/>
      <c r="AKA546"/>
      <c r="AKB546"/>
      <c r="AKC546"/>
      <c r="AKD546"/>
      <c r="AKE546"/>
      <c r="AKF546"/>
      <c r="AKG546"/>
      <c r="AKH546"/>
      <c r="AKI546"/>
      <c r="AKJ546"/>
      <c r="AKK546"/>
      <c r="AKL546"/>
      <c r="AKM546"/>
      <c r="AKN546"/>
      <c r="AKO546"/>
      <c r="AKP546"/>
      <c r="AKQ546"/>
      <c r="AKR546"/>
      <c r="AKS546"/>
      <c r="AKT546"/>
      <c r="AKU546"/>
      <c r="AKV546"/>
      <c r="AKW546"/>
    </row>
    <row r="547" spans="1:985">
      <c r="A547" s="421" t="s">
        <v>1459</v>
      </c>
      <c r="B547" s="290">
        <v>6500</v>
      </c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  <c r="ZW547"/>
      <c r="ZX547"/>
      <c r="ZY547"/>
      <c r="ZZ547"/>
      <c r="AAA547"/>
      <c r="AAB547"/>
      <c r="AAC547"/>
      <c r="AAD547"/>
      <c r="AAE547"/>
      <c r="AAF547"/>
      <c r="AAG547"/>
      <c r="AAH547"/>
      <c r="AAI547"/>
      <c r="AAJ547"/>
      <c r="AAK547"/>
      <c r="AAL547"/>
      <c r="AAM547"/>
      <c r="AAN547"/>
      <c r="AAO547"/>
      <c r="AAP547"/>
      <c r="AAQ547"/>
      <c r="AAR547"/>
      <c r="AAS547"/>
      <c r="AAT547"/>
      <c r="AAU547"/>
      <c r="AAV547"/>
      <c r="AAW547"/>
      <c r="AAX547"/>
      <c r="AAY547"/>
      <c r="AAZ547"/>
      <c r="ABA547"/>
      <c r="ABB547"/>
      <c r="ABC547"/>
      <c r="ABD547"/>
      <c r="ABE547"/>
      <c r="ABF547"/>
      <c r="ABG547"/>
      <c r="ABH547"/>
      <c r="ABI547"/>
      <c r="ABJ547"/>
      <c r="ABK547"/>
      <c r="ABL547"/>
      <c r="ABM547"/>
      <c r="ABN547"/>
      <c r="ABO547"/>
      <c r="ABP547"/>
      <c r="ABQ547"/>
      <c r="ABR547"/>
      <c r="ABS547"/>
      <c r="ABT547"/>
      <c r="ABU547"/>
      <c r="ABV547"/>
      <c r="ABW547"/>
      <c r="ABX547"/>
      <c r="ABY547"/>
      <c r="ABZ547"/>
      <c r="ACA547"/>
      <c r="ACB547"/>
      <c r="ACC547"/>
      <c r="ACD547"/>
      <c r="ACE547"/>
      <c r="ACF547"/>
      <c r="ACG547"/>
      <c r="ACH547"/>
      <c r="ACI547"/>
      <c r="ACJ547"/>
      <c r="ACK547"/>
      <c r="ACL547"/>
      <c r="ACM547"/>
      <c r="ACN547"/>
      <c r="ACO547"/>
      <c r="ACP547"/>
      <c r="ACQ547"/>
      <c r="ACR547"/>
      <c r="ACS547"/>
      <c r="ACT547"/>
      <c r="ACU547"/>
      <c r="ACV547"/>
      <c r="ACW547"/>
      <c r="ACX547"/>
      <c r="ACY547"/>
      <c r="ACZ547"/>
      <c r="ADA547"/>
      <c r="ADB547"/>
      <c r="ADC547"/>
      <c r="ADD547"/>
      <c r="ADE547"/>
      <c r="ADF547"/>
      <c r="ADG547"/>
      <c r="ADH547"/>
      <c r="ADI547"/>
      <c r="ADJ547"/>
      <c r="ADK547"/>
      <c r="ADL547"/>
      <c r="ADM547"/>
      <c r="ADN547"/>
      <c r="ADO547"/>
      <c r="ADP547"/>
      <c r="ADQ547"/>
      <c r="ADR547"/>
      <c r="ADS547"/>
      <c r="ADT547"/>
      <c r="ADU547"/>
      <c r="ADV547"/>
      <c r="ADW547"/>
      <c r="ADX547"/>
      <c r="ADY547"/>
      <c r="ADZ547"/>
      <c r="AEA547"/>
      <c r="AEB547"/>
      <c r="AEC547"/>
      <c r="AED547"/>
      <c r="AEE547"/>
      <c r="AEF547"/>
      <c r="AEG547"/>
      <c r="AEH547"/>
      <c r="AEI547"/>
      <c r="AEJ547"/>
      <c r="AEK547"/>
      <c r="AEL547"/>
      <c r="AEM547"/>
      <c r="AEN547"/>
      <c r="AEO547"/>
      <c r="AEP547"/>
      <c r="AEQ547"/>
      <c r="AER547"/>
      <c r="AES547"/>
      <c r="AET547"/>
      <c r="AEU547"/>
      <c r="AEV547"/>
      <c r="AEW547"/>
      <c r="AEX547"/>
      <c r="AEY547"/>
      <c r="AEZ547"/>
      <c r="AFA547"/>
      <c r="AFB547"/>
      <c r="AFC547"/>
      <c r="AFD547"/>
      <c r="AFE547"/>
      <c r="AFF547"/>
      <c r="AFG547"/>
      <c r="AFH547"/>
      <c r="AFI547"/>
      <c r="AFJ547"/>
      <c r="AFK547"/>
      <c r="AFL547"/>
      <c r="AFM547"/>
      <c r="AFN547"/>
      <c r="AFO547"/>
      <c r="AFP547"/>
      <c r="AFQ547"/>
      <c r="AFR547"/>
      <c r="AFS547"/>
      <c r="AFT547"/>
      <c r="AFU547"/>
      <c r="AFV547"/>
      <c r="AFW547"/>
      <c r="AFX547"/>
      <c r="AFY547"/>
      <c r="AFZ547"/>
      <c r="AGA547"/>
      <c r="AGB547"/>
      <c r="AGC547"/>
      <c r="AGD547"/>
      <c r="AGE547"/>
      <c r="AGF547"/>
      <c r="AGG547"/>
      <c r="AGH547"/>
      <c r="AGI547"/>
      <c r="AGJ547"/>
      <c r="AGK547"/>
      <c r="AGL547"/>
      <c r="AGM547"/>
      <c r="AGN547"/>
      <c r="AGO547"/>
      <c r="AGP547"/>
      <c r="AGQ547"/>
      <c r="AGR547"/>
      <c r="AGS547"/>
      <c r="AGT547"/>
      <c r="AGU547"/>
      <c r="AGV547"/>
      <c r="AGW547"/>
      <c r="AGX547"/>
      <c r="AGY547"/>
      <c r="AGZ547"/>
      <c r="AHA547"/>
      <c r="AHB547"/>
      <c r="AHC547"/>
      <c r="AHD547"/>
      <c r="AHE547"/>
      <c r="AHF547"/>
      <c r="AHG547"/>
      <c r="AHH547"/>
      <c r="AHI547"/>
      <c r="AHJ547"/>
      <c r="AHK547"/>
      <c r="AHL547"/>
      <c r="AHM547"/>
      <c r="AHN547"/>
      <c r="AHO547"/>
      <c r="AHP547"/>
      <c r="AHQ547"/>
      <c r="AHR547"/>
      <c r="AHS547"/>
      <c r="AHT547"/>
      <c r="AHU547"/>
      <c r="AHV547"/>
      <c r="AHW547"/>
      <c r="AHX547"/>
      <c r="AHY547"/>
      <c r="AHZ547"/>
      <c r="AIA547"/>
      <c r="AIB547"/>
      <c r="AIC547"/>
      <c r="AID547"/>
      <c r="AIE547"/>
      <c r="AIF547"/>
      <c r="AIG547"/>
      <c r="AIH547"/>
      <c r="AII547"/>
      <c r="AIJ547"/>
      <c r="AIK547"/>
      <c r="AIL547"/>
      <c r="AIM547"/>
      <c r="AIN547"/>
      <c r="AIO547"/>
      <c r="AIP547"/>
      <c r="AIQ547"/>
      <c r="AIR547"/>
      <c r="AIS547"/>
      <c r="AIT547"/>
      <c r="AIU547"/>
      <c r="AIV547"/>
      <c r="AIW547"/>
      <c r="AIX547"/>
      <c r="AIY547"/>
      <c r="AIZ547"/>
      <c r="AJA547"/>
      <c r="AJB547"/>
      <c r="AJC547"/>
      <c r="AJD547"/>
      <c r="AJE547"/>
      <c r="AJF547"/>
      <c r="AJG547"/>
      <c r="AJH547"/>
      <c r="AJI547"/>
      <c r="AJJ547"/>
      <c r="AJK547"/>
      <c r="AJL547"/>
      <c r="AJM547"/>
      <c r="AJN547"/>
      <c r="AJO547"/>
      <c r="AJP547"/>
      <c r="AJQ547"/>
      <c r="AJR547"/>
      <c r="AJS547"/>
      <c r="AJT547"/>
      <c r="AJU547"/>
      <c r="AJV547"/>
      <c r="AJW547"/>
      <c r="AJX547"/>
      <c r="AJY547"/>
      <c r="AJZ547"/>
      <c r="AKA547"/>
      <c r="AKB547"/>
      <c r="AKC547"/>
      <c r="AKD547"/>
      <c r="AKE547"/>
      <c r="AKF547"/>
      <c r="AKG547"/>
      <c r="AKH547"/>
      <c r="AKI547"/>
      <c r="AKJ547"/>
      <c r="AKK547"/>
      <c r="AKL547"/>
      <c r="AKM547"/>
      <c r="AKN547"/>
      <c r="AKO547"/>
      <c r="AKP547"/>
      <c r="AKQ547"/>
      <c r="AKR547"/>
      <c r="AKS547"/>
      <c r="AKT547"/>
      <c r="AKU547"/>
      <c r="AKV547"/>
      <c r="AKW547"/>
    </row>
    <row r="548" spans="1:985">
      <c r="A548" s="421" t="s">
        <v>1461</v>
      </c>
      <c r="B548" s="290">
        <v>3735.33</v>
      </c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/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/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/>
      <c r="AGN548"/>
      <c r="AGO548"/>
      <c r="AGP548"/>
      <c r="AGQ548"/>
      <c r="AGR548"/>
      <c r="AGS548"/>
      <c r="AGT548"/>
      <c r="AGU548"/>
      <c r="AGV548"/>
      <c r="AGW548"/>
      <c r="AGX548"/>
      <c r="AGY548"/>
      <c r="AGZ548"/>
      <c r="AHA548"/>
      <c r="AHB548"/>
      <c r="AHC548"/>
      <c r="AHD548"/>
      <c r="AHE548"/>
      <c r="AHF548"/>
      <c r="AHG548"/>
      <c r="AHH548"/>
      <c r="AHI548"/>
      <c r="AHJ548"/>
      <c r="AHK548"/>
      <c r="AHL548"/>
      <c r="AHM548"/>
      <c r="AHN548"/>
      <c r="AHO548"/>
      <c r="AHP548"/>
      <c r="AHQ548"/>
      <c r="AHR548"/>
      <c r="AHS548"/>
      <c r="AHT548"/>
      <c r="AHU548"/>
      <c r="AHV548"/>
      <c r="AHW548"/>
      <c r="AHX548"/>
      <c r="AHY548"/>
      <c r="AHZ548"/>
      <c r="AIA548"/>
      <c r="AIB548"/>
      <c r="AIC548"/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/>
      <c r="AJQ548"/>
      <c r="AJR548"/>
      <c r="AJS548"/>
      <c r="AJT548"/>
      <c r="AJU548"/>
      <c r="AJV548"/>
      <c r="AJW548"/>
      <c r="AJX548"/>
      <c r="AJY548"/>
      <c r="AJZ548"/>
      <c r="AKA548"/>
      <c r="AKB548"/>
      <c r="AKC548"/>
      <c r="AKD548"/>
      <c r="AKE548"/>
      <c r="AKF548"/>
      <c r="AKG548"/>
      <c r="AKH548"/>
      <c r="AKI548"/>
      <c r="AKJ548"/>
      <c r="AKK548"/>
      <c r="AKL548"/>
      <c r="AKM548"/>
      <c r="AKN548"/>
      <c r="AKO548"/>
      <c r="AKP548"/>
      <c r="AKQ548"/>
      <c r="AKR548"/>
      <c r="AKS548"/>
      <c r="AKT548"/>
      <c r="AKU548"/>
      <c r="AKV548"/>
      <c r="AKW548"/>
    </row>
    <row r="549" spans="1:985">
      <c r="A549" s="421" t="s">
        <v>1463</v>
      </c>
      <c r="B549" s="291">
        <v>2251.5</v>
      </c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  <c r="ZU549"/>
      <c r="ZV549"/>
      <c r="ZW549"/>
      <c r="ZX549"/>
      <c r="ZY549"/>
      <c r="ZZ549"/>
      <c r="AAA549"/>
      <c r="AAB549"/>
      <c r="AAC549"/>
      <c r="AAD549"/>
      <c r="AAE549"/>
      <c r="AAF549"/>
      <c r="AAG549"/>
      <c r="AAH549"/>
      <c r="AAI549"/>
      <c r="AAJ549"/>
      <c r="AAK549"/>
      <c r="AAL549"/>
      <c r="AAM549"/>
      <c r="AAN549"/>
      <c r="AAO549"/>
      <c r="AAP549"/>
      <c r="AAQ549"/>
      <c r="AAR549"/>
      <c r="AAS549"/>
      <c r="AAT549"/>
      <c r="AAU549"/>
      <c r="AAV549"/>
      <c r="AAW549"/>
      <c r="AAX549"/>
      <c r="AAY549"/>
      <c r="AAZ549"/>
      <c r="ABA549"/>
      <c r="ABB549"/>
      <c r="ABC549"/>
      <c r="ABD549"/>
      <c r="ABE549"/>
      <c r="ABF549"/>
      <c r="ABG549"/>
      <c r="ABH549"/>
      <c r="ABI549"/>
      <c r="ABJ549"/>
      <c r="ABK549"/>
      <c r="ABL549"/>
      <c r="ABM549"/>
      <c r="ABN549"/>
      <c r="ABO549"/>
      <c r="ABP549"/>
      <c r="ABQ549"/>
      <c r="ABR549"/>
      <c r="ABS549"/>
      <c r="ABT549"/>
      <c r="ABU549"/>
      <c r="ABV549"/>
      <c r="ABW549"/>
      <c r="ABX549"/>
      <c r="ABY549"/>
      <c r="ABZ549"/>
      <c r="ACA549"/>
      <c r="ACB549"/>
      <c r="ACC549"/>
      <c r="ACD549"/>
      <c r="ACE549"/>
      <c r="ACF549"/>
      <c r="ACG549"/>
      <c r="ACH549"/>
      <c r="ACI549"/>
      <c r="ACJ549"/>
      <c r="ACK549"/>
      <c r="ACL549"/>
      <c r="ACM549"/>
      <c r="ACN549"/>
      <c r="ACO549"/>
      <c r="ACP549"/>
      <c r="ACQ549"/>
      <c r="ACR549"/>
      <c r="ACS549"/>
      <c r="ACT549"/>
      <c r="ACU549"/>
      <c r="ACV549"/>
      <c r="ACW549"/>
      <c r="ACX549"/>
      <c r="ACY549"/>
      <c r="ACZ549"/>
      <c r="ADA549"/>
      <c r="ADB549"/>
      <c r="ADC549"/>
      <c r="ADD549"/>
      <c r="ADE549"/>
      <c r="ADF549"/>
      <c r="ADG549"/>
      <c r="ADH549"/>
      <c r="ADI549"/>
      <c r="ADJ549"/>
      <c r="ADK549"/>
      <c r="ADL549"/>
      <c r="ADM549"/>
      <c r="ADN549"/>
      <c r="ADO549"/>
      <c r="ADP549"/>
      <c r="ADQ549"/>
      <c r="ADR549"/>
      <c r="ADS549"/>
      <c r="ADT549"/>
      <c r="ADU549"/>
      <c r="ADV549"/>
      <c r="ADW549"/>
      <c r="ADX549"/>
      <c r="ADY549"/>
      <c r="ADZ549"/>
      <c r="AEA549"/>
      <c r="AEB549"/>
      <c r="AEC549"/>
      <c r="AED549"/>
      <c r="AEE549"/>
      <c r="AEF549"/>
      <c r="AEG549"/>
      <c r="AEH549"/>
      <c r="AEI549"/>
      <c r="AEJ549"/>
      <c r="AEK549"/>
      <c r="AEL549"/>
      <c r="AEM549"/>
      <c r="AEN549"/>
      <c r="AEO549"/>
      <c r="AEP549"/>
      <c r="AEQ549"/>
      <c r="AER549"/>
      <c r="AES549"/>
      <c r="AET549"/>
      <c r="AEU549"/>
      <c r="AEV549"/>
      <c r="AEW549"/>
      <c r="AEX549"/>
      <c r="AEY549"/>
      <c r="AEZ549"/>
      <c r="AFA549"/>
      <c r="AFB549"/>
      <c r="AFC549"/>
      <c r="AFD549"/>
      <c r="AFE549"/>
      <c r="AFF549"/>
      <c r="AFG549"/>
      <c r="AFH549"/>
      <c r="AFI549"/>
      <c r="AFJ549"/>
      <c r="AFK549"/>
      <c r="AFL549"/>
      <c r="AFM549"/>
      <c r="AFN549"/>
      <c r="AFO549"/>
      <c r="AFP549"/>
      <c r="AFQ549"/>
      <c r="AFR549"/>
      <c r="AFS549"/>
      <c r="AFT549"/>
      <c r="AFU549"/>
      <c r="AFV549"/>
      <c r="AFW549"/>
      <c r="AFX549"/>
      <c r="AFY549"/>
      <c r="AFZ549"/>
      <c r="AGA549"/>
      <c r="AGB549"/>
      <c r="AGC549"/>
      <c r="AGD549"/>
      <c r="AGE549"/>
      <c r="AGF549"/>
      <c r="AGG549"/>
      <c r="AGH549"/>
      <c r="AGI549"/>
      <c r="AGJ549"/>
      <c r="AGK549"/>
      <c r="AGL549"/>
      <c r="AGM549"/>
      <c r="AGN549"/>
      <c r="AGO549"/>
      <c r="AGP549"/>
      <c r="AGQ549"/>
      <c r="AGR549"/>
      <c r="AGS549"/>
      <c r="AGT549"/>
      <c r="AGU549"/>
      <c r="AGV549"/>
      <c r="AGW549"/>
      <c r="AGX549"/>
      <c r="AGY549"/>
      <c r="AGZ549"/>
      <c r="AHA549"/>
      <c r="AHB549"/>
      <c r="AHC549"/>
      <c r="AHD549"/>
      <c r="AHE549"/>
      <c r="AHF549"/>
      <c r="AHG549"/>
      <c r="AHH549"/>
      <c r="AHI549"/>
      <c r="AHJ549"/>
      <c r="AHK549"/>
      <c r="AHL549"/>
      <c r="AHM549"/>
      <c r="AHN549"/>
      <c r="AHO549"/>
      <c r="AHP549"/>
      <c r="AHQ549"/>
      <c r="AHR549"/>
      <c r="AHS549"/>
      <c r="AHT549"/>
      <c r="AHU549"/>
      <c r="AHV549"/>
      <c r="AHW549"/>
      <c r="AHX549"/>
      <c r="AHY549"/>
      <c r="AHZ549"/>
      <c r="AIA549"/>
      <c r="AIB549"/>
      <c r="AIC549"/>
      <c r="AID549"/>
      <c r="AIE549"/>
      <c r="AIF549"/>
      <c r="AIG549"/>
      <c r="AIH549"/>
      <c r="AII549"/>
      <c r="AIJ549"/>
      <c r="AIK549"/>
      <c r="AIL549"/>
      <c r="AIM549"/>
      <c r="AIN549"/>
      <c r="AIO549"/>
      <c r="AIP549"/>
      <c r="AIQ549"/>
      <c r="AIR549"/>
      <c r="AIS549"/>
      <c r="AIT549"/>
      <c r="AIU549"/>
      <c r="AIV549"/>
      <c r="AIW549"/>
      <c r="AIX549"/>
      <c r="AIY549"/>
      <c r="AIZ549"/>
      <c r="AJA549"/>
      <c r="AJB549"/>
      <c r="AJC549"/>
      <c r="AJD549"/>
      <c r="AJE549"/>
      <c r="AJF549"/>
      <c r="AJG549"/>
      <c r="AJH549"/>
      <c r="AJI549"/>
      <c r="AJJ549"/>
      <c r="AJK549"/>
      <c r="AJL549"/>
      <c r="AJM549"/>
      <c r="AJN549"/>
      <c r="AJO549"/>
      <c r="AJP549"/>
      <c r="AJQ549"/>
      <c r="AJR549"/>
      <c r="AJS549"/>
      <c r="AJT549"/>
      <c r="AJU549"/>
      <c r="AJV549"/>
      <c r="AJW549"/>
      <c r="AJX549"/>
      <c r="AJY549"/>
      <c r="AJZ549"/>
      <c r="AKA549"/>
      <c r="AKB549"/>
      <c r="AKC549"/>
      <c r="AKD549"/>
      <c r="AKE549"/>
      <c r="AKF549"/>
      <c r="AKG549"/>
      <c r="AKH549"/>
      <c r="AKI549"/>
      <c r="AKJ549"/>
      <c r="AKK549"/>
      <c r="AKL549"/>
      <c r="AKM549"/>
      <c r="AKN549"/>
      <c r="AKO549"/>
      <c r="AKP549"/>
      <c r="AKQ549"/>
      <c r="AKR549"/>
      <c r="AKS549"/>
      <c r="AKT549"/>
      <c r="AKU549"/>
      <c r="AKV549"/>
      <c r="AKW549"/>
    </row>
    <row r="550" spans="1:985">
      <c r="A550" s="421" t="s">
        <v>1466</v>
      </c>
      <c r="B550" s="289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  <c r="ZW550"/>
      <c r="ZX550"/>
      <c r="ZY550"/>
      <c r="ZZ550"/>
      <c r="AAA550"/>
      <c r="AAB550"/>
      <c r="AAC550"/>
      <c r="AAD550"/>
      <c r="AAE550"/>
      <c r="AAF550"/>
      <c r="AAG550"/>
      <c r="AAH550"/>
      <c r="AAI550"/>
      <c r="AAJ550"/>
      <c r="AAK550"/>
      <c r="AAL550"/>
      <c r="AAM550"/>
      <c r="AAN550"/>
      <c r="AAO550"/>
      <c r="AAP550"/>
      <c r="AAQ550"/>
      <c r="AAR550"/>
      <c r="AAS550"/>
      <c r="AAT550"/>
      <c r="AAU550"/>
      <c r="AAV550"/>
      <c r="AAW550"/>
      <c r="AAX550"/>
      <c r="AAY550"/>
      <c r="AAZ550"/>
      <c r="ABA550"/>
      <c r="ABB550"/>
      <c r="ABC550"/>
      <c r="ABD550"/>
      <c r="ABE550"/>
      <c r="ABF550"/>
      <c r="ABG550"/>
      <c r="ABH550"/>
      <c r="ABI550"/>
      <c r="ABJ550"/>
      <c r="ABK550"/>
      <c r="ABL550"/>
      <c r="ABM550"/>
      <c r="ABN550"/>
      <c r="ABO550"/>
      <c r="ABP550"/>
      <c r="ABQ550"/>
      <c r="ABR550"/>
      <c r="ABS550"/>
      <c r="ABT550"/>
      <c r="ABU550"/>
      <c r="ABV550"/>
      <c r="ABW550"/>
      <c r="ABX550"/>
      <c r="ABY550"/>
      <c r="ABZ550"/>
      <c r="ACA550"/>
      <c r="ACB550"/>
      <c r="ACC550"/>
      <c r="ACD550"/>
      <c r="ACE550"/>
      <c r="ACF550"/>
      <c r="ACG550"/>
      <c r="ACH550"/>
      <c r="ACI550"/>
      <c r="ACJ550"/>
      <c r="ACK550"/>
      <c r="ACL550"/>
      <c r="ACM550"/>
      <c r="ACN550"/>
      <c r="ACO550"/>
      <c r="ACP550"/>
      <c r="ACQ550"/>
      <c r="ACR550"/>
      <c r="ACS550"/>
      <c r="ACT550"/>
      <c r="ACU550"/>
      <c r="ACV550"/>
      <c r="ACW550"/>
      <c r="ACX550"/>
      <c r="ACY550"/>
      <c r="ACZ550"/>
      <c r="ADA550"/>
      <c r="ADB550"/>
      <c r="ADC550"/>
      <c r="ADD550"/>
      <c r="ADE550"/>
      <c r="ADF550"/>
      <c r="ADG550"/>
      <c r="ADH550"/>
      <c r="ADI550"/>
      <c r="ADJ550"/>
      <c r="ADK550"/>
      <c r="ADL550"/>
      <c r="ADM550"/>
      <c r="ADN550"/>
      <c r="ADO550"/>
      <c r="ADP550"/>
      <c r="ADQ550"/>
      <c r="ADR550"/>
      <c r="ADS550"/>
      <c r="ADT550"/>
      <c r="ADU550"/>
      <c r="ADV550"/>
      <c r="ADW550"/>
      <c r="ADX550"/>
      <c r="ADY550"/>
      <c r="ADZ550"/>
      <c r="AEA550"/>
      <c r="AEB550"/>
      <c r="AEC550"/>
      <c r="AED550"/>
      <c r="AEE550"/>
      <c r="AEF550"/>
      <c r="AEG550"/>
      <c r="AEH550"/>
      <c r="AEI550"/>
      <c r="AEJ550"/>
      <c r="AEK550"/>
      <c r="AEL550"/>
      <c r="AEM550"/>
      <c r="AEN550"/>
      <c r="AEO550"/>
      <c r="AEP550"/>
      <c r="AEQ550"/>
      <c r="AER550"/>
      <c r="AES550"/>
      <c r="AET550"/>
      <c r="AEU550"/>
      <c r="AEV550"/>
      <c r="AEW550"/>
      <c r="AEX550"/>
      <c r="AEY550"/>
      <c r="AEZ550"/>
      <c r="AFA550"/>
      <c r="AFB550"/>
      <c r="AFC550"/>
      <c r="AFD550"/>
      <c r="AFE550"/>
      <c r="AFF550"/>
      <c r="AFG550"/>
      <c r="AFH550"/>
      <c r="AFI550"/>
      <c r="AFJ550"/>
      <c r="AFK550"/>
      <c r="AFL550"/>
      <c r="AFM550"/>
      <c r="AFN550"/>
      <c r="AFO550"/>
      <c r="AFP550"/>
      <c r="AFQ550"/>
      <c r="AFR550"/>
      <c r="AFS550"/>
      <c r="AFT550"/>
      <c r="AFU550"/>
      <c r="AFV550"/>
      <c r="AFW550"/>
      <c r="AFX550"/>
      <c r="AFY550"/>
      <c r="AFZ550"/>
      <c r="AGA550"/>
      <c r="AGB550"/>
      <c r="AGC550"/>
      <c r="AGD550"/>
      <c r="AGE550"/>
      <c r="AGF550"/>
      <c r="AGG550"/>
      <c r="AGH550"/>
      <c r="AGI550"/>
      <c r="AGJ550"/>
      <c r="AGK550"/>
      <c r="AGL550"/>
      <c r="AGM550"/>
      <c r="AGN550"/>
      <c r="AGO550"/>
      <c r="AGP550"/>
      <c r="AGQ550"/>
      <c r="AGR550"/>
      <c r="AGS550"/>
      <c r="AGT550"/>
      <c r="AGU550"/>
      <c r="AGV550"/>
      <c r="AGW550"/>
      <c r="AGX550"/>
      <c r="AGY550"/>
      <c r="AGZ550"/>
      <c r="AHA550"/>
      <c r="AHB550"/>
      <c r="AHC550"/>
      <c r="AHD550"/>
      <c r="AHE550"/>
      <c r="AHF550"/>
      <c r="AHG550"/>
      <c r="AHH550"/>
      <c r="AHI550"/>
      <c r="AHJ550"/>
      <c r="AHK550"/>
      <c r="AHL550"/>
      <c r="AHM550"/>
      <c r="AHN550"/>
      <c r="AHO550"/>
      <c r="AHP550"/>
      <c r="AHQ550"/>
      <c r="AHR550"/>
      <c r="AHS550"/>
      <c r="AHT550"/>
      <c r="AHU550"/>
      <c r="AHV550"/>
      <c r="AHW550"/>
      <c r="AHX550"/>
      <c r="AHY550"/>
      <c r="AHZ550"/>
      <c r="AIA550"/>
      <c r="AIB550"/>
      <c r="AIC550"/>
      <c r="AID550"/>
      <c r="AIE550"/>
      <c r="AIF550"/>
      <c r="AIG550"/>
      <c r="AIH550"/>
      <c r="AII550"/>
      <c r="AIJ550"/>
      <c r="AIK550"/>
      <c r="AIL550"/>
      <c r="AIM550"/>
      <c r="AIN550"/>
      <c r="AIO550"/>
      <c r="AIP550"/>
      <c r="AIQ550"/>
      <c r="AIR550"/>
      <c r="AIS550"/>
      <c r="AIT550"/>
      <c r="AIU550"/>
      <c r="AIV550"/>
      <c r="AIW550"/>
      <c r="AIX550"/>
      <c r="AIY550"/>
      <c r="AIZ550"/>
      <c r="AJA550"/>
      <c r="AJB550"/>
      <c r="AJC550"/>
      <c r="AJD550"/>
      <c r="AJE550"/>
      <c r="AJF550"/>
      <c r="AJG550"/>
      <c r="AJH550"/>
      <c r="AJI550"/>
      <c r="AJJ550"/>
      <c r="AJK550"/>
      <c r="AJL550"/>
      <c r="AJM550"/>
      <c r="AJN550"/>
      <c r="AJO550"/>
      <c r="AJP550"/>
      <c r="AJQ550"/>
      <c r="AJR550"/>
      <c r="AJS550"/>
      <c r="AJT550"/>
      <c r="AJU550"/>
      <c r="AJV550"/>
      <c r="AJW550"/>
      <c r="AJX550"/>
      <c r="AJY550"/>
      <c r="AJZ550"/>
      <c r="AKA550"/>
      <c r="AKB550"/>
      <c r="AKC550"/>
      <c r="AKD550"/>
      <c r="AKE550"/>
      <c r="AKF550"/>
      <c r="AKG550"/>
      <c r="AKH550"/>
      <c r="AKI550"/>
      <c r="AKJ550"/>
      <c r="AKK550"/>
      <c r="AKL550"/>
      <c r="AKM550"/>
      <c r="AKN550"/>
      <c r="AKO550"/>
      <c r="AKP550"/>
      <c r="AKQ550"/>
      <c r="AKR550"/>
      <c r="AKS550"/>
      <c r="AKT550"/>
      <c r="AKU550"/>
      <c r="AKV550"/>
      <c r="AKW550"/>
    </row>
    <row r="551" spans="1:985">
      <c r="A551" s="421" t="s">
        <v>1468</v>
      </c>
      <c r="B551" s="29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  <c r="ZW551"/>
      <c r="ZX551"/>
      <c r="ZY551"/>
      <c r="ZZ551"/>
      <c r="AAA551"/>
      <c r="AAB551"/>
      <c r="AAC551"/>
      <c r="AAD551"/>
      <c r="AAE551"/>
      <c r="AAF551"/>
      <c r="AAG551"/>
      <c r="AAH551"/>
      <c r="AAI551"/>
      <c r="AAJ551"/>
      <c r="AAK551"/>
      <c r="AAL551"/>
      <c r="AAM551"/>
      <c r="AAN551"/>
      <c r="AAO551"/>
      <c r="AAP551"/>
      <c r="AAQ551"/>
      <c r="AAR551"/>
      <c r="AAS551"/>
      <c r="AAT551"/>
      <c r="AAU551"/>
      <c r="AAV551"/>
      <c r="AAW551"/>
      <c r="AAX551"/>
      <c r="AAY551"/>
      <c r="AAZ551"/>
      <c r="ABA551"/>
      <c r="ABB551"/>
      <c r="ABC551"/>
      <c r="ABD551"/>
      <c r="ABE551"/>
      <c r="ABF551"/>
      <c r="ABG551"/>
      <c r="ABH551"/>
      <c r="ABI551"/>
      <c r="ABJ551"/>
      <c r="ABK551"/>
      <c r="ABL551"/>
      <c r="ABM551"/>
      <c r="ABN551"/>
      <c r="ABO551"/>
      <c r="ABP551"/>
      <c r="ABQ551"/>
      <c r="ABR551"/>
      <c r="ABS551"/>
      <c r="ABT551"/>
      <c r="ABU551"/>
      <c r="ABV551"/>
      <c r="ABW551"/>
      <c r="ABX551"/>
      <c r="ABY551"/>
      <c r="ABZ551"/>
      <c r="ACA551"/>
      <c r="ACB551"/>
      <c r="ACC551"/>
      <c r="ACD551"/>
      <c r="ACE551"/>
      <c r="ACF551"/>
      <c r="ACG551"/>
      <c r="ACH551"/>
      <c r="ACI551"/>
      <c r="ACJ551"/>
      <c r="ACK551"/>
      <c r="ACL551"/>
      <c r="ACM551"/>
      <c r="ACN551"/>
      <c r="ACO551"/>
      <c r="ACP551"/>
      <c r="ACQ551"/>
      <c r="ACR551"/>
      <c r="ACS551"/>
      <c r="ACT551"/>
      <c r="ACU551"/>
      <c r="ACV551"/>
      <c r="ACW551"/>
      <c r="ACX551"/>
      <c r="ACY551"/>
      <c r="ACZ551"/>
      <c r="ADA551"/>
      <c r="ADB551"/>
      <c r="ADC551"/>
      <c r="ADD551"/>
      <c r="ADE551"/>
      <c r="ADF551"/>
      <c r="ADG551"/>
      <c r="ADH551"/>
      <c r="ADI551"/>
      <c r="ADJ551"/>
      <c r="ADK551"/>
      <c r="ADL551"/>
      <c r="ADM551"/>
      <c r="ADN551"/>
      <c r="ADO551"/>
      <c r="ADP551"/>
      <c r="ADQ551"/>
      <c r="ADR551"/>
      <c r="ADS551"/>
      <c r="ADT551"/>
      <c r="ADU551"/>
      <c r="ADV551"/>
      <c r="ADW551"/>
      <c r="ADX551"/>
      <c r="ADY551"/>
      <c r="ADZ551"/>
      <c r="AEA551"/>
      <c r="AEB551"/>
      <c r="AEC551"/>
      <c r="AED551"/>
      <c r="AEE551"/>
      <c r="AEF551"/>
      <c r="AEG551"/>
      <c r="AEH551"/>
      <c r="AEI551"/>
      <c r="AEJ551"/>
      <c r="AEK551"/>
      <c r="AEL551"/>
      <c r="AEM551"/>
      <c r="AEN551"/>
      <c r="AEO551"/>
      <c r="AEP551"/>
      <c r="AEQ551"/>
      <c r="AER551"/>
      <c r="AES551"/>
      <c r="AET551"/>
      <c r="AEU551"/>
      <c r="AEV551"/>
      <c r="AEW551"/>
      <c r="AEX551"/>
      <c r="AEY551"/>
      <c r="AEZ551"/>
      <c r="AFA551"/>
      <c r="AFB551"/>
      <c r="AFC551"/>
      <c r="AFD551"/>
      <c r="AFE551"/>
      <c r="AFF551"/>
      <c r="AFG551"/>
      <c r="AFH551"/>
      <c r="AFI551"/>
      <c r="AFJ551"/>
      <c r="AFK551"/>
      <c r="AFL551"/>
      <c r="AFM551"/>
      <c r="AFN551"/>
      <c r="AFO551"/>
      <c r="AFP551"/>
      <c r="AFQ551"/>
      <c r="AFR551"/>
      <c r="AFS551"/>
      <c r="AFT551"/>
      <c r="AFU551"/>
      <c r="AFV551"/>
      <c r="AFW551"/>
      <c r="AFX551"/>
      <c r="AFY551"/>
      <c r="AFZ551"/>
      <c r="AGA551"/>
      <c r="AGB551"/>
      <c r="AGC551"/>
      <c r="AGD551"/>
      <c r="AGE551"/>
      <c r="AGF551"/>
      <c r="AGG551"/>
      <c r="AGH551"/>
      <c r="AGI551"/>
      <c r="AGJ551"/>
      <c r="AGK551"/>
      <c r="AGL551"/>
      <c r="AGM551"/>
      <c r="AGN551"/>
      <c r="AGO551"/>
      <c r="AGP551"/>
      <c r="AGQ551"/>
      <c r="AGR551"/>
      <c r="AGS551"/>
      <c r="AGT551"/>
      <c r="AGU551"/>
      <c r="AGV551"/>
      <c r="AGW551"/>
      <c r="AGX551"/>
      <c r="AGY551"/>
      <c r="AGZ551"/>
      <c r="AHA551"/>
      <c r="AHB551"/>
      <c r="AHC551"/>
      <c r="AHD551"/>
      <c r="AHE551"/>
      <c r="AHF551"/>
      <c r="AHG551"/>
      <c r="AHH551"/>
      <c r="AHI551"/>
      <c r="AHJ551"/>
      <c r="AHK551"/>
      <c r="AHL551"/>
      <c r="AHM551"/>
      <c r="AHN551"/>
      <c r="AHO551"/>
      <c r="AHP551"/>
      <c r="AHQ551"/>
      <c r="AHR551"/>
      <c r="AHS551"/>
      <c r="AHT551"/>
      <c r="AHU551"/>
      <c r="AHV551"/>
      <c r="AHW551"/>
      <c r="AHX551"/>
      <c r="AHY551"/>
      <c r="AHZ551"/>
      <c r="AIA551"/>
      <c r="AIB551"/>
      <c r="AIC551"/>
      <c r="AID551"/>
      <c r="AIE551"/>
      <c r="AIF551"/>
      <c r="AIG551"/>
      <c r="AIH551"/>
      <c r="AII551"/>
      <c r="AIJ551"/>
      <c r="AIK551"/>
      <c r="AIL551"/>
      <c r="AIM551"/>
      <c r="AIN551"/>
      <c r="AIO551"/>
      <c r="AIP551"/>
      <c r="AIQ551"/>
      <c r="AIR551"/>
      <c r="AIS551"/>
      <c r="AIT551"/>
      <c r="AIU551"/>
      <c r="AIV551"/>
      <c r="AIW551"/>
      <c r="AIX551"/>
      <c r="AIY551"/>
      <c r="AIZ551"/>
      <c r="AJA551"/>
      <c r="AJB551"/>
      <c r="AJC551"/>
      <c r="AJD551"/>
      <c r="AJE551"/>
      <c r="AJF551"/>
      <c r="AJG551"/>
      <c r="AJH551"/>
      <c r="AJI551"/>
      <c r="AJJ551"/>
      <c r="AJK551"/>
      <c r="AJL551"/>
      <c r="AJM551"/>
      <c r="AJN551"/>
      <c r="AJO551"/>
      <c r="AJP551"/>
      <c r="AJQ551"/>
      <c r="AJR551"/>
      <c r="AJS551"/>
      <c r="AJT551"/>
      <c r="AJU551"/>
      <c r="AJV551"/>
      <c r="AJW551"/>
      <c r="AJX551"/>
      <c r="AJY551"/>
      <c r="AJZ551"/>
      <c r="AKA551"/>
      <c r="AKB551"/>
      <c r="AKC551"/>
      <c r="AKD551"/>
      <c r="AKE551"/>
      <c r="AKF551"/>
      <c r="AKG551"/>
      <c r="AKH551"/>
      <c r="AKI551"/>
      <c r="AKJ551"/>
      <c r="AKK551"/>
      <c r="AKL551"/>
      <c r="AKM551"/>
      <c r="AKN551"/>
      <c r="AKO551"/>
      <c r="AKP551"/>
      <c r="AKQ551"/>
      <c r="AKR551"/>
      <c r="AKS551"/>
      <c r="AKT551"/>
      <c r="AKU551"/>
      <c r="AKV551"/>
      <c r="AKW551"/>
    </row>
    <row r="552" spans="1:985">
      <c r="A552" s="421" t="s">
        <v>1470</v>
      </c>
      <c r="B552" s="290">
        <v>5369.5</v>
      </c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  <c r="ZW552"/>
      <c r="ZX552"/>
      <c r="ZY552"/>
      <c r="ZZ552"/>
      <c r="AAA552"/>
      <c r="AAB552"/>
      <c r="AAC552"/>
      <c r="AAD552"/>
      <c r="AAE552"/>
      <c r="AAF552"/>
      <c r="AAG552"/>
      <c r="AAH552"/>
      <c r="AAI552"/>
      <c r="AAJ552"/>
      <c r="AAK552"/>
      <c r="AAL552"/>
      <c r="AAM552"/>
      <c r="AAN552"/>
      <c r="AAO552"/>
      <c r="AAP552"/>
      <c r="AAQ552"/>
      <c r="AAR552"/>
      <c r="AAS552"/>
      <c r="AAT552"/>
      <c r="AAU552"/>
      <c r="AAV552"/>
      <c r="AAW552"/>
      <c r="AAX552"/>
      <c r="AAY552"/>
      <c r="AAZ552"/>
      <c r="ABA552"/>
      <c r="ABB552"/>
      <c r="ABC552"/>
      <c r="ABD552"/>
      <c r="ABE552"/>
      <c r="ABF552"/>
      <c r="ABG552"/>
      <c r="ABH552"/>
      <c r="ABI552"/>
      <c r="ABJ552"/>
      <c r="ABK552"/>
      <c r="ABL552"/>
      <c r="ABM552"/>
      <c r="ABN552"/>
      <c r="ABO552"/>
      <c r="ABP552"/>
      <c r="ABQ552"/>
      <c r="ABR552"/>
      <c r="ABS552"/>
      <c r="ABT552"/>
      <c r="ABU552"/>
      <c r="ABV552"/>
      <c r="ABW552"/>
      <c r="ABX552"/>
      <c r="ABY552"/>
      <c r="ABZ552"/>
      <c r="ACA552"/>
      <c r="ACB552"/>
      <c r="ACC552"/>
      <c r="ACD552"/>
      <c r="ACE552"/>
      <c r="ACF552"/>
      <c r="ACG552"/>
      <c r="ACH552"/>
      <c r="ACI552"/>
      <c r="ACJ552"/>
      <c r="ACK552"/>
      <c r="ACL552"/>
      <c r="ACM552"/>
      <c r="ACN552"/>
      <c r="ACO552"/>
      <c r="ACP552"/>
      <c r="ACQ552"/>
      <c r="ACR552"/>
      <c r="ACS552"/>
      <c r="ACT552"/>
      <c r="ACU552"/>
      <c r="ACV552"/>
      <c r="ACW552"/>
      <c r="ACX552"/>
      <c r="ACY552"/>
      <c r="ACZ552"/>
      <c r="ADA552"/>
      <c r="ADB552"/>
      <c r="ADC552"/>
      <c r="ADD552"/>
      <c r="ADE552"/>
      <c r="ADF552"/>
      <c r="ADG552"/>
      <c r="ADH552"/>
      <c r="ADI552"/>
      <c r="ADJ552"/>
      <c r="ADK552"/>
      <c r="ADL552"/>
      <c r="ADM552"/>
      <c r="ADN552"/>
      <c r="ADO552"/>
      <c r="ADP552"/>
      <c r="ADQ552"/>
      <c r="ADR552"/>
      <c r="ADS552"/>
      <c r="ADT552"/>
      <c r="ADU552"/>
      <c r="ADV552"/>
      <c r="ADW552"/>
      <c r="ADX552"/>
      <c r="ADY552"/>
      <c r="ADZ552"/>
      <c r="AEA552"/>
      <c r="AEB552"/>
      <c r="AEC552"/>
      <c r="AED552"/>
      <c r="AEE552"/>
      <c r="AEF552"/>
      <c r="AEG552"/>
      <c r="AEH552"/>
      <c r="AEI552"/>
      <c r="AEJ552"/>
      <c r="AEK552"/>
      <c r="AEL552"/>
      <c r="AEM552"/>
      <c r="AEN552"/>
      <c r="AEO552"/>
      <c r="AEP552"/>
      <c r="AEQ552"/>
      <c r="AER552"/>
      <c r="AES552"/>
      <c r="AET552"/>
      <c r="AEU552"/>
      <c r="AEV552"/>
      <c r="AEW552"/>
      <c r="AEX552"/>
      <c r="AEY552"/>
      <c r="AEZ552"/>
      <c r="AFA552"/>
      <c r="AFB552"/>
      <c r="AFC552"/>
      <c r="AFD552"/>
      <c r="AFE552"/>
      <c r="AFF552"/>
      <c r="AFG552"/>
      <c r="AFH552"/>
      <c r="AFI552"/>
      <c r="AFJ552"/>
      <c r="AFK552"/>
      <c r="AFL552"/>
      <c r="AFM552"/>
      <c r="AFN552"/>
      <c r="AFO552"/>
      <c r="AFP552"/>
      <c r="AFQ552"/>
      <c r="AFR552"/>
      <c r="AFS552"/>
      <c r="AFT552"/>
      <c r="AFU552"/>
      <c r="AFV552"/>
      <c r="AFW552"/>
      <c r="AFX552"/>
      <c r="AFY552"/>
      <c r="AFZ552"/>
      <c r="AGA552"/>
      <c r="AGB552"/>
      <c r="AGC552"/>
      <c r="AGD552"/>
      <c r="AGE552"/>
      <c r="AGF552"/>
      <c r="AGG552"/>
      <c r="AGH552"/>
      <c r="AGI552"/>
      <c r="AGJ552"/>
      <c r="AGK552"/>
      <c r="AGL552"/>
      <c r="AGM552"/>
      <c r="AGN552"/>
      <c r="AGO552"/>
      <c r="AGP552"/>
      <c r="AGQ552"/>
      <c r="AGR552"/>
      <c r="AGS552"/>
      <c r="AGT552"/>
      <c r="AGU552"/>
      <c r="AGV552"/>
      <c r="AGW552"/>
      <c r="AGX552"/>
      <c r="AGY552"/>
      <c r="AGZ552"/>
      <c r="AHA552"/>
      <c r="AHB552"/>
      <c r="AHC552"/>
      <c r="AHD552"/>
      <c r="AHE552"/>
      <c r="AHF552"/>
      <c r="AHG552"/>
      <c r="AHH552"/>
      <c r="AHI552"/>
      <c r="AHJ552"/>
      <c r="AHK552"/>
      <c r="AHL552"/>
      <c r="AHM552"/>
      <c r="AHN552"/>
      <c r="AHO552"/>
      <c r="AHP552"/>
      <c r="AHQ552"/>
      <c r="AHR552"/>
      <c r="AHS552"/>
      <c r="AHT552"/>
      <c r="AHU552"/>
      <c r="AHV552"/>
      <c r="AHW552"/>
      <c r="AHX552"/>
      <c r="AHY552"/>
      <c r="AHZ552"/>
      <c r="AIA552"/>
      <c r="AIB552"/>
      <c r="AIC552"/>
      <c r="AID552"/>
      <c r="AIE552"/>
      <c r="AIF552"/>
      <c r="AIG552"/>
      <c r="AIH552"/>
      <c r="AII552"/>
      <c r="AIJ552"/>
      <c r="AIK552"/>
      <c r="AIL552"/>
      <c r="AIM552"/>
      <c r="AIN552"/>
      <c r="AIO552"/>
      <c r="AIP552"/>
      <c r="AIQ552"/>
      <c r="AIR552"/>
      <c r="AIS552"/>
      <c r="AIT552"/>
      <c r="AIU552"/>
      <c r="AIV552"/>
      <c r="AIW552"/>
      <c r="AIX552"/>
      <c r="AIY552"/>
      <c r="AIZ552"/>
      <c r="AJA552"/>
      <c r="AJB552"/>
      <c r="AJC552"/>
      <c r="AJD552"/>
      <c r="AJE552"/>
      <c r="AJF552"/>
      <c r="AJG552"/>
      <c r="AJH552"/>
      <c r="AJI552"/>
      <c r="AJJ552"/>
      <c r="AJK552"/>
      <c r="AJL552"/>
      <c r="AJM552"/>
      <c r="AJN552"/>
      <c r="AJO552"/>
      <c r="AJP552"/>
      <c r="AJQ552"/>
      <c r="AJR552"/>
      <c r="AJS552"/>
      <c r="AJT552"/>
      <c r="AJU552"/>
      <c r="AJV552"/>
      <c r="AJW552"/>
      <c r="AJX552"/>
      <c r="AJY552"/>
      <c r="AJZ552"/>
      <c r="AKA552"/>
      <c r="AKB552"/>
      <c r="AKC552"/>
      <c r="AKD552"/>
      <c r="AKE552"/>
      <c r="AKF552"/>
      <c r="AKG552"/>
      <c r="AKH552"/>
      <c r="AKI552"/>
      <c r="AKJ552"/>
      <c r="AKK552"/>
      <c r="AKL552"/>
      <c r="AKM552"/>
      <c r="AKN552"/>
      <c r="AKO552"/>
      <c r="AKP552"/>
      <c r="AKQ552"/>
      <c r="AKR552"/>
      <c r="AKS552"/>
      <c r="AKT552"/>
      <c r="AKU552"/>
      <c r="AKV552"/>
      <c r="AKW552"/>
    </row>
    <row r="553" spans="1:985">
      <c r="A553" s="421" t="s">
        <v>327</v>
      </c>
      <c r="B553" s="291">
        <v>6060.05</v>
      </c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/>
      <c r="AEO553"/>
      <c r="AEP553"/>
      <c r="AEQ553"/>
      <c r="AER553"/>
      <c r="AES553"/>
      <c r="AET553"/>
      <c r="AEU553"/>
      <c r="AEV553"/>
      <c r="AEW553"/>
      <c r="AEX553"/>
      <c r="AEY553"/>
      <c r="AEZ553"/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/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/>
      <c r="AJZ553"/>
      <c r="AKA553"/>
      <c r="AKB553"/>
      <c r="AKC553"/>
      <c r="AKD553"/>
      <c r="AKE553"/>
      <c r="AKF553"/>
      <c r="AKG553"/>
      <c r="AKH553"/>
      <c r="AKI553"/>
      <c r="AKJ553"/>
      <c r="AKK553"/>
      <c r="AKL553"/>
      <c r="AKM553"/>
      <c r="AKN553"/>
      <c r="AKO553"/>
      <c r="AKP553"/>
      <c r="AKQ553"/>
      <c r="AKR553"/>
      <c r="AKS553"/>
      <c r="AKT553"/>
      <c r="AKU553"/>
      <c r="AKV553"/>
      <c r="AKW553"/>
    </row>
    <row r="554" spans="1:985">
      <c r="A554" s="421" t="s">
        <v>328</v>
      </c>
      <c r="B554" s="291">
        <v>3295.88</v>
      </c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  <c r="ZW554"/>
      <c r="ZX554"/>
      <c r="ZY554"/>
      <c r="ZZ554"/>
      <c r="AAA554"/>
      <c r="AAB554"/>
      <c r="AAC554"/>
      <c r="AAD554"/>
      <c r="AAE554"/>
      <c r="AAF554"/>
      <c r="AAG554"/>
      <c r="AAH554"/>
      <c r="AAI554"/>
      <c r="AAJ554"/>
      <c r="AAK554"/>
      <c r="AAL554"/>
      <c r="AAM554"/>
      <c r="AAN554"/>
      <c r="AAO554"/>
      <c r="AAP554"/>
      <c r="AAQ554"/>
      <c r="AAR554"/>
      <c r="AAS554"/>
      <c r="AAT554"/>
      <c r="AAU554"/>
      <c r="AAV554"/>
      <c r="AAW554"/>
      <c r="AAX554"/>
      <c r="AAY554"/>
      <c r="AAZ554"/>
      <c r="ABA554"/>
      <c r="ABB554"/>
      <c r="ABC554"/>
      <c r="ABD554"/>
      <c r="ABE554"/>
      <c r="ABF554"/>
      <c r="ABG554"/>
      <c r="ABH554"/>
      <c r="ABI554"/>
      <c r="ABJ554"/>
      <c r="ABK554"/>
      <c r="ABL554"/>
      <c r="ABM554"/>
      <c r="ABN554"/>
      <c r="ABO554"/>
      <c r="ABP554"/>
      <c r="ABQ554"/>
      <c r="ABR554"/>
      <c r="ABS554"/>
      <c r="ABT554"/>
      <c r="ABU554"/>
      <c r="ABV554"/>
      <c r="ABW554"/>
      <c r="ABX554"/>
      <c r="ABY554"/>
      <c r="ABZ554"/>
      <c r="ACA554"/>
      <c r="ACB554"/>
      <c r="ACC554"/>
      <c r="ACD554"/>
      <c r="ACE554"/>
      <c r="ACF554"/>
      <c r="ACG554"/>
      <c r="ACH554"/>
      <c r="ACI554"/>
      <c r="ACJ554"/>
      <c r="ACK554"/>
      <c r="ACL554"/>
      <c r="ACM554"/>
      <c r="ACN554"/>
      <c r="ACO554"/>
      <c r="ACP554"/>
      <c r="ACQ554"/>
      <c r="ACR554"/>
      <c r="ACS554"/>
      <c r="ACT554"/>
      <c r="ACU554"/>
      <c r="ACV554"/>
      <c r="ACW554"/>
      <c r="ACX554"/>
      <c r="ACY554"/>
      <c r="ACZ554"/>
      <c r="ADA554"/>
      <c r="ADB554"/>
      <c r="ADC554"/>
      <c r="ADD554"/>
      <c r="ADE554"/>
      <c r="ADF554"/>
      <c r="ADG554"/>
      <c r="ADH554"/>
      <c r="ADI554"/>
      <c r="ADJ554"/>
      <c r="ADK554"/>
      <c r="ADL554"/>
      <c r="ADM554"/>
      <c r="ADN554"/>
      <c r="ADO554"/>
      <c r="ADP554"/>
      <c r="ADQ554"/>
      <c r="ADR554"/>
      <c r="ADS554"/>
      <c r="ADT554"/>
      <c r="ADU554"/>
      <c r="ADV554"/>
      <c r="ADW554"/>
      <c r="ADX554"/>
      <c r="ADY554"/>
      <c r="ADZ554"/>
      <c r="AEA554"/>
      <c r="AEB554"/>
      <c r="AEC554"/>
      <c r="AED554"/>
      <c r="AEE554"/>
      <c r="AEF554"/>
      <c r="AEG554"/>
      <c r="AEH554"/>
      <c r="AEI554"/>
      <c r="AEJ554"/>
      <c r="AEK554"/>
      <c r="AEL554"/>
      <c r="AEM554"/>
      <c r="AEN554"/>
      <c r="AEO554"/>
      <c r="AEP554"/>
      <c r="AEQ554"/>
      <c r="AER554"/>
      <c r="AES554"/>
      <c r="AET554"/>
      <c r="AEU554"/>
      <c r="AEV554"/>
      <c r="AEW554"/>
      <c r="AEX554"/>
      <c r="AEY554"/>
      <c r="AEZ554"/>
      <c r="AFA554"/>
      <c r="AFB554"/>
      <c r="AFC554"/>
      <c r="AFD554"/>
      <c r="AFE554"/>
      <c r="AFF554"/>
      <c r="AFG554"/>
      <c r="AFH554"/>
      <c r="AFI554"/>
      <c r="AFJ554"/>
      <c r="AFK554"/>
      <c r="AFL554"/>
      <c r="AFM554"/>
      <c r="AFN554"/>
      <c r="AFO554"/>
      <c r="AFP554"/>
      <c r="AFQ554"/>
      <c r="AFR554"/>
      <c r="AFS554"/>
      <c r="AFT554"/>
      <c r="AFU554"/>
      <c r="AFV554"/>
      <c r="AFW554"/>
      <c r="AFX554"/>
      <c r="AFY554"/>
      <c r="AFZ554"/>
      <c r="AGA554"/>
      <c r="AGB554"/>
      <c r="AGC554"/>
      <c r="AGD554"/>
      <c r="AGE554"/>
      <c r="AGF554"/>
      <c r="AGG554"/>
      <c r="AGH554"/>
      <c r="AGI554"/>
      <c r="AGJ554"/>
      <c r="AGK554"/>
      <c r="AGL554"/>
      <c r="AGM554"/>
      <c r="AGN554"/>
      <c r="AGO554"/>
      <c r="AGP554"/>
      <c r="AGQ554"/>
      <c r="AGR554"/>
      <c r="AGS554"/>
      <c r="AGT554"/>
      <c r="AGU554"/>
      <c r="AGV554"/>
      <c r="AGW554"/>
      <c r="AGX554"/>
      <c r="AGY554"/>
      <c r="AGZ554"/>
      <c r="AHA554"/>
      <c r="AHB554"/>
      <c r="AHC554"/>
      <c r="AHD554"/>
      <c r="AHE554"/>
      <c r="AHF554"/>
      <c r="AHG554"/>
      <c r="AHH554"/>
      <c r="AHI554"/>
      <c r="AHJ554"/>
      <c r="AHK554"/>
      <c r="AHL554"/>
      <c r="AHM554"/>
      <c r="AHN554"/>
      <c r="AHO554"/>
      <c r="AHP554"/>
      <c r="AHQ554"/>
      <c r="AHR554"/>
      <c r="AHS554"/>
      <c r="AHT554"/>
      <c r="AHU554"/>
      <c r="AHV554"/>
      <c r="AHW554"/>
      <c r="AHX554"/>
      <c r="AHY554"/>
      <c r="AHZ554"/>
      <c r="AIA554"/>
      <c r="AIB554"/>
      <c r="AIC554"/>
      <c r="AID554"/>
      <c r="AIE554"/>
      <c r="AIF554"/>
      <c r="AIG554"/>
      <c r="AIH554"/>
      <c r="AII554"/>
      <c r="AIJ554"/>
      <c r="AIK554"/>
      <c r="AIL554"/>
      <c r="AIM554"/>
      <c r="AIN554"/>
      <c r="AIO554"/>
      <c r="AIP554"/>
      <c r="AIQ554"/>
      <c r="AIR554"/>
      <c r="AIS554"/>
      <c r="AIT554"/>
      <c r="AIU554"/>
      <c r="AIV554"/>
      <c r="AIW554"/>
      <c r="AIX554"/>
      <c r="AIY554"/>
      <c r="AIZ554"/>
      <c r="AJA554"/>
      <c r="AJB554"/>
      <c r="AJC554"/>
      <c r="AJD554"/>
      <c r="AJE554"/>
      <c r="AJF554"/>
      <c r="AJG554"/>
      <c r="AJH554"/>
      <c r="AJI554"/>
      <c r="AJJ554"/>
      <c r="AJK554"/>
      <c r="AJL554"/>
      <c r="AJM554"/>
      <c r="AJN554"/>
      <c r="AJO554"/>
      <c r="AJP554"/>
      <c r="AJQ554"/>
      <c r="AJR554"/>
      <c r="AJS554"/>
      <c r="AJT554"/>
      <c r="AJU554"/>
      <c r="AJV554"/>
      <c r="AJW554"/>
      <c r="AJX554"/>
      <c r="AJY554"/>
      <c r="AJZ554"/>
      <c r="AKA554"/>
      <c r="AKB554"/>
      <c r="AKC554"/>
      <c r="AKD554"/>
      <c r="AKE554"/>
      <c r="AKF554"/>
      <c r="AKG554"/>
      <c r="AKH554"/>
      <c r="AKI554"/>
      <c r="AKJ554"/>
      <c r="AKK554"/>
      <c r="AKL554"/>
      <c r="AKM554"/>
      <c r="AKN554"/>
      <c r="AKO554"/>
      <c r="AKP554"/>
      <c r="AKQ554"/>
      <c r="AKR554"/>
      <c r="AKS554"/>
      <c r="AKT554"/>
      <c r="AKU554"/>
      <c r="AKV554"/>
      <c r="AKW554"/>
    </row>
    <row r="555" spans="1:985">
      <c r="A555" s="282" t="s">
        <v>329</v>
      </c>
      <c r="B555" s="290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  <c r="ZY555"/>
      <c r="ZZ555"/>
      <c r="AAA555"/>
      <c r="AAB555"/>
      <c r="AAC555"/>
      <c r="AAD555"/>
      <c r="AAE555"/>
      <c r="AAF555"/>
      <c r="AAG555"/>
      <c r="AAH555"/>
      <c r="AAI555"/>
      <c r="AAJ555"/>
      <c r="AAK555"/>
      <c r="AAL555"/>
      <c r="AAM555"/>
      <c r="AAN555"/>
      <c r="AAO555"/>
      <c r="AAP555"/>
      <c r="AAQ555"/>
      <c r="AAR555"/>
      <c r="AAS555"/>
      <c r="AAT555"/>
      <c r="AAU555"/>
      <c r="AAV555"/>
      <c r="AAW555"/>
      <c r="AAX555"/>
      <c r="AAY555"/>
      <c r="AAZ555"/>
      <c r="ABA555"/>
      <c r="ABB555"/>
      <c r="ABC555"/>
      <c r="ABD555"/>
      <c r="ABE555"/>
      <c r="ABF555"/>
      <c r="ABG555"/>
      <c r="ABH555"/>
      <c r="ABI555"/>
      <c r="ABJ555"/>
      <c r="ABK555"/>
      <c r="ABL555"/>
      <c r="ABM555"/>
      <c r="ABN555"/>
      <c r="ABO555"/>
      <c r="ABP555"/>
      <c r="ABQ555"/>
      <c r="ABR555"/>
      <c r="ABS555"/>
      <c r="ABT555"/>
      <c r="ABU555"/>
      <c r="ABV555"/>
      <c r="ABW555"/>
      <c r="ABX555"/>
      <c r="ABY555"/>
      <c r="ABZ555"/>
      <c r="ACA555"/>
      <c r="ACB555"/>
      <c r="ACC555"/>
      <c r="ACD555"/>
      <c r="ACE555"/>
      <c r="ACF555"/>
      <c r="ACG555"/>
      <c r="ACH555"/>
      <c r="ACI555"/>
      <c r="ACJ555"/>
      <c r="ACK555"/>
      <c r="ACL555"/>
      <c r="ACM555"/>
      <c r="ACN555"/>
      <c r="ACO555"/>
      <c r="ACP555"/>
      <c r="ACQ555"/>
      <c r="ACR555"/>
      <c r="ACS555"/>
      <c r="ACT555"/>
      <c r="ACU555"/>
      <c r="ACV555"/>
      <c r="ACW555"/>
      <c r="ACX555"/>
      <c r="ACY555"/>
      <c r="ACZ555"/>
      <c r="ADA555"/>
      <c r="ADB555"/>
      <c r="ADC555"/>
      <c r="ADD555"/>
      <c r="ADE555"/>
      <c r="ADF555"/>
      <c r="ADG555"/>
      <c r="ADH555"/>
      <c r="ADI555"/>
      <c r="ADJ555"/>
      <c r="ADK555"/>
      <c r="ADL555"/>
      <c r="ADM555"/>
      <c r="ADN555"/>
      <c r="ADO555"/>
      <c r="ADP555"/>
      <c r="ADQ555"/>
      <c r="ADR555"/>
      <c r="ADS555"/>
      <c r="ADT555"/>
      <c r="ADU555"/>
      <c r="ADV555"/>
      <c r="ADW555"/>
      <c r="ADX555"/>
      <c r="ADY555"/>
      <c r="ADZ555"/>
      <c r="AEA555"/>
      <c r="AEB555"/>
      <c r="AEC555"/>
      <c r="AED555"/>
      <c r="AEE555"/>
      <c r="AEF555"/>
      <c r="AEG555"/>
      <c r="AEH555"/>
      <c r="AEI555"/>
      <c r="AEJ555"/>
      <c r="AEK555"/>
      <c r="AEL555"/>
      <c r="AEM555"/>
      <c r="AEN555"/>
      <c r="AEO555"/>
      <c r="AEP555"/>
      <c r="AEQ555"/>
      <c r="AER555"/>
      <c r="AES555"/>
      <c r="AET555"/>
      <c r="AEU555"/>
      <c r="AEV555"/>
      <c r="AEW555"/>
      <c r="AEX555"/>
      <c r="AEY555"/>
      <c r="AEZ555"/>
      <c r="AFA555"/>
      <c r="AFB555"/>
      <c r="AFC555"/>
      <c r="AFD555"/>
      <c r="AFE555"/>
      <c r="AFF555"/>
      <c r="AFG555"/>
      <c r="AFH555"/>
      <c r="AFI555"/>
      <c r="AFJ555"/>
      <c r="AFK555"/>
      <c r="AFL555"/>
      <c r="AFM555"/>
      <c r="AFN555"/>
      <c r="AFO555"/>
      <c r="AFP555"/>
      <c r="AFQ555"/>
      <c r="AFR555"/>
      <c r="AFS555"/>
      <c r="AFT555"/>
      <c r="AFU555"/>
      <c r="AFV555"/>
      <c r="AFW555"/>
      <c r="AFX555"/>
      <c r="AFY555"/>
      <c r="AFZ555"/>
      <c r="AGA555"/>
      <c r="AGB555"/>
      <c r="AGC555"/>
      <c r="AGD555"/>
      <c r="AGE555"/>
      <c r="AGF555"/>
      <c r="AGG555"/>
      <c r="AGH555"/>
      <c r="AGI555"/>
      <c r="AGJ555"/>
      <c r="AGK555"/>
      <c r="AGL555"/>
      <c r="AGM555"/>
      <c r="AGN555"/>
      <c r="AGO555"/>
      <c r="AGP555"/>
      <c r="AGQ555"/>
      <c r="AGR555"/>
      <c r="AGS555"/>
      <c r="AGT555"/>
      <c r="AGU555"/>
      <c r="AGV555"/>
      <c r="AGW555"/>
      <c r="AGX555"/>
      <c r="AGY555"/>
      <c r="AGZ555"/>
      <c r="AHA555"/>
      <c r="AHB555"/>
      <c r="AHC555"/>
      <c r="AHD555"/>
      <c r="AHE555"/>
      <c r="AHF555"/>
      <c r="AHG555"/>
      <c r="AHH555"/>
      <c r="AHI555"/>
      <c r="AHJ555"/>
      <c r="AHK555"/>
      <c r="AHL555"/>
      <c r="AHM555"/>
      <c r="AHN555"/>
      <c r="AHO555"/>
      <c r="AHP555"/>
      <c r="AHQ555"/>
      <c r="AHR555"/>
      <c r="AHS555"/>
      <c r="AHT555"/>
      <c r="AHU555"/>
      <c r="AHV555"/>
      <c r="AHW555"/>
      <c r="AHX555"/>
      <c r="AHY555"/>
      <c r="AHZ555"/>
      <c r="AIA555"/>
      <c r="AIB555"/>
      <c r="AIC555"/>
      <c r="AID555"/>
      <c r="AIE555"/>
      <c r="AIF555"/>
      <c r="AIG555"/>
      <c r="AIH555"/>
      <c r="AII555"/>
      <c r="AIJ555"/>
      <c r="AIK555"/>
      <c r="AIL555"/>
      <c r="AIM555"/>
      <c r="AIN555"/>
      <c r="AIO555"/>
      <c r="AIP555"/>
      <c r="AIQ555"/>
      <c r="AIR555"/>
      <c r="AIS555"/>
      <c r="AIT555"/>
      <c r="AIU555"/>
      <c r="AIV555"/>
      <c r="AIW555"/>
      <c r="AIX555"/>
      <c r="AIY555"/>
      <c r="AIZ555"/>
      <c r="AJA555"/>
      <c r="AJB555"/>
      <c r="AJC555"/>
      <c r="AJD555"/>
      <c r="AJE555"/>
      <c r="AJF555"/>
      <c r="AJG555"/>
      <c r="AJH555"/>
      <c r="AJI555"/>
      <c r="AJJ555"/>
      <c r="AJK555"/>
      <c r="AJL555"/>
      <c r="AJM555"/>
      <c r="AJN555"/>
      <c r="AJO555"/>
      <c r="AJP555"/>
      <c r="AJQ555"/>
      <c r="AJR555"/>
      <c r="AJS555"/>
      <c r="AJT555"/>
      <c r="AJU555"/>
      <c r="AJV555"/>
      <c r="AJW555"/>
      <c r="AJX555"/>
      <c r="AJY555"/>
      <c r="AJZ555"/>
      <c r="AKA555"/>
      <c r="AKB555"/>
      <c r="AKC555"/>
      <c r="AKD555"/>
      <c r="AKE555"/>
      <c r="AKF555"/>
      <c r="AKG555"/>
      <c r="AKH555"/>
      <c r="AKI555"/>
      <c r="AKJ555"/>
      <c r="AKK555"/>
      <c r="AKL555"/>
      <c r="AKM555"/>
      <c r="AKN555"/>
      <c r="AKO555"/>
      <c r="AKP555"/>
      <c r="AKQ555"/>
      <c r="AKR555"/>
      <c r="AKS555"/>
      <c r="AKT555"/>
      <c r="AKU555"/>
      <c r="AKV555"/>
      <c r="AKW555"/>
    </row>
    <row r="556" spans="1:985">
      <c r="A556" s="282" t="s">
        <v>1477</v>
      </c>
      <c r="B556" s="290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  <c r="ZY556"/>
      <c r="ZZ556"/>
      <c r="AAA556"/>
      <c r="AAB556"/>
      <c r="AAC556"/>
      <c r="AAD556"/>
      <c r="AAE556"/>
      <c r="AAF556"/>
      <c r="AAG556"/>
      <c r="AAH556"/>
      <c r="AAI556"/>
      <c r="AAJ556"/>
      <c r="AAK556"/>
      <c r="AAL556"/>
      <c r="AAM556"/>
      <c r="AAN556"/>
      <c r="AAO556"/>
      <c r="AAP556"/>
      <c r="AAQ556"/>
      <c r="AAR556"/>
      <c r="AAS556"/>
      <c r="AAT556"/>
      <c r="AAU556"/>
      <c r="AAV556"/>
      <c r="AAW556"/>
      <c r="AAX556"/>
      <c r="AAY556"/>
      <c r="AAZ556"/>
      <c r="ABA556"/>
      <c r="ABB556"/>
      <c r="ABC556"/>
      <c r="ABD556"/>
      <c r="ABE556"/>
      <c r="ABF556"/>
      <c r="ABG556"/>
      <c r="ABH556"/>
      <c r="ABI556"/>
      <c r="ABJ556"/>
      <c r="ABK556"/>
      <c r="ABL556"/>
      <c r="ABM556"/>
      <c r="ABN556"/>
      <c r="ABO556"/>
      <c r="ABP556"/>
      <c r="ABQ556"/>
      <c r="ABR556"/>
      <c r="ABS556"/>
      <c r="ABT556"/>
      <c r="ABU556"/>
      <c r="ABV556"/>
      <c r="ABW556"/>
      <c r="ABX556"/>
      <c r="ABY556"/>
      <c r="ABZ556"/>
      <c r="ACA556"/>
      <c r="ACB556"/>
      <c r="ACC556"/>
      <c r="ACD556"/>
      <c r="ACE556"/>
      <c r="ACF556"/>
      <c r="ACG556"/>
      <c r="ACH556"/>
      <c r="ACI556"/>
      <c r="ACJ556"/>
      <c r="ACK556"/>
      <c r="ACL556"/>
      <c r="ACM556"/>
      <c r="ACN556"/>
      <c r="ACO556"/>
      <c r="ACP556"/>
      <c r="ACQ556"/>
      <c r="ACR556"/>
      <c r="ACS556"/>
      <c r="ACT556"/>
      <c r="ACU556"/>
      <c r="ACV556"/>
      <c r="ACW556"/>
      <c r="ACX556"/>
      <c r="ACY556"/>
      <c r="ACZ556"/>
      <c r="ADA556"/>
      <c r="ADB556"/>
      <c r="ADC556"/>
      <c r="ADD556"/>
      <c r="ADE556"/>
      <c r="ADF556"/>
      <c r="ADG556"/>
      <c r="ADH556"/>
      <c r="ADI556"/>
      <c r="ADJ556"/>
      <c r="ADK556"/>
      <c r="ADL556"/>
      <c r="ADM556"/>
      <c r="ADN556"/>
      <c r="ADO556"/>
      <c r="ADP556"/>
      <c r="ADQ556"/>
      <c r="ADR556"/>
      <c r="ADS556"/>
      <c r="ADT556"/>
      <c r="ADU556"/>
      <c r="ADV556"/>
      <c r="ADW556"/>
      <c r="ADX556"/>
      <c r="ADY556"/>
      <c r="ADZ556"/>
      <c r="AEA556"/>
      <c r="AEB556"/>
      <c r="AEC556"/>
      <c r="AED556"/>
      <c r="AEE556"/>
      <c r="AEF556"/>
      <c r="AEG556"/>
      <c r="AEH556"/>
      <c r="AEI556"/>
      <c r="AEJ556"/>
      <c r="AEK556"/>
      <c r="AEL556"/>
      <c r="AEM556"/>
      <c r="AEN556"/>
      <c r="AEO556"/>
      <c r="AEP556"/>
      <c r="AEQ556"/>
      <c r="AER556"/>
      <c r="AES556"/>
      <c r="AET556"/>
      <c r="AEU556"/>
      <c r="AEV556"/>
      <c r="AEW556"/>
      <c r="AEX556"/>
      <c r="AEY556"/>
      <c r="AEZ556"/>
      <c r="AFA556"/>
      <c r="AFB556"/>
      <c r="AFC556"/>
      <c r="AFD556"/>
      <c r="AFE556"/>
      <c r="AFF556"/>
      <c r="AFG556"/>
      <c r="AFH556"/>
      <c r="AFI556"/>
      <c r="AFJ556"/>
      <c r="AFK556"/>
      <c r="AFL556"/>
      <c r="AFM556"/>
      <c r="AFN556"/>
      <c r="AFO556"/>
      <c r="AFP556"/>
      <c r="AFQ556"/>
      <c r="AFR556"/>
      <c r="AFS556"/>
      <c r="AFT556"/>
      <c r="AFU556"/>
      <c r="AFV556"/>
      <c r="AFW556"/>
      <c r="AFX556"/>
      <c r="AFY556"/>
      <c r="AFZ556"/>
      <c r="AGA556"/>
      <c r="AGB556"/>
      <c r="AGC556"/>
      <c r="AGD556"/>
      <c r="AGE556"/>
      <c r="AGF556"/>
      <c r="AGG556"/>
      <c r="AGH556"/>
      <c r="AGI556"/>
      <c r="AGJ556"/>
      <c r="AGK556"/>
      <c r="AGL556"/>
      <c r="AGM556"/>
      <c r="AGN556"/>
      <c r="AGO556"/>
      <c r="AGP556"/>
      <c r="AGQ556"/>
      <c r="AGR556"/>
      <c r="AGS556"/>
      <c r="AGT556"/>
      <c r="AGU556"/>
      <c r="AGV556"/>
      <c r="AGW556"/>
      <c r="AGX556"/>
      <c r="AGY556"/>
      <c r="AGZ556"/>
      <c r="AHA556"/>
      <c r="AHB556"/>
      <c r="AHC556"/>
      <c r="AHD556"/>
      <c r="AHE556"/>
      <c r="AHF556"/>
      <c r="AHG556"/>
      <c r="AHH556"/>
      <c r="AHI556"/>
      <c r="AHJ556"/>
      <c r="AHK556"/>
      <c r="AHL556"/>
      <c r="AHM556"/>
      <c r="AHN556"/>
      <c r="AHO556"/>
      <c r="AHP556"/>
      <c r="AHQ556"/>
      <c r="AHR556"/>
      <c r="AHS556"/>
      <c r="AHT556"/>
      <c r="AHU556"/>
      <c r="AHV556"/>
      <c r="AHW556"/>
      <c r="AHX556"/>
      <c r="AHY556"/>
      <c r="AHZ556"/>
      <c r="AIA556"/>
      <c r="AIB556"/>
      <c r="AIC556"/>
      <c r="AID556"/>
      <c r="AIE556"/>
      <c r="AIF556"/>
      <c r="AIG556"/>
      <c r="AIH556"/>
      <c r="AII556"/>
      <c r="AIJ556"/>
      <c r="AIK556"/>
      <c r="AIL556"/>
      <c r="AIM556"/>
      <c r="AIN556"/>
      <c r="AIO556"/>
      <c r="AIP556"/>
      <c r="AIQ556"/>
      <c r="AIR556"/>
      <c r="AIS556"/>
      <c r="AIT556"/>
      <c r="AIU556"/>
      <c r="AIV556"/>
      <c r="AIW556"/>
      <c r="AIX556"/>
      <c r="AIY556"/>
      <c r="AIZ556"/>
      <c r="AJA556"/>
      <c r="AJB556"/>
      <c r="AJC556"/>
      <c r="AJD556"/>
      <c r="AJE556"/>
      <c r="AJF556"/>
      <c r="AJG556"/>
      <c r="AJH556"/>
      <c r="AJI556"/>
      <c r="AJJ556"/>
      <c r="AJK556"/>
      <c r="AJL556"/>
      <c r="AJM556"/>
      <c r="AJN556"/>
      <c r="AJO556"/>
      <c r="AJP556"/>
      <c r="AJQ556"/>
      <c r="AJR556"/>
      <c r="AJS556"/>
      <c r="AJT556"/>
      <c r="AJU556"/>
      <c r="AJV556"/>
      <c r="AJW556"/>
      <c r="AJX556"/>
      <c r="AJY556"/>
      <c r="AJZ556"/>
      <c r="AKA556"/>
      <c r="AKB556"/>
      <c r="AKC556"/>
      <c r="AKD556"/>
      <c r="AKE556"/>
      <c r="AKF556"/>
      <c r="AKG556"/>
      <c r="AKH556"/>
      <c r="AKI556"/>
      <c r="AKJ556"/>
      <c r="AKK556"/>
      <c r="AKL556"/>
      <c r="AKM556"/>
      <c r="AKN556"/>
      <c r="AKO556"/>
      <c r="AKP556"/>
      <c r="AKQ556"/>
      <c r="AKR556"/>
      <c r="AKS556"/>
      <c r="AKT556"/>
      <c r="AKU556"/>
      <c r="AKV556"/>
      <c r="AKW556"/>
    </row>
    <row r="557" spans="1:985">
      <c r="A557" s="282" t="s">
        <v>1481</v>
      </c>
      <c r="B557" s="315">
        <v>6350.05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  <c r="ZY557"/>
      <c r="ZZ557"/>
      <c r="AAA557"/>
      <c r="AAB557"/>
      <c r="AAC557"/>
      <c r="AAD557"/>
      <c r="AAE557"/>
      <c r="AAF557"/>
      <c r="AAG557"/>
      <c r="AAH557"/>
      <c r="AAI557"/>
      <c r="AAJ557"/>
      <c r="AAK557"/>
      <c r="AAL557"/>
      <c r="AAM557"/>
      <c r="AAN557"/>
      <c r="AAO557"/>
      <c r="AAP557"/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  <c r="ABE557"/>
      <c r="ABF557"/>
      <c r="ABG557"/>
      <c r="ABH557"/>
      <c r="ABI557"/>
      <c r="ABJ557"/>
      <c r="ABK557"/>
      <c r="ABL557"/>
      <c r="ABM557"/>
      <c r="ABN557"/>
      <c r="ABO557"/>
      <c r="ABP557"/>
      <c r="ABQ557"/>
      <c r="ABR557"/>
      <c r="ABS557"/>
      <c r="ABT557"/>
      <c r="ABU557"/>
      <c r="ABV557"/>
      <c r="ABW557"/>
      <c r="ABX557"/>
      <c r="ABY557"/>
      <c r="ABZ557"/>
      <c r="ACA557"/>
      <c r="ACB557"/>
      <c r="ACC557"/>
      <c r="ACD557"/>
      <c r="ACE557"/>
      <c r="ACF557"/>
      <c r="ACG557"/>
      <c r="ACH557"/>
      <c r="ACI557"/>
      <c r="ACJ557"/>
      <c r="ACK557"/>
      <c r="ACL557"/>
      <c r="ACM557"/>
      <c r="ACN557"/>
      <c r="ACO557"/>
      <c r="ACP557"/>
      <c r="ACQ557"/>
      <c r="ACR557"/>
      <c r="ACS557"/>
      <c r="ACT557"/>
      <c r="ACU557"/>
      <c r="ACV557"/>
      <c r="ACW557"/>
      <c r="ACX557"/>
      <c r="ACY557"/>
      <c r="ACZ557"/>
      <c r="ADA557"/>
      <c r="ADB557"/>
      <c r="ADC557"/>
      <c r="ADD557"/>
      <c r="ADE557"/>
      <c r="ADF557"/>
      <c r="ADG557"/>
      <c r="ADH557"/>
      <c r="ADI557"/>
      <c r="ADJ557"/>
      <c r="ADK557"/>
      <c r="ADL557"/>
      <c r="ADM557"/>
      <c r="ADN557"/>
      <c r="ADO557"/>
      <c r="ADP557"/>
      <c r="ADQ557"/>
      <c r="ADR557"/>
      <c r="ADS557"/>
      <c r="ADT557"/>
      <c r="ADU557"/>
      <c r="ADV557"/>
      <c r="ADW557"/>
      <c r="ADX557"/>
      <c r="ADY557"/>
      <c r="ADZ557"/>
      <c r="AEA557"/>
      <c r="AEB557"/>
      <c r="AEC557"/>
      <c r="AED557"/>
      <c r="AEE557"/>
      <c r="AEF557"/>
      <c r="AEG557"/>
      <c r="AEH557"/>
      <c r="AEI557"/>
      <c r="AEJ557"/>
      <c r="AEK557"/>
      <c r="AEL557"/>
      <c r="AEM557"/>
      <c r="AEN557"/>
      <c r="AEO557"/>
      <c r="AEP557"/>
      <c r="AEQ557"/>
      <c r="AER557"/>
      <c r="AES557"/>
      <c r="AET557"/>
      <c r="AEU557"/>
      <c r="AEV557"/>
      <c r="AEW557"/>
      <c r="AEX557"/>
      <c r="AEY557"/>
      <c r="AEZ557"/>
      <c r="AFA557"/>
      <c r="AFB557"/>
      <c r="AFC557"/>
      <c r="AFD557"/>
      <c r="AFE557"/>
      <c r="AFF557"/>
      <c r="AFG557"/>
      <c r="AFH557"/>
      <c r="AFI557"/>
      <c r="AFJ557"/>
      <c r="AFK557"/>
      <c r="AFL557"/>
      <c r="AFM557"/>
      <c r="AFN557"/>
      <c r="AFO557"/>
      <c r="AFP557"/>
      <c r="AFQ557"/>
      <c r="AFR557"/>
      <c r="AFS557"/>
      <c r="AFT557"/>
      <c r="AFU557"/>
      <c r="AFV557"/>
      <c r="AFW557"/>
      <c r="AFX557"/>
      <c r="AFY557"/>
      <c r="AFZ557"/>
      <c r="AGA557"/>
      <c r="AGB557"/>
      <c r="AGC557"/>
      <c r="AGD557"/>
      <c r="AGE557"/>
      <c r="AGF557"/>
      <c r="AGG557"/>
      <c r="AGH557"/>
      <c r="AGI557"/>
      <c r="AGJ557"/>
      <c r="AGK557"/>
      <c r="AGL557"/>
      <c r="AGM557"/>
      <c r="AGN557"/>
      <c r="AGO557"/>
      <c r="AGP557"/>
      <c r="AGQ557"/>
      <c r="AGR557"/>
      <c r="AGS557"/>
      <c r="AGT557"/>
      <c r="AGU557"/>
      <c r="AGV557"/>
      <c r="AGW557"/>
      <c r="AGX557"/>
      <c r="AGY557"/>
      <c r="AGZ557"/>
      <c r="AHA557"/>
      <c r="AHB557"/>
      <c r="AHC557"/>
      <c r="AHD557"/>
      <c r="AHE557"/>
      <c r="AHF557"/>
      <c r="AHG557"/>
      <c r="AHH557"/>
      <c r="AHI557"/>
      <c r="AHJ557"/>
      <c r="AHK557"/>
      <c r="AHL557"/>
      <c r="AHM557"/>
      <c r="AHN557"/>
      <c r="AHO557"/>
      <c r="AHP557"/>
      <c r="AHQ557"/>
      <c r="AHR557"/>
      <c r="AHS557"/>
      <c r="AHT557"/>
      <c r="AHU557"/>
      <c r="AHV557"/>
      <c r="AHW557"/>
      <c r="AHX557"/>
      <c r="AHY557"/>
      <c r="AHZ557"/>
      <c r="AIA557"/>
      <c r="AIB557"/>
      <c r="AIC557"/>
      <c r="AID557"/>
      <c r="AIE557"/>
      <c r="AIF557"/>
      <c r="AIG557"/>
      <c r="AIH557"/>
      <c r="AII557"/>
      <c r="AIJ557"/>
      <c r="AIK557"/>
      <c r="AIL557"/>
      <c r="AIM557"/>
      <c r="AIN557"/>
      <c r="AIO557"/>
      <c r="AIP557"/>
      <c r="AIQ557"/>
      <c r="AIR557"/>
      <c r="AIS557"/>
      <c r="AIT557"/>
      <c r="AIU557"/>
      <c r="AIV557"/>
      <c r="AIW557"/>
      <c r="AIX557"/>
      <c r="AIY557"/>
      <c r="AIZ557"/>
      <c r="AJA557"/>
      <c r="AJB557"/>
      <c r="AJC557"/>
      <c r="AJD557"/>
      <c r="AJE557"/>
      <c r="AJF557"/>
      <c r="AJG557"/>
      <c r="AJH557"/>
      <c r="AJI557"/>
      <c r="AJJ557"/>
      <c r="AJK557"/>
      <c r="AJL557"/>
      <c r="AJM557"/>
      <c r="AJN557"/>
      <c r="AJO557"/>
      <c r="AJP557"/>
      <c r="AJQ557"/>
      <c r="AJR557"/>
      <c r="AJS557"/>
      <c r="AJT557"/>
      <c r="AJU557"/>
      <c r="AJV557"/>
      <c r="AJW557"/>
      <c r="AJX557"/>
      <c r="AJY557"/>
      <c r="AJZ557"/>
      <c r="AKA557"/>
      <c r="AKB557"/>
      <c r="AKC557"/>
      <c r="AKD557"/>
      <c r="AKE557"/>
      <c r="AKF557"/>
      <c r="AKG557"/>
      <c r="AKH557"/>
      <c r="AKI557"/>
      <c r="AKJ557"/>
      <c r="AKK557"/>
      <c r="AKL557"/>
      <c r="AKM557"/>
      <c r="AKN557"/>
      <c r="AKO557"/>
      <c r="AKP557"/>
      <c r="AKQ557"/>
      <c r="AKR557"/>
      <c r="AKS557"/>
      <c r="AKT557"/>
      <c r="AKU557"/>
      <c r="AKV557"/>
      <c r="AKW557"/>
    </row>
    <row r="558" spans="1:985">
      <c r="A558" s="282"/>
      <c r="B558" s="291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  <c r="ZU558"/>
      <c r="ZV558"/>
      <c r="ZW558"/>
      <c r="ZX558"/>
      <c r="ZY558"/>
      <c r="ZZ558"/>
      <c r="AAA558"/>
      <c r="AAB558"/>
      <c r="AAC558"/>
      <c r="AAD558"/>
      <c r="AAE558"/>
      <c r="AAF558"/>
      <c r="AAG558"/>
      <c r="AAH558"/>
      <c r="AAI558"/>
      <c r="AAJ558"/>
      <c r="AAK558"/>
      <c r="AAL558"/>
      <c r="AAM558"/>
      <c r="AAN558"/>
      <c r="AAO558"/>
      <c r="AAP558"/>
      <c r="AAQ558"/>
      <c r="AAR558"/>
      <c r="AAS558"/>
      <c r="AAT558"/>
      <c r="AAU558"/>
      <c r="AAV558"/>
      <c r="AAW558"/>
      <c r="AAX558"/>
      <c r="AAY558"/>
      <c r="AAZ558"/>
      <c r="ABA558"/>
      <c r="ABB558"/>
      <c r="ABC558"/>
      <c r="ABD558"/>
      <c r="ABE558"/>
      <c r="ABF558"/>
      <c r="ABG558"/>
      <c r="ABH558"/>
      <c r="ABI558"/>
      <c r="ABJ558"/>
      <c r="ABK558"/>
      <c r="ABL558"/>
      <c r="ABM558"/>
      <c r="ABN558"/>
      <c r="ABO558"/>
      <c r="ABP558"/>
      <c r="ABQ558"/>
      <c r="ABR558"/>
      <c r="ABS558"/>
      <c r="ABT558"/>
      <c r="ABU558"/>
      <c r="ABV558"/>
      <c r="ABW558"/>
      <c r="ABX558"/>
      <c r="ABY558"/>
      <c r="ABZ558"/>
      <c r="ACA558"/>
      <c r="ACB558"/>
      <c r="ACC558"/>
      <c r="ACD558"/>
      <c r="ACE558"/>
      <c r="ACF558"/>
      <c r="ACG558"/>
      <c r="ACH558"/>
      <c r="ACI558"/>
      <c r="ACJ558"/>
      <c r="ACK558"/>
      <c r="ACL558"/>
      <c r="ACM558"/>
      <c r="ACN558"/>
      <c r="ACO558"/>
      <c r="ACP558"/>
      <c r="ACQ558"/>
      <c r="ACR558"/>
      <c r="ACS558"/>
      <c r="ACT558"/>
      <c r="ACU558"/>
      <c r="ACV558"/>
      <c r="ACW558"/>
      <c r="ACX558"/>
      <c r="ACY558"/>
      <c r="ACZ558"/>
      <c r="ADA558"/>
      <c r="ADB558"/>
      <c r="ADC558"/>
      <c r="ADD558"/>
      <c r="ADE558"/>
      <c r="ADF558"/>
      <c r="ADG558"/>
      <c r="ADH558"/>
      <c r="ADI558"/>
      <c r="ADJ558"/>
      <c r="ADK558"/>
      <c r="ADL558"/>
      <c r="ADM558"/>
      <c r="ADN558"/>
      <c r="ADO558"/>
      <c r="ADP558"/>
      <c r="ADQ558"/>
      <c r="ADR558"/>
      <c r="ADS558"/>
      <c r="ADT558"/>
      <c r="ADU558"/>
      <c r="ADV558"/>
      <c r="ADW558"/>
      <c r="ADX558"/>
      <c r="ADY558"/>
      <c r="ADZ558"/>
      <c r="AEA558"/>
      <c r="AEB558"/>
      <c r="AEC558"/>
      <c r="AED558"/>
      <c r="AEE558"/>
      <c r="AEF558"/>
      <c r="AEG558"/>
      <c r="AEH558"/>
      <c r="AEI558"/>
      <c r="AEJ558"/>
      <c r="AEK558"/>
      <c r="AEL558"/>
      <c r="AEM558"/>
      <c r="AEN558"/>
      <c r="AEO558"/>
      <c r="AEP558"/>
      <c r="AEQ558"/>
      <c r="AER558"/>
      <c r="AES558"/>
      <c r="AET558"/>
      <c r="AEU558"/>
      <c r="AEV558"/>
      <c r="AEW558"/>
      <c r="AEX558"/>
      <c r="AEY558"/>
      <c r="AEZ558"/>
      <c r="AFA558"/>
      <c r="AFB558"/>
      <c r="AFC558"/>
      <c r="AFD558"/>
      <c r="AFE558"/>
      <c r="AFF558"/>
      <c r="AFG558"/>
      <c r="AFH558"/>
      <c r="AFI558"/>
      <c r="AFJ558"/>
      <c r="AFK558"/>
      <c r="AFL558"/>
      <c r="AFM558"/>
      <c r="AFN558"/>
      <c r="AFO558"/>
      <c r="AFP558"/>
      <c r="AFQ558"/>
      <c r="AFR558"/>
      <c r="AFS558"/>
      <c r="AFT558"/>
      <c r="AFU558"/>
      <c r="AFV558"/>
      <c r="AFW558"/>
      <c r="AFX558"/>
      <c r="AFY558"/>
      <c r="AFZ558"/>
      <c r="AGA558"/>
      <c r="AGB558"/>
      <c r="AGC558"/>
      <c r="AGD558"/>
      <c r="AGE558"/>
      <c r="AGF558"/>
      <c r="AGG558"/>
      <c r="AGH558"/>
      <c r="AGI558"/>
      <c r="AGJ558"/>
      <c r="AGK558"/>
      <c r="AGL558"/>
      <c r="AGM558"/>
      <c r="AGN558"/>
      <c r="AGO558"/>
      <c r="AGP558"/>
      <c r="AGQ558"/>
      <c r="AGR558"/>
      <c r="AGS558"/>
      <c r="AGT558"/>
      <c r="AGU558"/>
      <c r="AGV558"/>
      <c r="AGW558"/>
      <c r="AGX558"/>
      <c r="AGY558"/>
      <c r="AGZ558"/>
      <c r="AHA558"/>
      <c r="AHB558"/>
      <c r="AHC558"/>
      <c r="AHD558"/>
      <c r="AHE558"/>
      <c r="AHF558"/>
      <c r="AHG558"/>
      <c r="AHH558"/>
      <c r="AHI558"/>
      <c r="AHJ558"/>
      <c r="AHK558"/>
      <c r="AHL558"/>
      <c r="AHM558"/>
      <c r="AHN558"/>
      <c r="AHO558"/>
      <c r="AHP558"/>
      <c r="AHQ558"/>
      <c r="AHR558"/>
      <c r="AHS558"/>
      <c r="AHT558"/>
      <c r="AHU558"/>
      <c r="AHV558"/>
      <c r="AHW558"/>
      <c r="AHX558"/>
      <c r="AHY558"/>
      <c r="AHZ558"/>
      <c r="AIA558"/>
      <c r="AIB558"/>
      <c r="AIC558"/>
      <c r="AID558"/>
      <c r="AIE558"/>
      <c r="AIF558"/>
      <c r="AIG558"/>
      <c r="AIH558"/>
      <c r="AII558"/>
      <c r="AIJ558"/>
      <c r="AIK558"/>
      <c r="AIL558"/>
      <c r="AIM558"/>
      <c r="AIN558"/>
      <c r="AIO558"/>
      <c r="AIP558"/>
      <c r="AIQ558"/>
      <c r="AIR558"/>
      <c r="AIS558"/>
      <c r="AIT558"/>
      <c r="AIU558"/>
      <c r="AIV558"/>
      <c r="AIW558"/>
      <c r="AIX558"/>
      <c r="AIY558"/>
      <c r="AIZ558"/>
      <c r="AJA558"/>
      <c r="AJB558"/>
      <c r="AJC558"/>
      <c r="AJD558"/>
      <c r="AJE558"/>
      <c r="AJF558"/>
      <c r="AJG558"/>
      <c r="AJH558"/>
      <c r="AJI558"/>
      <c r="AJJ558"/>
      <c r="AJK558"/>
      <c r="AJL558"/>
      <c r="AJM558"/>
      <c r="AJN558"/>
      <c r="AJO558"/>
      <c r="AJP558"/>
      <c r="AJQ558"/>
      <c r="AJR558"/>
      <c r="AJS558"/>
      <c r="AJT558"/>
      <c r="AJU558"/>
      <c r="AJV558"/>
      <c r="AJW558"/>
      <c r="AJX558"/>
      <c r="AJY558"/>
      <c r="AJZ558"/>
      <c r="AKA558"/>
      <c r="AKB558"/>
      <c r="AKC558"/>
      <c r="AKD558"/>
      <c r="AKE558"/>
      <c r="AKF558"/>
      <c r="AKG558"/>
      <c r="AKH558"/>
      <c r="AKI558"/>
      <c r="AKJ558"/>
      <c r="AKK558"/>
      <c r="AKL558"/>
      <c r="AKM558"/>
      <c r="AKN558"/>
      <c r="AKO558"/>
      <c r="AKP558"/>
      <c r="AKQ558"/>
      <c r="AKR558"/>
      <c r="AKS558"/>
      <c r="AKT558"/>
      <c r="AKU558"/>
      <c r="AKV558"/>
      <c r="AKW558"/>
    </row>
    <row r="559" spans="1:985">
      <c r="A559" s="282"/>
      <c r="B559" s="291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/>
      <c r="AAW559"/>
      <c r="AAX559"/>
      <c r="AAY559"/>
      <c r="AAZ559"/>
      <c r="ABA559"/>
      <c r="ABB559"/>
      <c r="ABC559"/>
      <c r="ABD559"/>
      <c r="ABE559"/>
      <c r="ABF559"/>
      <c r="ABG559"/>
      <c r="ABH559"/>
      <c r="ABI559"/>
      <c r="ABJ559"/>
      <c r="ABK559"/>
      <c r="ABL559"/>
      <c r="ABM559"/>
      <c r="ABN559"/>
      <c r="ABO559"/>
      <c r="ABP559"/>
      <c r="ABQ559"/>
      <c r="ABR559"/>
      <c r="ABS559"/>
      <c r="ABT559"/>
      <c r="ABU559"/>
      <c r="ABV559"/>
      <c r="ABW559"/>
      <c r="ABX559"/>
      <c r="ABY559"/>
      <c r="ABZ559"/>
      <c r="ACA559"/>
      <c r="ACB559"/>
      <c r="ACC559"/>
      <c r="ACD559"/>
      <c r="ACE559"/>
      <c r="ACF559"/>
      <c r="ACG559"/>
      <c r="ACH559"/>
      <c r="ACI559"/>
      <c r="ACJ559"/>
      <c r="ACK559"/>
      <c r="ACL559"/>
      <c r="ACM559"/>
      <c r="ACN559"/>
      <c r="ACO559"/>
      <c r="ACP559"/>
      <c r="ACQ559"/>
      <c r="ACR559"/>
      <c r="ACS559"/>
      <c r="ACT559"/>
      <c r="ACU559"/>
      <c r="ACV559"/>
      <c r="ACW559"/>
      <c r="ACX559"/>
      <c r="ACY559"/>
      <c r="ACZ559"/>
      <c r="ADA559"/>
      <c r="ADB559"/>
      <c r="ADC559"/>
      <c r="ADD559"/>
      <c r="ADE559"/>
      <c r="ADF559"/>
      <c r="ADG559"/>
      <c r="ADH559"/>
      <c r="ADI559"/>
      <c r="ADJ559"/>
      <c r="ADK559"/>
      <c r="ADL559"/>
      <c r="ADM559"/>
      <c r="ADN559"/>
      <c r="ADO559"/>
      <c r="ADP559"/>
      <c r="ADQ559"/>
      <c r="ADR559"/>
      <c r="ADS559"/>
      <c r="ADT559"/>
      <c r="ADU559"/>
      <c r="ADV559"/>
      <c r="ADW559"/>
      <c r="ADX559"/>
      <c r="ADY559"/>
      <c r="ADZ559"/>
      <c r="AEA559"/>
      <c r="AEB559"/>
      <c r="AEC559"/>
      <c r="AED559"/>
      <c r="AEE559"/>
      <c r="AEF559"/>
      <c r="AEG559"/>
      <c r="AEH559"/>
      <c r="AEI559"/>
      <c r="AEJ559"/>
      <c r="AEK559"/>
      <c r="AEL559"/>
      <c r="AEM559"/>
      <c r="AEN559"/>
      <c r="AEO559"/>
      <c r="AEP559"/>
      <c r="AEQ559"/>
      <c r="AER559"/>
      <c r="AES559"/>
      <c r="AET559"/>
      <c r="AEU559"/>
      <c r="AEV559"/>
      <c r="AEW559"/>
      <c r="AEX559"/>
      <c r="AEY559"/>
      <c r="AEZ559"/>
      <c r="AFA559"/>
      <c r="AFB559"/>
      <c r="AFC559"/>
      <c r="AFD559"/>
      <c r="AFE559"/>
      <c r="AFF559"/>
      <c r="AFG559"/>
      <c r="AFH559"/>
      <c r="AFI559"/>
      <c r="AFJ559"/>
      <c r="AFK559"/>
      <c r="AFL559"/>
      <c r="AFM559"/>
      <c r="AFN559"/>
      <c r="AFO559"/>
      <c r="AFP559"/>
      <c r="AFQ559"/>
      <c r="AFR559"/>
      <c r="AFS559"/>
      <c r="AFT559"/>
      <c r="AFU559"/>
      <c r="AFV559"/>
      <c r="AFW559"/>
      <c r="AFX559"/>
      <c r="AFY559"/>
      <c r="AFZ559"/>
      <c r="AGA559"/>
      <c r="AGB559"/>
      <c r="AGC559"/>
      <c r="AGD559"/>
      <c r="AGE559"/>
      <c r="AGF559"/>
      <c r="AGG559"/>
      <c r="AGH559"/>
      <c r="AGI559"/>
      <c r="AGJ559"/>
      <c r="AGK559"/>
      <c r="AGL559"/>
      <c r="AGM559"/>
      <c r="AGN559"/>
      <c r="AGO559"/>
      <c r="AGP559"/>
      <c r="AGQ559"/>
      <c r="AGR559"/>
      <c r="AGS559"/>
      <c r="AGT559"/>
      <c r="AGU559"/>
      <c r="AGV559"/>
      <c r="AGW559"/>
      <c r="AGX559"/>
      <c r="AGY559"/>
      <c r="AGZ559"/>
      <c r="AHA559"/>
      <c r="AHB559"/>
      <c r="AHC559"/>
      <c r="AHD559"/>
      <c r="AHE559"/>
      <c r="AHF559"/>
      <c r="AHG559"/>
      <c r="AHH559"/>
      <c r="AHI559"/>
      <c r="AHJ559"/>
      <c r="AHK559"/>
      <c r="AHL559"/>
      <c r="AHM559"/>
      <c r="AHN559"/>
      <c r="AHO559"/>
      <c r="AHP559"/>
      <c r="AHQ559"/>
      <c r="AHR559"/>
      <c r="AHS559"/>
      <c r="AHT559"/>
      <c r="AHU559"/>
      <c r="AHV559"/>
      <c r="AHW559"/>
      <c r="AHX559"/>
      <c r="AHY559"/>
      <c r="AHZ559"/>
      <c r="AIA559"/>
      <c r="AIB559"/>
      <c r="AIC559"/>
      <c r="AID559"/>
      <c r="AIE559"/>
      <c r="AIF559"/>
      <c r="AIG559"/>
      <c r="AIH559"/>
      <c r="AII559"/>
      <c r="AIJ559"/>
      <c r="AIK559"/>
      <c r="AIL559"/>
      <c r="AIM559"/>
      <c r="AIN559"/>
      <c r="AIO559"/>
      <c r="AIP559"/>
      <c r="AIQ559"/>
      <c r="AIR559"/>
      <c r="AIS559"/>
      <c r="AIT559"/>
      <c r="AIU559"/>
      <c r="AIV559"/>
      <c r="AIW559"/>
      <c r="AIX559"/>
      <c r="AIY559"/>
      <c r="AIZ559"/>
      <c r="AJA559"/>
      <c r="AJB559"/>
      <c r="AJC559"/>
      <c r="AJD559"/>
      <c r="AJE559"/>
      <c r="AJF559"/>
      <c r="AJG559"/>
      <c r="AJH559"/>
      <c r="AJI559"/>
      <c r="AJJ559"/>
      <c r="AJK559"/>
      <c r="AJL559"/>
      <c r="AJM559"/>
      <c r="AJN559"/>
      <c r="AJO559"/>
      <c r="AJP559"/>
      <c r="AJQ559"/>
      <c r="AJR559"/>
      <c r="AJS559"/>
      <c r="AJT559"/>
      <c r="AJU559"/>
      <c r="AJV559"/>
      <c r="AJW559"/>
      <c r="AJX559"/>
      <c r="AJY559"/>
      <c r="AJZ559"/>
      <c r="AKA559"/>
      <c r="AKB559"/>
      <c r="AKC559"/>
      <c r="AKD559"/>
      <c r="AKE559"/>
      <c r="AKF559"/>
      <c r="AKG559"/>
      <c r="AKH559"/>
      <c r="AKI559"/>
      <c r="AKJ559"/>
      <c r="AKK559"/>
      <c r="AKL559"/>
      <c r="AKM559"/>
      <c r="AKN559"/>
      <c r="AKO559"/>
      <c r="AKP559"/>
      <c r="AKQ559"/>
      <c r="AKR559"/>
      <c r="AKS559"/>
      <c r="AKT559"/>
      <c r="AKU559"/>
      <c r="AKV559"/>
      <c r="AKW559"/>
    </row>
    <row r="560" spans="1:985">
      <c r="B560" s="291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  <c r="ZW560"/>
      <c r="ZX560"/>
      <c r="ZY560"/>
      <c r="ZZ560"/>
      <c r="AAA560"/>
      <c r="AAB560"/>
      <c r="AAC560"/>
      <c r="AAD560"/>
      <c r="AAE560"/>
      <c r="AAF560"/>
      <c r="AAG560"/>
      <c r="AAH560"/>
      <c r="AAI560"/>
      <c r="AAJ560"/>
      <c r="AAK560"/>
      <c r="AAL560"/>
      <c r="AAM560"/>
      <c r="AAN560"/>
      <c r="AAO560"/>
      <c r="AAP560"/>
      <c r="AAQ560"/>
      <c r="AAR560"/>
      <c r="AAS560"/>
      <c r="AAT560"/>
      <c r="AAU560"/>
      <c r="AAV560"/>
      <c r="AAW560"/>
      <c r="AAX560"/>
      <c r="AAY560"/>
      <c r="AAZ560"/>
      <c r="ABA560"/>
      <c r="ABB560"/>
      <c r="ABC560"/>
      <c r="ABD560"/>
      <c r="ABE560"/>
      <c r="ABF560"/>
      <c r="ABG560"/>
      <c r="ABH560"/>
      <c r="ABI560"/>
      <c r="ABJ560"/>
      <c r="ABK560"/>
      <c r="ABL560"/>
      <c r="ABM560"/>
      <c r="ABN560"/>
      <c r="ABO560"/>
      <c r="ABP560"/>
      <c r="ABQ560"/>
      <c r="ABR560"/>
      <c r="ABS560"/>
      <c r="ABT560"/>
      <c r="ABU560"/>
      <c r="ABV560"/>
      <c r="ABW560"/>
      <c r="ABX560"/>
      <c r="ABY560"/>
      <c r="ABZ560"/>
      <c r="ACA560"/>
      <c r="ACB560"/>
      <c r="ACC560"/>
      <c r="ACD560"/>
      <c r="ACE560"/>
      <c r="ACF560"/>
      <c r="ACG560"/>
      <c r="ACH560"/>
      <c r="ACI560"/>
      <c r="ACJ560"/>
      <c r="ACK560"/>
      <c r="ACL560"/>
      <c r="ACM560"/>
      <c r="ACN560"/>
      <c r="ACO560"/>
      <c r="ACP560"/>
      <c r="ACQ560"/>
      <c r="ACR560"/>
      <c r="ACS560"/>
      <c r="ACT560"/>
      <c r="ACU560"/>
      <c r="ACV560"/>
      <c r="ACW560"/>
      <c r="ACX560"/>
      <c r="ACY560"/>
      <c r="ACZ560"/>
      <c r="ADA560"/>
      <c r="ADB560"/>
      <c r="ADC560"/>
      <c r="ADD560"/>
      <c r="ADE560"/>
      <c r="ADF560"/>
      <c r="ADG560"/>
      <c r="ADH560"/>
      <c r="ADI560"/>
      <c r="ADJ560"/>
      <c r="ADK560"/>
      <c r="ADL560"/>
      <c r="ADM560"/>
      <c r="ADN560"/>
      <c r="ADO560"/>
      <c r="ADP560"/>
      <c r="ADQ560"/>
      <c r="ADR560"/>
      <c r="ADS560"/>
      <c r="ADT560"/>
      <c r="ADU560"/>
      <c r="ADV560"/>
      <c r="ADW560"/>
      <c r="ADX560"/>
      <c r="ADY560"/>
      <c r="ADZ560"/>
      <c r="AEA560"/>
      <c r="AEB560"/>
      <c r="AEC560"/>
      <c r="AED560"/>
      <c r="AEE560"/>
      <c r="AEF560"/>
      <c r="AEG560"/>
      <c r="AEH560"/>
      <c r="AEI560"/>
      <c r="AEJ560"/>
      <c r="AEK560"/>
      <c r="AEL560"/>
      <c r="AEM560"/>
      <c r="AEN560"/>
      <c r="AEO560"/>
      <c r="AEP560"/>
      <c r="AEQ560"/>
      <c r="AER560"/>
      <c r="AES560"/>
      <c r="AET560"/>
      <c r="AEU560"/>
      <c r="AEV560"/>
      <c r="AEW560"/>
      <c r="AEX560"/>
      <c r="AEY560"/>
      <c r="AEZ560"/>
      <c r="AFA560"/>
      <c r="AFB560"/>
      <c r="AFC560"/>
      <c r="AFD560"/>
      <c r="AFE560"/>
      <c r="AFF560"/>
      <c r="AFG560"/>
      <c r="AFH560"/>
      <c r="AFI560"/>
      <c r="AFJ560"/>
      <c r="AFK560"/>
      <c r="AFL560"/>
      <c r="AFM560"/>
      <c r="AFN560"/>
      <c r="AFO560"/>
      <c r="AFP560"/>
      <c r="AFQ560"/>
      <c r="AFR560"/>
      <c r="AFS560"/>
      <c r="AFT560"/>
      <c r="AFU560"/>
      <c r="AFV560"/>
      <c r="AFW560"/>
      <c r="AFX560"/>
      <c r="AFY560"/>
      <c r="AFZ560"/>
      <c r="AGA560"/>
      <c r="AGB560"/>
      <c r="AGC560"/>
      <c r="AGD560"/>
      <c r="AGE560"/>
      <c r="AGF560"/>
      <c r="AGG560"/>
      <c r="AGH560"/>
      <c r="AGI560"/>
      <c r="AGJ560"/>
      <c r="AGK560"/>
      <c r="AGL560"/>
      <c r="AGM560"/>
      <c r="AGN560"/>
      <c r="AGO560"/>
      <c r="AGP560"/>
      <c r="AGQ560"/>
      <c r="AGR560"/>
      <c r="AGS560"/>
      <c r="AGT560"/>
      <c r="AGU560"/>
      <c r="AGV560"/>
      <c r="AGW560"/>
      <c r="AGX560"/>
      <c r="AGY560"/>
      <c r="AGZ560"/>
      <c r="AHA560"/>
      <c r="AHB560"/>
      <c r="AHC560"/>
      <c r="AHD560"/>
      <c r="AHE560"/>
      <c r="AHF560"/>
      <c r="AHG560"/>
      <c r="AHH560"/>
      <c r="AHI560"/>
      <c r="AHJ560"/>
      <c r="AHK560"/>
      <c r="AHL560"/>
      <c r="AHM560"/>
      <c r="AHN560"/>
      <c r="AHO560"/>
      <c r="AHP560"/>
      <c r="AHQ560"/>
      <c r="AHR560"/>
      <c r="AHS560"/>
      <c r="AHT560"/>
      <c r="AHU560"/>
      <c r="AHV560"/>
      <c r="AHW560"/>
      <c r="AHX560"/>
      <c r="AHY560"/>
      <c r="AHZ560"/>
      <c r="AIA560"/>
      <c r="AIB560"/>
      <c r="AIC560"/>
      <c r="AID560"/>
      <c r="AIE560"/>
      <c r="AIF560"/>
      <c r="AIG560"/>
      <c r="AIH560"/>
      <c r="AII560"/>
      <c r="AIJ560"/>
      <c r="AIK560"/>
      <c r="AIL560"/>
      <c r="AIM560"/>
      <c r="AIN560"/>
      <c r="AIO560"/>
      <c r="AIP560"/>
      <c r="AIQ560"/>
      <c r="AIR560"/>
      <c r="AIS560"/>
      <c r="AIT560"/>
      <c r="AIU560"/>
      <c r="AIV560"/>
      <c r="AIW560"/>
      <c r="AIX560"/>
      <c r="AIY560"/>
      <c r="AIZ560"/>
      <c r="AJA560"/>
      <c r="AJB560"/>
      <c r="AJC560"/>
      <c r="AJD560"/>
      <c r="AJE560"/>
      <c r="AJF560"/>
      <c r="AJG560"/>
      <c r="AJH560"/>
      <c r="AJI560"/>
      <c r="AJJ560"/>
      <c r="AJK560"/>
      <c r="AJL560"/>
      <c r="AJM560"/>
      <c r="AJN560"/>
      <c r="AJO560"/>
      <c r="AJP560"/>
      <c r="AJQ560"/>
      <c r="AJR560"/>
      <c r="AJS560"/>
      <c r="AJT560"/>
      <c r="AJU560"/>
      <c r="AJV560"/>
      <c r="AJW560"/>
      <c r="AJX560"/>
      <c r="AJY560"/>
      <c r="AJZ560"/>
      <c r="AKA560"/>
      <c r="AKB560"/>
      <c r="AKC560"/>
      <c r="AKD560"/>
      <c r="AKE560"/>
      <c r="AKF560"/>
      <c r="AKG560"/>
      <c r="AKH560"/>
      <c r="AKI560"/>
      <c r="AKJ560"/>
      <c r="AKK560"/>
      <c r="AKL560"/>
      <c r="AKM560"/>
      <c r="AKN560"/>
      <c r="AKO560"/>
      <c r="AKP560"/>
      <c r="AKQ560"/>
      <c r="AKR560"/>
      <c r="AKS560"/>
      <c r="AKT560"/>
      <c r="AKU560"/>
      <c r="AKV560"/>
      <c r="AKW560"/>
    </row>
    <row r="561" spans="1:986">
      <c r="A561" s="414" t="s">
        <v>330</v>
      </c>
      <c r="B561" s="150" t="s">
        <v>4</v>
      </c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  <c r="ZY561"/>
      <c r="ZZ561"/>
      <c r="AAA561"/>
      <c r="AAB561"/>
      <c r="AAC561"/>
      <c r="AAD561"/>
      <c r="AAE561"/>
      <c r="AAF561"/>
      <c r="AAG561"/>
      <c r="AAH561"/>
      <c r="AAI561"/>
      <c r="AAJ561"/>
      <c r="AAK561"/>
      <c r="AAL561"/>
      <c r="AAM561"/>
      <c r="AAN561"/>
      <c r="AAO561"/>
      <c r="AAP561"/>
      <c r="AAQ561"/>
      <c r="AAR561"/>
      <c r="AAS561"/>
      <c r="AAT561"/>
      <c r="AAU561"/>
      <c r="AAV561"/>
      <c r="AAW561"/>
      <c r="AAX561"/>
      <c r="AAY561"/>
      <c r="AAZ561"/>
      <c r="ABA561"/>
      <c r="ABB561"/>
      <c r="ABC561"/>
      <c r="ABD561"/>
      <c r="ABE561"/>
      <c r="ABF561"/>
      <c r="ABG561"/>
      <c r="ABH561"/>
      <c r="ABI561"/>
      <c r="ABJ561"/>
      <c r="ABK561"/>
      <c r="ABL561"/>
      <c r="ABM561"/>
      <c r="ABN561"/>
      <c r="ABO561"/>
      <c r="ABP561"/>
      <c r="ABQ561"/>
      <c r="ABR561"/>
      <c r="ABS561"/>
      <c r="ABT561"/>
      <c r="ABU561"/>
      <c r="ABV561"/>
      <c r="ABW561"/>
      <c r="ABX561"/>
      <c r="ABY561"/>
      <c r="ABZ561"/>
      <c r="ACA561"/>
      <c r="ACB561"/>
      <c r="ACC561"/>
      <c r="ACD561"/>
      <c r="ACE561"/>
      <c r="ACF561"/>
      <c r="ACG561"/>
      <c r="ACH561"/>
      <c r="ACI561"/>
      <c r="ACJ561"/>
      <c r="ACK561"/>
      <c r="ACL561"/>
      <c r="ACM561"/>
      <c r="ACN561"/>
      <c r="ACO561"/>
      <c r="ACP561"/>
      <c r="ACQ561"/>
      <c r="ACR561"/>
      <c r="ACS561"/>
      <c r="ACT561"/>
      <c r="ACU561"/>
      <c r="ACV561"/>
      <c r="ACW561"/>
      <c r="ACX561"/>
      <c r="ACY561"/>
      <c r="ACZ561"/>
      <c r="ADA561"/>
      <c r="ADB561"/>
      <c r="ADC561"/>
      <c r="ADD561"/>
      <c r="ADE561"/>
      <c r="ADF561"/>
      <c r="ADG561"/>
      <c r="ADH561"/>
      <c r="ADI561"/>
      <c r="ADJ561"/>
      <c r="ADK561"/>
      <c r="ADL561"/>
      <c r="ADM561"/>
      <c r="ADN561"/>
      <c r="ADO561"/>
      <c r="ADP561"/>
      <c r="ADQ561"/>
      <c r="ADR561"/>
      <c r="ADS561"/>
      <c r="ADT561"/>
      <c r="ADU561"/>
      <c r="ADV561"/>
      <c r="ADW561"/>
      <c r="ADX561"/>
      <c r="ADY561"/>
      <c r="ADZ561"/>
      <c r="AEA561"/>
      <c r="AEB561"/>
      <c r="AEC561"/>
      <c r="AED561"/>
      <c r="AEE561"/>
      <c r="AEF561"/>
      <c r="AEG561"/>
      <c r="AEH561"/>
      <c r="AEI561"/>
      <c r="AEJ561"/>
      <c r="AEK561"/>
      <c r="AEL561"/>
      <c r="AEM561"/>
      <c r="AEN561"/>
      <c r="AEO561"/>
      <c r="AEP561"/>
      <c r="AEQ561"/>
      <c r="AER561"/>
      <c r="AES561"/>
      <c r="AET561"/>
      <c r="AEU561"/>
      <c r="AEV561"/>
      <c r="AEW561"/>
      <c r="AEX561"/>
      <c r="AEY561"/>
      <c r="AEZ561"/>
      <c r="AFA561"/>
      <c r="AFB561"/>
      <c r="AFC561"/>
      <c r="AFD561"/>
      <c r="AFE561"/>
      <c r="AFF561"/>
      <c r="AFG561"/>
      <c r="AFH561"/>
      <c r="AFI561"/>
      <c r="AFJ561"/>
      <c r="AFK561"/>
      <c r="AFL561"/>
      <c r="AFM561"/>
      <c r="AFN561"/>
      <c r="AFO561"/>
      <c r="AFP561"/>
      <c r="AFQ561"/>
      <c r="AFR561"/>
      <c r="AFS561"/>
      <c r="AFT561"/>
      <c r="AFU561"/>
      <c r="AFV561"/>
      <c r="AFW561"/>
      <c r="AFX561"/>
      <c r="AFY561"/>
      <c r="AFZ561"/>
      <c r="AGA561"/>
      <c r="AGB561"/>
      <c r="AGC561"/>
      <c r="AGD561"/>
      <c r="AGE561"/>
      <c r="AGF561"/>
      <c r="AGG561"/>
      <c r="AGH561"/>
      <c r="AGI561"/>
      <c r="AGJ561"/>
      <c r="AGK561"/>
      <c r="AGL561"/>
      <c r="AGM561"/>
      <c r="AGN561"/>
      <c r="AGO561"/>
      <c r="AGP561"/>
      <c r="AGQ561"/>
      <c r="AGR561"/>
      <c r="AGS561"/>
      <c r="AGT561"/>
      <c r="AGU561"/>
      <c r="AGV561"/>
      <c r="AGW561"/>
      <c r="AGX561"/>
      <c r="AGY561"/>
      <c r="AGZ561"/>
      <c r="AHA561"/>
      <c r="AHB561"/>
      <c r="AHC561"/>
      <c r="AHD561"/>
      <c r="AHE561"/>
      <c r="AHF561"/>
      <c r="AHG561"/>
      <c r="AHH561"/>
      <c r="AHI561"/>
      <c r="AHJ561"/>
      <c r="AHK561"/>
      <c r="AHL561"/>
      <c r="AHM561"/>
      <c r="AHN561"/>
      <c r="AHO561"/>
      <c r="AHP561"/>
      <c r="AHQ561"/>
      <c r="AHR561"/>
      <c r="AHS561"/>
      <c r="AHT561"/>
      <c r="AHU561"/>
      <c r="AHV561"/>
      <c r="AHW561"/>
      <c r="AHX561"/>
      <c r="AHY561"/>
      <c r="AHZ561"/>
      <c r="AIA561"/>
      <c r="AIB561"/>
      <c r="AIC561"/>
      <c r="AID561"/>
      <c r="AIE561"/>
      <c r="AIF561"/>
      <c r="AIG561"/>
      <c r="AIH561"/>
      <c r="AII561"/>
      <c r="AIJ561"/>
      <c r="AIK561"/>
      <c r="AIL561"/>
      <c r="AIM561"/>
      <c r="AIN561"/>
      <c r="AIO561"/>
      <c r="AIP561"/>
      <c r="AIQ561"/>
      <c r="AIR561"/>
      <c r="AIS561"/>
      <c r="AIT561"/>
      <c r="AIU561"/>
      <c r="AIV561"/>
      <c r="AIW561"/>
      <c r="AIX561"/>
      <c r="AIY561"/>
      <c r="AIZ561"/>
      <c r="AJA561"/>
      <c r="AJB561"/>
      <c r="AJC561"/>
      <c r="AJD561"/>
      <c r="AJE561"/>
      <c r="AJF561"/>
      <c r="AJG561"/>
      <c r="AJH561"/>
      <c r="AJI561"/>
      <c r="AJJ561"/>
      <c r="AJK561"/>
      <c r="AJL561"/>
      <c r="AJM561"/>
      <c r="AJN561"/>
      <c r="AJO561"/>
      <c r="AJP561"/>
      <c r="AJQ561"/>
      <c r="AJR561"/>
      <c r="AJS561"/>
      <c r="AJT561"/>
      <c r="AJU561"/>
      <c r="AJV561"/>
      <c r="AJW561"/>
      <c r="AJX561"/>
      <c r="AJY561"/>
      <c r="AJZ561"/>
      <c r="AKA561"/>
      <c r="AKB561"/>
      <c r="AKC561"/>
      <c r="AKD561"/>
      <c r="AKE561"/>
      <c r="AKF561"/>
      <c r="AKG561"/>
      <c r="AKH561"/>
      <c r="AKI561"/>
      <c r="AKJ561"/>
      <c r="AKK561"/>
      <c r="AKL561"/>
      <c r="AKM561"/>
      <c r="AKN561"/>
      <c r="AKO561"/>
      <c r="AKP561"/>
      <c r="AKQ561"/>
      <c r="AKR561"/>
      <c r="AKS561"/>
      <c r="AKT561"/>
      <c r="AKU561"/>
      <c r="AKV561"/>
      <c r="AKW561"/>
    </row>
    <row r="562" spans="1:986">
      <c r="A562" s="421" t="s">
        <v>1483</v>
      </c>
      <c r="B562" s="289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  <c r="ZW562"/>
      <c r="ZX562"/>
      <c r="ZY562"/>
      <c r="ZZ562"/>
      <c r="AAA562"/>
      <c r="AAB562"/>
      <c r="AAC562"/>
      <c r="AAD562"/>
      <c r="AAE562"/>
      <c r="AAF562"/>
      <c r="AAG562"/>
      <c r="AAH562"/>
      <c r="AAI562"/>
      <c r="AAJ562"/>
      <c r="AAK562"/>
      <c r="AAL562"/>
      <c r="AAM562"/>
      <c r="AAN562"/>
      <c r="AAO562"/>
      <c r="AAP562"/>
      <c r="AAQ562"/>
      <c r="AAR562"/>
      <c r="AAS562"/>
      <c r="AAT562"/>
      <c r="AAU562"/>
      <c r="AAV562"/>
      <c r="AAW562"/>
      <c r="AAX562"/>
      <c r="AAY562"/>
      <c r="AAZ562"/>
      <c r="ABA562"/>
      <c r="ABB562"/>
      <c r="ABC562"/>
      <c r="ABD562"/>
      <c r="ABE562"/>
      <c r="ABF562"/>
      <c r="ABG562"/>
      <c r="ABH562"/>
      <c r="ABI562"/>
      <c r="ABJ562"/>
      <c r="ABK562"/>
      <c r="ABL562"/>
      <c r="ABM562"/>
      <c r="ABN562"/>
      <c r="ABO562"/>
      <c r="ABP562"/>
      <c r="ABQ562"/>
      <c r="ABR562"/>
      <c r="ABS562"/>
      <c r="ABT562"/>
      <c r="ABU562"/>
      <c r="ABV562"/>
      <c r="ABW562"/>
      <c r="ABX562"/>
      <c r="ABY562"/>
      <c r="ABZ562"/>
      <c r="ACA562"/>
      <c r="ACB562"/>
      <c r="ACC562"/>
      <c r="ACD562"/>
      <c r="ACE562"/>
      <c r="ACF562"/>
      <c r="ACG562"/>
      <c r="ACH562"/>
      <c r="ACI562"/>
      <c r="ACJ562"/>
      <c r="ACK562"/>
      <c r="ACL562"/>
      <c r="ACM562"/>
      <c r="ACN562"/>
      <c r="ACO562"/>
      <c r="ACP562"/>
      <c r="ACQ562"/>
      <c r="ACR562"/>
      <c r="ACS562"/>
      <c r="ACT562"/>
      <c r="ACU562"/>
      <c r="ACV562"/>
      <c r="ACW562"/>
      <c r="ACX562"/>
      <c r="ACY562"/>
      <c r="ACZ562"/>
      <c r="ADA562"/>
      <c r="ADB562"/>
      <c r="ADC562"/>
      <c r="ADD562"/>
      <c r="ADE562"/>
      <c r="ADF562"/>
      <c r="ADG562"/>
      <c r="ADH562"/>
      <c r="ADI562"/>
      <c r="ADJ562"/>
      <c r="ADK562"/>
      <c r="ADL562"/>
      <c r="ADM562"/>
      <c r="ADN562"/>
      <c r="ADO562"/>
      <c r="ADP562"/>
      <c r="ADQ562"/>
      <c r="ADR562"/>
      <c r="ADS562"/>
      <c r="ADT562"/>
      <c r="ADU562"/>
      <c r="ADV562"/>
      <c r="ADW562"/>
      <c r="ADX562"/>
      <c r="ADY562"/>
      <c r="ADZ562"/>
      <c r="AEA562"/>
      <c r="AEB562"/>
      <c r="AEC562"/>
      <c r="AED562"/>
      <c r="AEE562"/>
      <c r="AEF562"/>
      <c r="AEG562"/>
      <c r="AEH562"/>
      <c r="AEI562"/>
      <c r="AEJ562"/>
      <c r="AEK562"/>
      <c r="AEL562"/>
      <c r="AEM562"/>
      <c r="AEN562"/>
      <c r="AEO562"/>
      <c r="AEP562"/>
      <c r="AEQ562"/>
      <c r="AER562"/>
      <c r="AES562"/>
      <c r="AET562"/>
      <c r="AEU562"/>
      <c r="AEV562"/>
      <c r="AEW562"/>
      <c r="AEX562"/>
      <c r="AEY562"/>
      <c r="AEZ562"/>
      <c r="AFA562"/>
      <c r="AFB562"/>
      <c r="AFC562"/>
      <c r="AFD562"/>
      <c r="AFE562"/>
      <c r="AFF562"/>
      <c r="AFG562"/>
      <c r="AFH562"/>
      <c r="AFI562"/>
      <c r="AFJ562"/>
      <c r="AFK562"/>
      <c r="AFL562"/>
      <c r="AFM562"/>
      <c r="AFN562"/>
      <c r="AFO562"/>
      <c r="AFP562"/>
      <c r="AFQ562"/>
      <c r="AFR562"/>
      <c r="AFS562"/>
      <c r="AFT562"/>
      <c r="AFU562"/>
      <c r="AFV562"/>
      <c r="AFW562"/>
      <c r="AFX562"/>
      <c r="AFY562"/>
      <c r="AFZ562"/>
      <c r="AGA562"/>
      <c r="AGB562"/>
      <c r="AGC562"/>
      <c r="AGD562"/>
      <c r="AGE562"/>
      <c r="AGF562"/>
      <c r="AGG562"/>
      <c r="AGH562"/>
      <c r="AGI562"/>
      <c r="AGJ562"/>
      <c r="AGK562"/>
      <c r="AGL562"/>
      <c r="AGM562"/>
      <c r="AGN562"/>
      <c r="AGO562"/>
      <c r="AGP562"/>
      <c r="AGQ562"/>
      <c r="AGR562"/>
      <c r="AGS562"/>
      <c r="AGT562"/>
      <c r="AGU562"/>
      <c r="AGV562"/>
      <c r="AGW562"/>
      <c r="AGX562"/>
      <c r="AGY562"/>
      <c r="AGZ562"/>
      <c r="AHA562"/>
      <c r="AHB562"/>
      <c r="AHC562"/>
      <c r="AHD562"/>
      <c r="AHE562"/>
      <c r="AHF562"/>
      <c r="AHG562"/>
      <c r="AHH562"/>
      <c r="AHI562"/>
      <c r="AHJ562"/>
      <c r="AHK562"/>
      <c r="AHL562"/>
      <c r="AHM562"/>
      <c r="AHN562"/>
      <c r="AHO562"/>
      <c r="AHP562"/>
      <c r="AHQ562"/>
      <c r="AHR562"/>
      <c r="AHS562"/>
      <c r="AHT562"/>
      <c r="AHU562"/>
      <c r="AHV562"/>
      <c r="AHW562"/>
      <c r="AHX562"/>
      <c r="AHY562"/>
      <c r="AHZ562"/>
      <c r="AIA562"/>
      <c r="AIB562"/>
      <c r="AIC562"/>
      <c r="AID562"/>
      <c r="AIE562"/>
      <c r="AIF562"/>
      <c r="AIG562"/>
      <c r="AIH562"/>
      <c r="AII562"/>
      <c r="AIJ562"/>
      <c r="AIK562"/>
      <c r="AIL562"/>
      <c r="AIM562"/>
      <c r="AIN562"/>
      <c r="AIO562"/>
      <c r="AIP562"/>
      <c r="AIQ562"/>
      <c r="AIR562"/>
      <c r="AIS562"/>
      <c r="AIT562"/>
      <c r="AIU562"/>
      <c r="AIV562"/>
      <c r="AIW562"/>
      <c r="AIX562"/>
      <c r="AIY562"/>
      <c r="AIZ562"/>
      <c r="AJA562"/>
      <c r="AJB562"/>
      <c r="AJC562"/>
      <c r="AJD562"/>
      <c r="AJE562"/>
      <c r="AJF562"/>
      <c r="AJG562"/>
      <c r="AJH562"/>
      <c r="AJI562"/>
      <c r="AJJ562"/>
      <c r="AJK562"/>
      <c r="AJL562"/>
      <c r="AJM562"/>
      <c r="AJN562"/>
      <c r="AJO562"/>
      <c r="AJP562"/>
      <c r="AJQ562"/>
      <c r="AJR562"/>
      <c r="AJS562"/>
      <c r="AJT562"/>
      <c r="AJU562"/>
      <c r="AJV562"/>
      <c r="AJW562"/>
      <c r="AJX562"/>
      <c r="AJY562"/>
      <c r="AJZ562"/>
      <c r="AKA562"/>
      <c r="AKB562"/>
      <c r="AKC562"/>
      <c r="AKD562"/>
      <c r="AKE562"/>
      <c r="AKF562"/>
      <c r="AKG562"/>
      <c r="AKH562"/>
      <c r="AKI562"/>
      <c r="AKJ562"/>
      <c r="AKK562"/>
      <c r="AKL562"/>
      <c r="AKM562"/>
      <c r="AKN562"/>
      <c r="AKO562"/>
      <c r="AKP562"/>
      <c r="AKQ562"/>
      <c r="AKR562"/>
      <c r="AKS562"/>
      <c r="AKT562"/>
      <c r="AKU562"/>
      <c r="AKV562"/>
      <c r="AKW562"/>
    </row>
    <row r="563" spans="1:986">
      <c r="A563" s="421" t="s">
        <v>1485</v>
      </c>
      <c r="B563" s="315">
        <v>6769.5</v>
      </c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  <c r="ZY563"/>
      <c r="ZZ563"/>
      <c r="AAA563"/>
      <c r="AAB563"/>
      <c r="AAC563"/>
      <c r="AAD563"/>
      <c r="AAE563"/>
      <c r="AAF563"/>
      <c r="AAG563"/>
      <c r="AAH563"/>
      <c r="AAI563"/>
      <c r="AAJ563"/>
      <c r="AAK563"/>
      <c r="AAL563"/>
      <c r="AAM563"/>
      <c r="AAN563"/>
      <c r="AAO563"/>
      <c r="AAP563"/>
      <c r="AAQ563"/>
      <c r="AAR563"/>
      <c r="AAS563"/>
      <c r="AAT563"/>
      <c r="AAU563"/>
      <c r="AAV563"/>
      <c r="AAW563"/>
      <c r="AAX563"/>
      <c r="AAY563"/>
      <c r="AAZ563"/>
      <c r="ABA563"/>
      <c r="ABB563"/>
      <c r="ABC563"/>
      <c r="ABD563"/>
      <c r="ABE563"/>
      <c r="ABF563"/>
      <c r="ABG563"/>
      <c r="ABH563"/>
      <c r="ABI563"/>
      <c r="ABJ563"/>
      <c r="ABK563"/>
      <c r="ABL563"/>
      <c r="ABM563"/>
      <c r="ABN563"/>
      <c r="ABO563"/>
      <c r="ABP563"/>
      <c r="ABQ563"/>
      <c r="ABR563"/>
      <c r="ABS563"/>
      <c r="ABT563"/>
      <c r="ABU563"/>
      <c r="ABV563"/>
      <c r="ABW563"/>
      <c r="ABX563"/>
      <c r="ABY563"/>
      <c r="ABZ563"/>
      <c r="ACA563"/>
      <c r="ACB563"/>
      <c r="ACC563"/>
      <c r="ACD563"/>
      <c r="ACE563"/>
      <c r="ACF563"/>
      <c r="ACG563"/>
      <c r="ACH563"/>
      <c r="ACI563"/>
      <c r="ACJ563"/>
      <c r="ACK563"/>
      <c r="ACL563"/>
      <c r="ACM563"/>
      <c r="ACN563"/>
      <c r="ACO563"/>
      <c r="ACP563"/>
      <c r="ACQ563"/>
      <c r="ACR563"/>
      <c r="ACS563"/>
      <c r="ACT563"/>
      <c r="ACU563"/>
      <c r="ACV563"/>
      <c r="ACW563"/>
      <c r="ACX563"/>
      <c r="ACY563"/>
      <c r="ACZ563"/>
      <c r="ADA563"/>
      <c r="ADB563"/>
      <c r="ADC563"/>
      <c r="ADD563"/>
      <c r="ADE563"/>
      <c r="ADF563"/>
      <c r="ADG563"/>
      <c r="ADH563"/>
      <c r="ADI563"/>
      <c r="ADJ563"/>
      <c r="ADK563"/>
      <c r="ADL563"/>
      <c r="ADM563"/>
      <c r="ADN563"/>
      <c r="ADO563"/>
      <c r="ADP563"/>
      <c r="ADQ563"/>
      <c r="ADR563"/>
      <c r="ADS563"/>
      <c r="ADT563"/>
      <c r="ADU563"/>
      <c r="ADV563"/>
      <c r="ADW563"/>
      <c r="ADX563"/>
      <c r="ADY563"/>
      <c r="ADZ563"/>
      <c r="AEA563"/>
      <c r="AEB563"/>
      <c r="AEC563"/>
      <c r="AED563"/>
      <c r="AEE563"/>
      <c r="AEF563"/>
      <c r="AEG563"/>
      <c r="AEH563"/>
      <c r="AEI563"/>
      <c r="AEJ563"/>
      <c r="AEK563"/>
      <c r="AEL563"/>
      <c r="AEM563"/>
      <c r="AEN563"/>
      <c r="AEO563"/>
      <c r="AEP563"/>
      <c r="AEQ563"/>
      <c r="AER563"/>
      <c r="AES563"/>
      <c r="AET563"/>
      <c r="AEU563"/>
      <c r="AEV563"/>
      <c r="AEW563"/>
      <c r="AEX563"/>
      <c r="AEY563"/>
      <c r="AEZ563"/>
      <c r="AFA563"/>
      <c r="AFB563"/>
      <c r="AFC563"/>
      <c r="AFD563"/>
      <c r="AFE563"/>
      <c r="AFF563"/>
      <c r="AFG563"/>
      <c r="AFH563"/>
      <c r="AFI563"/>
      <c r="AFJ563"/>
      <c r="AFK563"/>
      <c r="AFL563"/>
      <c r="AFM563"/>
      <c r="AFN563"/>
      <c r="AFO563"/>
      <c r="AFP563"/>
      <c r="AFQ563"/>
      <c r="AFR563"/>
      <c r="AFS563"/>
      <c r="AFT563"/>
      <c r="AFU563"/>
      <c r="AFV563"/>
      <c r="AFW563"/>
      <c r="AFX563"/>
      <c r="AFY563"/>
      <c r="AFZ563"/>
      <c r="AGA563"/>
      <c r="AGB563"/>
      <c r="AGC563"/>
      <c r="AGD563"/>
      <c r="AGE563"/>
      <c r="AGF563"/>
      <c r="AGG563"/>
      <c r="AGH563"/>
      <c r="AGI563"/>
      <c r="AGJ563"/>
      <c r="AGK563"/>
      <c r="AGL563"/>
      <c r="AGM563"/>
      <c r="AGN563"/>
      <c r="AGO563"/>
      <c r="AGP563"/>
      <c r="AGQ563"/>
      <c r="AGR563"/>
      <c r="AGS563"/>
      <c r="AGT563"/>
      <c r="AGU563"/>
      <c r="AGV563"/>
      <c r="AGW563"/>
      <c r="AGX563"/>
      <c r="AGY563"/>
      <c r="AGZ563"/>
      <c r="AHA563"/>
      <c r="AHB563"/>
      <c r="AHC563"/>
      <c r="AHD563"/>
      <c r="AHE563"/>
      <c r="AHF563"/>
      <c r="AHG563"/>
      <c r="AHH563"/>
      <c r="AHI563"/>
      <c r="AHJ563"/>
      <c r="AHK563"/>
      <c r="AHL563"/>
      <c r="AHM563"/>
      <c r="AHN563"/>
      <c r="AHO563"/>
      <c r="AHP563"/>
      <c r="AHQ563"/>
      <c r="AHR563"/>
      <c r="AHS563"/>
      <c r="AHT563"/>
      <c r="AHU563"/>
      <c r="AHV563"/>
      <c r="AHW563"/>
      <c r="AHX563"/>
      <c r="AHY563"/>
      <c r="AHZ563"/>
      <c r="AIA563"/>
      <c r="AIB563"/>
      <c r="AIC563"/>
      <c r="AID563"/>
      <c r="AIE563"/>
      <c r="AIF563"/>
      <c r="AIG563"/>
      <c r="AIH563"/>
      <c r="AII563"/>
      <c r="AIJ563"/>
      <c r="AIK563"/>
      <c r="AIL563"/>
      <c r="AIM563"/>
      <c r="AIN563"/>
      <c r="AIO563"/>
      <c r="AIP563"/>
      <c r="AIQ563"/>
      <c r="AIR563"/>
      <c r="AIS563"/>
      <c r="AIT563"/>
      <c r="AIU563"/>
      <c r="AIV563"/>
      <c r="AIW563"/>
      <c r="AIX563"/>
      <c r="AIY563"/>
      <c r="AIZ563"/>
      <c r="AJA563"/>
      <c r="AJB563"/>
      <c r="AJC563"/>
      <c r="AJD563"/>
      <c r="AJE563"/>
      <c r="AJF563"/>
      <c r="AJG563"/>
      <c r="AJH563"/>
      <c r="AJI563"/>
      <c r="AJJ563"/>
      <c r="AJK563"/>
      <c r="AJL563"/>
      <c r="AJM563"/>
      <c r="AJN563"/>
      <c r="AJO563"/>
      <c r="AJP563"/>
      <c r="AJQ563"/>
      <c r="AJR563"/>
      <c r="AJS563"/>
      <c r="AJT563"/>
      <c r="AJU563"/>
      <c r="AJV563"/>
      <c r="AJW563"/>
      <c r="AJX563"/>
      <c r="AJY563"/>
      <c r="AJZ563"/>
      <c r="AKA563"/>
      <c r="AKB563"/>
      <c r="AKC563"/>
      <c r="AKD563"/>
      <c r="AKE563"/>
      <c r="AKF563"/>
      <c r="AKG563"/>
      <c r="AKH563"/>
      <c r="AKI563"/>
      <c r="AKJ563"/>
      <c r="AKK563"/>
      <c r="AKL563"/>
      <c r="AKM563"/>
      <c r="AKN563"/>
      <c r="AKO563"/>
      <c r="AKP563"/>
      <c r="AKQ563"/>
      <c r="AKR563"/>
      <c r="AKS563"/>
      <c r="AKT563"/>
      <c r="AKU563"/>
      <c r="AKV563"/>
      <c r="AKW563"/>
    </row>
    <row r="564" spans="1:986">
      <c r="A564" s="421" t="s">
        <v>1489</v>
      </c>
      <c r="B564" s="290">
        <v>6940</v>
      </c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  <c r="ZW564"/>
      <c r="ZX564"/>
      <c r="ZY564"/>
      <c r="ZZ564"/>
      <c r="AAA564"/>
      <c r="AAB564"/>
      <c r="AAC564"/>
      <c r="AAD564"/>
      <c r="AAE564"/>
      <c r="AAF564"/>
      <c r="AAG564"/>
      <c r="AAH564"/>
      <c r="AAI564"/>
      <c r="AAJ564"/>
      <c r="AAK564"/>
      <c r="AAL564"/>
      <c r="AAM564"/>
      <c r="AAN564"/>
      <c r="AAO564"/>
      <c r="AAP564"/>
      <c r="AAQ564"/>
      <c r="AAR564"/>
      <c r="AAS564"/>
      <c r="AAT564"/>
      <c r="AAU564"/>
      <c r="AAV564"/>
      <c r="AAW564"/>
      <c r="AAX564"/>
      <c r="AAY564"/>
      <c r="AAZ564"/>
      <c r="ABA564"/>
      <c r="ABB564"/>
      <c r="ABC564"/>
      <c r="ABD564"/>
      <c r="ABE564"/>
      <c r="ABF564"/>
      <c r="ABG564"/>
      <c r="ABH564"/>
      <c r="ABI564"/>
      <c r="ABJ564"/>
      <c r="ABK564"/>
      <c r="ABL564"/>
      <c r="ABM564"/>
      <c r="ABN564"/>
      <c r="ABO564"/>
      <c r="ABP564"/>
      <c r="ABQ564"/>
      <c r="ABR564"/>
      <c r="ABS564"/>
      <c r="ABT564"/>
      <c r="ABU564"/>
      <c r="ABV564"/>
      <c r="ABW564"/>
      <c r="ABX564"/>
      <c r="ABY564"/>
      <c r="ABZ564"/>
      <c r="ACA564"/>
      <c r="ACB564"/>
      <c r="ACC564"/>
      <c r="ACD564"/>
      <c r="ACE564"/>
      <c r="ACF564"/>
      <c r="ACG564"/>
      <c r="ACH564"/>
      <c r="ACI564"/>
      <c r="ACJ564"/>
      <c r="ACK564"/>
      <c r="ACL564"/>
      <c r="ACM564"/>
      <c r="ACN564"/>
      <c r="ACO564"/>
      <c r="ACP564"/>
      <c r="ACQ564"/>
      <c r="ACR564"/>
      <c r="ACS564"/>
      <c r="ACT564"/>
      <c r="ACU564"/>
      <c r="ACV564"/>
      <c r="ACW564"/>
      <c r="ACX564"/>
      <c r="ACY564"/>
      <c r="ACZ564"/>
      <c r="ADA564"/>
      <c r="ADB564"/>
      <c r="ADC564"/>
      <c r="ADD564"/>
      <c r="ADE564"/>
      <c r="ADF564"/>
      <c r="ADG564"/>
      <c r="ADH564"/>
      <c r="ADI564"/>
      <c r="ADJ564"/>
      <c r="ADK564"/>
      <c r="ADL564"/>
      <c r="ADM564"/>
      <c r="ADN564"/>
      <c r="ADO564"/>
      <c r="ADP564"/>
      <c r="ADQ564"/>
      <c r="ADR564"/>
      <c r="ADS564"/>
      <c r="ADT564"/>
      <c r="ADU564"/>
      <c r="ADV564"/>
      <c r="ADW564"/>
      <c r="ADX564"/>
      <c r="ADY564"/>
      <c r="ADZ564"/>
      <c r="AEA564"/>
      <c r="AEB564"/>
      <c r="AEC564"/>
      <c r="AED564"/>
      <c r="AEE564"/>
      <c r="AEF564"/>
      <c r="AEG564"/>
      <c r="AEH564"/>
      <c r="AEI564"/>
      <c r="AEJ564"/>
      <c r="AEK564"/>
      <c r="AEL564"/>
      <c r="AEM564"/>
      <c r="AEN564"/>
      <c r="AEO564"/>
      <c r="AEP564"/>
      <c r="AEQ564"/>
      <c r="AER564"/>
      <c r="AES564"/>
      <c r="AET564"/>
      <c r="AEU564"/>
      <c r="AEV564"/>
      <c r="AEW564"/>
      <c r="AEX564"/>
      <c r="AEY564"/>
      <c r="AEZ564"/>
      <c r="AFA564"/>
      <c r="AFB564"/>
      <c r="AFC564"/>
      <c r="AFD564"/>
      <c r="AFE564"/>
      <c r="AFF564"/>
      <c r="AFG564"/>
      <c r="AFH564"/>
      <c r="AFI564"/>
      <c r="AFJ564"/>
      <c r="AFK564"/>
      <c r="AFL564"/>
      <c r="AFM564"/>
      <c r="AFN564"/>
      <c r="AFO564"/>
      <c r="AFP564"/>
      <c r="AFQ564"/>
      <c r="AFR564"/>
      <c r="AFS564"/>
      <c r="AFT564"/>
      <c r="AFU564"/>
      <c r="AFV564"/>
      <c r="AFW564"/>
      <c r="AFX564"/>
      <c r="AFY564"/>
      <c r="AFZ564"/>
      <c r="AGA564"/>
      <c r="AGB564"/>
      <c r="AGC564"/>
      <c r="AGD564"/>
      <c r="AGE564"/>
      <c r="AGF564"/>
      <c r="AGG564"/>
      <c r="AGH564"/>
      <c r="AGI564"/>
      <c r="AGJ564"/>
      <c r="AGK564"/>
      <c r="AGL564"/>
      <c r="AGM564"/>
      <c r="AGN564"/>
      <c r="AGO564"/>
      <c r="AGP564"/>
      <c r="AGQ564"/>
      <c r="AGR564"/>
      <c r="AGS564"/>
      <c r="AGT564"/>
      <c r="AGU564"/>
      <c r="AGV564"/>
      <c r="AGW564"/>
      <c r="AGX564"/>
      <c r="AGY564"/>
      <c r="AGZ564"/>
      <c r="AHA564"/>
      <c r="AHB564"/>
      <c r="AHC564"/>
      <c r="AHD564"/>
      <c r="AHE564"/>
      <c r="AHF564"/>
      <c r="AHG564"/>
      <c r="AHH564"/>
      <c r="AHI564"/>
      <c r="AHJ564"/>
      <c r="AHK564"/>
      <c r="AHL564"/>
      <c r="AHM564"/>
      <c r="AHN564"/>
      <c r="AHO564"/>
      <c r="AHP564"/>
      <c r="AHQ564"/>
      <c r="AHR564"/>
      <c r="AHS564"/>
      <c r="AHT564"/>
      <c r="AHU564"/>
      <c r="AHV564"/>
      <c r="AHW564"/>
      <c r="AHX564"/>
      <c r="AHY564"/>
      <c r="AHZ564"/>
      <c r="AIA564"/>
      <c r="AIB564"/>
      <c r="AIC564"/>
      <c r="AID564"/>
      <c r="AIE564"/>
      <c r="AIF564"/>
      <c r="AIG564"/>
      <c r="AIH564"/>
      <c r="AII564"/>
      <c r="AIJ564"/>
      <c r="AIK564"/>
      <c r="AIL564"/>
      <c r="AIM564"/>
      <c r="AIN564"/>
      <c r="AIO564"/>
      <c r="AIP564"/>
      <c r="AIQ564"/>
      <c r="AIR564"/>
      <c r="AIS564"/>
      <c r="AIT564"/>
      <c r="AIU564"/>
      <c r="AIV564"/>
      <c r="AIW564"/>
      <c r="AIX564"/>
      <c r="AIY564"/>
      <c r="AIZ564"/>
      <c r="AJA564"/>
      <c r="AJB564"/>
      <c r="AJC564"/>
      <c r="AJD564"/>
      <c r="AJE564"/>
      <c r="AJF564"/>
      <c r="AJG564"/>
      <c r="AJH564"/>
      <c r="AJI564"/>
      <c r="AJJ564"/>
      <c r="AJK564"/>
      <c r="AJL564"/>
      <c r="AJM564"/>
      <c r="AJN564"/>
      <c r="AJO564"/>
      <c r="AJP564"/>
      <c r="AJQ564"/>
      <c r="AJR564"/>
      <c r="AJS564"/>
      <c r="AJT564"/>
      <c r="AJU564"/>
      <c r="AJV564"/>
      <c r="AJW564"/>
      <c r="AJX564"/>
      <c r="AJY564"/>
      <c r="AJZ564"/>
      <c r="AKA564"/>
      <c r="AKB564"/>
      <c r="AKC564"/>
      <c r="AKD564"/>
      <c r="AKE564"/>
      <c r="AKF564"/>
      <c r="AKG564"/>
      <c r="AKH564"/>
      <c r="AKI564"/>
      <c r="AKJ564"/>
      <c r="AKK564"/>
      <c r="AKL564"/>
      <c r="AKM564"/>
      <c r="AKN564"/>
      <c r="AKO564"/>
      <c r="AKP564"/>
      <c r="AKQ564"/>
      <c r="AKR564"/>
      <c r="AKS564"/>
      <c r="AKT564"/>
      <c r="AKU564"/>
      <c r="AKV564"/>
      <c r="AKW564"/>
    </row>
    <row r="565" spans="1:986" s="151" customFormat="1" ht="15.75" customHeight="1">
      <c r="A565" s="352" t="s">
        <v>1492</v>
      </c>
      <c r="B565" s="31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  <c r="ZW565"/>
      <c r="ZX565"/>
      <c r="ZY565"/>
      <c r="ZZ565"/>
      <c r="AAA565"/>
      <c r="AAB565"/>
      <c r="AAC565"/>
      <c r="AAD565"/>
      <c r="AAE565"/>
      <c r="AAF565"/>
      <c r="AAG565"/>
      <c r="AAH565"/>
      <c r="AAI565"/>
      <c r="AAJ565"/>
      <c r="AAK565"/>
      <c r="AAL565"/>
      <c r="AAM565"/>
      <c r="AAN565"/>
      <c r="AAO565"/>
      <c r="AAP565"/>
      <c r="AAQ565"/>
      <c r="AAR565"/>
      <c r="AAS565"/>
      <c r="AAT565"/>
      <c r="AAU565"/>
      <c r="AAV565"/>
      <c r="AAW565"/>
      <c r="AAX565"/>
      <c r="AAY565"/>
      <c r="AAZ565"/>
      <c r="ABA565"/>
      <c r="ABB565"/>
      <c r="ABC565"/>
      <c r="ABD565"/>
      <c r="ABE565"/>
      <c r="ABF565"/>
      <c r="ABG565"/>
      <c r="ABH565"/>
      <c r="ABI565"/>
      <c r="ABJ565"/>
      <c r="ABK565"/>
      <c r="ABL565"/>
      <c r="ABM565"/>
      <c r="ABN565"/>
      <c r="ABO565"/>
      <c r="ABP565"/>
      <c r="ABQ565"/>
      <c r="ABR565"/>
      <c r="ABS565"/>
      <c r="ABT565"/>
      <c r="ABU565"/>
      <c r="ABV565"/>
      <c r="ABW565"/>
      <c r="ABX565"/>
      <c r="ABY565"/>
      <c r="ABZ565"/>
      <c r="ACA565"/>
      <c r="ACB565"/>
      <c r="ACC565"/>
      <c r="ACD565"/>
      <c r="ACE565"/>
      <c r="ACF565"/>
      <c r="ACG565"/>
      <c r="ACH565"/>
      <c r="ACI565"/>
      <c r="ACJ565"/>
      <c r="ACK565"/>
      <c r="ACL565"/>
      <c r="ACM565"/>
      <c r="ACN565"/>
      <c r="ACO565"/>
      <c r="ACP565"/>
      <c r="ACQ565"/>
      <c r="ACR565"/>
      <c r="ACS565"/>
      <c r="ACT565"/>
      <c r="ACU565"/>
      <c r="ACV565"/>
      <c r="ACW565"/>
      <c r="ACX565"/>
      <c r="ACY565"/>
      <c r="ACZ565"/>
      <c r="ADA565"/>
      <c r="ADB565"/>
      <c r="ADC565"/>
      <c r="ADD565"/>
      <c r="ADE565"/>
      <c r="ADF565"/>
      <c r="ADG565"/>
      <c r="ADH565"/>
      <c r="ADI565"/>
      <c r="ADJ565"/>
      <c r="ADK565"/>
      <c r="ADL565"/>
      <c r="ADM565"/>
      <c r="ADN565"/>
      <c r="ADO565"/>
      <c r="ADP565"/>
      <c r="ADQ565"/>
      <c r="ADR565"/>
      <c r="ADS565"/>
      <c r="ADT565"/>
      <c r="ADU565"/>
      <c r="ADV565"/>
      <c r="ADW565"/>
      <c r="ADX565"/>
      <c r="ADY565"/>
      <c r="ADZ565"/>
      <c r="AEA565"/>
      <c r="AEB565"/>
      <c r="AEC565"/>
      <c r="AED565"/>
      <c r="AEE565"/>
      <c r="AEF565"/>
      <c r="AEG565"/>
      <c r="AEH565"/>
      <c r="AEI565"/>
      <c r="AEJ565"/>
      <c r="AEK565"/>
      <c r="AEL565"/>
      <c r="AEM565"/>
      <c r="AEN565"/>
      <c r="AEO565"/>
      <c r="AEP565"/>
      <c r="AEQ565"/>
      <c r="AER565"/>
      <c r="AES565"/>
      <c r="AET565"/>
      <c r="AEU565"/>
      <c r="AEV565"/>
      <c r="AEW565"/>
      <c r="AEX565"/>
      <c r="AEY565"/>
      <c r="AEZ565"/>
      <c r="AFA565"/>
      <c r="AFB565"/>
      <c r="AFC565"/>
      <c r="AFD565"/>
      <c r="AFE565"/>
      <c r="AFF565"/>
      <c r="AFG565"/>
      <c r="AFH565"/>
      <c r="AFI565"/>
      <c r="AFJ565"/>
      <c r="AFK565"/>
      <c r="AFL565"/>
      <c r="AFM565"/>
      <c r="AFN565"/>
      <c r="AFO565"/>
      <c r="AFP565"/>
      <c r="AFQ565"/>
      <c r="AFR565"/>
      <c r="AFS565"/>
      <c r="AFT565"/>
      <c r="AFU565"/>
      <c r="AFV565"/>
      <c r="AFW565"/>
      <c r="AFX565"/>
      <c r="AFY565"/>
      <c r="AFZ565"/>
      <c r="AGA565"/>
      <c r="AGB565"/>
      <c r="AGC565"/>
      <c r="AGD565"/>
      <c r="AGE565"/>
      <c r="AGF565"/>
      <c r="AGG565"/>
      <c r="AGH565"/>
      <c r="AGI565"/>
      <c r="AGJ565"/>
      <c r="AGK565"/>
      <c r="AGL565"/>
      <c r="AGM565"/>
      <c r="AGN565"/>
      <c r="AGO565"/>
      <c r="AGP565"/>
      <c r="AGQ565"/>
      <c r="AGR565"/>
      <c r="AGS565"/>
      <c r="AGT565"/>
      <c r="AGU565"/>
      <c r="AGV565"/>
      <c r="AGW565"/>
      <c r="AGX565"/>
      <c r="AGY565"/>
      <c r="AGZ565"/>
      <c r="AHA565"/>
      <c r="AHB565"/>
      <c r="AHC565"/>
      <c r="AHD565"/>
      <c r="AHE565"/>
      <c r="AHF565"/>
      <c r="AHG565"/>
      <c r="AHH565"/>
      <c r="AHI565"/>
      <c r="AHJ565"/>
      <c r="AHK565"/>
      <c r="AHL565"/>
      <c r="AHM565"/>
      <c r="AHN565"/>
      <c r="AHO565"/>
      <c r="AHP565"/>
      <c r="AHQ565"/>
      <c r="AHR565"/>
      <c r="AHS565"/>
      <c r="AHT565"/>
      <c r="AHU565"/>
      <c r="AHV565"/>
      <c r="AHW565"/>
      <c r="AHX565"/>
      <c r="AHY565"/>
      <c r="AHZ565"/>
      <c r="AIA565"/>
      <c r="AIB565"/>
      <c r="AIC565"/>
      <c r="AID565"/>
      <c r="AIE565"/>
      <c r="AIF565"/>
      <c r="AIG565"/>
      <c r="AIH565"/>
      <c r="AII565"/>
      <c r="AIJ565"/>
      <c r="AIK565"/>
      <c r="AIL565"/>
      <c r="AIM565"/>
      <c r="AIN565"/>
      <c r="AIO565"/>
      <c r="AIP565"/>
      <c r="AIQ565"/>
      <c r="AIR565"/>
      <c r="AIS565"/>
      <c r="AIT565"/>
      <c r="AIU565"/>
      <c r="AIV565"/>
      <c r="AIW565"/>
      <c r="AIX565"/>
      <c r="AIY565"/>
      <c r="AIZ565"/>
      <c r="AJA565"/>
      <c r="AJB565"/>
      <c r="AJC565"/>
      <c r="AJD565"/>
      <c r="AJE565"/>
      <c r="AJF565"/>
      <c r="AJG565"/>
      <c r="AJH565"/>
      <c r="AJI565"/>
      <c r="AJJ565"/>
      <c r="AJK565"/>
      <c r="AJL565"/>
      <c r="AJM565"/>
      <c r="AJN565"/>
      <c r="AJO565"/>
      <c r="AJP565"/>
      <c r="AJQ565"/>
      <c r="AJR565"/>
      <c r="AJS565"/>
      <c r="AJT565"/>
      <c r="AJU565"/>
      <c r="AJV565"/>
      <c r="AJW565"/>
      <c r="AJX565"/>
      <c r="AJY565"/>
      <c r="AJZ565"/>
      <c r="AKA565"/>
      <c r="AKB565"/>
      <c r="AKC565"/>
      <c r="AKD565"/>
      <c r="AKE565"/>
      <c r="AKF565"/>
      <c r="AKG565"/>
      <c r="AKH565"/>
      <c r="AKI565"/>
      <c r="AKJ565"/>
      <c r="AKK565"/>
      <c r="AKL565"/>
      <c r="AKM565"/>
      <c r="AKN565"/>
      <c r="AKO565"/>
      <c r="AKP565"/>
      <c r="AKQ565"/>
      <c r="AKR565"/>
      <c r="AKS565"/>
      <c r="AKT565"/>
      <c r="AKU565"/>
      <c r="AKV565"/>
      <c r="AKW565"/>
      <c r="AKX565"/>
    </row>
    <row r="566" spans="1:986">
      <c r="A566" s="421" t="s">
        <v>1494</v>
      </c>
      <c r="B566" s="291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/>
      <c r="ABC566"/>
      <c r="ABD566"/>
      <c r="ABE566"/>
      <c r="ABF566"/>
      <c r="ABG566"/>
      <c r="ABH566"/>
      <c r="ABI566"/>
      <c r="ABJ566"/>
      <c r="ABK566"/>
      <c r="ABL566"/>
      <c r="ABM566"/>
      <c r="ABN566"/>
      <c r="ABO566"/>
      <c r="ABP566"/>
      <c r="ABQ566"/>
      <c r="ABR566"/>
      <c r="ABS566"/>
      <c r="ABT566"/>
      <c r="ABU566"/>
      <c r="ABV566"/>
      <c r="ABW566"/>
      <c r="ABX566"/>
      <c r="ABY566"/>
      <c r="ABZ566"/>
      <c r="ACA566"/>
      <c r="ACB566"/>
      <c r="ACC566"/>
      <c r="ACD566"/>
      <c r="ACE566"/>
      <c r="ACF566"/>
      <c r="ACG566"/>
      <c r="ACH566"/>
      <c r="ACI566"/>
      <c r="ACJ566"/>
      <c r="ACK566"/>
      <c r="ACL566"/>
      <c r="ACM566"/>
      <c r="ACN566"/>
      <c r="ACO566"/>
      <c r="ACP566"/>
      <c r="ACQ566"/>
      <c r="ACR566"/>
      <c r="ACS566"/>
      <c r="ACT566"/>
      <c r="ACU566"/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/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/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/>
      <c r="AGZ566"/>
      <c r="AHA566"/>
      <c r="AHB566"/>
      <c r="AHC566"/>
      <c r="AHD566"/>
      <c r="AHE566"/>
      <c r="AHF566"/>
      <c r="AHG566"/>
      <c r="AHH566"/>
      <c r="AHI566"/>
      <c r="AHJ566"/>
      <c r="AHK566"/>
      <c r="AHL566"/>
      <c r="AHM566"/>
      <c r="AHN566"/>
      <c r="AHO566"/>
      <c r="AHP566"/>
      <c r="AHQ566"/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/>
      <c r="AIJ566"/>
      <c r="AIK566"/>
      <c r="AIL566"/>
      <c r="AIM566"/>
      <c r="AIN566"/>
      <c r="AIO566"/>
      <c r="AIP566"/>
      <c r="AIQ566"/>
      <c r="AIR566"/>
      <c r="AIS566"/>
      <c r="AIT566"/>
      <c r="AIU566"/>
      <c r="AIV566"/>
      <c r="AIW566"/>
      <c r="AIX566"/>
      <c r="AIY566"/>
      <c r="AIZ566"/>
      <c r="AJA566"/>
      <c r="AJB566"/>
      <c r="AJC566"/>
      <c r="AJD566"/>
      <c r="AJE566"/>
      <c r="AJF566"/>
      <c r="AJG566"/>
      <c r="AJH566"/>
      <c r="AJI566"/>
      <c r="AJJ566"/>
      <c r="AJK566"/>
      <c r="AJL566"/>
      <c r="AJM566"/>
      <c r="AJN566"/>
      <c r="AJO566"/>
      <c r="AJP566"/>
      <c r="AJQ566"/>
      <c r="AJR566"/>
      <c r="AJS566"/>
      <c r="AJT566"/>
      <c r="AJU566"/>
      <c r="AJV566"/>
      <c r="AJW566"/>
      <c r="AJX566"/>
      <c r="AJY566"/>
      <c r="AJZ566"/>
      <c r="AKA566"/>
      <c r="AKB566"/>
      <c r="AKC566"/>
      <c r="AKD566"/>
      <c r="AKE566"/>
      <c r="AKF566"/>
      <c r="AKG566"/>
      <c r="AKH566"/>
      <c r="AKI566"/>
      <c r="AKJ566"/>
      <c r="AKK566"/>
      <c r="AKL566"/>
      <c r="AKM566"/>
      <c r="AKN566"/>
      <c r="AKO566"/>
      <c r="AKP566"/>
      <c r="AKQ566"/>
      <c r="AKR566"/>
      <c r="AKS566"/>
      <c r="AKT566"/>
      <c r="AKU566"/>
      <c r="AKV566"/>
      <c r="AKW566"/>
      <c r="AKX566" s="151"/>
    </row>
    <row r="567" spans="1:986" ht="15" customHeight="1">
      <c r="A567" s="421" t="s">
        <v>1496</v>
      </c>
      <c r="B567" s="291">
        <v>1710</v>
      </c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/>
      <c r="XX567"/>
      <c r="XY567"/>
      <c r="XZ567"/>
      <c r="YA567"/>
      <c r="YB567"/>
      <c r="YC567"/>
      <c r="YD567"/>
      <c r="YE567"/>
      <c r="YF567"/>
      <c r="YG567"/>
      <c r="YH567"/>
      <c r="YI567"/>
      <c r="YJ567"/>
      <c r="YK567"/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/>
      <c r="ZI567"/>
      <c r="ZJ567"/>
      <c r="ZK567"/>
      <c r="ZL567"/>
      <c r="ZM567"/>
      <c r="ZN567"/>
      <c r="ZO567"/>
      <c r="ZP567"/>
      <c r="ZQ567"/>
      <c r="ZR567"/>
      <c r="ZS567"/>
      <c r="ZT567"/>
      <c r="ZU567"/>
      <c r="ZV567"/>
      <c r="ZW567"/>
      <c r="ZX567"/>
      <c r="ZY567"/>
      <c r="ZZ567"/>
      <c r="AAA567"/>
      <c r="AAB567"/>
      <c r="AAC567"/>
      <c r="AAD567"/>
      <c r="AAE567"/>
      <c r="AAF567"/>
      <c r="AAG567"/>
      <c r="AAH567"/>
      <c r="AAI567"/>
      <c r="AAJ567"/>
      <c r="AAK567"/>
      <c r="AAL567"/>
      <c r="AAM567"/>
      <c r="AAN567"/>
      <c r="AAO567"/>
      <c r="AAP567"/>
      <c r="AAQ567"/>
      <c r="AAR567"/>
      <c r="AAS567"/>
      <c r="AAT567"/>
      <c r="AAU567"/>
      <c r="AAV567"/>
      <c r="AAW567"/>
      <c r="AAX567"/>
      <c r="AAY567"/>
      <c r="AAZ567"/>
      <c r="ABA567"/>
      <c r="ABB567"/>
      <c r="ABC567"/>
      <c r="ABD567"/>
      <c r="ABE567"/>
      <c r="ABF567"/>
      <c r="ABG567"/>
      <c r="ABH567"/>
      <c r="ABI567"/>
      <c r="ABJ567"/>
      <c r="ABK567"/>
      <c r="ABL567"/>
      <c r="ABM567"/>
      <c r="ABN567"/>
      <c r="ABO567"/>
      <c r="ABP567"/>
      <c r="ABQ567"/>
      <c r="ABR567"/>
      <c r="ABS567"/>
      <c r="ABT567"/>
      <c r="ABU567"/>
      <c r="ABV567"/>
      <c r="ABW567"/>
      <c r="ABX567"/>
      <c r="ABY567"/>
      <c r="ABZ567"/>
      <c r="ACA567"/>
      <c r="ACB567"/>
      <c r="ACC567"/>
      <c r="ACD567"/>
      <c r="ACE567"/>
      <c r="ACF567"/>
      <c r="ACG567"/>
      <c r="ACH567"/>
      <c r="ACI567"/>
      <c r="ACJ567"/>
      <c r="ACK567"/>
      <c r="ACL567"/>
      <c r="ACM567"/>
      <c r="ACN567"/>
      <c r="ACO567"/>
      <c r="ACP567"/>
      <c r="ACQ567"/>
      <c r="ACR567"/>
      <c r="ACS567"/>
      <c r="ACT567"/>
      <c r="ACU567"/>
      <c r="ACV567"/>
      <c r="ACW567"/>
      <c r="ACX567"/>
      <c r="ACY567"/>
      <c r="ACZ567"/>
      <c r="ADA567"/>
      <c r="ADB567"/>
      <c r="ADC567"/>
      <c r="ADD567"/>
      <c r="ADE567"/>
      <c r="ADF567"/>
      <c r="ADG567"/>
      <c r="ADH567"/>
      <c r="ADI567"/>
      <c r="ADJ567"/>
      <c r="ADK567"/>
      <c r="ADL567"/>
      <c r="ADM567"/>
      <c r="ADN567"/>
      <c r="ADO567"/>
      <c r="ADP567"/>
      <c r="ADQ567"/>
      <c r="ADR567"/>
      <c r="ADS567"/>
      <c r="ADT567"/>
      <c r="ADU567"/>
      <c r="ADV567"/>
      <c r="ADW567"/>
      <c r="ADX567"/>
      <c r="ADY567"/>
      <c r="ADZ567"/>
      <c r="AEA567"/>
      <c r="AEB567"/>
      <c r="AEC567"/>
      <c r="AED567"/>
      <c r="AEE567"/>
      <c r="AEF567"/>
      <c r="AEG567"/>
      <c r="AEH567"/>
      <c r="AEI567"/>
      <c r="AEJ567"/>
      <c r="AEK567"/>
      <c r="AEL567"/>
      <c r="AEM567"/>
      <c r="AEN567"/>
      <c r="AEO567"/>
      <c r="AEP567"/>
      <c r="AEQ567"/>
      <c r="AER567"/>
      <c r="AES567"/>
      <c r="AET567"/>
      <c r="AEU567"/>
      <c r="AEV567"/>
      <c r="AEW567"/>
      <c r="AEX567"/>
      <c r="AEY567"/>
      <c r="AEZ567"/>
      <c r="AFA567"/>
      <c r="AFB567"/>
      <c r="AFC567"/>
      <c r="AFD567"/>
      <c r="AFE567"/>
      <c r="AFF567"/>
      <c r="AFG567"/>
      <c r="AFH567"/>
      <c r="AFI567"/>
      <c r="AFJ567"/>
      <c r="AFK567"/>
      <c r="AFL567"/>
      <c r="AFM567"/>
      <c r="AFN567"/>
      <c r="AFO567"/>
      <c r="AFP567"/>
      <c r="AFQ567"/>
      <c r="AFR567"/>
      <c r="AFS567"/>
      <c r="AFT567"/>
      <c r="AFU567"/>
      <c r="AFV567"/>
      <c r="AFW567"/>
      <c r="AFX567"/>
      <c r="AFY567"/>
      <c r="AFZ567"/>
      <c r="AGA567"/>
      <c r="AGB567"/>
      <c r="AGC567"/>
      <c r="AGD567"/>
      <c r="AGE567"/>
      <c r="AGF567"/>
      <c r="AGG567"/>
      <c r="AGH567"/>
      <c r="AGI567"/>
      <c r="AGJ567"/>
      <c r="AGK567"/>
      <c r="AGL567"/>
      <c r="AGM567"/>
      <c r="AGN567"/>
      <c r="AGO567"/>
      <c r="AGP567"/>
      <c r="AGQ567"/>
      <c r="AGR567"/>
      <c r="AGS567"/>
      <c r="AGT567"/>
      <c r="AGU567"/>
      <c r="AGV567"/>
      <c r="AGW567"/>
      <c r="AGX567"/>
      <c r="AGY567"/>
      <c r="AGZ567"/>
      <c r="AHA567"/>
      <c r="AHB567"/>
      <c r="AHC567"/>
      <c r="AHD567"/>
      <c r="AHE567"/>
      <c r="AHF567"/>
      <c r="AHG567"/>
      <c r="AHH567"/>
      <c r="AHI567"/>
      <c r="AHJ567"/>
      <c r="AHK567"/>
      <c r="AHL567"/>
      <c r="AHM567"/>
      <c r="AHN567"/>
      <c r="AHO567"/>
      <c r="AHP567"/>
      <c r="AHQ567"/>
      <c r="AHR567"/>
      <c r="AHS567"/>
      <c r="AHT567"/>
      <c r="AHU567"/>
      <c r="AHV567"/>
      <c r="AHW567"/>
      <c r="AHX567"/>
      <c r="AHY567"/>
      <c r="AHZ567"/>
      <c r="AIA567"/>
      <c r="AIB567"/>
      <c r="AIC567"/>
      <c r="AID567"/>
      <c r="AIE567"/>
      <c r="AIF567"/>
      <c r="AIG567"/>
      <c r="AIH567"/>
      <c r="AII567"/>
      <c r="AIJ567"/>
      <c r="AIK567"/>
      <c r="AIL567"/>
      <c r="AIM567"/>
      <c r="AIN567"/>
      <c r="AIO567"/>
      <c r="AIP567"/>
      <c r="AIQ567"/>
      <c r="AIR567"/>
      <c r="AIS567"/>
      <c r="AIT567"/>
      <c r="AIU567"/>
      <c r="AIV567"/>
      <c r="AIW567"/>
      <c r="AIX567"/>
      <c r="AIY567"/>
      <c r="AIZ567"/>
      <c r="AJA567"/>
      <c r="AJB567"/>
      <c r="AJC567"/>
      <c r="AJD567"/>
      <c r="AJE567"/>
      <c r="AJF567"/>
      <c r="AJG567"/>
      <c r="AJH567"/>
      <c r="AJI567"/>
      <c r="AJJ567"/>
      <c r="AJK567"/>
      <c r="AJL567"/>
      <c r="AJM567"/>
      <c r="AJN567"/>
      <c r="AJO567"/>
      <c r="AJP567"/>
      <c r="AJQ567"/>
      <c r="AJR567"/>
      <c r="AJS567"/>
      <c r="AJT567"/>
      <c r="AJU567"/>
      <c r="AJV567"/>
      <c r="AJW567"/>
      <c r="AJX567"/>
      <c r="AJY567"/>
      <c r="AJZ567"/>
      <c r="AKA567"/>
      <c r="AKB567"/>
      <c r="AKC567"/>
      <c r="AKD567"/>
      <c r="AKE567"/>
      <c r="AKF567"/>
      <c r="AKG567"/>
      <c r="AKH567"/>
      <c r="AKI567"/>
      <c r="AKJ567"/>
      <c r="AKK567"/>
      <c r="AKL567"/>
      <c r="AKM567"/>
      <c r="AKN567"/>
      <c r="AKO567"/>
      <c r="AKP567"/>
      <c r="AKQ567"/>
      <c r="AKR567"/>
      <c r="AKS567"/>
      <c r="AKT567"/>
      <c r="AKU567"/>
      <c r="AKV567"/>
      <c r="AKW567"/>
    </row>
    <row r="568" spans="1:986">
      <c r="A568" s="421" t="s">
        <v>1498</v>
      </c>
      <c r="B568" s="291">
        <v>3923.85</v>
      </c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/>
      <c r="ABC568"/>
      <c r="ABD568"/>
      <c r="ABE568"/>
      <c r="ABF568"/>
      <c r="ABG568"/>
      <c r="ABH568"/>
      <c r="ABI568"/>
      <c r="ABJ568"/>
      <c r="ABK568"/>
      <c r="ABL568"/>
      <c r="ABM568"/>
      <c r="ABN568"/>
      <c r="ABO568"/>
      <c r="ABP568"/>
      <c r="ABQ568"/>
      <c r="ABR568"/>
      <c r="ABS568"/>
      <c r="ABT568"/>
      <c r="ABU568"/>
      <c r="ABV568"/>
      <c r="ABW568"/>
      <c r="ABX568"/>
      <c r="ABY568"/>
      <c r="ABZ568"/>
      <c r="ACA568"/>
      <c r="ACB568"/>
      <c r="ACC568"/>
      <c r="ACD568"/>
      <c r="ACE568"/>
      <c r="ACF568"/>
      <c r="ACG568"/>
      <c r="ACH568"/>
      <c r="ACI568"/>
      <c r="ACJ568"/>
      <c r="ACK568"/>
      <c r="ACL568"/>
      <c r="ACM568"/>
      <c r="ACN568"/>
      <c r="ACO568"/>
      <c r="ACP568"/>
      <c r="ACQ568"/>
      <c r="ACR568"/>
      <c r="ACS568"/>
      <c r="ACT568"/>
      <c r="ACU568"/>
      <c r="ACV568"/>
      <c r="ACW568"/>
      <c r="ACX568"/>
      <c r="ACY568"/>
      <c r="ACZ568"/>
      <c r="ADA568"/>
      <c r="ADB568"/>
      <c r="ADC568"/>
      <c r="ADD568"/>
      <c r="ADE568"/>
      <c r="ADF568"/>
      <c r="ADG568"/>
      <c r="ADH568"/>
      <c r="ADI568"/>
      <c r="ADJ568"/>
      <c r="ADK568"/>
      <c r="ADL568"/>
      <c r="ADM568"/>
      <c r="ADN568"/>
      <c r="ADO568"/>
      <c r="ADP568"/>
      <c r="ADQ568"/>
      <c r="ADR568"/>
      <c r="ADS568"/>
      <c r="ADT568"/>
      <c r="ADU568"/>
      <c r="ADV568"/>
      <c r="ADW568"/>
      <c r="ADX568"/>
      <c r="ADY568"/>
      <c r="ADZ568"/>
      <c r="AEA568"/>
      <c r="AEB568"/>
      <c r="AEC568"/>
      <c r="AED568"/>
      <c r="AEE568"/>
      <c r="AEF568"/>
      <c r="AEG568"/>
      <c r="AEH568"/>
      <c r="AEI568"/>
      <c r="AEJ568"/>
      <c r="AEK568"/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/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/>
      <c r="AIM568"/>
      <c r="AIN568"/>
      <c r="AIO568"/>
      <c r="AIP568"/>
      <c r="AIQ568"/>
      <c r="AIR568"/>
      <c r="AIS568"/>
      <c r="AIT568"/>
      <c r="AIU568"/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/>
      <c r="AJZ568"/>
      <c r="AKA568"/>
      <c r="AKB568"/>
      <c r="AKC568"/>
      <c r="AKD568"/>
      <c r="AKE568"/>
      <c r="AKF568"/>
      <c r="AKG568"/>
      <c r="AKH568"/>
      <c r="AKI568"/>
      <c r="AKJ568"/>
      <c r="AKK568"/>
      <c r="AKL568"/>
      <c r="AKM568"/>
      <c r="AKN568"/>
      <c r="AKO568"/>
      <c r="AKP568"/>
      <c r="AKQ568"/>
      <c r="AKR568"/>
      <c r="AKS568"/>
      <c r="AKT568"/>
      <c r="AKU568"/>
      <c r="AKV568"/>
      <c r="AKW568"/>
    </row>
    <row r="569" spans="1:986">
      <c r="A569" s="282" t="s">
        <v>331</v>
      </c>
      <c r="B569" s="291">
        <v>3903.86</v>
      </c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  <c r="ZW569"/>
      <c r="ZX569"/>
      <c r="ZY569"/>
      <c r="ZZ569"/>
      <c r="AAA569"/>
      <c r="AAB569"/>
      <c r="AAC569"/>
      <c r="AAD569"/>
      <c r="AAE569"/>
      <c r="AAF569"/>
      <c r="AAG569"/>
      <c r="AAH569"/>
      <c r="AAI569"/>
      <c r="AAJ569"/>
      <c r="AAK569"/>
      <c r="AAL569"/>
      <c r="AAM569"/>
      <c r="AAN569"/>
      <c r="AAO569"/>
      <c r="AAP569"/>
      <c r="AAQ569"/>
      <c r="AAR569"/>
      <c r="AAS569"/>
      <c r="AAT569"/>
      <c r="AAU569"/>
      <c r="AAV569"/>
      <c r="AAW569"/>
      <c r="AAX569"/>
      <c r="AAY569"/>
      <c r="AAZ569"/>
      <c r="ABA569"/>
      <c r="ABB569"/>
      <c r="ABC569"/>
      <c r="ABD569"/>
      <c r="ABE569"/>
      <c r="ABF569"/>
      <c r="ABG569"/>
      <c r="ABH569"/>
      <c r="ABI569"/>
      <c r="ABJ569"/>
      <c r="ABK569"/>
      <c r="ABL569"/>
      <c r="ABM569"/>
      <c r="ABN569"/>
      <c r="ABO569"/>
      <c r="ABP569"/>
      <c r="ABQ569"/>
      <c r="ABR569"/>
      <c r="ABS569"/>
      <c r="ABT569"/>
      <c r="ABU569"/>
      <c r="ABV569"/>
      <c r="ABW569"/>
      <c r="ABX569"/>
      <c r="ABY569"/>
      <c r="ABZ569"/>
      <c r="ACA569"/>
      <c r="ACB569"/>
      <c r="ACC569"/>
      <c r="ACD569"/>
      <c r="ACE569"/>
      <c r="ACF569"/>
      <c r="ACG569"/>
      <c r="ACH569"/>
      <c r="ACI569"/>
      <c r="ACJ569"/>
      <c r="ACK569"/>
      <c r="ACL569"/>
      <c r="ACM569"/>
      <c r="ACN569"/>
      <c r="ACO569"/>
      <c r="ACP569"/>
      <c r="ACQ569"/>
      <c r="ACR569"/>
      <c r="ACS569"/>
      <c r="ACT569"/>
      <c r="ACU569"/>
      <c r="ACV569"/>
      <c r="ACW569"/>
      <c r="ACX569"/>
      <c r="ACY569"/>
      <c r="ACZ569"/>
      <c r="ADA569"/>
      <c r="ADB569"/>
      <c r="ADC569"/>
      <c r="ADD569"/>
      <c r="ADE569"/>
      <c r="ADF569"/>
      <c r="ADG569"/>
      <c r="ADH569"/>
      <c r="ADI569"/>
      <c r="ADJ569"/>
      <c r="ADK569"/>
      <c r="ADL569"/>
      <c r="ADM569"/>
      <c r="ADN569"/>
      <c r="ADO569"/>
      <c r="ADP569"/>
      <c r="ADQ569"/>
      <c r="ADR569"/>
      <c r="ADS569"/>
      <c r="ADT569"/>
      <c r="ADU569"/>
      <c r="ADV569"/>
      <c r="ADW569"/>
      <c r="ADX569"/>
      <c r="ADY569"/>
      <c r="ADZ569"/>
      <c r="AEA569"/>
      <c r="AEB569"/>
      <c r="AEC569"/>
      <c r="AED569"/>
      <c r="AEE569"/>
      <c r="AEF569"/>
      <c r="AEG569"/>
      <c r="AEH569"/>
      <c r="AEI569"/>
      <c r="AEJ569"/>
      <c r="AEK569"/>
      <c r="AEL569"/>
      <c r="AEM569"/>
      <c r="AEN569"/>
      <c r="AEO569"/>
      <c r="AEP569"/>
      <c r="AEQ569"/>
      <c r="AER569"/>
      <c r="AES569"/>
      <c r="AET569"/>
      <c r="AEU569"/>
      <c r="AEV569"/>
      <c r="AEW569"/>
      <c r="AEX569"/>
      <c r="AEY569"/>
      <c r="AEZ569"/>
      <c r="AFA569"/>
      <c r="AFB569"/>
      <c r="AFC569"/>
      <c r="AFD569"/>
      <c r="AFE569"/>
      <c r="AFF569"/>
      <c r="AFG569"/>
      <c r="AFH569"/>
      <c r="AFI569"/>
      <c r="AFJ569"/>
      <c r="AFK569"/>
      <c r="AFL569"/>
      <c r="AFM569"/>
      <c r="AFN569"/>
      <c r="AFO569"/>
      <c r="AFP569"/>
      <c r="AFQ569"/>
      <c r="AFR569"/>
      <c r="AFS569"/>
      <c r="AFT569"/>
      <c r="AFU569"/>
      <c r="AFV569"/>
      <c r="AFW569"/>
      <c r="AFX569"/>
      <c r="AFY569"/>
      <c r="AFZ569"/>
      <c r="AGA569"/>
      <c r="AGB569"/>
      <c r="AGC569"/>
      <c r="AGD569"/>
      <c r="AGE569"/>
      <c r="AGF569"/>
      <c r="AGG569"/>
      <c r="AGH569"/>
      <c r="AGI569"/>
      <c r="AGJ569"/>
      <c r="AGK569"/>
      <c r="AGL569"/>
      <c r="AGM569"/>
      <c r="AGN569"/>
      <c r="AGO569"/>
      <c r="AGP569"/>
      <c r="AGQ569"/>
      <c r="AGR569"/>
      <c r="AGS569"/>
      <c r="AGT569"/>
      <c r="AGU569"/>
      <c r="AGV569"/>
      <c r="AGW569"/>
      <c r="AGX569"/>
      <c r="AGY569"/>
      <c r="AGZ569"/>
      <c r="AHA569"/>
      <c r="AHB569"/>
      <c r="AHC569"/>
      <c r="AHD569"/>
      <c r="AHE569"/>
      <c r="AHF569"/>
      <c r="AHG569"/>
      <c r="AHH569"/>
      <c r="AHI569"/>
      <c r="AHJ569"/>
      <c r="AHK569"/>
      <c r="AHL569"/>
      <c r="AHM569"/>
      <c r="AHN569"/>
      <c r="AHO569"/>
      <c r="AHP569"/>
      <c r="AHQ569"/>
      <c r="AHR569"/>
      <c r="AHS569"/>
      <c r="AHT569"/>
      <c r="AHU569"/>
      <c r="AHV569"/>
      <c r="AHW569"/>
      <c r="AHX569"/>
      <c r="AHY569"/>
      <c r="AHZ569"/>
      <c r="AIA569"/>
      <c r="AIB569"/>
      <c r="AIC569"/>
      <c r="AID569"/>
      <c r="AIE569"/>
      <c r="AIF569"/>
      <c r="AIG569"/>
      <c r="AIH569"/>
      <c r="AII569"/>
      <c r="AIJ569"/>
      <c r="AIK569"/>
      <c r="AIL569"/>
      <c r="AIM569"/>
      <c r="AIN569"/>
      <c r="AIO569"/>
      <c r="AIP569"/>
      <c r="AIQ569"/>
      <c r="AIR569"/>
      <c r="AIS569"/>
      <c r="AIT569"/>
      <c r="AIU569"/>
      <c r="AIV569"/>
      <c r="AIW569"/>
      <c r="AIX569"/>
      <c r="AIY569"/>
      <c r="AIZ569"/>
      <c r="AJA569"/>
      <c r="AJB569"/>
      <c r="AJC569"/>
      <c r="AJD569"/>
      <c r="AJE569"/>
      <c r="AJF569"/>
      <c r="AJG569"/>
      <c r="AJH569"/>
      <c r="AJI569"/>
      <c r="AJJ569"/>
      <c r="AJK569"/>
      <c r="AJL569"/>
      <c r="AJM569"/>
      <c r="AJN569"/>
      <c r="AJO569"/>
      <c r="AJP569"/>
      <c r="AJQ569"/>
      <c r="AJR569"/>
      <c r="AJS569"/>
      <c r="AJT569"/>
      <c r="AJU569"/>
      <c r="AJV569"/>
      <c r="AJW569"/>
      <c r="AJX569"/>
      <c r="AJY569"/>
      <c r="AJZ569"/>
      <c r="AKA569"/>
      <c r="AKB569"/>
      <c r="AKC569"/>
      <c r="AKD569"/>
      <c r="AKE569"/>
      <c r="AKF569"/>
      <c r="AKG569"/>
      <c r="AKH569"/>
      <c r="AKI569"/>
      <c r="AKJ569"/>
      <c r="AKK569"/>
      <c r="AKL569"/>
      <c r="AKM569"/>
      <c r="AKN569"/>
      <c r="AKO569"/>
      <c r="AKP569"/>
      <c r="AKQ569"/>
      <c r="AKR569"/>
      <c r="AKS569"/>
      <c r="AKT569"/>
      <c r="AKU569"/>
      <c r="AKV569"/>
      <c r="AKW569"/>
    </row>
    <row r="570" spans="1:986">
      <c r="A570" s="282" t="s">
        <v>332</v>
      </c>
      <c r="B570" s="291">
        <v>3625.88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  <c r="ZW570"/>
      <c r="ZX570"/>
      <c r="ZY570"/>
      <c r="ZZ570"/>
      <c r="AAA570"/>
      <c r="AAB570"/>
      <c r="AAC570"/>
      <c r="AAD570"/>
      <c r="AAE570"/>
      <c r="AAF570"/>
      <c r="AAG570"/>
      <c r="AAH570"/>
      <c r="AAI570"/>
      <c r="AAJ570"/>
      <c r="AAK570"/>
      <c r="AAL570"/>
      <c r="AAM570"/>
      <c r="AAN570"/>
      <c r="AAO570"/>
      <c r="AAP570"/>
      <c r="AAQ570"/>
      <c r="AAR570"/>
      <c r="AAS570"/>
      <c r="AAT570"/>
      <c r="AAU570"/>
      <c r="AAV570"/>
      <c r="AAW570"/>
      <c r="AAX570"/>
      <c r="AAY570"/>
      <c r="AAZ570"/>
      <c r="ABA570"/>
      <c r="ABB570"/>
      <c r="ABC570"/>
      <c r="ABD570"/>
      <c r="ABE570"/>
      <c r="ABF570"/>
      <c r="ABG570"/>
      <c r="ABH570"/>
      <c r="ABI570"/>
      <c r="ABJ570"/>
      <c r="ABK570"/>
      <c r="ABL570"/>
      <c r="ABM570"/>
      <c r="ABN570"/>
      <c r="ABO570"/>
      <c r="ABP570"/>
      <c r="ABQ570"/>
      <c r="ABR570"/>
      <c r="ABS570"/>
      <c r="ABT570"/>
      <c r="ABU570"/>
      <c r="ABV570"/>
      <c r="ABW570"/>
      <c r="ABX570"/>
      <c r="ABY570"/>
      <c r="ABZ570"/>
      <c r="ACA570"/>
      <c r="ACB570"/>
      <c r="ACC570"/>
      <c r="ACD570"/>
      <c r="ACE570"/>
      <c r="ACF570"/>
      <c r="ACG570"/>
      <c r="ACH570"/>
      <c r="ACI570"/>
      <c r="ACJ570"/>
      <c r="ACK570"/>
      <c r="ACL570"/>
      <c r="ACM570"/>
      <c r="ACN570"/>
      <c r="ACO570"/>
      <c r="ACP570"/>
      <c r="ACQ570"/>
      <c r="ACR570"/>
      <c r="ACS570"/>
      <c r="ACT570"/>
      <c r="ACU570"/>
      <c r="ACV570"/>
      <c r="ACW570"/>
      <c r="ACX570"/>
      <c r="ACY570"/>
      <c r="ACZ570"/>
      <c r="ADA570"/>
      <c r="ADB570"/>
      <c r="ADC570"/>
      <c r="ADD570"/>
      <c r="ADE570"/>
      <c r="ADF570"/>
      <c r="ADG570"/>
      <c r="ADH570"/>
      <c r="ADI570"/>
      <c r="ADJ570"/>
      <c r="ADK570"/>
      <c r="ADL570"/>
      <c r="ADM570"/>
      <c r="ADN570"/>
      <c r="ADO570"/>
      <c r="ADP570"/>
      <c r="ADQ570"/>
      <c r="ADR570"/>
      <c r="ADS570"/>
      <c r="ADT570"/>
      <c r="ADU570"/>
      <c r="ADV570"/>
      <c r="ADW570"/>
      <c r="ADX570"/>
      <c r="ADY570"/>
      <c r="ADZ570"/>
      <c r="AEA570"/>
      <c r="AEB570"/>
      <c r="AEC570"/>
      <c r="AED570"/>
      <c r="AEE570"/>
      <c r="AEF570"/>
      <c r="AEG570"/>
      <c r="AEH570"/>
      <c r="AEI570"/>
      <c r="AEJ570"/>
      <c r="AEK570"/>
      <c r="AEL570"/>
      <c r="AEM570"/>
      <c r="AEN570"/>
      <c r="AEO570"/>
      <c r="AEP570"/>
      <c r="AEQ570"/>
      <c r="AER570"/>
      <c r="AES570"/>
      <c r="AET570"/>
      <c r="AEU570"/>
      <c r="AEV570"/>
      <c r="AEW570"/>
      <c r="AEX570"/>
      <c r="AEY570"/>
      <c r="AEZ570"/>
      <c r="AFA570"/>
      <c r="AFB570"/>
      <c r="AFC570"/>
      <c r="AFD570"/>
      <c r="AFE570"/>
      <c r="AFF570"/>
      <c r="AFG570"/>
      <c r="AFH570"/>
      <c r="AFI570"/>
      <c r="AFJ570"/>
      <c r="AFK570"/>
      <c r="AFL570"/>
      <c r="AFM570"/>
      <c r="AFN570"/>
      <c r="AFO570"/>
      <c r="AFP570"/>
      <c r="AFQ570"/>
      <c r="AFR570"/>
      <c r="AFS570"/>
      <c r="AFT570"/>
      <c r="AFU570"/>
      <c r="AFV570"/>
      <c r="AFW570"/>
      <c r="AFX570"/>
      <c r="AFY570"/>
      <c r="AFZ570"/>
      <c r="AGA570"/>
      <c r="AGB570"/>
      <c r="AGC570"/>
      <c r="AGD570"/>
      <c r="AGE570"/>
      <c r="AGF570"/>
      <c r="AGG570"/>
      <c r="AGH570"/>
      <c r="AGI570"/>
      <c r="AGJ570"/>
      <c r="AGK570"/>
      <c r="AGL570"/>
      <c r="AGM570"/>
      <c r="AGN570"/>
      <c r="AGO570"/>
      <c r="AGP570"/>
      <c r="AGQ570"/>
      <c r="AGR570"/>
      <c r="AGS570"/>
      <c r="AGT570"/>
      <c r="AGU570"/>
      <c r="AGV570"/>
      <c r="AGW570"/>
      <c r="AGX570"/>
      <c r="AGY570"/>
      <c r="AGZ570"/>
      <c r="AHA570"/>
      <c r="AHB570"/>
      <c r="AHC570"/>
      <c r="AHD570"/>
      <c r="AHE570"/>
      <c r="AHF570"/>
      <c r="AHG570"/>
      <c r="AHH570"/>
      <c r="AHI570"/>
      <c r="AHJ570"/>
      <c r="AHK570"/>
      <c r="AHL570"/>
      <c r="AHM570"/>
      <c r="AHN570"/>
      <c r="AHO570"/>
      <c r="AHP570"/>
      <c r="AHQ570"/>
      <c r="AHR570"/>
      <c r="AHS570"/>
      <c r="AHT570"/>
      <c r="AHU570"/>
      <c r="AHV570"/>
      <c r="AHW570"/>
      <c r="AHX570"/>
      <c r="AHY570"/>
      <c r="AHZ570"/>
      <c r="AIA570"/>
      <c r="AIB570"/>
      <c r="AIC570"/>
      <c r="AID570"/>
      <c r="AIE570"/>
      <c r="AIF570"/>
      <c r="AIG570"/>
      <c r="AIH570"/>
      <c r="AII570"/>
      <c r="AIJ570"/>
      <c r="AIK570"/>
      <c r="AIL570"/>
      <c r="AIM570"/>
      <c r="AIN570"/>
      <c r="AIO570"/>
      <c r="AIP570"/>
      <c r="AIQ570"/>
      <c r="AIR570"/>
      <c r="AIS570"/>
      <c r="AIT570"/>
      <c r="AIU570"/>
      <c r="AIV570"/>
      <c r="AIW570"/>
      <c r="AIX570"/>
      <c r="AIY570"/>
      <c r="AIZ570"/>
      <c r="AJA570"/>
      <c r="AJB570"/>
      <c r="AJC570"/>
      <c r="AJD570"/>
      <c r="AJE570"/>
      <c r="AJF570"/>
      <c r="AJG570"/>
      <c r="AJH570"/>
      <c r="AJI570"/>
      <c r="AJJ570"/>
      <c r="AJK570"/>
      <c r="AJL570"/>
      <c r="AJM570"/>
      <c r="AJN570"/>
      <c r="AJO570"/>
      <c r="AJP570"/>
      <c r="AJQ570"/>
      <c r="AJR570"/>
      <c r="AJS570"/>
      <c r="AJT570"/>
      <c r="AJU570"/>
      <c r="AJV570"/>
      <c r="AJW570"/>
      <c r="AJX570"/>
      <c r="AJY570"/>
      <c r="AJZ570"/>
      <c r="AKA570"/>
      <c r="AKB570"/>
      <c r="AKC570"/>
      <c r="AKD570"/>
      <c r="AKE570"/>
      <c r="AKF570"/>
      <c r="AKG570"/>
      <c r="AKH570"/>
      <c r="AKI570"/>
      <c r="AKJ570"/>
      <c r="AKK570"/>
      <c r="AKL570"/>
      <c r="AKM570"/>
      <c r="AKN570"/>
      <c r="AKO570"/>
      <c r="AKP570"/>
      <c r="AKQ570"/>
      <c r="AKR570"/>
      <c r="AKS570"/>
      <c r="AKT570"/>
      <c r="AKU570"/>
      <c r="AKV570"/>
      <c r="AKW570"/>
    </row>
    <row r="571" spans="1:986">
      <c r="A571" s="421" t="s">
        <v>334</v>
      </c>
      <c r="B571" s="315">
        <v>6500</v>
      </c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  <c r="ZW571"/>
      <c r="ZX571"/>
      <c r="ZY571"/>
      <c r="ZZ571"/>
      <c r="AAA571"/>
      <c r="AAB571"/>
      <c r="AAC571"/>
      <c r="AAD571"/>
      <c r="AAE571"/>
      <c r="AAF571"/>
      <c r="AAG571"/>
      <c r="AAH571"/>
      <c r="AAI571"/>
      <c r="AAJ571"/>
      <c r="AAK571"/>
      <c r="AAL571"/>
      <c r="AAM571"/>
      <c r="AAN571"/>
      <c r="AAO571"/>
      <c r="AAP571"/>
      <c r="AAQ571"/>
      <c r="AAR571"/>
      <c r="AAS571"/>
      <c r="AAT571"/>
      <c r="AAU571"/>
      <c r="AAV571"/>
      <c r="AAW571"/>
      <c r="AAX571"/>
      <c r="AAY571"/>
      <c r="AAZ571"/>
      <c r="ABA571"/>
      <c r="ABB571"/>
      <c r="ABC571"/>
      <c r="ABD571"/>
      <c r="ABE571"/>
      <c r="ABF571"/>
      <c r="ABG571"/>
      <c r="ABH571"/>
      <c r="ABI571"/>
      <c r="ABJ571"/>
      <c r="ABK571"/>
      <c r="ABL571"/>
      <c r="ABM571"/>
      <c r="ABN571"/>
      <c r="ABO571"/>
      <c r="ABP571"/>
      <c r="ABQ571"/>
      <c r="ABR571"/>
      <c r="ABS571"/>
      <c r="ABT571"/>
      <c r="ABU571"/>
      <c r="ABV571"/>
      <c r="ABW571"/>
      <c r="ABX571"/>
      <c r="ABY571"/>
      <c r="ABZ571"/>
      <c r="ACA571"/>
      <c r="ACB571"/>
      <c r="ACC571"/>
      <c r="ACD571"/>
      <c r="ACE571"/>
      <c r="ACF571"/>
      <c r="ACG571"/>
      <c r="ACH571"/>
      <c r="ACI571"/>
      <c r="ACJ571"/>
      <c r="ACK571"/>
      <c r="ACL571"/>
      <c r="ACM571"/>
      <c r="ACN571"/>
      <c r="ACO571"/>
      <c r="ACP571"/>
      <c r="ACQ571"/>
      <c r="ACR571"/>
      <c r="ACS571"/>
      <c r="ACT571"/>
      <c r="ACU571"/>
      <c r="ACV571"/>
      <c r="ACW571"/>
      <c r="ACX571"/>
      <c r="ACY571"/>
      <c r="ACZ571"/>
      <c r="ADA571"/>
      <c r="ADB571"/>
      <c r="ADC571"/>
      <c r="ADD571"/>
      <c r="ADE571"/>
      <c r="ADF571"/>
      <c r="ADG571"/>
      <c r="ADH571"/>
      <c r="ADI571"/>
      <c r="ADJ571"/>
      <c r="ADK571"/>
      <c r="ADL571"/>
      <c r="ADM571"/>
      <c r="ADN571"/>
      <c r="ADO571"/>
      <c r="ADP571"/>
      <c r="ADQ571"/>
      <c r="ADR571"/>
      <c r="ADS571"/>
      <c r="ADT571"/>
      <c r="ADU571"/>
      <c r="ADV571"/>
      <c r="ADW571"/>
      <c r="ADX571"/>
      <c r="ADY571"/>
      <c r="ADZ571"/>
      <c r="AEA571"/>
      <c r="AEB571"/>
      <c r="AEC571"/>
      <c r="AED571"/>
      <c r="AEE571"/>
      <c r="AEF571"/>
      <c r="AEG571"/>
      <c r="AEH571"/>
      <c r="AEI571"/>
      <c r="AEJ571"/>
      <c r="AEK571"/>
      <c r="AEL571"/>
      <c r="AEM571"/>
      <c r="AEN571"/>
      <c r="AEO571"/>
      <c r="AEP571"/>
      <c r="AEQ571"/>
      <c r="AER571"/>
      <c r="AES571"/>
      <c r="AET571"/>
      <c r="AEU571"/>
      <c r="AEV571"/>
      <c r="AEW571"/>
      <c r="AEX571"/>
      <c r="AEY571"/>
      <c r="AEZ571"/>
      <c r="AFA571"/>
      <c r="AFB571"/>
      <c r="AFC571"/>
      <c r="AFD571"/>
      <c r="AFE571"/>
      <c r="AFF571"/>
      <c r="AFG571"/>
      <c r="AFH571"/>
      <c r="AFI571"/>
      <c r="AFJ571"/>
      <c r="AFK571"/>
      <c r="AFL571"/>
      <c r="AFM571"/>
      <c r="AFN571"/>
      <c r="AFO571"/>
      <c r="AFP571"/>
      <c r="AFQ571"/>
      <c r="AFR571"/>
      <c r="AFS571"/>
      <c r="AFT571"/>
      <c r="AFU571"/>
      <c r="AFV571"/>
      <c r="AFW571"/>
      <c r="AFX571"/>
      <c r="AFY571"/>
      <c r="AFZ571"/>
      <c r="AGA571"/>
      <c r="AGB571"/>
      <c r="AGC571"/>
      <c r="AGD571"/>
      <c r="AGE571"/>
      <c r="AGF571"/>
      <c r="AGG571"/>
      <c r="AGH571"/>
      <c r="AGI571"/>
      <c r="AGJ571"/>
      <c r="AGK571"/>
      <c r="AGL571"/>
      <c r="AGM571"/>
      <c r="AGN571"/>
      <c r="AGO571"/>
      <c r="AGP571"/>
      <c r="AGQ571"/>
      <c r="AGR571"/>
      <c r="AGS571"/>
      <c r="AGT571"/>
      <c r="AGU571"/>
      <c r="AGV571"/>
      <c r="AGW571"/>
      <c r="AGX571"/>
      <c r="AGY571"/>
      <c r="AGZ571"/>
      <c r="AHA571"/>
      <c r="AHB571"/>
      <c r="AHC571"/>
      <c r="AHD571"/>
      <c r="AHE571"/>
      <c r="AHF571"/>
      <c r="AHG571"/>
      <c r="AHH571"/>
      <c r="AHI571"/>
      <c r="AHJ571"/>
      <c r="AHK571"/>
      <c r="AHL571"/>
      <c r="AHM571"/>
      <c r="AHN571"/>
      <c r="AHO571"/>
      <c r="AHP571"/>
      <c r="AHQ571"/>
      <c r="AHR571"/>
      <c r="AHS571"/>
      <c r="AHT571"/>
      <c r="AHU571"/>
      <c r="AHV571"/>
      <c r="AHW571"/>
      <c r="AHX571"/>
      <c r="AHY571"/>
      <c r="AHZ571"/>
      <c r="AIA571"/>
      <c r="AIB571"/>
      <c r="AIC571"/>
      <c r="AID571"/>
      <c r="AIE571"/>
      <c r="AIF571"/>
      <c r="AIG571"/>
      <c r="AIH571"/>
      <c r="AII571"/>
      <c r="AIJ571"/>
      <c r="AIK571"/>
      <c r="AIL571"/>
      <c r="AIM571"/>
      <c r="AIN571"/>
      <c r="AIO571"/>
      <c r="AIP571"/>
      <c r="AIQ571"/>
      <c r="AIR571"/>
      <c r="AIS571"/>
      <c r="AIT571"/>
      <c r="AIU571"/>
      <c r="AIV571"/>
      <c r="AIW571"/>
      <c r="AIX571"/>
      <c r="AIY571"/>
      <c r="AIZ571"/>
      <c r="AJA571"/>
      <c r="AJB571"/>
      <c r="AJC571"/>
      <c r="AJD571"/>
      <c r="AJE571"/>
      <c r="AJF571"/>
      <c r="AJG571"/>
      <c r="AJH571"/>
      <c r="AJI571"/>
      <c r="AJJ571"/>
      <c r="AJK571"/>
      <c r="AJL571"/>
      <c r="AJM571"/>
      <c r="AJN571"/>
      <c r="AJO571"/>
      <c r="AJP571"/>
      <c r="AJQ571"/>
      <c r="AJR571"/>
      <c r="AJS571"/>
      <c r="AJT571"/>
      <c r="AJU571"/>
      <c r="AJV571"/>
      <c r="AJW571"/>
      <c r="AJX571"/>
      <c r="AJY571"/>
      <c r="AJZ571"/>
      <c r="AKA571"/>
      <c r="AKB571"/>
      <c r="AKC571"/>
      <c r="AKD571"/>
      <c r="AKE571"/>
      <c r="AKF571"/>
      <c r="AKG571"/>
      <c r="AKH571"/>
      <c r="AKI571"/>
      <c r="AKJ571"/>
      <c r="AKK571"/>
      <c r="AKL571"/>
      <c r="AKM571"/>
      <c r="AKN571"/>
      <c r="AKO571"/>
      <c r="AKP571"/>
      <c r="AKQ571"/>
      <c r="AKR571"/>
      <c r="AKS571"/>
      <c r="AKT571"/>
      <c r="AKU571"/>
      <c r="AKV571"/>
      <c r="AKW571"/>
    </row>
    <row r="572" spans="1:986">
      <c r="A572" s="282" t="s">
        <v>1504</v>
      </c>
      <c r="B572" s="291">
        <v>6634.5</v>
      </c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  <c r="ZY572"/>
      <c r="ZZ572"/>
      <c r="AAA572"/>
      <c r="AAB572"/>
      <c r="AAC572"/>
      <c r="AAD572"/>
      <c r="AAE572"/>
      <c r="AAF572"/>
      <c r="AAG572"/>
      <c r="AAH572"/>
      <c r="AAI572"/>
      <c r="AAJ572"/>
      <c r="AAK572"/>
      <c r="AAL572"/>
      <c r="AAM572"/>
      <c r="AAN572"/>
      <c r="AAO572"/>
      <c r="AAP572"/>
      <c r="AAQ572"/>
      <c r="AAR572"/>
      <c r="AAS572"/>
      <c r="AAT572"/>
      <c r="AAU572"/>
      <c r="AAV572"/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/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/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/>
      <c r="AID572"/>
      <c r="AIE572"/>
      <c r="AIF572"/>
      <c r="AIG572"/>
      <c r="AIH572"/>
      <c r="AII572"/>
      <c r="AIJ572"/>
      <c r="AIK572"/>
      <c r="AIL572"/>
      <c r="AIM572"/>
      <c r="AIN572"/>
      <c r="AIO572"/>
      <c r="AIP572"/>
      <c r="AIQ572"/>
      <c r="AIR572"/>
      <c r="AIS572"/>
      <c r="AIT572"/>
      <c r="AIU572"/>
      <c r="AIV572"/>
      <c r="AIW572"/>
      <c r="AIX572"/>
      <c r="AIY572"/>
      <c r="AIZ572"/>
      <c r="AJA572"/>
      <c r="AJB572"/>
      <c r="AJC572"/>
      <c r="AJD572"/>
      <c r="AJE572"/>
      <c r="AJF572"/>
      <c r="AJG572"/>
      <c r="AJH572"/>
      <c r="AJI572"/>
      <c r="AJJ572"/>
      <c r="AJK572"/>
      <c r="AJL572"/>
      <c r="AJM572"/>
      <c r="AJN572"/>
      <c r="AJO572"/>
      <c r="AJP572"/>
      <c r="AJQ572"/>
      <c r="AJR572"/>
      <c r="AJS572"/>
      <c r="AJT572"/>
      <c r="AJU572"/>
      <c r="AJV572"/>
      <c r="AJW572"/>
      <c r="AJX572"/>
      <c r="AJY572"/>
      <c r="AJZ572"/>
      <c r="AKA572"/>
      <c r="AKB572"/>
      <c r="AKC572"/>
      <c r="AKD572"/>
      <c r="AKE572"/>
      <c r="AKF572"/>
      <c r="AKG572"/>
      <c r="AKH572"/>
      <c r="AKI572"/>
      <c r="AKJ572"/>
      <c r="AKK572"/>
      <c r="AKL572"/>
      <c r="AKM572"/>
      <c r="AKN572"/>
      <c r="AKO572"/>
      <c r="AKP572"/>
      <c r="AKQ572"/>
      <c r="AKR572"/>
      <c r="AKS572"/>
      <c r="AKT572"/>
      <c r="AKU572"/>
      <c r="AKV572"/>
      <c r="AKW572"/>
    </row>
    <row r="573" spans="1:986">
      <c r="A573" s="282" t="s">
        <v>1506</v>
      </c>
      <c r="B573" s="291">
        <f>4301.05+50</f>
        <v>4351.05</v>
      </c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  <c r="ZW573"/>
      <c r="ZX573"/>
      <c r="ZY573"/>
      <c r="ZZ573"/>
      <c r="AAA573"/>
      <c r="AAB573"/>
      <c r="AAC573"/>
      <c r="AAD573"/>
      <c r="AAE573"/>
      <c r="AAF573"/>
      <c r="AAG573"/>
      <c r="AAH573"/>
      <c r="AAI573"/>
      <c r="AAJ573"/>
      <c r="AAK573"/>
      <c r="AAL573"/>
      <c r="AAM573"/>
      <c r="AAN573"/>
      <c r="AAO573"/>
      <c r="AAP573"/>
      <c r="AAQ573"/>
      <c r="AAR573"/>
      <c r="AAS573"/>
      <c r="AAT573"/>
      <c r="AAU573"/>
      <c r="AAV573"/>
      <c r="AAW573"/>
      <c r="AAX573"/>
      <c r="AAY573"/>
      <c r="AAZ573"/>
      <c r="ABA573"/>
      <c r="ABB573"/>
      <c r="ABC573"/>
      <c r="ABD573"/>
      <c r="ABE573"/>
      <c r="ABF573"/>
      <c r="ABG573"/>
      <c r="ABH573"/>
      <c r="ABI573"/>
      <c r="ABJ573"/>
      <c r="ABK573"/>
      <c r="ABL573"/>
      <c r="ABM573"/>
      <c r="ABN573"/>
      <c r="ABO573"/>
      <c r="ABP573"/>
      <c r="ABQ573"/>
      <c r="ABR573"/>
      <c r="ABS573"/>
      <c r="ABT573"/>
      <c r="ABU573"/>
      <c r="ABV573"/>
      <c r="ABW573"/>
      <c r="ABX573"/>
      <c r="ABY573"/>
      <c r="ABZ573"/>
      <c r="ACA573"/>
      <c r="ACB573"/>
      <c r="ACC573"/>
      <c r="ACD573"/>
      <c r="ACE573"/>
      <c r="ACF573"/>
      <c r="ACG573"/>
      <c r="ACH573"/>
      <c r="ACI573"/>
      <c r="ACJ573"/>
      <c r="ACK573"/>
      <c r="ACL573"/>
      <c r="ACM573"/>
      <c r="ACN573"/>
      <c r="ACO573"/>
      <c r="ACP573"/>
      <c r="ACQ573"/>
      <c r="ACR573"/>
      <c r="ACS573"/>
      <c r="ACT573"/>
      <c r="ACU573"/>
      <c r="ACV573"/>
      <c r="ACW573"/>
      <c r="ACX573"/>
      <c r="ACY573"/>
      <c r="ACZ573"/>
      <c r="ADA573"/>
      <c r="ADB573"/>
      <c r="ADC573"/>
      <c r="ADD573"/>
      <c r="ADE573"/>
      <c r="ADF573"/>
      <c r="ADG573"/>
      <c r="ADH573"/>
      <c r="ADI573"/>
      <c r="ADJ573"/>
      <c r="ADK573"/>
      <c r="ADL573"/>
      <c r="ADM573"/>
      <c r="ADN573"/>
      <c r="ADO573"/>
      <c r="ADP573"/>
      <c r="ADQ573"/>
      <c r="ADR573"/>
      <c r="ADS573"/>
      <c r="ADT573"/>
      <c r="ADU573"/>
      <c r="ADV573"/>
      <c r="ADW573"/>
      <c r="ADX573"/>
      <c r="ADY573"/>
      <c r="ADZ573"/>
      <c r="AEA573"/>
      <c r="AEB573"/>
      <c r="AEC573"/>
      <c r="AED573"/>
      <c r="AEE573"/>
      <c r="AEF573"/>
      <c r="AEG573"/>
      <c r="AEH573"/>
      <c r="AEI573"/>
      <c r="AEJ573"/>
      <c r="AEK573"/>
      <c r="AEL573"/>
      <c r="AEM573"/>
      <c r="AEN573"/>
      <c r="AEO573"/>
      <c r="AEP573"/>
      <c r="AEQ573"/>
      <c r="AER573"/>
      <c r="AES573"/>
      <c r="AET573"/>
      <c r="AEU573"/>
      <c r="AEV573"/>
      <c r="AEW573"/>
      <c r="AEX573"/>
      <c r="AEY573"/>
      <c r="AEZ573"/>
      <c r="AFA573"/>
      <c r="AFB573"/>
      <c r="AFC573"/>
      <c r="AFD573"/>
      <c r="AFE573"/>
      <c r="AFF573"/>
      <c r="AFG573"/>
      <c r="AFH573"/>
      <c r="AFI573"/>
      <c r="AFJ573"/>
      <c r="AFK573"/>
      <c r="AFL573"/>
      <c r="AFM573"/>
      <c r="AFN573"/>
      <c r="AFO573"/>
      <c r="AFP573"/>
      <c r="AFQ573"/>
      <c r="AFR573"/>
      <c r="AFS573"/>
      <c r="AFT573"/>
      <c r="AFU573"/>
      <c r="AFV573"/>
      <c r="AFW573"/>
      <c r="AFX573"/>
      <c r="AFY573"/>
      <c r="AFZ573"/>
      <c r="AGA573"/>
      <c r="AGB573"/>
      <c r="AGC573"/>
      <c r="AGD573"/>
      <c r="AGE573"/>
      <c r="AGF573"/>
      <c r="AGG573"/>
      <c r="AGH573"/>
      <c r="AGI573"/>
      <c r="AGJ573"/>
      <c r="AGK573"/>
      <c r="AGL573"/>
      <c r="AGM573"/>
      <c r="AGN573"/>
      <c r="AGO573"/>
      <c r="AGP573"/>
      <c r="AGQ573"/>
      <c r="AGR573"/>
      <c r="AGS573"/>
      <c r="AGT573"/>
      <c r="AGU573"/>
      <c r="AGV573"/>
      <c r="AGW573"/>
      <c r="AGX573"/>
      <c r="AGY573"/>
      <c r="AGZ573"/>
      <c r="AHA573"/>
      <c r="AHB573"/>
      <c r="AHC573"/>
      <c r="AHD573"/>
      <c r="AHE573"/>
      <c r="AHF573"/>
      <c r="AHG573"/>
      <c r="AHH573"/>
      <c r="AHI573"/>
      <c r="AHJ573"/>
      <c r="AHK573"/>
      <c r="AHL573"/>
      <c r="AHM573"/>
      <c r="AHN573"/>
      <c r="AHO573"/>
      <c r="AHP573"/>
      <c r="AHQ573"/>
      <c r="AHR573"/>
      <c r="AHS573"/>
      <c r="AHT573"/>
      <c r="AHU573"/>
      <c r="AHV573"/>
      <c r="AHW573"/>
      <c r="AHX573"/>
      <c r="AHY573"/>
      <c r="AHZ573"/>
      <c r="AIA573"/>
      <c r="AIB573"/>
      <c r="AIC573"/>
      <c r="AID573"/>
      <c r="AIE573"/>
      <c r="AIF573"/>
      <c r="AIG573"/>
      <c r="AIH573"/>
      <c r="AII573"/>
      <c r="AIJ573"/>
      <c r="AIK573"/>
      <c r="AIL573"/>
      <c r="AIM573"/>
      <c r="AIN573"/>
      <c r="AIO573"/>
      <c r="AIP573"/>
      <c r="AIQ573"/>
      <c r="AIR573"/>
      <c r="AIS573"/>
      <c r="AIT573"/>
      <c r="AIU573"/>
      <c r="AIV573"/>
      <c r="AIW573"/>
      <c r="AIX573"/>
      <c r="AIY573"/>
      <c r="AIZ573"/>
      <c r="AJA573"/>
      <c r="AJB573"/>
      <c r="AJC573"/>
      <c r="AJD573"/>
      <c r="AJE573"/>
      <c r="AJF573"/>
      <c r="AJG573"/>
      <c r="AJH573"/>
      <c r="AJI573"/>
      <c r="AJJ573"/>
      <c r="AJK573"/>
      <c r="AJL573"/>
      <c r="AJM573"/>
      <c r="AJN573"/>
      <c r="AJO573"/>
      <c r="AJP573"/>
      <c r="AJQ573"/>
      <c r="AJR573"/>
      <c r="AJS573"/>
      <c r="AJT573"/>
      <c r="AJU573"/>
      <c r="AJV573"/>
      <c r="AJW573"/>
      <c r="AJX573"/>
      <c r="AJY573"/>
      <c r="AJZ573"/>
      <c r="AKA573"/>
      <c r="AKB573"/>
      <c r="AKC573"/>
      <c r="AKD573"/>
      <c r="AKE573"/>
      <c r="AKF573"/>
      <c r="AKG573"/>
      <c r="AKH573"/>
      <c r="AKI573"/>
      <c r="AKJ573"/>
      <c r="AKK573"/>
      <c r="AKL573"/>
      <c r="AKM573"/>
      <c r="AKN573"/>
      <c r="AKO573"/>
      <c r="AKP573"/>
      <c r="AKQ573"/>
      <c r="AKR573"/>
      <c r="AKS573"/>
      <c r="AKT573"/>
      <c r="AKU573"/>
      <c r="AKV573"/>
      <c r="AKW573"/>
    </row>
    <row r="574" spans="1:986">
      <c r="A574" s="282" t="s">
        <v>333</v>
      </c>
      <c r="B574" s="291">
        <v>3867</v>
      </c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  <c r="ZW574"/>
      <c r="ZX574"/>
      <c r="ZY574"/>
      <c r="ZZ574"/>
      <c r="AAA574"/>
      <c r="AAB574"/>
      <c r="AAC574"/>
      <c r="AAD574"/>
      <c r="AAE574"/>
      <c r="AAF574"/>
      <c r="AAG574"/>
      <c r="AAH574"/>
      <c r="AAI574"/>
      <c r="AAJ574"/>
      <c r="AAK574"/>
      <c r="AAL574"/>
      <c r="AAM574"/>
      <c r="AAN574"/>
      <c r="AAO574"/>
      <c r="AAP574"/>
      <c r="AAQ574"/>
      <c r="AAR574"/>
      <c r="AAS574"/>
      <c r="AAT574"/>
      <c r="AAU574"/>
      <c r="AAV574"/>
      <c r="AAW574"/>
      <c r="AAX574"/>
      <c r="AAY574"/>
      <c r="AAZ574"/>
      <c r="ABA574"/>
      <c r="ABB574"/>
      <c r="ABC574"/>
      <c r="ABD574"/>
      <c r="ABE574"/>
      <c r="ABF574"/>
      <c r="ABG574"/>
      <c r="ABH574"/>
      <c r="ABI574"/>
      <c r="ABJ574"/>
      <c r="ABK574"/>
      <c r="ABL574"/>
      <c r="ABM574"/>
      <c r="ABN574"/>
      <c r="ABO574"/>
      <c r="ABP574"/>
      <c r="ABQ574"/>
      <c r="ABR574"/>
      <c r="ABS574"/>
      <c r="ABT574"/>
      <c r="ABU574"/>
      <c r="ABV574"/>
      <c r="ABW574"/>
      <c r="ABX574"/>
      <c r="ABY574"/>
      <c r="ABZ574"/>
      <c r="ACA574"/>
      <c r="ACB574"/>
      <c r="ACC574"/>
      <c r="ACD574"/>
      <c r="ACE574"/>
      <c r="ACF574"/>
      <c r="ACG574"/>
      <c r="ACH574"/>
      <c r="ACI574"/>
      <c r="ACJ574"/>
      <c r="ACK574"/>
      <c r="ACL574"/>
      <c r="ACM574"/>
      <c r="ACN574"/>
      <c r="ACO574"/>
      <c r="ACP574"/>
      <c r="ACQ574"/>
      <c r="ACR574"/>
      <c r="ACS574"/>
      <c r="ACT574"/>
      <c r="ACU574"/>
      <c r="ACV574"/>
      <c r="ACW574"/>
      <c r="ACX574"/>
      <c r="ACY574"/>
      <c r="ACZ574"/>
      <c r="ADA574"/>
      <c r="ADB574"/>
      <c r="ADC574"/>
      <c r="ADD574"/>
      <c r="ADE574"/>
      <c r="ADF574"/>
      <c r="ADG574"/>
      <c r="ADH574"/>
      <c r="ADI574"/>
      <c r="ADJ574"/>
      <c r="ADK574"/>
      <c r="ADL574"/>
      <c r="ADM574"/>
      <c r="ADN574"/>
      <c r="ADO574"/>
      <c r="ADP574"/>
      <c r="ADQ574"/>
      <c r="ADR574"/>
      <c r="ADS574"/>
      <c r="ADT574"/>
      <c r="ADU574"/>
      <c r="ADV574"/>
      <c r="ADW574"/>
      <c r="ADX574"/>
      <c r="ADY574"/>
      <c r="ADZ574"/>
      <c r="AEA574"/>
      <c r="AEB574"/>
      <c r="AEC574"/>
      <c r="AED574"/>
      <c r="AEE574"/>
      <c r="AEF574"/>
      <c r="AEG574"/>
      <c r="AEH574"/>
      <c r="AEI574"/>
      <c r="AEJ574"/>
      <c r="AEK574"/>
      <c r="AEL574"/>
      <c r="AEM574"/>
      <c r="AEN574"/>
      <c r="AEO574"/>
      <c r="AEP574"/>
      <c r="AEQ574"/>
      <c r="AER574"/>
      <c r="AES574"/>
      <c r="AET574"/>
      <c r="AEU574"/>
      <c r="AEV574"/>
      <c r="AEW574"/>
      <c r="AEX574"/>
      <c r="AEY574"/>
      <c r="AEZ574"/>
      <c r="AFA574"/>
      <c r="AFB574"/>
      <c r="AFC574"/>
      <c r="AFD574"/>
      <c r="AFE574"/>
      <c r="AFF574"/>
      <c r="AFG574"/>
      <c r="AFH574"/>
      <c r="AFI574"/>
      <c r="AFJ574"/>
      <c r="AFK574"/>
      <c r="AFL574"/>
      <c r="AFM574"/>
      <c r="AFN574"/>
      <c r="AFO574"/>
      <c r="AFP574"/>
      <c r="AFQ574"/>
      <c r="AFR574"/>
      <c r="AFS574"/>
      <c r="AFT574"/>
      <c r="AFU574"/>
      <c r="AFV574"/>
      <c r="AFW574"/>
      <c r="AFX574"/>
      <c r="AFY574"/>
      <c r="AFZ574"/>
      <c r="AGA574"/>
      <c r="AGB574"/>
      <c r="AGC574"/>
      <c r="AGD574"/>
      <c r="AGE574"/>
      <c r="AGF574"/>
      <c r="AGG574"/>
      <c r="AGH574"/>
      <c r="AGI574"/>
      <c r="AGJ574"/>
      <c r="AGK574"/>
      <c r="AGL574"/>
      <c r="AGM574"/>
      <c r="AGN574"/>
      <c r="AGO574"/>
      <c r="AGP574"/>
      <c r="AGQ574"/>
      <c r="AGR574"/>
      <c r="AGS574"/>
      <c r="AGT574"/>
      <c r="AGU574"/>
      <c r="AGV574"/>
      <c r="AGW574"/>
      <c r="AGX574"/>
      <c r="AGY574"/>
      <c r="AGZ574"/>
      <c r="AHA574"/>
      <c r="AHB574"/>
      <c r="AHC574"/>
      <c r="AHD574"/>
      <c r="AHE574"/>
      <c r="AHF574"/>
      <c r="AHG574"/>
      <c r="AHH574"/>
      <c r="AHI574"/>
      <c r="AHJ574"/>
      <c r="AHK574"/>
      <c r="AHL574"/>
      <c r="AHM574"/>
      <c r="AHN574"/>
      <c r="AHO574"/>
      <c r="AHP574"/>
      <c r="AHQ574"/>
      <c r="AHR574"/>
      <c r="AHS574"/>
      <c r="AHT574"/>
      <c r="AHU574"/>
      <c r="AHV574"/>
      <c r="AHW574"/>
      <c r="AHX574"/>
      <c r="AHY574"/>
      <c r="AHZ574"/>
      <c r="AIA574"/>
      <c r="AIB574"/>
      <c r="AIC574"/>
      <c r="AID574"/>
      <c r="AIE574"/>
      <c r="AIF574"/>
      <c r="AIG574"/>
      <c r="AIH574"/>
      <c r="AII574"/>
      <c r="AIJ574"/>
      <c r="AIK574"/>
      <c r="AIL574"/>
      <c r="AIM574"/>
      <c r="AIN574"/>
      <c r="AIO574"/>
      <c r="AIP574"/>
      <c r="AIQ574"/>
      <c r="AIR574"/>
      <c r="AIS574"/>
      <c r="AIT574"/>
      <c r="AIU574"/>
      <c r="AIV574"/>
      <c r="AIW574"/>
      <c r="AIX574"/>
      <c r="AIY574"/>
      <c r="AIZ574"/>
      <c r="AJA574"/>
      <c r="AJB574"/>
      <c r="AJC574"/>
      <c r="AJD574"/>
      <c r="AJE574"/>
      <c r="AJF574"/>
      <c r="AJG574"/>
      <c r="AJH574"/>
      <c r="AJI574"/>
      <c r="AJJ574"/>
      <c r="AJK574"/>
      <c r="AJL574"/>
      <c r="AJM574"/>
      <c r="AJN574"/>
      <c r="AJO574"/>
      <c r="AJP574"/>
      <c r="AJQ574"/>
      <c r="AJR574"/>
      <c r="AJS574"/>
      <c r="AJT574"/>
      <c r="AJU574"/>
      <c r="AJV574"/>
      <c r="AJW574"/>
      <c r="AJX574"/>
      <c r="AJY574"/>
      <c r="AJZ574"/>
      <c r="AKA574"/>
      <c r="AKB574"/>
      <c r="AKC574"/>
      <c r="AKD574"/>
      <c r="AKE574"/>
      <c r="AKF574"/>
      <c r="AKG574"/>
      <c r="AKH574"/>
      <c r="AKI574"/>
      <c r="AKJ574"/>
      <c r="AKK574"/>
      <c r="AKL574"/>
      <c r="AKM574"/>
      <c r="AKN574"/>
      <c r="AKO574"/>
      <c r="AKP574"/>
      <c r="AKQ574"/>
      <c r="AKR574"/>
      <c r="AKS574"/>
      <c r="AKT574"/>
      <c r="AKU574"/>
      <c r="AKV574"/>
      <c r="AKW574"/>
    </row>
    <row r="575" spans="1:986">
      <c r="A575" s="282" t="s">
        <v>1509</v>
      </c>
      <c r="B575" s="291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  <c r="ZW575"/>
      <c r="ZX575"/>
      <c r="ZY575"/>
      <c r="ZZ575"/>
      <c r="AAA575"/>
      <c r="AAB575"/>
      <c r="AAC575"/>
      <c r="AAD575"/>
      <c r="AAE575"/>
      <c r="AAF575"/>
      <c r="AAG575"/>
      <c r="AAH575"/>
      <c r="AAI575"/>
      <c r="AAJ575"/>
      <c r="AAK575"/>
      <c r="AAL575"/>
      <c r="AAM575"/>
      <c r="AAN575"/>
      <c r="AAO575"/>
      <c r="AAP575"/>
      <c r="AAQ575"/>
      <c r="AAR575"/>
      <c r="AAS575"/>
      <c r="AAT575"/>
      <c r="AAU575"/>
      <c r="AAV575"/>
      <c r="AAW575"/>
      <c r="AAX575"/>
      <c r="AAY575"/>
      <c r="AAZ575"/>
      <c r="ABA575"/>
      <c r="ABB575"/>
      <c r="ABC575"/>
      <c r="ABD575"/>
      <c r="ABE575"/>
      <c r="ABF575"/>
      <c r="ABG575"/>
      <c r="ABH575"/>
      <c r="ABI575"/>
      <c r="ABJ575"/>
      <c r="ABK575"/>
      <c r="ABL575"/>
      <c r="ABM575"/>
      <c r="ABN575"/>
      <c r="ABO575"/>
      <c r="ABP575"/>
      <c r="ABQ575"/>
      <c r="ABR575"/>
      <c r="ABS575"/>
      <c r="ABT575"/>
      <c r="ABU575"/>
      <c r="ABV575"/>
      <c r="ABW575"/>
      <c r="ABX575"/>
      <c r="ABY575"/>
      <c r="ABZ575"/>
      <c r="ACA575"/>
      <c r="ACB575"/>
      <c r="ACC575"/>
      <c r="ACD575"/>
      <c r="ACE575"/>
      <c r="ACF575"/>
      <c r="ACG575"/>
      <c r="ACH575"/>
      <c r="ACI575"/>
      <c r="ACJ575"/>
      <c r="ACK575"/>
      <c r="ACL575"/>
      <c r="ACM575"/>
      <c r="ACN575"/>
      <c r="ACO575"/>
      <c r="ACP575"/>
      <c r="ACQ575"/>
      <c r="ACR575"/>
      <c r="ACS575"/>
      <c r="ACT575"/>
      <c r="ACU575"/>
      <c r="ACV575"/>
      <c r="ACW575"/>
      <c r="ACX575"/>
      <c r="ACY575"/>
      <c r="ACZ575"/>
      <c r="ADA575"/>
      <c r="ADB575"/>
      <c r="ADC575"/>
      <c r="ADD575"/>
      <c r="ADE575"/>
      <c r="ADF575"/>
      <c r="ADG575"/>
      <c r="ADH575"/>
      <c r="ADI575"/>
      <c r="ADJ575"/>
      <c r="ADK575"/>
      <c r="ADL575"/>
      <c r="ADM575"/>
      <c r="ADN575"/>
      <c r="ADO575"/>
      <c r="ADP575"/>
      <c r="ADQ575"/>
      <c r="ADR575"/>
      <c r="ADS575"/>
      <c r="ADT575"/>
      <c r="ADU575"/>
      <c r="ADV575"/>
      <c r="ADW575"/>
      <c r="ADX575"/>
      <c r="ADY575"/>
      <c r="ADZ575"/>
      <c r="AEA575"/>
      <c r="AEB575"/>
      <c r="AEC575"/>
      <c r="AED575"/>
      <c r="AEE575"/>
      <c r="AEF575"/>
      <c r="AEG575"/>
      <c r="AEH575"/>
      <c r="AEI575"/>
      <c r="AEJ575"/>
      <c r="AEK575"/>
      <c r="AEL575"/>
      <c r="AEM575"/>
      <c r="AEN575"/>
      <c r="AEO575"/>
      <c r="AEP575"/>
      <c r="AEQ575"/>
      <c r="AER575"/>
      <c r="AES575"/>
      <c r="AET575"/>
      <c r="AEU575"/>
      <c r="AEV575"/>
      <c r="AEW575"/>
      <c r="AEX575"/>
      <c r="AEY575"/>
      <c r="AEZ575"/>
      <c r="AFA575"/>
      <c r="AFB575"/>
      <c r="AFC575"/>
      <c r="AFD575"/>
      <c r="AFE575"/>
      <c r="AFF575"/>
      <c r="AFG575"/>
      <c r="AFH575"/>
      <c r="AFI575"/>
      <c r="AFJ575"/>
      <c r="AFK575"/>
      <c r="AFL575"/>
      <c r="AFM575"/>
      <c r="AFN575"/>
      <c r="AFO575"/>
      <c r="AFP575"/>
      <c r="AFQ575"/>
      <c r="AFR575"/>
      <c r="AFS575"/>
      <c r="AFT575"/>
      <c r="AFU575"/>
      <c r="AFV575"/>
      <c r="AFW575"/>
      <c r="AFX575"/>
      <c r="AFY575"/>
      <c r="AFZ575"/>
      <c r="AGA575"/>
      <c r="AGB575"/>
      <c r="AGC575"/>
      <c r="AGD575"/>
      <c r="AGE575"/>
      <c r="AGF575"/>
      <c r="AGG575"/>
      <c r="AGH575"/>
      <c r="AGI575"/>
      <c r="AGJ575"/>
      <c r="AGK575"/>
      <c r="AGL575"/>
      <c r="AGM575"/>
      <c r="AGN575"/>
      <c r="AGO575"/>
      <c r="AGP575"/>
      <c r="AGQ575"/>
      <c r="AGR575"/>
      <c r="AGS575"/>
      <c r="AGT575"/>
      <c r="AGU575"/>
      <c r="AGV575"/>
      <c r="AGW575"/>
      <c r="AGX575"/>
      <c r="AGY575"/>
      <c r="AGZ575"/>
      <c r="AHA575"/>
      <c r="AHB575"/>
      <c r="AHC575"/>
      <c r="AHD575"/>
      <c r="AHE575"/>
      <c r="AHF575"/>
      <c r="AHG575"/>
      <c r="AHH575"/>
      <c r="AHI575"/>
      <c r="AHJ575"/>
      <c r="AHK575"/>
      <c r="AHL575"/>
      <c r="AHM575"/>
      <c r="AHN575"/>
      <c r="AHO575"/>
      <c r="AHP575"/>
      <c r="AHQ575"/>
      <c r="AHR575"/>
      <c r="AHS575"/>
      <c r="AHT575"/>
      <c r="AHU575"/>
      <c r="AHV575"/>
      <c r="AHW575"/>
      <c r="AHX575"/>
      <c r="AHY575"/>
      <c r="AHZ575"/>
      <c r="AIA575"/>
      <c r="AIB575"/>
      <c r="AIC575"/>
      <c r="AID575"/>
      <c r="AIE575"/>
      <c r="AIF575"/>
      <c r="AIG575"/>
      <c r="AIH575"/>
      <c r="AII575"/>
      <c r="AIJ575"/>
      <c r="AIK575"/>
      <c r="AIL575"/>
      <c r="AIM575"/>
      <c r="AIN575"/>
      <c r="AIO575"/>
      <c r="AIP575"/>
      <c r="AIQ575"/>
      <c r="AIR575"/>
      <c r="AIS575"/>
      <c r="AIT575"/>
      <c r="AIU575"/>
      <c r="AIV575"/>
      <c r="AIW575"/>
      <c r="AIX575"/>
      <c r="AIY575"/>
      <c r="AIZ575"/>
      <c r="AJA575"/>
      <c r="AJB575"/>
      <c r="AJC575"/>
      <c r="AJD575"/>
      <c r="AJE575"/>
      <c r="AJF575"/>
      <c r="AJG575"/>
      <c r="AJH575"/>
      <c r="AJI575"/>
      <c r="AJJ575"/>
      <c r="AJK575"/>
      <c r="AJL575"/>
      <c r="AJM575"/>
      <c r="AJN575"/>
      <c r="AJO575"/>
      <c r="AJP575"/>
      <c r="AJQ575"/>
      <c r="AJR575"/>
      <c r="AJS575"/>
      <c r="AJT575"/>
      <c r="AJU575"/>
      <c r="AJV575"/>
      <c r="AJW575"/>
      <c r="AJX575"/>
      <c r="AJY575"/>
      <c r="AJZ575"/>
      <c r="AKA575"/>
      <c r="AKB575"/>
      <c r="AKC575"/>
      <c r="AKD575"/>
      <c r="AKE575"/>
      <c r="AKF575"/>
      <c r="AKG575"/>
      <c r="AKH575"/>
      <c r="AKI575"/>
      <c r="AKJ575"/>
      <c r="AKK575"/>
      <c r="AKL575"/>
      <c r="AKM575"/>
      <c r="AKN575"/>
      <c r="AKO575"/>
      <c r="AKP575"/>
      <c r="AKQ575"/>
      <c r="AKR575"/>
      <c r="AKS575"/>
      <c r="AKT575"/>
      <c r="AKU575"/>
      <c r="AKV575"/>
      <c r="AKW575"/>
    </row>
    <row r="576" spans="1:986">
      <c r="A576" s="282"/>
      <c r="B576" s="291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  <c r="ZW576"/>
      <c r="ZX576"/>
      <c r="ZY576"/>
      <c r="ZZ576"/>
      <c r="AAA576"/>
      <c r="AAB576"/>
      <c r="AAC576"/>
      <c r="AAD576"/>
      <c r="AAE576"/>
      <c r="AAF576"/>
      <c r="AAG576"/>
      <c r="AAH576"/>
      <c r="AAI576"/>
      <c r="AAJ576"/>
      <c r="AAK576"/>
      <c r="AAL576"/>
      <c r="AAM576"/>
      <c r="AAN576"/>
      <c r="AAO576"/>
      <c r="AAP576"/>
      <c r="AAQ576"/>
      <c r="AAR576"/>
      <c r="AAS576"/>
      <c r="AAT576"/>
      <c r="AAU576"/>
      <c r="AAV576"/>
      <c r="AAW576"/>
      <c r="AAX576"/>
      <c r="AAY576"/>
      <c r="AAZ576"/>
      <c r="ABA576"/>
      <c r="ABB576"/>
      <c r="ABC576"/>
      <c r="ABD576"/>
      <c r="ABE576"/>
      <c r="ABF576"/>
      <c r="ABG576"/>
      <c r="ABH576"/>
      <c r="ABI576"/>
      <c r="ABJ576"/>
      <c r="ABK576"/>
      <c r="ABL576"/>
      <c r="ABM576"/>
      <c r="ABN576"/>
      <c r="ABO576"/>
      <c r="ABP576"/>
      <c r="ABQ576"/>
      <c r="ABR576"/>
      <c r="ABS576"/>
      <c r="ABT576"/>
      <c r="ABU576"/>
      <c r="ABV576"/>
      <c r="ABW576"/>
      <c r="ABX576"/>
      <c r="ABY576"/>
      <c r="ABZ576"/>
      <c r="ACA576"/>
      <c r="ACB576"/>
      <c r="ACC576"/>
      <c r="ACD576"/>
      <c r="ACE576"/>
      <c r="ACF576"/>
      <c r="ACG576"/>
      <c r="ACH576"/>
      <c r="ACI576"/>
      <c r="ACJ576"/>
      <c r="ACK576"/>
      <c r="ACL576"/>
      <c r="ACM576"/>
      <c r="ACN576"/>
      <c r="ACO576"/>
      <c r="ACP576"/>
      <c r="ACQ576"/>
      <c r="ACR576"/>
      <c r="ACS576"/>
      <c r="ACT576"/>
      <c r="ACU576"/>
      <c r="ACV576"/>
      <c r="ACW576"/>
      <c r="ACX576"/>
      <c r="ACY576"/>
      <c r="ACZ576"/>
      <c r="ADA576"/>
      <c r="ADB576"/>
      <c r="ADC576"/>
      <c r="ADD576"/>
      <c r="ADE576"/>
      <c r="ADF576"/>
      <c r="ADG576"/>
      <c r="ADH576"/>
      <c r="ADI576"/>
      <c r="ADJ576"/>
      <c r="ADK576"/>
      <c r="ADL576"/>
      <c r="ADM576"/>
      <c r="ADN576"/>
      <c r="ADO576"/>
      <c r="ADP576"/>
      <c r="ADQ576"/>
      <c r="ADR576"/>
      <c r="ADS576"/>
      <c r="ADT576"/>
      <c r="ADU576"/>
      <c r="ADV576"/>
      <c r="ADW576"/>
      <c r="ADX576"/>
      <c r="ADY576"/>
      <c r="ADZ576"/>
      <c r="AEA576"/>
      <c r="AEB576"/>
      <c r="AEC576"/>
      <c r="AED576"/>
      <c r="AEE576"/>
      <c r="AEF576"/>
      <c r="AEG576"/>
      <c r="AEH576"/>
      <c r="AEI576"/>
      <c r="AEJ576"/>
      <c r="AEK576"/>
      <c r="AEL576"/>
      <c r="AEM576"/>
      <c r="AEN576"/>
      <c r="AEO576"/>
      <c r="AEP576"/>
      <c r="AEQ576"/>
      <c r="AER576"/>
      <c r="AES576"/>
      <c r="AET576"/>
      <c r="AEU576"/>
      <c r="AEV576"/>
      <c r="AEW576"/>
      <c r="AEX576"/>
      <c r="AEY576"/>
      <c r="AEZ576"/>
      <c r="AFA576"/>
      <c r="AFB576"/>
      <c r="AFC576"/>
      <c r="AFD576"/>
      <c r="AFE576"/>
      <c r="AFF576"/>
      <c r="AFG576"/>
      <c r="AFH576"/>
      <c r="AFI576"/>
      <c r="AFJ576"/>
      <c r="AFK576"/>
      <c r="AFL576"/>
      <c r="AFM576"/>
      <c r="AFN576"/>
      <c r="AFO576"/>
      <c r="AFP576"/>
      <c r="AFQ576"/>
      <c r="AFR576"/>
      <c r="AFS576"/>
      <c r="AFT576"/>
      <c r="AFU576"/>
      <c r="AFV576"/>
      <c r="AFW576"/>
      <c r="AFX576"/>
      <c r="AFY576"/>
      <c r="AFZ576"/>
      <c r="AGA576"/>
      <c r="AGB576"/>
      <c r="AGC576"/>
      <c r="AGD576"/>
      <c r="AGE576"/>
      <c r="AGF576"/>
      <c r="AGG576"/>
      <c r="AGH576"/>
      <c r="AGI576"/>
      <c r="AGJ576"/>
      <c r="AGK576"/>
      <c r="AGL576"/>
      <c r="AGM576"/>
      <c r="AGN576"/>
      <c r="AGO576"/>
      <c r="AGP576"/>
      <c r="AGQ576"/>
      <c r="AGR576"/>
      <c r="AGS576"/>
      <c r="AGT576"/>
      <c r="AGU576"/>
      <c r="AGV576"/>
      <c r="AGW576"/>
      <c r="AGX576"/>
      <c r="AGY576"/>
      <c r="AGZ576"/>
      <c r="AHA576"/>
      <c r="AHB576"/>
      <c r="AHC576"/>
      <c r="AHD576"/>
      <c r="AHE576"/>
      <c r="AHF576"/>
      <c r="AHG576"/>
      <c r="AHH576"/>
      <c r="AHI576"/>
      <c r="AHJ576"/>
      <c r="AHK576"/>
      <c r="AHL576"/>
      <c r="AHM576"/>
      <c r="AHN576"/>
      <c r="AHO576"/>
      <c r="AHP576"/>
      <c r="AHQ576"/>
      <c r="AHR576"/>
      <c r="AHS576"/>
      <c r="AHT576"/>
      <c r="AHU576"/>
      <c r="AHV576"/>
      <c r="AHW576"/>
      <c r="AHX576"/>
      <c r="AHY576"/>
      <c r="AHZ576"/>
      <c r="AIA576"/>
      <c r="AIB576"/>
      <c r="AIC576"/>
      <c r="AID576"/>
      <c r="AIE576"/>
      <c r="AIF576"/>
      <c r="AIG576"/>
      <c r="AIH576"/>
      <c r="AII576"/>
      <c r="AIJ576"/>
      <c r="AIK576"/>
      <c r="AIL576"/>
      <c r="AIM576"/>
      <c r="AIN576"/>
      <c r="AIO576"/>
      <c r="AIP576"/>
      <c r="AIQ576"/>
      <c r="AIR576"/>
      <c r="AIS576"/>
      <c r="AIT576"/>
      <c r="AIU576"/>
      <c r="AIV576"/>
      <c r="AIW576"/>
      <c r="AIX576"/>
      <c r="AIY576"/>
      <c r="AIZ576"/>
      <c r="AJA576"/>
      <c r="AJB576"/>
      <c r="AJC576"/>
      <c r="AJD576"/>
      <c r="AJE576"/>
      <c r="AJF576"/>
      <c r="AJG576"/>
      <c r="AJH576"/>
      <c r="AJI576"/>
      <c r="AJJ576"/>
      <c r="AJK576"/>
      <c r="AJL576"/>
      <c r="AJM576"/>
      <c r="AJN576"/>
      <c r="AJO576"/>
      <c r="AJP576"/>
      <c r="AJQ576"/>
      <c r="AJR576"/>
      <c r="AJS576"/>
      <c r="AJT576"/>
      <c r="AJU576"/>
      <c r="AJV576"/>
      <c r="AJW576"/>
      <c r="AJX576"/>
      <c r="AJY576"/>
      <c r="AJZ576"/>
      <c r="AKA576"/>
      <c r="AKB576"/>
      <c r="AKC576"/>
      <c r="AKD576"/>
      <c r="AKE576"/>
      <c r="AKF576"/>
      <c r="AKG576"/>
      <c r="AKH576"/>
      <c r="AKI576"/>
      <c r="AKJ576"/>
      <c r="AKK576"/>
      <c r="AKL576"/>
      <c r="AKM576"/>
      <c r="AKN576"/>
      <c r="AKO576"/>
      <c r="AKP576"/>
      <c r="AKQ576"/>
      <c r="AKR576"/>
      <c r="AKS576"/>
      <c r="AKT576"/>
      <c r="AKU576"/>
      <c r="AKV576"/>
      <c r="AKW576"/>
    </row>
    <row r="577" spans="1:985">
      <c r="A577" s="282"/>
      <c r="B577" s="291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  <c r="ZW577"/>
      <c r="ZX577"/>
      <c r="ZY577"/>
      <c r="ZZ577"/>
      <c r="AAA577"/>
      <c r="AAB577"/>
      <c r="AAC577"/>
      <c r="AAD577"/>
      <c r="AAE577"/>
      <c r="AAF577"/>
      <c r="AAG577"/>
      <c r="AAH577"/>
      <c r="AAI577"/>
      <c r="AAJ577"/>
      <c r="AAK577"/>
      <c r="AAL577"/>
      <c r="AAM577"/>
      <c r="AAN577"/>
      <c r="AAO577"/>
      <c r="AAP577"/>
      <c r="AAQ577"/>
      <c r="AAR577"/>
      <c r="AAS577"/>
      <c r="AAT577"/>
      <c r="AAU577"/>
      <c r="AAV577"/>
      <c r="AAW577"/>
      <c r="AAX577"/>
      <c r="AAY577"/>
      <c r="AAZ577"/>
      <c r="ABA577"/>
      <c r="ABB577"/>
      <c r="ABC577"/>
      <c r="ABD577"/>
      <c r="ABE577"/>
      <c r="ABF577"/>
      <c r="ABG577"/>
      <c r="ABH577"/>
      <c r="ABI577"/>
      <c r="ABJ577"/>
      <c r="ABK577"/>
      <c r="ABL577"/>
      <c r="ABM577"/>
      <c r="ABN577"/>
      <c r="ABO577"/>
      <c r="ABP577"/>
      <c r="ABQ577"/>
      <c r="ABR577"/>
      <c r="ABS577"/>
      <c r="ABT577"/>
      <c r="ABU577"/>
      <c r="ABV577"/>
      <c r="ABW577"/>
      <c r="ABX577"/>
      <c r="ABY577"/>
      <c r="ABZ577"/>
      <c r="ACA577"/>
      <c r="ACB577"/>
      <c r="ACC577"/>
      <c r="ACD577"/>
      <c r="ACE577"/>
      <c r="ACF577"/>
      <c r="ACG577"/>
      <c r="ACH577"/>
      <c r="ACI577"/>
      <c r="ACJ577"/>
      <c r="ACK577"/>
      <c r="ACL577"/>
      <c r="ACM577"/>
      <c r="ACN577"/>
      <c r="ACO577"/>
      <c r="ACP577"/>
      <c r="ACQ577"/>
      <c r="ACR577"/>
      <c r="ACS577"/>
      <c r="ACT577"/>
      <c r="ACU577"/>
      <c r="ACV577"/>
      <c r="ACW577"/>
      <c r="ACX577"/>
      <c r="ACY577"/>
      <c r="ACZ577"/>
      <c r="ADA577"/>
      <c r="ADB577"/>
      <c r="ADC577"/>
      <c r="ADD577"/>
      <c r="ADE577"/>
      <c r="ADF577"/>
      <c r="ADG577"/>
      <c r="ADH577"/>
      <c r="ADI577"/>
      <c r="ADJ577"/>
      <c r="ADK577"/>
      <c r="ADL577"/>
      <c r="ADM577"/>
      <c r="ADN577"/>
      <c r="ADO577"/>
      <c r="ADP577"/>
      <c r="ADQ577"/>
      <c r="ADR577"/>
      <c r="ADS577"/>
      <c r="ADT577"/>
      <c r="ADU577"/>
      <c r="ADV577"/>
      <c r="ADW577"/>
      <c r="ADX577"/>
      <c r="ADY577"/>
      <c r="ADZ577"/>
      <c r="AEA577"/>
      <c r="AEB577"/>
      <c r="AEC577"/>
      <c r="AED577"/>
      <c r="AEE577"/>
      <c r="AEF577"/>
      <c r="AEG577"/>
      <c r="AEH577"/>
      <c r="AEI577"/>
      <c r="AEJ577"/>
      <c r="AEK577"/>
      <c r="AEL577"/>
      <c r="AEM577"/>
      <c r="AEN577"/>
      <c r="AEO577"/>
      <c r="AEP577"/>
      <c r="AEQ577"/>
      <c r="AER577"/>
      <c r="AES577"/>
      <c r="AET577"/>
      <c r="AEU577"/>
      <c r="AEV577"/>
      <c r="AEW577"/>
      <c r="AEX577"/>
      <c r="AEY577"/>
      <c r="AEZ577"/>
      <c r="AFA577"/>
      <c r="AFB577"/>
      <c r="AFC577"/>
      <c r="AFD577"/>
      <c r="AFE577"/>
      <c r="AFF577"/>
      <c r="AFG577"/>
      <c r="AFH577"/>
      <c r="AFI577"/>
      <c r="AFJ577"/>
      <c r="AFK577"/>
      <c r="AFL577"/>
      <c r="AFM577"/>
      <c r="AFN577"/>
      <c r="AFO577"/>
      <c r="AFP577"/>
      <c r="AFQ577"/>
      <c r="AFR577"/>
      <c r="AFS577"/>
      <c r="AFT577"/>
      <c r="AFU577"/>
      <c r="AFV577"/>
      <c r="AFW577"/>
      <c r="AFX577"/>
      <c r="AFY577"/>
      <c r="AFZ577"/>
      <c r="AGA577"/>
      <c r="AGB577"/>
      <c r="AGC577"/>
      <c r="AGD577"/>
      <c r="AGE577"/>
      <c r="AGF577"/>
      <c r="AGG577"/>
      <c r="AGH577"/>
      <c r="AGI577"/>
      <c r="AGJ577"/>
      <c r="AGK577"/>
      <c r="AGL577"/>
      <c r="AGM577"/>
      <c r="AGN577"/>
      <c r="AGO577"/>
      <c r="AGP577"/>
      <c r="AGQ577"/>
      <c r="AGR577"/>
      <c r="AGS577"/>
      <c r="AGT577"/>
      <c r="AGU577"/>
      <c r="AGV577"/>
      <c r="AGW577"/>
      <c r="AGX577"/>
      <c r="AGY577"/>
      <c r="AGZ577"/>
      <c r="AHA577"/>
      <c r="AHB577"/>
      <c r="AHC577"/>
      <c r="AHD577"/>
      <c r="AHE577"/>
      <c r="AHF577"/>
      <c r="AHG577"/>
      <c r="AHH577"/>
      <c r="AHI577"/>
      <c r="AHJ577"/>
      <c r="AHK577"/>
      <c r="AHL577"/>
      <c r="AHM577"/>
      <c r="AHN577"/>
      <c r="AHO577"/>
      <c r="AHP577"/>
      <c r="AHQ577"/>
      <c r="AHR577"/>
      <c r="AHS577"/>
      <c r="AHT577"/>
      <c r="AHU577"/>
      <c r="AHV577"/>
      <c r="AHW577"/>
      <c r="AHX577"/>
      <c r="AHY577"/>
      <c r="AHZ577"/>
      <c r="AIA577"/>
      <c r="AIB577"/>
      <c r="AIC577"/>
      <c r="AID577"/>
      <c r="AIE577"/>
      <c r="AIF577"/>
      <c r="AIG577"/>
      <c r="AIH577"/>
      <c r="AII577"/>
      <c r="AIJ577"/>
      <c r="AIK577"/>
      <c r="AIL577"/>
      <c r="AIM577"/>
      <c r="AIN577"/>
      <c r="AIO577"/>
      <c r="AIP577"/>
      <c r="AIQ577"/>
      <c r="AIR577"/>
      <c r="AIS577"/>
      <c r="AIT577"/>
      <c r="AIU577"/>
      <c r="AIV577"/>
      <c r="AIW577"/>
      <c r="AIX577"/>
      <c r="AIY577"/>
      <c r="AIZ577"/>
      <c r="AJA577"/>
      <c r="AJB577"/>
      <c r="AJC577"/>
      <c r="AJD577"/>
      <c r="AJE577"/>
      <c r="AJF577"/>
      <c r="AJG577"/>
      <c r="AJH577"/>
      <c r="AJI577"/>
      <c r="AJJ577"/>
      <c r="AJK577"/>
      <c r="AJL577"/>
      <c r="AJM577"/>
      <c r="AJN577"/>
      <c r="AJO577"/>
      <c r="AJP577"/>
      <c r="AJQ577"/>
      <c r="AJR577"/>
      <c r="AJS577"/>
      <c r="AJT577"/>
      <c r="AJU577"/>
      <c r="AJV577"/>
      <c r="AJW577"/>
      <c r="AJX577"/>
      <c r="AJY577"/>
      <c r="AJZ577"/>
      <c r="AKA577"/>
      <c r="AKB577"/>
      <c r="AKC577"/>
      <c r="AKD577"/>
      <c r="AKE577"/>
      <c r="AKF577"/>
      <c r="AKG577"/>
      <c r="AKH577"/>
      <c r="AKI577"/>
      <c r="AKJ577"/>
      <c r="AKK577"/>
      <c r="AKL577"/>
      <c r="AKM577"/>
      <c r="AKN577"/>
      <c r="AKO577"/>
      <c r="AKP577"/>
      <c r="AKQ577"/>
      <c r="AKR577"/>
      <c r="AKS577"/>
      <c r="AKT577"/>
      <c r="AKU577"/>
      <c r="AKV577"/>
      <c r="AKW577"/>
    </row>
    <row r="578" spans="1:985">
      <c r="B578" s="430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/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/>
      <c r="ABO578"/>
      <c r="ABP578"/>
      <c r="ABQ578"/>
      <c r="ABR578"/>
      <c r="ABS578"/>
      <c r="ABT578"/>
      <c r="ABU578"/>
      <c r="ABV578"/>
      <c r="ABW578"/>
      <c r="ABX578"/>
      <c r="ABY578"/>
      <c r="ABZ578"/>
      <c r="ACA578"/>
      <c r="ACB578"/>
      <c r="ACC578"/>
      <c r="ACD578"/>
      <c r="ACE578"/>
      <c r="ACF578"/>
      <c r="ACG578"/>
      <c r="ACH578"/>
      <c r="ACI578"/>
      <c r="ACJ578"/>
      <c r="ACK578"/>
      <c r="ACL578"/>
      <c r="ACM578"/>
      <c r="ACN578"/>
      <c r="ACO578"/>
      <c r="ACP578"/>
      <c r="ACQ578"/>
      <c r="ACR578"/>
      <c r="ACS578"/>
      <c r="ACT578"/>
      <c r="ACU578"/>
      <c r="ACV578"/>
      <c r="ACW578"/>
      <c r="ACX578"/>
      <c r="ACY578"/>
      <c r="ACZ578"/>
      <c r="ADA578"/>
      <c r="ADB578"/>
      <c r="ADC578"/>
      <c r="ADD578"/>
      <c r="ADE578"/>
      <c r="ADF578"/>
      <c r="ADG578"/>
      <c r="ADH578"/>
      <c r="ADI578"/>
      <c r="ADJ578"/>
      <c r="ADK578"/>
      <c r="ADL578"/>
      <c r="ADM578"/>
      <c r="ADN578"/>
      <c r="ADO578"/>
      <c r="ADP578"/>
      <c r="ADQ578"/>
      <c r="ADR578"/>
      <c r="ADS578"/>
      <c r="ADT578"/>
      <c r="ADU578"/>
      <c r="ADV578"/>
      <c r="ADW578"/>
      <c r="ADX578"/>
      <c r="ADY578"/>
      <c r="ADZ578"/>
      <c r="AEA578"/>
      <c r="AEB578"/>
      <c r="AEC578"/>
      <c r="AED578"/>
      <c r="AEE578"/>
      <c r="AEF578"/>
      <c r="AEG578"/>
      <c r="AEH578"/>
      <c r="AEI578"/>
      <c r="AEJ578"/>
      <c r="AEK578"/>
      <c r="AEL578"/>
      <c r="AEM578"/>
      <c r="AEN578"/>
      <c r="AEO578"/>
      <c r="AEP578"/>
      <c r="AEQ578"/>
      <c r="AER578"/>
      <c r="AES578"/>
      <c r="AET578"/>
      <c r="AEU578"/>
      <c r="AEV578"/>
      <c r="AEW578"/>
      <c r="AEX578"/>
      <c r="AEY578"/>
      <c r="AEZ578"/>
      <c r="AFA578"/>
      <c r="AFB578"/>
      <c r="AFC578"/>
      <c r="AFD578"/>
      <c r="AFE578"/>
      <c r="AFF578"/>
      <c r="AFG578"/>
      <c r="AFH578"/>
      <c r="AFI578"/>
      <c r="AFJ578"/>
      <c r="AFK578"/>
      <c r="AFL578"/>
      <c r="AFM578"/>
      <c r="AFN578"/>
      <c r="AFO578"/>
      <c r="AFP578"/>
      <c r="AFQ578"/>
      <c r="AFR578"/>
      <c r="AFS578"/>
      <c r="AFT578"/>
      <c r="AFU578"/>
      <c r="AFV578"/>
      <c r="AFW578"/>
      <c r="AFX578"/>
      <c r="AFY578"/>
      <c r="AFZ578"/>
      <c r="AGA578"/>
      <c r="AGB578"/>
      <c r="AGC578"/>
      <c r="AGD578"/>
      <c r="AGE578"/>
      <c r="AGF578"/>
      <c r="AGG578"/>
      <c r="AGH578"/>
      <c r="AGI578"/>
      <c r="AGJ578"/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/>
      <c r="AHU578"/>
      <c r="AHV578"/>
      <c r="AHW578"/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/>
      <c r="AIP578"/>
      <c r="AIQ578"/>
      <c r="AIR578"/>
      <c r="AIS578"/>
      <c r="AIT578"/>
      <c r="AIU578"/>
      <c r="AIV578"/>
      <c r="AIW578"/>
      <c r="AIX578"/>
      <c r="AIY578"/>
      <c r="AIZ578"/>
      <c r="AJA578"/>
      <c r="AJB578"/>
      <c r="AJC578"/>
      <c r="AJD578"/>
      <c r="AJE578"/>
      <c r="AJF578"/>
      <c r="AJG578"/>
      <c r="AJH578"/>
      <c r="AJI578"/>
      <c r="AJJ578"/>
      <c r="AJK578"/>
      <c r="AJL578"/>
      <c r="AJM578"/>
      <c r="AJN578"/>
      <c r="AJO578"/>
      <c r="AJP578"/>
      <c r="AJQ578"/>
      <c r="AJR578"/>
      <c r="AJS578"/>
      <c r="AJT578"/>
      <c r="AJU578"/>
      <c r="AJV578"/>
      <c r="AJW578"/>
      <c r="AJX578"/>
      <c r="AJY578"/>
      <c r="AJZ578"/>
      <c r="AKA578"/>
      <c r="AKB578"/>
      <c r="AKC578"/>
      <c r="AKD578"/>
      <c r="AKE578"/>
      <c r="AKF578"/>
      <c r="AKG578"/>
      <c r="AKH578"/>
      <c r="AKI578"/>
      <c r="AKJ578"/>
      <c r="AKK578"/>
      <c r="AKL578"/>
      <c r="AKM578"/>
      <c r="AKN578"/>
      <c r="AKO578"/>
      <c r="AKP578"/>
      <c r="AKQ578"/>
      <c r="AKR578"/>
      <c r="AKS578"/>
      <c r="AKT578"/>
      <c r="AKU578"/>
      <c r="AKV578"/>
      <c r="AKW578"/>
    </row>
    <row r="579" spans="1:985">
      <c r="B579" s="430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  <c r="ZW579"/>
      <c r="ZX579"/>
      <c r="ZY579"/>
      <c r="ZZ579"/>
      <c r="AAA579"/>
      <c r="AAB579"/>
      <c r="AAC579"/>
      <c r="AAD579"/>
      <c r="AAE579"/>
      <c r="AAF579"/>
      <c r="AAG579"/>
      <c r="AAH579"/>
      <c r="AAI579"/>
      <c r="AAJ579"/>
      <c r="AAK579"/>
      <c r="AAL579"/>
      <c r="AAM579"/>
      <c r="AAN579"/>
      <c r="AAO579"/>
      <c r="AAP579"/>
      <c r="AAQ579"/>
      <c r="AAR579"/>
      <c r="AAS579"/>
      <c r="AAT579"/>
      <c r="AAU579"/>
      <c r="AAV579"/>
      <c r="AAW579"/>
      <c r="AAX579"/>
      <c r="AAY579"/>
      <c r="AAZ579"/>
      <c r="ABA579"/>
      <c r="ABB579"/>
      <c r="ABC579"/>
      <c r="ABD579"/>
      <c r="ABE579"/>
      <c r="ABF579"/>
      <c r="ABG579"/>
      <c r="ABH579"/>
      <c r="ABI579"/>
      <c r="ABJ579"/>
      <c r="ABK579"/>
      <c r="ABL579"/>
      <c r="ABM579"/>
      <c r="ABN579"/>
      <c r="ABO579"/>
      <c r="ABP579"/>
      <c r="ABQ579"/>
      <c r="ABR579"/>
      <c r="ABS579"/>
      <c r="ABT579"/>
      <c r="ABU579"/>
      <c r="ABV579"/>
      <c r="ABW579"/>
      <c r="ABX579"/>
      <c r="ABY579"/>
      <c r="ABZ579"/>
      <c r="ACA579"/>
      <c r="ACB579"/>
      <c r="ACC579"/>
      <c r="ACD579"/>
      <c r="ACE579"/>
      <c r="ACF579"/>
      <c r="ACG579"/>
      <c r="ACH579"/>
      <c r="ACI579"/>
      <c r="ACJ579"/>
      <c r="ACK579"/>
      <c r="ACL579"/>
      <c r="ACM579"/>
      <c r="ACN579"/>
      <c r="ACO579"/>
      <c r="ACP579"/>
      <c r="ACQ579"/>
      <c r="ACR579"/>
      <c r="ACS579"/>
      <c r="ACT579"/>
      <c r="ACU579"/>
      <c r="ACV579"/>
      <c r="ACW579"/>
      <c r="ACX579"/>
      <c r="ACY579"/>
      <c r="ACZ579"/>
      <c r="ADA579"/>
      <c r="ADB579"/>
      <c r="ADC579"/>
      <c r="ADD579"/>
      <c r="ADE579"/>
      <c r="ADF579"/>
      <c r="ADG579"/>
      <c r="ADH579"/>
      <c r="ADI579"/>
      <c r="ADJ579"/>
      <c r="ADK579"/>
      <c r="ADL579"/>
      <c r="ADM579"/>
      <c r="ADN579"/>
      <c r="ADO579"/>
      <c r="ADP579"/>
      <c r="ADQ579"/>
      <c r="ADR579"/>
      <c r="ADS579"/>
      <c r="ADT579"/>
      <c r="ADU579"/>
      <c r="ADV579"/>
      <c r="ADW579"/>
      <c r="ADX579"/>
      <c r="ADY579"/>
      <c r="ADZ579"/>
      <c r="AEA579"/>
      <c r="AEB579"/>
      <c r="AEC579"/>
      <c r="AED579"/>
      <c r="AEE579"/>
      <c r="AEF579"/>
      <c r="AEG579"/>
      <c r="AEH579"/>
      <c r="AEI579"/>
      <c r="AEJ579"/>
      <c r="AEK579"/>
      <c r="AEL579"/>
      <c r="AEM579"/>
      <c r="AEN579"/>
      <c r="AEO579"/>
      <c r="AEP579"/>
      <c r="AEQ579"/>
      <c r="AER579"/>
      <c r="AES579"/>
      <c r="AET579"/>
      <c r="AEU579"/>
      <c r="AEV579"/>
      <c r="AEW579"/>
      <c r="AEX579"/>
      <c r="AEY579"/>
      <c r="AEZ579"/>
      <c r="AFA579"/>
      <c r="AFB579"/>
      <c r="AFC579"/>
      <c r="AFD579"/>
      <c r="AFE579"/>
      <c r="AFF579"/>
      <c r="AFG579"/>
      <c r="AFH579"/>
      <c r="AFI579"/>
      <c r="AFJ579"/>
      <c r="AFK579"/>
      <c r="AFL579"/>
      <c r="AFM579"/>
      <c r="AFN579"/>
      <c r="AFO579"/>
      <c r="AFP579"/>
      <c r="AFQ579"/>
      <c r="AFR579"/>
      <c r="AFS579"/>
      <c r="AFT579"/>
      <c r="AFU579"/>
      <c r="AFV579"/>
      <c r="AFW579"/>
      <c r="AFX579"/>
      <c r="AFY579"/>
      <c r="AFZ579"/>
      <c r="AGA579"/>
      <c r="AGB579"/>
      <c r="AGC579"/>
      <c r="AGD579"/>
      <c r="AGE579"/>
      <c r="AGF579"/>
      <c r="AGG579"/>
      <c r="AGH579"/>
      <c r="AGI579"/>
      <c r="AGJ579"/>
      <c r="AGK579"/>
      <c r="AGL579"/>
      <c r="AGM579"/>
      <c r="AGN579"/>
      <c r="AGO579"/>
      <c r="AGP579"/>
      <c r="AGQ579"/>
      <c r="AGR579"/>
      <c r="AGS579"/>
      <c r="AGT579"/>
      <c r="AGU579"/>
      <c r="AGV579"/>
      <c r="AGW579"/>
      <c r="AGX579"/>
      <c r="AGY579"/>
      <c r="AGZ579"/>
      <c r="AHA579"/>
      <c r="AHB579"/>
      <c r="AHC579"/>
      <c r="AHD579"/>
      <c r="AHE579"/>
      <c r="AHF579"/>
      <c r="AHG579"/>
      <c r="AHH579"/>
      <c r="AHI579"/>
      <c r="AHJ579"/>
      <c r="AHK579"/>
      <c r="AHL579"/>
      <c r="AHM579"/>
      <c r="AHN579"/>
      <c r="AHO579"/>
      <c r="AHP579"/>
      <c r="AHQ579"/>
      <c r="AHR579"/>
      <c r="AHS579"/>
      <c r="AHT579"/>
      <c r="AHU579"/>
      <c r="AHV579"/>
      <c r="AHW579"/>
      <c r="AHX579"/>
      <c r="AHY579"/>
      <c r="AHZ579"/>
      <c r="AIA579"/>
      <c r="AIB579"/>
      <c r="AIC579"/>
      <c r="AID579"/>
      <c r="AIE579"/>
      <c r="AIF579"/>
      <c r="AIG579"/>
      <c r="AIH579"/>
      <c r="AII579"/>
      <c r="AIJ579"/>
      <c r="AIK579"/>
      <c r="AIL579"/>
      <c r="AIM579"/>
      <c r="AIN579"/>
      <c r="AIO579"/>
      <c r="AIP579"/>
      <c r="AIQ579"/>
      <c r="AIR579"/>
      <c r="AIS579"/>
      <c r="AIT579"/>
      <c r="AIU579"/>
      <c r="AIV579"/>
      <c r="AIW579"/>
      <c r="AIX579"/>
      <c r="AIY579"/>
      <c r="AIZ579"/>
      <c r="AJA579"/>
      <c r="AJB579"/>
      <c r="AJC579"/>
      <c r="AJD579"/>
      <c r="AJE579"/>
      <c r="AJF579"/>
      <c r="AJG579"/>
      <c r="AJH579"/>
      <c r="AJI579"/>
      <c r="AJJ579"/>
      <c r="AJK579"/>
      <c r="AJL579"/>
      <c r="AJM579"/>
      <c r="AJN579"/>
      <c r="AJO579"/>
      <c r="AJP579"/>
      <c r="AJQ579"/>
      <c r="AJR579"/>
      <c r="AJS579"/>
      <c r="AJT579"/>
      <c r="AJU579"/>
      <c r="AJV579"/>
      <c r="AJW579"/>
      <c r="AJX579"/>
      <c r="AJY579"/>
      <c r="AJZ579"/>
      <c r="AKA579"/>
      <c r="AKB579"/>
      <c r="AKC579"/>
      <c r="AKD579"/>
      <c r="AKE579"/>
      <c r="AKF579"/>
      <c r="AKG579"/>
      <c r="AKH579"/>
      <c r="AKI579"/>
      <c r="AKJ579"/>
      <c r="AKK579"/>
      <c r="AKL579"/>
      <c r="AKM579"/>
      <c r="AKN579"/>
      <c r="AKO579"/>
      <c r="AKP579"/>
      <c r="AKQ579"/>
      <c r="AKR579"/>
      <c r="AKS579"/>
      <c r="AKT579"/>
      <c r="AKU579"/>
      <c r="AKV579"/>
      <c r="AKW579"/>
    </row>
    <row r="580" spans="1:985">
      <c r="B580" s="43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  <c r="ZW580"/>
      <c r="ZX580"/>
      <c r="ZY580"/>
      <c r="ZZ580"/>
      <c r="AAA580"/>
      <c r="AAB580"/>
      <c r="AAC580"/>
      <c r="AAD580"/>
      <c r="AAE580"/>
      <c r="AAF580"/>
      <c r="AAG580"/>
      <c r="AAH580"/>
      <c r="AAI580"/>
      <c r="AAJ580"/>
      <c r="AAK580"/>
      <c r="AAL580"/>
      <c r="AAM580"/>
      <c r="AAN580"/>
      <c r="AAO580"/>
      <c r="AAP580"/>
      <c r="AAQ580"/>
      <c r="AAR580"/>
      <c r="AAS580"/>
      <c r="AAT580"/>
      <c r="AAU580"/>
      <c r="AAV580"/>
      <c r="AAW580"/>
      <c r="AAX580"/>
      <c r="AAY580"/>
      <c r="AAZ580"/>
      <c r="ABA580"/>
      <c r="ABB580"/>
      <c r="ABC580"/>
      <c r="ABD580"/>
      <c r="ABE580"/>
      <c r="ABF580"/>
      <c r="ABG580"/>
      <c r="ABH580"/>
      <c r="ABI580"/>
      <c r="ABJ580"/>
      <c r="ABK580"/>
      <c r="ABL580"/>
      <c r="ABM580"/>
      <c r="ABN580"/>
      <c r="ABO580"/>
      <c r="ABP580"/>
      <c r="ABQ580"/>
      <c r="ABR580"/>
      <c r="ABS580"/>
      <c r="ABT580"/>
      <c r="ABU580"/>
      <c r="ABV580"/>
      <c r="ABW580"/>
      <c r="ABX580"/>
      <c r="ABY580"/>
      <c r="ABZ580"/>
      <c r="ACA580"/>
      <c r="ACB580"/>
      <c r="ACC580"/>
      <c r="ACD580"/>
      <c r="ACE580"/>
      <c r="ACF580"/>
      <c r="ACG580"/>
      <c r="ACH580"/>
      <c r="ACI580"/>
      <c r="ACJ580"/>
      <c r="ACK580"/>
      <c r="ACL580"/>
      <c r="ACM580"/>
      <c r="ACN580"/>
      <c r="ACO580"/>
      <c r="ACP580"/>
      <c r="ACQ580"/>
      <c r="ACR580"/>
      <c r="ACS580"/>
      <c r="ACT580"/>
      <c r="ACU580"/>
      <c r="ACV580"/>
      <c r="ACW580"/>
      <c r="ACX580"/>
      <c r="ACY580"/>
      <c r="ACZ580"/>
      <c r="ADA580"/>
      <c r="ADB580"/>
      <c r="ADC580"/>
      <c r="ADD580"/>
      <c r="ADE580"/>
      <c r="ADF580"/>
      <c r="ADG580"/>
      <c r="ADH580"/>
      <c r="ADI580"/>
      <c r="ADJ580"/>
      <c r="ADK580"/>
      <c r="ADL580"/>
      <c r="ADM580"/>
      <c r="ADN580"/>
      <c r="ADO580"/>
      <c r="ADP580"/>
      <c r="ADQ580"/>
      <c r="ADR580"/>
      <c r="ADS580"/>
      <c r="ADT580"/>
      <c r="ADU580"/>
      <c r="ADV580"/>
      <c r="ADW580"/>
      <c r="ADX580"/>
      <c r="ADY580"/>
      <c r="ADZ580"/>
      <c r="AEA580"/>
      <c r="AEB580"/>
      <c r="AEC580"/>
      <c r="AED580"/>
      <c r="AEE580"/>
      <c r="AEF580"/>
      <c r="AEG580"/>
      <c r="AEH580"/>
      <c r="AEI580"/>
      <c r="AEJ580"/>
      <c r="AEK580"/>
      <c r="AEL580"/>
      <c r="AEM580"/>
      <c r="AEN580"/>
      <c r="AEO580"/>
      <c r="AEP580"/>
      <c r="AEQ580"/>
      <c r="AER580"/>
      <c r="AES580"/>
      <c r="AET580"/>
      <c r="AEU580"/>
      <c r="AEV580"/>
      <c r="AEW580"/>
      <c r="AEX580"/>
      <c r="AEY580"/>
      <c r="AEZ580"/>
      <c r="AFA580"/>
      <c r="AFB580"/>
      <c r="AFC580"/>
      <c r="AFD580"/>
      <c r="AFE580"/>
      <c r="AFF580"/>
      <c r="AFG580"/>
      <c r="AFH580"/>
      <c r="AFI580"/>
      <c r="AFJ580"/>
      <c r="AFK580"/>
      <c r="AFL580"/>
      <c r="AFM580"/>
      <c r="AFN580"/>
      <c r="AFO580"/>
      <c r="AFP580"/>
      <c r="AFQ580"/>
      <c r="AFR580"/>
      <c r="AFS580"/>
      <c r="AFT580"/>
      <c r="AFU580"/>
      <c r="AFV580"/>
      <c r="AFW580"/>
      <c r="AFX580"/>
      <c r="AFY580"/>
      <c r="AFZ580"/>
      <c r="AGA580"/>
      <c r="AGB580"/>
      <c r="AGC580"/>
      <c r="AGD580"/>
      <c r="AGE580"/>
      <c r="AGF580"/>
      <c r="AGG580"/>
      <c r="AGH580"/>
      <c r="AGI580"/>
      <c r="AGJ580"/>
      <c r="AGK580"/>
      <c r="AGL580"/>
      <c r="AGM580"/>
      <c r="AGN580"/>
      <c r="AGO580"/>
      <c r="AGP580"/>
      <c r="AGQ580"/>
      <c r="AGR580"/>
      <c r="AGS580"/>
      <c r="AGT580"/>
      <c r="AGU580"/>
      <c r="AGV580"/>
      <c r="AGW580"/>
      <c r="AGX580"/>
      <c r="AGY580"/>
      <c r="AGZ580"/>
      <c r="AHA580"/>
      <c r="AHB580"/>
      <c r="AHC580"/>
      <c r="AHD580"/>
      <c r="AHE580"/>
      <c r="AHF580"/>
      <c r="AHG580"/>
      <c r="AHH580"/>
      <c r="AHI580"/>
      <c r="AHJ580"/>
      <c r="AHK580"/>
      <c r="AHL580"/>
      <c r="AHM580"/>
      <c r="AHN580"/>
      <c r="AHO580"/>
      <c r="AHP580"/>
      <c r="AHQ580"/>
      <c r="AHR580"/>
      <c r="AHS580"/>
      <c r="AHT580"/>
      <c r="AHU580"/>
      <c r="AHV580"/>
      <c r="AHW580"/>
      <c r="AHX580"/>
      <c r="AHY580"/>
      <c r="AHZ580"/>
      <c r="AIA580"/>
      <c r="AIB580"/>
      <c r="AIC580"/>
      <c r="AID580"/>
      <c r="AIE580"/>
      <c r="AIF580"/>
      <c r="AIG580"/>
      <c r="AIH580"/>
      <c r="AII580"/>
      <c r="AIJ580"/>
      <c r="AIK580"/>
      <c r="AIL580"/>
      <c r="AIM580"/>
      <c r="AIN580"/>
      <c r="AIO580"/>
      <c r="AIP580"/>
      <c r="AIQ580"/>
      <c r="AIR580"/>
      <c r="AIS580"/>
      <c r="AIT580"/>
      <c r="AIU580"/>
      <c r="AIV580"/>
      <c r="AIW580"/>
      <c r="AIX580"/>
      <c r="AIY580"/>
      <c r="AIZ580"/>
      <c r="AJA580"/>
      <c r="AJB580"/>
      <c r="AJC580"/>
      <c r="AJD580"/>
      <c r="AJE580"/>
      <c r="AJF580"/>
      <c r="AJG580"/>
      <c r="AJH580"/>
      <c r="AJI580"/>
      <c r="AJJ580"/>
      <c r="AJK580"/>
      <c r="AJL580"/>
      <c r="AJM580"/>
      <c r="AJN580"/>
      <c r="AJO580"/>
      <c r="AJP580"/>
      <c r="AJQ580"/>
      <c r="AJR580"/>
      <c r="AJS580"/>
      <c r="AJT580"/>
      <c r="AJU580"/>
      <c r="AJV580"/>
      <c r="AJW580"/>
      <c r="AJX580"/>
      <c r="AJY580"/>
      <c r="AJZ580"/>
      <c r="AKA580"/>
      <c r="AKB580"/>
      <c r="AKC580"/>
      <c r="AKD580"/>
      <c r="AKE580"/>
      <c r="AKF580"/>
      <c r="AKG580"/>
      <c r="AKH580"/>
      <c r="AKI580"/>
      <c r="AKJ580"/>
      <c r="AKK580"/>
      <c r="AKL580"/>
      <c r="AKM580"/>
      <c r="AKN580"/>
      <c r="AKO580"/>
      <c r="AKP580"/>
      <c r="AKQ580"/>
      <c r="AKR580"/>
      <c r="AKS580"/>
      <c r="AKT580"/>
      <c r="AKU580"/>
      <c r="AKV580"/>
      <c r="AKW580"/>
    </row>
    <row r="581" spans="1:985" s="151" customFormat="1">
      <c r="A581" s="153" t="s">
        <v>335</v>
      </c>
      <c r="B581" s="150" t="s">
        <v>4</v>
      </c>
    </row>
    <row r="582" spans="1:985">
      <c r="A582" s="421" t="s">
        <v>383</v>
      </c>
      <c r="B582" s="291">
        <v>375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  <c r="ZW582"/>
      <c r="ZX582"/>
      <c r="ZY582"/>
      <c r="ZZ582"/>
      <c r="AAA582"/>
      <c r="AAB582"/>
      <c r="AAC582"/>
      <c r="AAD582"/>
      <c r="AAE582"/>
      <c r="AAF582"/>
      <c r="AAG582"/>
      <c r="AAH582"/>
      <c r="AAI582"/>
      <c r="AAJ582"/>
      <c r="AAK582"/>
      <c r="AAL582"/>
      <c r="AAM582"/>
      <c r="AAN582"/>
      <c r="AAO582"/>
      <c r="AAP582"/>
      <c r="AAQ582"/>
      <c r="AAR582"/>
      <c r="AAS582"/>
      <c r="AAT582"/>
      <c r="AAU582"/>
      <c r="AAV582"/>
      <c r="AAW582"/>
      <c r="AAX582"/>
      <c r="AAY582"/>
      <c r="AAZ582"/>
      <c r="ABA582"/>
      <c r="ABB582"/>
      <c r="ABC582"/>
      <c r="ABD582"/>
      <c r="ABE582"/>
      <c r="ABF582"/>
      <c r="ABG582"/>
      <c r="ABH582"/>
      <c r="ABI582"/>
      <c r="ABJ582"/>
      <c r="ABK582"/>
      <c r="ABL582"/>
      <c r="ABM582"/>
      <c r="ABN582"/>
      <c r="ABO582"/>
      <c r="ABP582"/>
      <c r="ABQ582"/>
      <c r="ABR582"/>
      <c r="ABS582"/>
      <c r="ABT582"/>
      <c r="ABU582"/>
      <c r="ABV582"/>
      <c r="ABW582"/>
      <c r="ABX582"/>
      <c r="ABY582"/>
      <c r="ABZ582"/>
      <c r="ACA582"/>
      <c r="ACB582"/>
      <c r="ACC582"/>
      <c r="ACD582"/>
      <c r="ACE582"/>
      <c r="ACF582"/>
      <c r="ACG582"/>
      <c r="ACH582"/>
      <c r="ACI582"/>
      <c r="ACJ582"/>
      <c r="ACK582"/>
      <c r="ACL582"/>
      <c r="ACM582"/>
      <c r="ACN582"/>
      <c r="ACO582"/>
      <c r="ACP582"/>
      <c r="ACQ582"/>
      <c r="ACR582"/>
      <c r="ACS582"/>
      <c r="ACT582"/>
      <c r="ACU582"/>
      <c r="ACV582"/>
      <c r="ACW582"/>
      <c r="ACX582"/>
      <c r="ACY582"/>
      <c r="ACZ582"/>
      <c r="ADA582"/>
      <c r="ADB582"/>
      <c r="ADC582"/>
      <c r="ADD582"/>
      <c r="ADE582"/>
      <c r="ADF582"/>
      <c r="ADG582"/>
      <c r="ADH582"/>
      <c r="ADI582"/>
      <c r="ADJ582"/>
      <c r="ADK582"/>
      <c r="ADL582"/>
      <c r="ADM582"/>
      <c r="ADN582"/>
      <c r="ADO582"/>
      <c r="ADP582"/>
      <c r="ADQ582"/>
      <c r="ADR582"/>
      <c r="ADS582"/>
      <c r="ADT582"/>
      <c r="ADU582"/>
      <c r="ADV582"/>
      <c r="ADW582"/>
      <c r="ADX582"/>
      <c r="ADY582"/>
      <c r="ADZ582"/>
      <c r="AEA582"/>
      <c r="AEB582"/>
      <c r="AEC582"/>
      <c r="AED582"/>
      <c r="AEE582"/>
      <c r="AEF582"/>
      <c r="AEG582"/>
      <c r="AEH582"/>
      <c r="AEI582"/>
      <c r="AEJ582"/>
      <c r="AEK582"/>
      <c r="AEL582"/>
      <c r="AEM582"/>
      <c r="AEN582"/>
      <c r="AEO582"/>
      <c r="AEP582"/>
      <c r="AEQ582"/>
      <c r="AER582"/>
      <c r="AES582"/>
      <c r="AET582"/>
      <c r="AEU582"/>
      <c r="AEV582"/>
      <c r="AEW582"/>
      <c r="AEX582"/>
      <c r="AEY582"/>
      <c r="AEZ582"/>
      <c r="AFA582"/>
      <c r="AFB582"/>
      <c r="AFC582"/>
      <c r="AFD582"/>
      <c r="AFE582"/>
      <c r="AFF582"/>
      <c r="AFG582"/>
      <c r="AFH582"/>
      <c r="AFI582"/>
      <c r="AFJ582"/>
      <c r="AFK582"/>
      <c r="AFL582"/>
      <c r="AFM582"/>
      <c r="AFN582"/>
      <c r="AFO582"/>
      <c r="AFP582"/>
      <c r="AFQ582"/>
      <c r="AFR582"/>
      <c r="AFS582"/>
      <c r="AFT582"/>
      <c r="AFU582"/>
      <c r="AFV582"/>
      <c r="AFW582"/>
      <c r="AFX582"/>
      <c r="AFY582"/>
      <c r="AFZ582"/>
      <c r="AGA582"/>
      <c r="AGB582"/>
      <c r="AGC582"/>
      <c r="AGD582"/>
      <c r="AGE582"/>
      <c r="AGF582"/>
      <c r="AGG582"/>
      <c r="AGH582"/>
      <c r="AGI582"/>
      <c r="AGJ582"/>
      <c r="AGK582"/>
      <c r="AGL582"/>
      <c r="AGM582"/>
      <c r="AGN582"/>
      <c r="AGO582"/>
      <c r="AGP582"/>
      <c r="AGQ582"/>
      <c r="AGR582"/>
      <c r="AGS582"/>
      <c r="AGT582"/>
      <c r="AGU582"/>
      <c r="AGV582"/>
      <c r="AGW582"/>
      <c r="AGX582"/>
      <c r="AGY582"/>
      <c r="AGZ582"/>
      <c r="AHA582"/>
      <c r="AHB582"/>
      <c r="AHC582"/>
      <c r="AHD582"/>
      <c r="AHE582"/>
      <c r="AHF582"/>
      <c r="AHG582"/>
      <c r="AHH582"/>
      <c r="AHI582"/>
      <c r="AHJ582"/>
      <c r="AHK582"/>
      <c r="AHL582"/>
      <c r="AHM582"/>
      <c r="AHN582"/>
      <c r="AHO582"/>
      <c r="AHP582"/>
      <c r="AHQ582"/>
      <c r="AHR582"/>
      <c r="AHS582"/>
      <c r="AHT582"/>
      <c r="AHU582"/>
      <c r="AHV582"/>
      <c r="AHW582"/>
      <c r="AHX582"/>
      <c r="AHY582"/>
      <c r="AHZ582"/>
      <c r="AIA582"/>
      <c r="AIB582"/>
      <c r="AIC582"/>
      <c r="AID582"/>
      <c r="AIE582"/>
      <c r="AIF582"/>
      <c r="AIG582"/>
      <c r="AIH582"/>
      <c r="AII582"/>
      <c r="AIJ582"/>
      <c r="AIK582"/>
      <c r="AIL582"/>
      <c r="AIM582"/>
      <c r="AIN582"/>
      <c r="AIO582"/>
      <c r="AIP582"/>
      <c r="AIQ582"/>
      <c r="AIR582"/>
      <c r="AIS582"/>
      <c r="AIT582"/>
      <c r="AIU582"/>
      <c r="AIV582"/>
      <c r="AIW582"/>
      <c r="AIX582"/>
      <c r="AIY582"/>
      <c r="AIZ582"/>
      <c r="AJA582"/>
      <c r="AJB582"/>
      <c r="AJC582"/>
      <c r="AJD582"/>
      <c r="AJE582"/>
      <c r="AJF582"/>
      <c r="AJG582"/>
      <c r="AJH582"/>
      <c r="AJI582"/>
      <c r="AJJ582"/>
      <c r="AJK582"/>
      <c r="AJL582"/>
      <c r="AJM582"/>
      <c r="AJN582"/>
      <c r="AJO582"/>
      <c r="AJP582"/>
      <c r="AJQ582"/>
      <c r="AJR582"/>
      <c r="AJS582"/>
      <c r="AJT582"/>
      <c r="AJU582"/>
      <c r="AJV582"/>
      <c r="AJW582"/>
      <c r="AJX582"/>
      <c r="AJY582"/>
      <c r="AJZ582"/>
      <c r="AKA582"/>
      <c r="AKB582"/>
      <c r="AKC582"/>
      <c r="AKD582"/>
      <c r="AKE582"/>
      <c r="AKF582"/>
      <c r="AKG582"/>
      <c r="AKH582"/>
      <c r="AKI582"/>
      <c r="AKJ582"/>
      <c r="AKK582"/>
      <c r="AKL582"/>
      <c r="AKM582"/>
      <c r="AKN582"/>
      <c r="AKO582"/>
      <c r="AKP582"/>
      <c r="AKQ582"/>
      <c r="AKR582"/>
      <c r="AKS582"/>
      <c r="AKT582"/>
      <c r="AKU582"/>
      <c r="AKV582"/>
      <c r="AKW582"/>
    </row>
    <row r="583" spans="1:985">
      <c r="A583" s="421" t="s">
        <v>384</v>
      </c>
      <c r="B583" s="315">
        <v>6519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  <c r="ZW583"/>
      <c r="ZX583"/>
      <c r="ZY583"/>
      <c r="ZZ583"/>
      <c r="AAA583"/>
      <c r="AAB583"/>
      <c r="AAC583"/>
      <c r="AAD583"/>
      <c r="AAE583"/>
      <c r="AAF583"/>
      <c r="AAG583"/>
      <c r="AAH583"/>
      <c r="AAI583"/>
      <c r="AAJ583"/>
      <c r="AAK583"/>
      <c r="AAL583"/>
      <c r="AAM583"/>
      <c r="AAN583"/>
      <c r="AAO583"/>
      <c r="AAP583"/>
      <c r="AAQ583"/>
      <c r="AAR583"/>
      <c r="AAS583"/>
      <c r="AAT583"/>
      <c r="AAU583"/>
      <c r="AAV583"/>
      <c r="AAW583"/>
      <c r="AAX583"/>
      <c r="AAY583"/>
      <c r="AAZ583"/>
      <c r="ABA583"/>
      <c r="ABB583"/>
      <c r="ABC583"/>
      <c r="ABD583"/>
      <c r="ABE583"/>
      <c r="ABF583"/>
      <c r="ABG583"/>
      <c r="ABH583"/>
      <c r="ABI583"/>
      <c r="ABJ583"/>
      <c r="ABK583"/>
      <c r="ABL583"/>
      <c r="ABM583"/>
      <c r="ABN583"/>
      <c r="ABO583"/>
      <c r="ABP583"/>
      <c r="ABQ583"/>
      <c r="ABR583"/>
      <c r="ABS583"/>
      <c r="ABT583"/>
      <c r="ABU583"/>
      <c r="ABV583"/>
      <c r="ABW583"/>
      <c r="ABX583"/>
      <c r="ABY583"/>
      <c r="ABZ583"/>
      <c r="ACA583"/>
      <c r="ACB583"/>
      <c r="ACC583"/>
      <c r="ACD583"/>
      <c r="ACE583"/>
      <c r="ACF583"/>
      <c r="ACG583"/>
      <c r="ACH583"/>
      <c r="ACI583"/>
      <c r="ACJ583"/>
      <c r="ACK583"/>
      <c r="ACL583"/>
      <c r="ACM583"/>
      <c r="ACN583"/>
      <c r="ACO583"/>
      <c r="ACP583"/>
      <c r="ACQ583"/>
      <c r="ACR583"/>
      <c r="ACS583"/>
      <c r="ACT583"/>
      <c r="ACU583"/>
      <c r="ACV583"/>
      <c r="ACW583"/>
      <c r="ACX583"/>
      <c r="ACY583"/>
      <c r="ACZ583"/>
      <c r="ADA583"/>
      <c r="ADB583"/>
      <c r="ADC583"/>
      <c r="ADD583"/>
      <c r="ADE583"/>
      <c r="ADF583"/>
      <c r="ADG583"/>
      <c r="ADH583"/>
      <c r="ADI583"/>
      <c r="ADJ583"/>
      <c r="ADK583"/>
      <c r="ADL583"/>
      <c r="ADM583"/>
      <c r="ADN583"/>
      <c r="ADO583"/>
      <c r="ADP583"/>
      <c r="ADQ583"/>
      <c r="ADR583"/>
      <c r="ADS583"/>
      <c r="ADT583"/>
      <c r="ADU583"/>
      <c r="ADV583"/>
      <c r="ADW583"/>
      <c r="ADX583"/>
      <c r="ADY583"/>
      <c r="ADZ583"/>
      <c r="AEA583"/>
      <c r="AEB583"/>
      <c r="AEC583"/>
      <c r="AED583"/>
      <c r="AEE583"/>
      <c r="AEF583"/>
      <c r="AEG583"/>
      <c r="AEH583"/>
      <c r="AEI583"/>
      <c r="AEJ583"/>
      <c r="AEK583"/>
      <c r="AEL583"/>
      <c r="AEM583"/>
      <c r="AEN583"/>
      <c r="AEO583"/>
      <c r="AEP583"/>
      <c r="AEQ583"/>
      <c r="AER583"/>
      <c r="AES583"/>
      <c r="AET583"/>
      <c r="AEU583"/>
      <c r="AEV583"/>
      <c r="AEW583"/>
      <c r="AEX583"/>
      <c r="AEY583"/>
      <c r="AEZ583"/>
      <c r="AFA583"/>
      <c r="AFB583"/>
      <c r="AFC583"/>
      <c r="AFD583"/>
      <c r="AFE583"/>
      <c r="AFF583"/>
      <c r="AFG583"/>
      <c r="AFH583"/>
      <c r="AFI583"/>
      <c r="AFJ583"/>
      <c r="AFK583"/>
      <c r="AFL583"/>
      <c r="AFM583"/>
      <c r="AFN583"/>
      <c r="AFO583"/>
      <c r="AFP583"/>
      <c r="AFQ583"/>
      <c r="AFR583"/>
      <c r="AFS583"/>
      <c r="AFT583"/>
      <c r="AFU583"/>
      <c r="AFV583"/>
      <c r="AFW583"/>
      <c r="AFX583"/>
      <c r="AFY583"/>
      <c r="AFZ583"/>
      <c r="AGA583"/>
      <c r="AGB583"/>
      <c r="AGC583"/>
      <c r="AGD583"/>
      <c r="AGE583"/>
      <c r="AGF583"/>
      <c r="AGG583"/>
      <c r="AGH583"/>
      <c r="AGI583"/>
      <c r="AGJ583"/>
      <c r="AGK583"/>
      <c r="AGL583"/>
      <c r="AGM583"/>
      <c r="AGN583"/>
      <c r="AGO583"/>
      <c r="AGP583"/>
      <c r="AGQ583"/>
      <c r="AGR583"/>
      <c r="AGS583"/>
      <c r="AGT583"/>
      <c r="AGU583"/>
      <c r="AGV583"/>
      <c r="AGW583"/>
      <c r="AGX583"/>
      <c r="AGY583"/>
      <c r="AGZ583"/>
      <c r="AHA583"/>
      <c r="AHB583"/>
      <c r="AHC583"/>
      <c r="AHD583"/>
      <c r="AHE583"/>
      <c r="AHF583"/>
      <c r="AHG583"/>
      <c r="AHH583"/>
      <c r="AHI583"/>
      <c r="AHJ583"/>
      <c r="AHK583"/>
      <c r="AHL583"/>
      <c r="AHM583"/>
      <c r="AHN583"/>
      <c r="AHO583"/>
      <c r="AHP583"/>
      <c r="AHQ583"/>
      <c r="AHR583"/>
      <c r="AHS583"/>
      <c r="AHT583"/>
      <c r="AHU583"/>
      <c r="AHV583"/>
      <c r="AHW583"/>
      <c r="AHX583"/>
      <c r="AHY583"/>
      <c r="AHZ583"/>
      <c r="AIA583"/>
      <c r="AIB583"/>
      <c r="AIC583"/>
      <c r="AID583"/>
      <c r="AIE583"/>
      <c r="AIF583"/>
      <c r="AIG583"/>
      <c r="AIH583"/>
      <c r="AII583"/>
      <c r="AIJ583"/>
      <c r="AIK583"/>
      <c r="AIL583"/>
      <c r="AIM583"/>
      <c r="AIN583"/>
      <c r="AIO583"/>
      <c r="AIP583"/>
      <c r="AIQ583"/>
      <c r="AIR583"/>
      <c r="AIS583"/>
      <c r="AIT583"/>
      <c r="AIU583"/>
      <c r="AIV583"/>
      <c r="AIW583"/>
      <c r="AIX583"/>
      <c r="AIY583"/>
      <c r="AIZ583"/>
      <c r="AJA583"/>
      <c r="AJB583"/>
      <c r="AJC583"/>
      <c r="AJD583"/>
      <c r="AJE583"/>
      <c r="AJF583"/>
      <c r="AJG583"/>
      <c r="AJH583"/>
      <c r="AJI583"/>
      <c r="AJJ583"/>
      <c r="AJK583"/>
      <c r="AJL583"/>
      <c r="AJM583"/>
      <c r="AJN583"/>
      <c r="AJO583"/>
      <c r="AJP583"/>
      <c r="AJQ583"/>
      <c r="AJR583"/>
      <c r="AJS583"/>
      <c r="AJT583"/>
      <c r="AJU583"/>
      <c r="AJV583"/>
      <c r="AJW583"/>
      <c r="AJX583"/>
      <c r="AJY583"/>
      <c r="AJZ583"/>
      <c r="AKA583"/>
      <c r="AKB583"/>
      <c r="AKC583"/>
      <c r="AKD583"/>
      <c r="AKE583"/>
      <c r="AKF583"/>
      <c r="AKG583"/>
      <c r="AKH583"/>
      <c r="AKI583"/>
      <c r="AKJ583"/>
      <c r="AKK583"/>
      <c r="AKL583"/>
      <c r="AKM583"/>
      <c r="AKN583"/>
      <c r="AKO583"/>
      <c r="AKP583"/>
      <c r="AKQ583"/>
      <c r="AKR583"/>
      <c r="AKS583"/>
      <c r="AKT583"/>
      <c r="AKU583"/>
      <c r="AKV583"/>
      <c r="AKW583"/>
    </row>
    <row r="584" spans="1:985">
      <c r="A584" s="421" t="s">
        <v>386</v>
      </c>
      <c r="B584" s="315">
        <v>4109.33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  <c r="ZW584"/>
      <c r="ZX584"/>
      <c r="ZY584"/>
      <c r="ZZ584"/>
      <c r="AAA584"/>
      <c r="AAB584"/>
      <c r="AAC584"/>
      <c r="AAD584"/>
      <c r="AAE584"/>
      <c r="AAF584"/>
      <c r="AAG584"/>
      <c r="AAH584"/>
      <c r="AAI584"/>
      <c r="AAJ584"/>
      <c r="AAK584"/>
      <c r="AAL584"/>
      <c r="AAM584"/>
      <c r="AAN584"/>
      <c r="AAO584"/>
      <c r="AAP584"/>
      <c r="AAQ584"/>
      <c r="AAR584"/>
      <c r="AAS584"/>
      <c r="AAT584"/>
      <c r="AAU584"/>
      <c r="AAV584"/>
      <c r="AAW584"/>
      <c r="AAX584"/>
      <c r="AAY584"/>
      <c r="AAZ584"/>
      <c r="ABA584"/>
      <c r="ABB584"/>
      <c r="ABC584"/>
      <c r="ABD584"/>
      <c r="ABE584"/>
      <c r="ABF584"/>
      <c r="ABG584"/>
      <c r="ABH584"/>
      <c r="ABI584"/>
      <c r="ABJ584"/>
      <c r="ABK584"/>
      <c r="ABL584"/>
      <c r="ABM584"/>
      <c r="ABN584"/>
      <c r="ABO584"/>
      <c r="ABP584"/>
      <c r="ABQ584"/>
      <c r="ABR584"/>
      <c r="ABS584"/>
      <c r="ABT584"/>
      <c r="ABU584"/>
      <c r="ABV584"/>
      <c r="ABW584"/>
      <c r="ABX584"/>
      <c r="ABY584"/>
      <c r="ABZ584"/>
      <c r="ACA584"/>
      <c r="ACB584"/>
      <c r="ACC584"/>
      <c r="ACD584"/>
      <c r="ACE584"/>
      <c r="ACF584"/>
      <c r="ACG584"/>
      <c r="ACH584"/>
      <c r="ACI584"/>
      <c r="ACJ584"/>
      <c r="ACK584"/>
      <c r="ACL584"/>
      <c r="ACM584"/>
      <c r="ACN584"/>
      <c r="ACO584"/>
      <c r="ACP584"/>
      <c r="ACQ584"/>
      <c r="ACR584"/>
      <c r="ACS584"/>
      <c r="ACT584"/>
      <c r="ACU584"/>
      <c r="ACV584"/>
      <c r="ACW584"/>
      <c r="ACX584"/>
      <c r="ACY584"/>
      <c r="ACZ584"/>
      <c r="ADA584"/>
      <c r="ADB584"/>
      <c r="ADC584"/>
      <c r="ADD584"/>
      <c r="ADE584"/>
      <c r="ADF584"/>
      <c r="ADG584"/>
      <c r="ADH584"/>
      <c r="ADI584"/>
      <c r="ADJ584"/>
      <c r="ADK584"/>
      <c r="ADL584"/>
      <c r="ADM584"/>
      <c r="ADN584"/>
      <c r="ADO584"/>
      <c r="ADP584"/>
      <c r="ADQ584"/>
      <c r="ADR584"/>
      <c r="ADS584"/>
      <c r="ADT584"/>
      <c r="ADU584"/>
      <c r="ADV584"/>
      <c r="ADW584"/>
      <c r="ADX584"/>
      <c r="ADY584"/>
      <c r="ADZ584"/>
      <c r="AEA584"/>
      <c r="AEB584"/>
      <c r="AEC584"/>
      <c r="AED584"/>
      <c r="AEE584"/>
      <c r="AEF584"/>
      <c r="AEG584"/>
      <c r="AEH584"/>
      <c r="AEI584"/>
      <c r="AEJ584"/>
      <c r="AEK584"/>
      <c r="AEL584"/>
      <c r="AEM584"/>
      <c r="AEN584"/>
      <c r="AEO584"/>
      <c r="AEP584"/>
      <c r="AEQ584"/>
      <c r="AER584"/>
      <c r="AES584"/>
      <c r="AET584"/>
      <c r="AEU584"/>
      <c r="AEV584"/>
      <c r="AEW584"/>
      <c r="AEX584"/>
      <c r="AEY584"/>
      <c r="AEZ584"/>
      <c r="AFA584"/>
      <c r="AFB584"/>
      <c r="AFC584"/>
      <c r="AFD584"/>
      <c r="AFE584"/>
      <c r="AFF584"/>
      <c r="AFG584"/>
      <c r="AFH584"/>
      <c r="AFI584"/>
      <c r="AFJ584"/>
      <c r="AFK584"/>
      <c r="AFL584"/>
      <c r="AFM584"/>
      <c r="AFN584"/>
      <c r="AFO584"/>
      <c r="AFP584"/>
      <c r="AFQ584"/>
      <c r="AFR584"/>
      <c r="AFS584"/>
      <c r="AFT584"/>
      <c r="AFU584"/>
      <c r="AFV584"/>
      <c r="AFW584"/>
      <c r="AFX584"/>
      <c r="AFY584"/>
      <c r="AFZ584"/>
      <c r="AGA584"/>
      <c r="AGB584"/>
      <c r="AGC584"/>
      <c r="AGD584"/>
      <c r="AGE584"/>
      <c r="AGF584"/>
      <c r="AGG584"/>
      <c r="AGH584"/>
      <c r="AGI584"/>
      <c r="AGJ584"/>
      <c r="AGK584"/>
      <c r="AGL584"/>
      <c r="AGM584"/>
      <c r="AGN584"/>
      <c r="AGO584"/>
      <c r="AGP584"/>
      <c r="AGQ584"/>
      <c r="AGR584"/>
      <c r="AGS584"/>
      <c r="AGT584"/>
      <c r="AGU584"/>
      <c r="AGV584"/>
      <c r="AGW584"/>
      <c r="AGX584"/>
      <c r="AGY584"/>
      <c r="AGZ584"/>
      <c r="AHA584"/>
      <c r="AHB584"/>
      <c r="AHC584"/>
      <c r="AHD584"/>
      <c r="AHE584"/>
      <c r="AHF584"/>
      <c r="AHG584"/>
      <c r="AHH584"/>
      <c r="AHI584"/>
      <c r="AHJ584"/>
      <c r="AHK584"/>
      <c r="AHL584"/>
      <c r="AHM584"/>
      <c r="AHN584"/>
      <c r="AHO584"/>
      <c r="AHP584"/>
      <c r="AHQ584"/>
      <c r="AHR584"/>
      <c r="AHS584"/>
      <c r="AHT584"/>
      <c r="AHU584"/>
      <c r="AHV584"/>
      <c r="AHW584"/>
      <c r="AHX584"/>
      <c r="AHY584"/>
      <c r="AHZ584"/>
      <c r="AIA584"/>
      <c r="AIB584"/>
      <c r="AIC584"/>
      <c r="AID584"/>
      <c r="AIE584"/>
      <c r="AIF584"/>
      <c r="AIG584"/>
      <c r="AIH584"/>
      <c r="AII584"/>
      <c r="AIJ584"/>
      <c r="AIK584"/>
      <c r="AIL584"/>
      <c r="AIM584"/>
      <c r="AIN584"/>
      <c r="AIO584"/>
      <c r="AIP584"/>
      <c r="AIQ584"/>
      <c r="AIR584"/>
      <c r="AIS584"/>
      <c r="AIT584"/>
      <c r="AIU584"/>
      <c r="AIV584"/>
      <c r="AIW584"/>
      <c r="AIX584"/>
      <c r="AIY584"/>
      <c r="AIZ584"/>
      <c r="AJA584"/>
      <c r="AJB584"/>
      <c r="AJC584"/>
      <c r="AJD584"/>
      <c r="AJE584"/>
      <c r="AJF584"/>
      <c r="AJG584"/>
      <c r="AJH584"/>
      <c r="AJI584"/>
      <c r="AJJ584"/>
      <c r="AJK584"/>
      <c r="AJL584"/>
      <c r="AJM584"/>
      <c r="AJN584"/>
      <c r="AJO584"/>
      <c r="AJP584"/>
      <c r="AJQ584"/>
      <c r="AJR584"/>
      <c r="AJS584"/>
      <c r="AJT584"/>
      <c r="AJU584"/>
      <c r="AJV584"/>
      <c r="AJW584"/>
      <c r="AJX584"/>
      <c r="AJY584"/>
      <c r="AJZ584"/>
      <c r="AKA584"/>
      <c r="AKB584"/>
      <c r="AKC584"/>
      <c r="AKD584"/>
      <c r="AKE584"/>
      <c r="AKF584"/>
      <c r="AKG584"/>
      <c r="AKH584"/>
      <c r="AKI584"/>
      <c r="AKJ584"/>
      <c r="AKK584"/>
      <c r="AKL584"/>
      <c r="AKM584"/>
      <c r="AKN584"/>
      <c r="AKO584"/>
      <c r="AKP584"/>
      <c r="AKQ584"/>
      <c r="AKR584"/>
      <c r="AKS584"/>
      <c r="AKT584"/>
      <c r="AKU584"/>
      <c r="AKV584"/>
      <c r="AKW584"/>
    </row>
    <row r="585" spans="1:985">
      <c r="A585" s="421" t="s">
        <v>388</v>
      </c>
      <c r="B585" s="307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  <c r="ZW585"/>
      <c r="ZX585"/>
      <c r="ZY585"/>
      <c r="ZZ585"/>
      <c r="AAA585"/>
      <c r="AAB585"/>
      <c r="AAC585"/>
      <c r="AAD585"/>
      <c r="AAE585"/>
      <c r="AAF585"/>
      <c r="AAG585"/>
      <c r="AAH585"/>
      <c r="AAI585"/>
      <c r="AAJ585"/>
      <c r="AAK585"/>
      <c r="AAL585"/>
      <c r="AAM585"/>
      <c r="AAN585"/>
      <c r="AAO585"/>
      <c r="AAP585"/>
      <c r="AAQ585"/>
      <c r="AAR585"/>
      <c r="AAS585"/>
      <c r="AAT585"/>
      <c r="AAU585"/>
      <c r="AAV585"/>
      <c r="AAW585"/>
      <c r="AAX585"/>
      <c r="AAY585"/>
      <c r="AAZ585"/>
      <c r="ABA585"/>
      <c r="ABB585"/>
      <c r="ABC585"/>
      <c r="ABD585"/>
      <c r="ABE585"/>
      <c r="ABF585"/>
      <c r="ABG585"/>
      <c r="ABH585"/>
      <c r="ABI585"/>
      <c r="ABJ585"/>
      <c r="ABK585"/>
      <c r="ABL585"/>
      <c r="ABM585"/>
      <c r="ABN585"/>
      <c r="ABO585"/>
      <c r="ABP585"/>
      <c r="ABQ585"/>
      <c r="ABR585"/>
      <c r="ABS585"/>
      <c r="ABT585"/>
      <c r="ABU585"/>
      <c r="ABV585"/>
      <c r="ABW585"/>
      <c r="ABX585"/>
      <c r="ABY585"/>
      <c r="ABZ585"/>
      <c r="ACA585"/>
      <c r="ACB585"/>
      <c r="ACC585"/>
      <c r="ACD585"/>
      <c r="ACE585"/>
      <c r="ACF585"/>
      <c r="ACG585"/>
      <c r="ACH585"/>
      <c r="ACI585"/>
      <c r="ACJ585"/>
      <c r="ACK585"/>
      <c r="ACL585"/>
      <c r="ACM585"/>
      <c r="ACN585"/>
      <c r="ACO585"/>
      <c r="ACP585"/>
      <c r="ACQ585"/>
      <c r="ACR585"/>
      <c r="ACS585"/>
      <c r="ACT585"/>
      <c r="ACU585"/>
      <c r="ACV585"/>
      <c r="ACW585"/>
      <c r="ACX585"/>
      <c r="ACY585"/>
      <c r="ACZ585"/>
      <c r="ADA585"/>
      <c r="ADB585"/>
      <c r="ADC585"/>
      <c r="ADD585"/>
      <c r="ADE585"/>
      <c r="ADF585"/>
      <c r="ADG585"/>
      <c r="ADH585"/>
      <c r="ADI585"/>
      <c r="ADJ585"/>
      <c r="ADK585"/>
      <c r="ADL585"/>
      <c r="ADM585"/>
      <c r="ADN585"/>
      <c r="ADO585"/>
      <c r="ADP585"/>
      <c r="ADQ585"/>
      <c r="ADR585"/>
      <c r="ADS585"/>
      <c r="ADT585"/>
      <c r="ADU585"/>
      <c r="ADV585"/>
      <c r="ADW585"/>
      <c r="ADX585"/>
      <c r="ADY585"/>
      <c r="ADZ585"/>
      <c r="AEA585"/>
      <c r="AEB585"/>
      <c r="AEC585"/>
      <c r="AED585"/>
      <c r="AEE585"/>
      <c r="AEF585"/>
      <c r="AEG585"/>
      <c r="AEH585"/>
      <c r="AEI585"/>
      <c r="AEJ585"/>
      <c r="AEK585"/>
      <c r="AEL585"/>
      <c r="AEM585"/>
      <c r="AEN585"/>
      <c r="AEO585"/>
      <c r="AEP585"/>
      <c r="AEQ585"/>
      <c r="AER585"/>
      <c r="AES585"/>
      <c r="AET585"/>
      <c r="AEU585"/>
      <c r="AEV585"/>
      <c r="AEW585"/>
      <c r="AEX585"/>
      <c r="AEY585"/>
      <c r="AEZ585"/>
      <c r="AFA585"/>
      <c r="AFB585"/>
      <c r="AFC585"/>
      <c r="AFD585"/>
      <c r="AFE585"/>
      <c r="AFF585"/>
      <c r="AFG585"/>
      <c r="AFH585"/>
      <c r="AFI585"/>
      <c r="AFJ585"/>
      <c r="AFK585"/>
      <c r="AFL585"/>
      <c r="AFM585"/>
      <c r="AFN585"/>
      <c r="AFO585"/>
      <c r="AFP585"/>
      <c r="AFQ585"/>
      <c r="AFR585"/>
      <c r="AFS585"/>
      <c r="AFT585"/>
      <c r="AFU585"/>
      <c r="AFV585"/>
      <c r="AFW585"/>
      <c r="AFX585"/>
      <c r="AFY585"/>
      <c r="AFZ585"/>
      <c r="AGA585"/>
      <c r="AGB585"/>
      <c r="AGC585"/>
      <c r="AGD585"/>
      <c r="AGE585"/>
      <c r="AGF585"/>
      <c r="AGG585"/>
      <c r="AGH585"/>
      <c r="AGI585"/>
      <c r="AGJ585"/>
      <c r="AGK585"/>
      <c r="AGL585"/>
      <c r="AGM585"/>
      <c r="AGN585"/>
      <c r="AGO585"/>
      <c r="AGP585"/>
      <c r="AGQ585"/>
      <c r="AGR585"/>
      <c r="AGS585"/>
      <c r="AGT585"/>
      <c r="AGU585"/>
      <c r="AGV585"/>
      <c r="AGW585"/>
      <c r="AGX585"/>
      <c r="AGY585"/>
      <c r="AGZ585"/>
      <c r="AHA585"/>
      <c r="AHB585"/>
      <c r="AHC585"/>
      <c r="AHD585"/>
      <c r="AHE585"/>
      <c r="AHF585"/>
      <c r="AHG585"/>
      <c r="AHH585"/>
      <c r="AHI585"/>
      <c r="AHJ585"/>
      <c r="AHK585"/>
      <c r="AHL585"/>
      <c r="AHM585"/>
      <c r="AHN585"/>
      <c r="AHO585"/>
      <c r="AHP585"/>
      <c r="AHQ585"/>
      <c r="AHR585"/>
      <c r="AHS585"/>
      <c r="AHT585"/>
      <c r="AHU585"/>
      <c r="AHV585"/>
      <c r="AHW585"/>
      <c r="AHX585"/>
      <c r="AHY585"/>
      <c r="AHZ585"/>
      <c r="AIA585"/>
      <c r="AIB585"/>
      <c r="AIC585"/>
      <c r="AID585"/>
      <c r="AIE585"/>
      <c r="AIF585"/>
      <c r="AIG585"/>
      <c r="AIH585"/>
      <c r="AII585"/>
      <c r="AIJ585"/>
      <c r="AIK585"/>
      <c r="AIL585"/>
      <c r="AIM585"/>
      <c r="AIN585"/>
      <c r="AIO585"/>
      <c r="AIP585"/>
      <c r="AIQ585"/>
      <c r="AIR585"/>
      <c r="AIS585"/>
      <c r="AIT585"/>
      <c r="AIU585"/>
      <c r="AIV585"/>
      <c r="AIW585"/>
      <c r="AIX585"/>
      <c r="AIY585"/>
      <c r="AIZ585"/>
      <c r="AJA585"/>
      <c r="AJB585"/>
      <c r="AJC585"/>
      <c r="AJD585"/>
      <c r="AJE585"/>
      <c r="AJF585"/>
      <c r="AJG585"/>
      <c r="AJH585"/>
      <c r="AJI585"/>
      <c r="AJJ585"/>
      <c r="AJK585"/>
      <c r="AJL585"/>
      <c r="AJM585"/>
      <c r="AJN585"/>
      <c r="AJO585"/>
      <c r="AJP585"/>
      <c r="AJQ585"/>
      <c r="AJR585"/>
      <c r="AJS585"/>
      <c r="AJT585"/>
      <c r="AJU585"/>
      <c r="AJV585"/>
      <c r="AJW585"/>
      <c r="AJX585"/>
      <c r="AJY585"/>
      <c r="AJZ585"/>
      <c r="AKA585"/>
      <c r="AKB585"/>
      <c r="AKC585"/>
      <c r="AKD585"/>
      <c r="AKE585"/>
      <c r="AKF585"/>
      <c r="AKG585"/>
      <c r="AKH585"/>
      <c r="AKI585"/>
      <c r="AKJ585"/>
      <c r="AKK585"/>
      <c r="AKL585"/>
      <c r="AKM585"/>
      <c r="AKN585"/>
      <c r="AKO585"/>
      <c r="AKP585"/>
      <c r="AKQ585"/>
      <c r="AKR585"/>
      <c r="AKS585"/>
      <c r="AKT585"/>
      <c r="AKU585"/>
      <c r="AKV585"/>
      <c r="AKW585"/>
    </row>
    <row r="586" spans="1:985">
      <c r="A586" s="352" t="s">
        <v>389</v>
      </c>
      <c r="B586" s="290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  <c r="ZW586"/>
      <c r="ZX586"/>
      <c r="ZY586"/>
      <c r="ZZ586"/>
      <c r="AAA586"/>
      <c r="AAB586"/>
      <c r="AAC586"/>
      <c r="AAD586"/>
      <c r="AAE586"/>
      <c r="AAF586"/>
      <c r="AAG586"/>
      <c r="AAH586"/>
      <c r="AAI586"/>
      <c r="AAJ586"/>
      <c r="AAK586"/>
      <c r="AAL586"/>
      <c r="AAM586"/>
      <c r="AAN586"/>
      <c r="AAO586"/>
      <c r="AAP586"/>
      <c r="AAQ586"/>
      <c r="AAR586"/>
      <c r="AAS586"/>
      <c r="AAT586"/>
      <c r="AAU586"/>
      <c r="AAV586"/>
      <c r="AAW586"/>
      <c r="AAX586"/>
      <c r="AAY586"/>
      <c r="AAZ586"/>
      <c r="ABA586"/>
      <c r="ABB586"/>
      <c r="ABC586"/>
      <c r="ABD586"/>
      <c r="ABE586"/>
      <c r="ABF586"/>
      <c r="ABG586"/>
      <c r="ABH586"/>
      <c r="ABI586"/>
      <c r="ABJ586"/>
      <c r="ABK586"/>
      <c r="ABL586"/>
      <c r="ABM586"/>
      <c r="ABN586"/>
      <c r="ABO586"/>
      <c r="ABP586"/>
      <c r="ABQ586"/>
      <c r="ABR586"/>
      <c r="ABS586"/>
      <c r="ABT586"/>
      <c r="ABU586"/>
      <c r="ABV586"/>
      <c r="ABW586"/>
      <c r="ABX586"/>
      <c r="ABY586"/>
      <c r="ABZ586"/>
      <c r="ACA586"/>
      <c r="ACB586"/>
      <c r="ACC586"/>
      <c r="ACD586"/>
      <c r="ACE586"/>
      <c r="ACF586"/>
      <c r="ACG586"/>
      <c r="ACH586"/>
      <c r="ACI586"/>
      <c r="ACJ586"/>
      <c r="ACK586"/>
      <c r="ACL586"/>
      <c r="ACM586"/>
      <c r="ACN586"/>
      <c r="ACO586"/>
      <c r="ACP586"/>
      <c r="ACQ586"/>
      <c r="ACR586"/>
      <c r="ACS586"/>
      <c r="ACT586"/>
      <c r="ACU586"/>
      <c r="ACV586"/>
      <c r="ACW586"/>
      <c r="ACX586"/>
      <c r="ACY586"/>
      <c r="ACZ586"/>
      <c r="ADA586"/>
      <c r="ADB586"/>
      <c r="ADC586"/>
      <c r="ADD586"/>
      <c r="ADE586"/>
      <c r="ADF586"/>
      <c r="ADG586"/>
      <c r="ADH586"/>
      <c r="ADI586"/>
      <c r="ADJ586"/>
      <c r="ADK586"/>
      <c r="ADL586"/>
      <c r="ADM586"/>
      <c r="ADN586"/>
      <c r="ADO586"/>
      <c r="ADP586"/>
      <c r="ADQ586"/>
      <c r="ADR586"/>
      <c r="ADS586"/>
      <c r="ADT586"/>
      <c r="ADU586"/>
      <c r="ADV586"/>
      <c r="ADW586"/>
      <c r="ADX586"/>
      <c r="ADY586"/>
      <c r="ADZ586"/>
      <c r="AEA586"/>
      <c r="AEB586"/>
      <c r="AEC586"/>
      <c r="AED586"/>
      <c r="AEE586"/>
      <c r="AEF586"/>
      <c r="AEG586"/>
      <c r="AEH586"/>
      <c r="AEI586"/>
      <c r="AEJ586"/>
      <c r="AEK586"/>
      <c r="AEL586"/>
      <c r="AEM586"/>
      <c r="AEN586"/>
      <c r="AEO586"/>
      <c r="AEP586"/>
      <c r="AEQ586"/>
      <c r="AER586"/>
      <c r="AES586"/>
      <c r="AET586"/>
      <c r="AEU586"/>
      <c r="AEV586"/>
      <c r="AEW586"/>
      <c r="AEX586"/>
      <c r="AEY586"/>
      <c r="AEZ586"/>
      <c r="AFA586"/>
      <c r="AFB586"/>
      <c r="AFC586"/>
      <c r="AFD586"/>
      <c r="AFE586"/>
      <c r="AFF586"/>
      <c r="AFG586"/>
      <c r="AFH586"/>
      <c r="AFI586"/>
      <c r="AFJ586"/>
      <c r="AFK586"/>
      <c r="AFL586"/>
      <c r="AFM586"/>
      <c r="AFN586"/>
      <c r="AFO586"/>
      <c r="AFP586"/>
      <c r="AFQ586"/>
      <c r="AFR586"/>
      <c r="AFS586"/>
      <c r="AFT586"/>
      <c r="AFU586"/>
      <c r="AFV586"/>
      <c r="AFW586"/>
      <c r="AFX586"/>
      <c r="AFY586"/>
      <c r="AFZ586"/>
      <c r="AGA586"/>
      <c r="AGB586"/>
      <c r="AGC586"/>
      <c r="AGD586"/>
      <c r="AGE586"/>
      <c r="AGF586"/>
      <c r="AGG586"/>
      <c r="AGH586"/>
      <c r="AGI586"/>
      <c r="AGJ586"/>
      <c r="AGK586"/>
      <c r="AGL586"/>
      <c r="AGM586"/>
      <c r="AGN586"/>
      <c r="AGO586"/>
      <c r="AGP586"/>
      <c r="AGQ586"/>
      <c r="AGR586"/>
      <c r="AGS586"/>
      <c r="AGT586"/>
      <c r="AGU586"/>
      <c r="AGV586"/>
      <c r="AGW586"/>
      <c r="AGX586"/>
      <c r="AGY586"/>
      <c r="AGZ586"/>
      <c r="AHA586"/>
      <c r="AHB586"/>
      <c r="AHC586"/>
      <c r="AHD586"/>
      <c r="AHE586"/>
      <c r="AHF586"/>
      <c r="AHG586"/>
      <c r="AHH586"/>
      <c r="AHI586"/>
      <c r="AHJ586"/>
      <c r="AHK586"/>
      <c r="AHL586"/>
      <c r="AHM586"/>
      <c r="AHN586"/>
      <c r="AHO586"/>
      <c r="AHP586"/>
      <c r="AHQ586"/>
      <c r="AHR586"/>
      <c r="AHS586"/>
      <c r="AHT586"/>
      <c r="AHU586"/>
      <c r="AHV586"/>
      <c r="AHW586"/>
      <c r="AHX586"/>
      <c r="AHY586"/>
      <c r="AHZ586"/>
      <c r="AIA586"/>
      <c r="AIB586"/>
      <c r="AIC586"/>
      <c r="AID586"/>
      <c r="AIE586"/>
      <c r="AIF586"/>
      <c r="AIG586"/>
      <c r="AIH586"/>
      <c r="AII586"/>
      <c r="AIJ586"/>
      <c r="AIK586"/>
      <c r="AIL586"/>
      <c r="AIM586"/>
      <c r="AIN586"/>
      <c r="AIO586"/>
      <c r="AIP586"/>
      <c r="AIQ586"/>
      <c r="AIR586"/>
      <c r="AIS586"/>
      <c r="AIT586"/>
      <c r="AIU586"/>
      <c r="AIV586"/>
      <c r="AIW586"/>
      <c r="AIX586"/>
      <c r="AIY586"/>
      <c r="AIZ586"/>
      <c r="AJA586"/>
      <c r="AJB586"/>
      <c r="AJC586"/>
      <c r="AJD586"/>
      <c r="AJE586"/>
      <c r="AJF586"/>
      <c r="AJG586"/>
      <c r="AJH586"/>
      <c r="AJI586"/>
      <c r="AJJ586"/>
      <c r="AJK586"/>
      <c r="AJL586"/>
      <c r="AJM586"/>
      <c r="AJN586"/>
      <c r="AJO586"/>
      <c r="AJP586"/>
      <c r="AJQ586"/>
      <c r="AJR586"/>
      <c r="AJS586"/>
      <c r="AJT586"/>
      <c r="AJU586"/>
      <c r="AJV586"/>
      <c r="AJW586"/>
      <c r="AJX586"/>
      <c r="AJY586"/>
      <c r="AJZ586"/>
      <c r="AKA586"/>
      <c r="AKB586"/>
      <c r="AKC586"/>
      <c r="AKD586"/>
      <c r="AKE586"/>
      <c r="AKF586"/>
      <c r="AKG586"/>
      <c r="AKH586"/>
      <c r="AKI586"/>
      <c r="AKJ586"/>
      <c r="AKK586"/>
      <c r="AKL586"/>
      <c r="AKM586"/>
      <c r="AKN586"/>
      <c r="AKO586"/>
      <c r="AKP586"/>
      <c r="AKQ586"/>
      <c r="AKR586"/>
      <c r="AKS586"/>
      <c r="AKT586"/>
      <c r="AKU586"/>
      <c r="AKV586"/>
      <c r="AKW586"/>
    </row>
    <row r="587" spans="1:985">
      <c r="A587" s="421" t="s">
        <v>391</v>
      </c>
      <c r="B587" s="290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  <c r="ZW587"/>
      <c r="ZX587"/>
      <c r="ZY587"/>
      <c r="ZZ587"/>
      <c r="AAA587"/>
      <c r="AAB587"/>
      <c r="AAC587"/>
      <c r="AAD587"/>
      <c r="AAE587"/>
      <c r="AAF587"/>
      <c r="AAG587"/>
      <c r="AAH587"/>
      <c r="AAI587"/>
      <c r="AAJ587"/>
      <c r="AAK587"/>
      <c r="AAL587"/>
      <c r="AAM587"/>
      <c r="AAN587"/>
      <c r="AAO587"/>
      <c r="AAP587"/>
      <c r="AAQ587"/>
      <c r="AAR587"/>
      <c r="AAS587"/>
      <c r="AAT587"/>
      <c r="AAU587"/>
      <c r="AAV587"/>
      <c r="AAW587"/>
      <c r="AAX587"/>
      <c r="AAY587"/>
      <c r="AAZ587"/>
      <c r="ABA587"/>
      <c r="ABB587"/>
      <c r="ABC587"/>
      <c r="ABD587"/>
      <c r="ABE587"/>
      <c r="ABF587"/>
      <c r="ABG587"/>
      <c r="ABH587"/>
      <c r="ABI587"/>
      <c r="ABJ587"/>
      <c r="ABK587"/>
      <c r="ABL587"/>
      <c r="ABM587"/>
      <c r="ABN587"/>
      <c r="ABO587"/>
      <c r="ABP587"/>
      <c r="ABQ587"/>
      <c r="ABR587"/>
      <c r="ABS587"/>
      <c r="ABT587"/>
      <c r="ABU587"/>
      <c r="ABV587"/>
      <c r="ABW587"/>
      <c r="ABX587"/>
      <c r="ABY587"/>
      <c r="ABZ587"/>
      <c r="ACA587"/>
      <c r="ACB587"/>
      <c r="ACC587"/>
      <c r="ACD587"/>
      <c r="ACE587"/>
      <c r="ACF587"/>
      <c r="ACG587"/>
      <c r="ACH587"/>
      <c r="ACI587"/>
      <c r="ACJ587"/>
      <c r="ACK587"/>
      <c r="ACL587"/>
      <c r="ACM587"/>
      <c r="ACN587"/>
      <c r="ACO587"/>
      <c r="ACP587"/>
      <c r="ACQ587"/>
      <c r="ACR587"/>
      <c r="ACS587"/>
      <c r="ACT587"/>
      <c r="ACU587"/>
      <c r="ACV587"/>
      <c r="ACW587"/>
      <c r="ACX587"/>
      <c r="ACY587"/>
      <c r="ACZ587"/>
      <c r="ADA587"/>
      <c r="ADB587"/>
      <c r="ADC587"/>
      <c r="ADD587"/>
      <c r="ADE587"/>
      <c r="ADF587"/>
      <c r="ADG587"/>
      <c r="ADH587"/>
      <c r="ADI587"/>
      <c r="ADJ587"/>
      <c r="ADK587"/>
      <c r="ADL587"/>
      <c r="ADM587"/>
      <c r="ADN587"/>
      <c r="ADO587"/>
      <c r="ADP587"/>
      <c r="ADQ587"/>
      <c r="ADR587"/>
      <c r="ADS587"/>
      <c r="ADT587"/>
      <c r="ADU587"/>
      <c r="ADV587"/>
      <c r="ADW587"/>
      <c r="ADX587"/>
      <c r="ADY587"/>
      <c r="ADZ587"/>
      <c r="AEA587"/>
      <c r="AEB587"/>
      <c r="AEC587"/>
      <c r="AED587"/>
      <c r="AEE587"/>
      <c r="AEF587"/>
      <c r="AEG587"/>
      <c r="AEH587"/>
      <c r="AEI587"/>
      <c r="AEJ587"/>
      <c r="AEK587"/>
      <c r="AEL587"/>
      <c r="AEM587"/>
      <c r="AEN587"/>
      <c r="AEO587"/>
      <c r="AEP587"/>
      <c r="AEQ587"/>
      <c r="AER587"/>
      <c r="AES587"/>
      <c r="AET587"/>
      <c r="AEU587"/>
      <c r="AEV587"/>
      <c r="AEW587"/>
      <c r="AEX587"/>
      <c r="AEY587"/>
      <c r="AEZ587"/>
      <c r="AFA587"/>
      <c r="AFB587"/>
      <c r="AFC587"/>
      <c r="AFD587"/>
      <c r="AFE587"/>
      <c r="AFF587"/>
      <c r="AFG587"/>
      <c r="AFH587"/>
      <c r="AFI587"/>
      <c r="AFJ587"/>
      <c r="AFK587"/>
      <c r="AFL587"/>
      <c r="AFM587"/>
      <c r="AFN587"/>
      <c r="AFO587"/>
      <c r="AFP587"/>
      <c r="AFQ587"/>
      <c r="AFR587"/>
      <c r="AFS587"/>
      <c r="AFT587"/>
      <c r="AFU587"/>
      <c r="AFV587"/>
      <c r="AFW587"/>
      <c r="AFX587"/>
      <c r="AFY587"/>
      <c r="AFZ587"/>
      <c r="AGA587"/>
      <c r="AGB587"/>
      <c r="AGC587"/>
      <c r="AGD587"/>
      <c r="AGE587"/>
      <c r="AGF587"/>
      <c r="AGG587"/>
      <c r="AGH587"/>
      <c r="AGI587"/>
      <c r="AGJ587"/>
      <c r="AGK587"/>
      <c r="AGL587"/>
      <c r="AGM587"/>
      <c r="AGN587"/>
      <c r="AGO587"/>
      <c r="AGP587"/>
      <c r="AGQ587"/>
      <c r="AGR587"/>
      <c r="AGS587"/>
      <c r="AGT587"/>
      <c r="AGU587"/>
      <c r="AGV587"/>
      <c r="AGW587"/>
      <c r="AGX587"/>
      <c r="AGY587"/>
      <c r="AGZ587"/>
      <c r="AHA587"/>
      <c r="AHB587"/>
      <c r="AHC587"/>
      <c r="AHD587"/>
      <c r="AHE587"/>
      <c r="AHF587"/>
      <c r="AHG587"/>
      <c r="AHH587"/>
      <c r="AHI587"/>
      <c r="AHJ587"/>
      <c r="AHK587"/>
      <c r="AHL587"/>
      <c r="AHM587"/>
      <c r="AHN587"/>
      <c r="AHO587"/>
      <c r="AHP587"/>
      <c r="AHQ587"/>
      <c r="AHR587"/>
      <c r="AHS587"/>
      <c r="AHT587"/>
      <c r="AHU587"/>
      <c r="AHV587"/>
      <c r="AHW587"/>
      <c r="AHX587"/>
      <c r="AHY587"/>
      <c r="AHZ587"/>
      <c r="AIA587"/>
      <c r="AIB587"/>
      <c r="AIC587"/>
      <c r="AID587"/>
      <c r="AIE587"/>
      <c r="AIF587"/>
      <c r="AIG587"/>
      <c r="AIH587"/>
      <c r="AII587"/>
      <c r="AIJ587"/>
      <c r="AIK587"/>
      <c r="AIL587"/>
      <c r="AIM587"/>
      <c r="AIN587"/>
      <c r="AIO587"/>
      <c r="AIP587"/>
      <c r="AIQ587"/>
      <c r="AIR587"/>
      <c r="AIS587"/>
      <c r="AIT587"/>
      <c r="AIU587"/>
      <c r="AIV587"/>
      <c r="AIW587"/>
      <c r="AIX587"/>
      <c r="AIY587"/>
      <c r="AIZ587"/>
      <c r="AJA587"/>
      <c r="AJB587"/>
      <c r="AJC587"/>
      <c r="AJD587"/>
      <c r="AJE587"/>
      <c r="AJF587"/>
      <c r="AJG587"/>
      <c r="AJH587"/>
      <c r="AJI587"/>
      <c r="AJJ587"/>
      <c r="AJK587"/>
      <c r="AJL587"/>
      <c r="AJM587"/>
      <c r="AJN587"/>
      <c r="AJO587"/>
      <c r="AJP587"/>
      <c r="AJQ587"/>
      <c r="AJR587"/>
      <c r="AJS587"/>
      <c r="AJT587"/>
      <c r="AJU587"/>
      <c r="AJV587"/>
      <c r="AJW587"/>
      <c r="AJX587"/>
      <c r="AJY587"/>
      <c r="AJZ587"/>
      <c r="AKA587"/>
      <c r="AKB587"/>
      <c r="AKC587"/>
      <c r="AKD587"/>
      <c r="AKE587"/>
      <c r="AKF587"/>
      <c r="AKG587"/>
      <c r="AKH587"/>
      <c r="AKI587"/>
      <c r="AKJ587"/>
      <c r="AKK587"/>
      <c r="AKL587"/>
      <c r="AKM587"/>
      <c r="AKN587"/>
      <c r="AKO587"/>
      <c r="AKP587"/>
      <c r="AKQ587"/>
      <c r="AKR587"/>
      <c r="AKS587"/>
      <c r="AKT587"/>
      <c r="AKU587"/>
      <c r="AKV587"/>
      <c r="AKW587"/>
    </row>
    <row r="588" spans="1:985">
      <c r="A588" s="421" t="s">
        <v>393</v>
      </c>
      <c r="B588" s="291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  <c r="ZW588"/>
      <c r="ZX588"/>
      <c r="ZY588"/>
      <c r="ZZ588"/>
      <c r="AAA588"/>
      <c r="AAB588"/>
      <c r="AAC588"/>
      <c r="AAD588"/>
      <c r="AAE588"/>
      <c r="AAF588"/>
      <c r="AAG588"/>
      <c r="AAH588"/>
      <c r="AAI588"/>
      <c r="AAJ588"/>
      <c r="AAK588"/>
      <c r="AAL588"/>
      <c r="AAM588"/>
      <c r="AAN588"/>
      <c r="AAO588"/>
      <c r="AAP588"/>
      <c r="AAQ588"/>
      <c r="AAR588"/>
      <c r="AAS588"/>
      <c r="AAT588"/>
      <c r="AAU588"/>
      <c r="AAV588"/>
      <c r="AAW588"/>
      <c r="AAX588"/>
      <c r="AAY588"/>
      <c r="AAZ588"/>
      <c r="ABA588"/>
      <c r="ABB588"/>
      <c r="ABC588"/>
      <c r="ABD588"/>
      <c r="ABE588"/>
      <c r="ABF588"/>
      <c r="ABG588"/>
      <c r="ABH588"/>
      <c r="ABI588"/>
      <c r="ABJ588"/>
      <c r="ABK588"/>
      <c r="ABL588"/>
      <c r="ABM588"/>
      <c r="ABN588"/>
      <c r="ABO588"/>
      <c r="ABP588"/>
      <c r="ABQ588"/>
      <c r="ABR588"/>
      <c r="ABS588"/>
      <c r="ABT588"/>
      <c r="ABU588"/>
      <c r="ABV588"/>
      <c r="ABW588"/>
      <c r="ABX588"/>
      <c r="ABY588"/>
      <c r="ABZ588"/>
      <c r="ACA588"/>
      <c r="ACB588"/>
      <c r="ACC588"/>
      <c r="ACD588"/>
      <c r="ACE588"/>
      <c r="ACF588"/>
      <c r="ACG588"/>
      <c r="ACH588"/>
      <c r="ACI588"/>
      <c r="ACJ588"/>
      <c r="ACK588"/>
      <c r="ACL588"/>
      <c r="ACM588"/>
      <c r="ACN588"/>
      <c r="ACO588"/>
      <c r="ACP588"/>
      <c r="ACQ588"/>
      <c r="ACR588"/>
      <c r="ACS588"/>
      <c r="ACT588"/>
      <c r="ACU588"/>
      <c r="ACV588"/>
      <c r="ACW588"/>
      <c r="ACX588"/>
      <c r="ACY588"/>
      <c r="ACZ588"/>
      <c r="ADA588"/>
      <c r="ADB588"/>
      <c r="ADC588"/>
      <c r="ADD588"/>
      <c r="ADE588"/>
      <c r="ADF588"/>
      <c r="ADG588"/>
      <c r="ADH588"/>
      <c r="ADI588"/>
      <c r="ADJ588"/>
      <c r="ADK588"/>
      <c r="ADL588"/>
      <c r="ADM588"/>
      <c r="ADN588"/>
      <c r="ADO588"/>
      <c r="ADP588"/>
      <c r="ADQ588"/>
      <c r="ADR588"/>
      <c r="ADS588"/>
      <c r="ADT588"/>
      <c r="ADU588"/>
      <c r="ADV588"/>
      <c r="ADW588"/>
      <c r="ADX588"/>
      <c r="ADY588"/>
      <c r="ADZ588"/>
      <c r="AEA588"/>
      <c r="AEB588"/>
      <c r="AEC588"/>
      <c r="AED588"/>
      <c r="AEE588"/>
      <c r="AEF588"/>
      <c r="AEG588"/>
      <c r="AEH588"/>
      <c r="AEI588"/>
      <c r="AEJ588"/>
      <c r="AEK588"/>
      <c r="AEL588"/>
      <c r="AEM588"/>
      <c r="AEN588"/>
      <c r="AEO588"/>
      <c r="AEP588"/>
      <c r="AEQ588"/>
      <c r="AER588"/>
      <c r="AES588"/>
      <c r="AET588"/>
      <c r="AEU588"/>
      <c r="AEV588"/>
      <c r="AEW588"/>
      <c r="AEX588"/>
      <c r="AEY588"/>
      <c r="AEZ588"/>
      <c r="AFA588"/>
      <c r="AFB588"/>
      <c r="AFC588"/>
      <c r="AFD588"/>
      <c r="AFE588"/>
      <c r="AFF588"/>
      <c r="AFG588"/>
      <c r="AFH588"/>
      <c r="AFI588"/>
      <c r="AFJ588"/>
      <c r="AFK588"/>
      <c r="AFL588"/>
      <c r="AFM588"/>
      <c r="AFN588"/>
      <c r="AFO588"/>
      <c r="AFP588"/>
      <c r="AFQ588"/>
      <c r="AFR588"/>
      <c r="AFS588"/>
      <c r="AFT588"/>
      <c r="AFU588"/>
      <c r="AFV588"/>
      <c r="AFW588"/>
      <c r="AFX588"/>
      <c r="AFY588"/>
      <c r="AFZ588"/>
      <c r="AGA588"/>
      <c r="AGB588"/>
      <c r="AGC588"/>
      <c r="AGD588"/>
      <c r="AGE588"/>
      <c r="AGF588"/>
      <c r="AGG588"/>
      <c r="AGH588"/>
      <c r="AGI588"/>
      <c r="AGJ588"/>
      <c r="AGK588"/>
      <c r="AGL588"/>
      <c r="AGM588"/>
      <c r="AGN588"/>
      <c r="AGO588"/>
      <c r="AGP588"/>
      <c r="AGQ588"/>
      <c r="AGR588"/>
      <c r="AGS588"/>
      <c r="AGT588"/>
      <c r="AGU588"/>
      <c r="AGV588"/>
      <c r="AGW588"/>
      <c r="AGX588"/>
      <c r="AGY588"/>
      <c r="AGZ588"/>
      <c r="AHA588"/>
      <c r="AHB588"/>
      <c r="AHC588"/>
      <c r="AHD588"/>
      <c r="AHE588"/>
      <c r="AHF588"/>
      <c r="AHG588"/>
      <c r="AHH588"/>
      <c r="AHI588"/>
      <c r="AHJ588"/>
      <c r="AHK588"/>
      <c r="AHL588"/>
      <c r="AHM588"/>
      <c r="AHN588"/>
      <c r="AHO588"/>
      <c r="AHP588"/>
      <c r="AHQ588"/>
      <c r="AHR588"/>
      <c r="AHS588"/>
      <c r="AHT588"/>
      <c r="AHU588"/>
      <c r="AHV588"/>
      <c r="AHW588"/>
      <c r="AHX588"/>
      <c r="AHY588"/>
      <c r="AHZ588"/>
      <c r="AIA588"/>
      <c r="AIB588"/>
      <c r="AIC588"/>
      <c r="AID588"/>
      <c r="AIE588"/>
      <c r="AIF588"/>
      <c r="AIG588"/>
      <c r="AIH588"/>
      <c r="AII588"/>
      <c r="AIJ588"/>
      <c r="AIK588"/>
      <c r="AIL588"/>
      <c r="AIM588"/>
      <c r="AIN588"/>
      <c r="AIO588"/>
      <c r="AIP588"/>
      <c r="AIQ588"/>
      <c r="AIR588"/>
      <c r="AIS588"/>
      <c r="AIT588"/>
      <c r="AIU588"/>
      <c r="AIV588"/>
      <c r="AIW588"/>
      <c r="AIX588"/>
      <c r="AIY588"/>
      <c r="AIZ588"/>
      <c r="AJA588"/>
      <c r="AJB588"/>
      <c r="AJC588"/>
      <c r="AJD588"/>
      <c r="AJE588"/>
      <c r="AJF588"/>
      <c r="AJG588"/>
      <c r="AJH588"/>
      <c r="AJI588"/>
      <c r="AJJ588"/>
      <c r="AJK588"/>
      <c r="AJL588"/>
      <c r="AJM588"/>
      <c r="AJN588"/>
      <c r="AJO588"/>
      <c r="AJP588"/>
      <c r="AJQ588"/>
      <c r="AJR588"/>
      <c r="AJS588"/>
      <c r="AJT588"/>
      <c r="AJU588"/>
      <c r="AJV588"/>
      <c r="AJW588"/>
      <c r="AJX588"/>
      <c r="AJY588"/>
      <c r="AJZ588"/>
      <c r="AKA588"/>
      <c r="AKB588"/>
      <c r="AKC588"/>
      <c r="AKD588"/>
      <c r="AKE588"/>
      <c r="AKF588"/>
      <c r="AKG588"/>
      <c r="AKH588"/>
      <c r="AKI588"/>
      <c r="AKJ588"/>
      <c r="AKK588"/>
      <c r="AKL588"/>
      <c r="AKM588"/>
      <c r="AKN588"/>
      <c r="AKO588"/>
      <c r="AKP588"/>
      <c r="AKQ588"/>
      <c r="AKR588"/>
      <c r="AKS588"/>
      <c r="AKT588"/>
      <c r="AKU588"/>
      <c r="AKV588"/>
      <c r="AKW588"/>
    </row>
    <row r="589" spans="1:985">
      <c r="A589" s="421" t="s">
        <v>395</v>
      </c>
      <c r="B589" s="291">
        <v>6601.08</v>
      </c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  <c r="ZW589"/>
      <c r="ZX589"/>
      <c r="ZY589"/>
      <c r="ZZ589"/>
      <c r="AAA589"/>
      <c r="AAB589"/>
      <c r="AAC589"/>
      <c r="AAD589"/>
      <c r="AAE589"/>
      <c r="AAF589"/>
      <c r="AAG589"/>
      <c r="AAH589"/>
      <c r="AAI589"/>
      <c r="AAJ589"/>
      <c r="AAK589"/>
      <c r="AAL589"/>
      <c r="AAM589"/>
      <c r="AAN589"/>
      <c r="AAO589"/>
      <c r="AAP589"/>
      <c r="AAQ589"/>
      <c r="AAR589"/>
      <c r="AAS589"/>
      <c r="AAT589"/>
      <c r="AAU589"/>
      <c r="AAV589"/>
      <c r="AAW589"/>
      <c r="AAX589"/>
      <c r="AAY589"/>
      <c r="AAZ589"/>
      <c r="ABA589"/>
      <c r="ABB589"/>
      <c r="ABC589"/>
      <c r="ABD589"/>
      <c r="ABE589"/>
      <c r="ABF589"/>
      <c r="ABG589"/>
      <c r="ABH589"/>
      <c r="ABI589"/>
      <c r="ABJ589"/>
      <c r="ABK589"/>
      <c r="ABL589"/>
      <c r="ABM589"/>
      <c r="ABN589"/>
      <c r="ABO589"/>
      <c r="ABP589"/>
      <c r="ABQ589"/>
      <c r="ABR589"/>
      <c r="ABS589"/>
      <c r="ABT589"/>
      <c r="ABU589"/>
      <c r="ABV589"/>
      <c r="ABW589"/>
      <c r="ABX589"/>
      <c r="ABY589"/>
      <c r="ABZ589"/>
      <c r="ACA589"/>
      <c r="ACB589"/>
      <c r="ACC589"/>
      <c r="ACD589"/>
      <c r="ACE589"/>
      <c r="ACF589"/>
      <c r="ACG589"/>
      <c r="ACH589"/>
      <c r="ACI589"/>
      <c r="ACJ589"/>
      <c r="ACK589"/>
      <c r="ACL589"/>
      <c r="ACM589"/>
      <c r="ACN589"/>
      <c r="ACO589"/>
      <c r="ACP589"/>
      <c r="ACQ589"/>
      <c r="ACR589"/>
      <c r="ACS589"/>
      <c r="ACT589"/>
      <c r="ACU589"/>
      <c r="ACV589"/>
      <c r="ACW589"/>
      <c r="ACX589"/>
      <c r="ACY589"/>
      <c r="ACZ589"/>
      <c r="ADA589"/>
      <c r="ADB589"/>
      <c r="ADC589"/>
      <c r="ADD589"/>
      <c r="ADE589"/>
      <c r="ADF589"/>
      <c r="ADG589"/>
      <c r="ADH589"/>
      <c r="ADI589"/>
      <c r="ADJ589"/>
      <c r="ADK589"/>
      <c r="ADL589"/>
      <c r="ADM589"/>
      <c r="ADN589"/>
      <c r="ADO589"/>
      <c r="ADP589"/>
      <c r="ADQ589"/>
      <c r="ADR589"/>
      <c r="ADS589"/>
      <c r="ADT589"/>
      <c r="ADU589"/>
      <c r="ADV589"/>
      <c r="ADW589"/>
      <c r="ADX589"/>
      <c r="ADY589"/>
      <c r="ADZ589"/>
      <c r="AEA589"/>
      <c r="AEB589"/>
      <c r="AEC589"/>
      <c r="AED589"/>
      <c r="AEE589"/>
      <c r="AEF589"/>
      <c r="AEG589"/>
      <c r="AEH589"/>
      <c r="AEI589"/>
      <c r="AEJ589"/>
      <c r="AEK589"/>
      <c r="AEL589"/>
      <c r="AEM589"/>
      <c r="AEN589"/>
      <c r="AEO589"/>
      <c r="AEP589"/>
      <c r="AEQ589"/>
      <c r="AER589"/>
      <c r="AES589"/>
      <c r="AET589"/>
      <c r="AEU589"/>
      <c r="AEV589"/>
      <c r="AEW589"/>
      <c r="AEX589"/>
      <c r="AEY589"/>
      <c r="AEZ589"/>
      <c r="AFA589"/>
      <c r="AFB589"/>
      <c r="AFC589"/>
      <c r="AFD589"/>
      <c r="AFE589"/>
      <c r="AFF589"/>
      <c r="AFG589"/>
      <c r="AFH589"/>
      <c r="AFI589"/>
      <c r="AFJ589"/>
      <c r="AFK589"/>
      <c r="AFL589"/>
      <c r="AFM589"/>
      <c r="AFN589"/>
      <c r="AFO589"/>
      <c r="AFP589"/>
      <c r="AFQ589"/>
      <c r="AFR589"/>
      <c r="AFS589"/>
      <c r="AFT589"/>
      <c r="AFU589"/>
      <c r="AFV589"/>
      <c r="AFW589"/>
      <c r="AFX589"/>
      <c r="AFY589"/>
      <c r="AFZ589"/>
      <c r="AGA589"/>
      <c r="AGB589"/>
      <c r="AGC589"/>
      <c r="AGD589"/>
      <c r="AGE589"/>
      <c r="AGF589"/>
      <c r="AGG589"/>
      <c r="AGH589"/>
      <c r="AGI589"/>
      <c r="AGJ589"/>
      <c r="AGK589"/>
      <c r="AGL589"/>
      <c r="AGM589"/>
      <c r="AGN589"/>
      <c r="AGO589"/>
      <c r="AGP589"/>
      <c r="AGQ589"/>
      <c r="AGR589"/>
      <c r="AGS589"/>
      <c r="AGT589"/>
      <c r="AGU589"/>
      <c r="AGV589"/>
      <c r="AGW589"/>
      <c r="AGX589"/>
      <c r="AGY589"/>
      <c r="AGZ589"/>
      <c r="AHA589"/>
      <c r="AHB589"/>
      <c r="AHC589"/>
      <c r="AHD589"/>
      <c r="AHE589"/>
      <c r="AHF589"/>
      <c r="AHG589"/>
      <c r="AHH589"/>
      <c r="AHI589"/>
      <c r="AHJ589"/>
      <c r="AHK589"/>
      <c r="AHL589"/>
      <c r="AHM589"/>
      <c r="AHN589"/>
      <c r="AHO589"/>
      <c r="AHP589"/>
      <c r="AHQ589"/>
      <c r="AHR589"/>
      <c r="AHS589"/>
      <c r="AHT589"/>
      <c r="AHU589"/>
      <c r="AHV589"/>
      <c r="AHW589"/>
      <c r="AHX589"/>
      <c r="AHY589"/>
      <c r="AHZ589"/>
      <c r="AIA589"/>
      <c r="AIB589"/>
      <c r="AIC589"/>
      <c r="AID589"/>
      <c r="AIE589"/>
      <c r="AIF589"/>
      <c r="AIG589"/>
      <c r="AIH589"/>
      <c r="AII589"/>
      <c r="AIJ589"/>
      <c r="AIK589"/>
      <c r="AIL589"/>
      <c r="AIM589"/>
      <c r="AIN589"/>
      <c r="AIO589"/>
      <c r="AIP589"/>
      <c r="AIQ589"/>
      <c r="AIR589"/>
      <c r="AIS589"/>
      <c r="AIT589"/>
      <c r="AIU589"/>
      <c r="AIV589"/>
      <c r="AIW589"/>
      <c r="AIX589"/>
      <c r="AIY589"/>
      <c r="AIZ589"/>
      <c r="AJA589"/>
      <c r="AJB589"/>
      <c r="AJC589"/>
      <c r="AJD589"/>
      <c r="AJE589"/>
      <c r="AJF589"/>
      <c r="AJG589"/>
      <c r="AJH589"/>
      <c r="AJI589"/>
      <c r="AJJ589"/>
      <c r="AJK589"/>
      <c r="AJL589"/>
      <c r="AJM589"/>
      <c r="AJN589"/>
      <c r="AJO589"/>
      <c r="AJP589"/>
      <c r="AJQ589"/>
      <c r="AJR589"/>
      <c r="AJS589"/>
      <c r="AJT589"/>
      <c r="AJU589"/>
      <c r="AJV589"/>
      <c r="AJW589"/>
      <c r="AJX589"/>
      <c r="AJY589"/>
      <c r="AJZ589"/>
      <c r="AKA589"/>
      <c r="AKB589"/>
      <c r="AKC589"/>
      <c r="AKD589"/>
      <c r="AKE589"/>
      <c r="AKF589"/>
      <c r="AKG589"/>
      <c r="AKH589"/>
      <c r="AKI589"/>
      <c r="AKJ589"/>
      <c r="AKK589"/>
      <c r="AKL589"/>
      <c r="AKM589"/>
      <c r="AKN589"/>
      <c r="AKO589"/>
      <c r="AKP589"/>
      <c r="AKQ589"/>
      <c r="AKR589"/>
      <c r="AKS589"/>
      <c r="AKT589"/>
      <c r="AKU589"/>
      <c r="AKV589"/>
      <c r="AKW589"/>
    </row>
    <row r="590" spans="1:985">
      <c r="A590" s="421" t="s">
        <v>397</v>
      </c>
      <c r="B590" s="2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  <c r="ZW590"/>
      <c r="ZX590"/>
      <c r="ZY590"/>
      <c r="ZZ590"/>
      <c r="AAA590"/>
      <c r="AAB590"/>
      <c r="AAC590"/>
      <c r="AAD590"/>
      <c r="AAE590"/>
      <c r="AAF590"/>
      <c r="AAG590"/>
      <c r="AAH590"/>
      <c r="AAI590"/>
      <c r="AAJ590"/>
      <c r="AAK590"/>
      <c r="AAL590"/>
      <c r="AAM590"/>
      <c r="AAN590"/>
      <c r="AAO590"/>
      <c r="AAP590"/>
      <c r="AAQ590"/>
      <c r="AAR590"/>
      <c r="AAS590"/>
      <c r="AAT590"/>
      <c r="AAU590"/>
      <c r="AAV590"/>
      <c r="AAW590"/>
      <c r="AAX590"/>
      <c r="AAY590"/>
      <c r="AAZ590"/>
      <c r="ABA590"/>
      <c r="ABB590"/>
      <c r="ABC590"/>
      <c r="ABD590"/>
      <c r="ABE590"/>
      <c r="ABF590"/>
      <c r="ABG590"/>
      <c r="ABH590"/>
      <c r="ABI590"/>
      <c r="ABJ590"/>
      <c r="ABK590"/>
      <c r="ABL590"/>
      <c r="ABM590"/>
      <c r="ABN590"/>
      <c r="ABO590"/>
      <c r="ABP590"/>
      <c r="ABQ590"/>
      <c r="ABR590"/>
      <c r="ABS590"/>
      <c r="ABT590"/>
      <c r="ABU590"/>
      <c r="ABV590"/>
      <c r="ABW590"/>
      <c r="ABX590"/>
      <c r="ABY590"/>
      <c r="ABZ590"/>
      <c r="ACA590"/>
      <c r="ACB590"/>
      <c r="ACC590"/>
      <c r="ACD590"/>
      <c r="ACE590"/>
      <c r="ACF590"/>
      <c r="ACG590"/>
      <c r="ACH590"/>
      <c r="ACI590"/>
      <c r="ACJ590"/>
      <c r="ACK590"/>
      <c r="ACL590"/>
      <c r="ACM590"/>
      <c r="ACN590"/>
      <c r="ACO590"/>
      <c r="ACP590"/>
      <c r="ACQ590"/>
      <c r="ACR590"/>
      <c r="ACS590"/>
      <c r="ACT590"/>
      <c r="ACU590"/>
      <c r="ACV590"/>
      <c r="ACW590"/>
      <c r="ACX590"/>
      <c r="ACY590"/>
      <c r="ACZ590"/>
      <c r="ADA590"/>
      <c r="ADB590"/>
      <c r="ADC590"/>
      <c r="ADD590"/>
      <c r="ADE590"/>
      <c r="ADF590"/>
      <c r="ADG590"/>
      <c r="ADH590"/>
      <c r="ADI590"/>
      <c r="ADJ590"/>
      <c r="ADK590"/>
      <c r="ADL590"/>
      <c r="ADM590"/>
      <c r="ADN590"/>
      <c r="ADO590"/>
      <c r="ADP590"/>
      <c r="ADQ590"/>
      <c r="ADR590"/>
      <c r="ADS590"/>
      <c r="ADT590"/>
      <c r="ADU590"/>
      <c r="ADV590"/>
      <c r="ADW590"/>
      <c r="ADX590"/>
      <c r="ADY590"/>
      <c r="ADZ590"/>
      <c r="AEA590"/>
      <c r="AEB590"/>
      <c r="AEC590"/>
      <c r="AED590"/>
      <c r="AEE590"/>
      <c r="AEF590"/>
      <c r="AEG590"/>
      <c r="AEH590"/>
      <c r="AEI590"/>
      <c r="AEJ590"/>
      <c r="AEK590"/>
      <c r="AEL590"/>
      <c r="AEM590"/>
      <c r="AEN590"/>
      <c r="AEO590"/>
      <c r="AEP590"/>
      <c r="AEQ590"/>
      <c r="AER590"/>
      <c r="AES590"/>
      <c r="AET590"/>
      <c r="AEU590"/>
      <c r="AEV590"/>
      <c r="AEW590"/>
      <c r="AEX590"/>
      <c r="AEY590"/>
      <c r="AEZ590"/>
      <c r="AFA590"/>
      <c r="AFB590"/>
      <c r="AFC590"/>
      <c r="AFD590"/>
      <c r="AFE590"/>
      <c r="AFF590"/>
      <c r="AFG590"/>
      <c r="AFH590"/>
      <c r="AFI590"/>
      <c r="AFJ590"/>
      <c r="AFK590"/>
      <c r="AFL590"/>
      <c r="AFM590"/>
      <c r="AFN590"/>
      <c r="AFO590"/>
      <c r="AFP590"/>
      <c r="AFQ590"/>
      <c r="AFR590"/>
      <c r="AFS590"/>
      <c r="AFT590"/>
      <c r="AFU590"/>
      <c r="AFV590"/>
      <c r="AFW590"/>
      <c r="AFX590"/>
      <c r="AFY590"/>
      <c r="AFZ590"/>
      <c r="AGA590"/>
      <c r="AGB590"/>
      <c r="AGC590"/>
      <c r="AGD590"/>
      <c r="AGE590"/>
      <c r="AGF590"/>
      <c r="AGG590"/>
      <c r="AGH590"/>
      <c r="AGI590"/>
      <c r="AGJ590"/>
      <c r="AGK590"/>
      <c r="AGL590"/>
      <c r="AGM590"/>
      <c r="AGN590"/>
      <c r="AGO590"/>
      <c r="AGP590"/>
      <c r="AGQ590"/>
      <c r="AGR590"/>
      <c r="AGS590"/>
      <c r="AGT590"/>
      <c r="AGU590"/>
      <c r="AGV590"/>
      <c r="AGW590"/>
      <c r="AGX590"/>
      <c r="AGY590"/>
      <c r="AGZ590"/>
      <c r="AHA590"/>
      <c r="AHB590"/>
      <c r="AHC590"/>
      <c r="AHD590"/>
      <c r="AHE590"/>
      <c r="AHF590"/>
      <c r="AHG590"/>
      <c r="AHH590"/>
      <c r="AHI590"/>
      <c r="AHJ590"/>
      <c r="AHK590"/>
      <c r="AHL590"/>
      <c r="AHM590"/>
      <c r="AHN590"/>
      <c r="AHO590"/>
      <c r="AHP590"/>
      <c r="AHQ590"/>
      <c r="AHR590"/>
      <c r="AHS590"/>
      <c r="AHT590"/>
      <c r="AHU590"/>
      <c r="AHV590"/>
      <c r="AHW590"/>
      <c r="AHX590"/>
      <c r="AHY590"/>
      <c r="AHZ590"/>
      <c r="AIA590"/>
      <c r="AIB590"/>
      <c r="AIC590"/>
      <c r="AID590"/>
      <c r="AIE590"/>
      <c r="AIF590"/>
      <c r="AIG590"/>
      <c r="AIH590"/>
      <c r="AII590"/>
      <c r="AIJ590"/>
      <c r="AIK590"/>
      <c r="AIL590"/>
      <c r="AIM590"/>
      <c r="AIN590"/>
      <c r="AIO590"/>
      <c r="AIP590"/>
      <c r="AIQ590"/>
      <c r="AIR590"/>
      <c r="AIS590"/>
      <c r="AIT590"/>
      <c r="AIU590"/>
      <c r="AIV590"/>
      <c r="AIW590"/>
      <c r="AIX590"/>
      <c r="AIY590"/>
      <c r="AIZ590"/>
      <c r="AJA590"/>
      <c r="AJB590"/>
      <c r="AJC590"/>
      <c r="AJD590"/>
      <c r="AJE590"/>
      <c r="AJF590"/>
      <c r="AJG590"/>
      <c r="AJH590"/>
      <c r="AJI590"/>
      <c r="AJJ590"/>
      <c r="AJK590"/>
      <c r="AJL590"/>
      <c r="AJM590"/>
      <c r="AJN590"/>
      <c r="AJO590"/>
      <c r="AJP590"/>
      <c r="AJQ590"/>
      <c r="AJR590"/>
      <c r="AJS590"/>
      <c r="AJT590"/>
      <c r="AJU590"/>
      <c r="AJV590"/>
      <c r="AJW590"/>
      <c r="AJX590"/>
      <c r="AJY590"/>
      <c r="AJZ590"/>
      <c r="AKA590"/>
      <c r="AKB590"/>
      <c r="AKC590"/>
      <c r="AKD590"/>
      <c r="AKE590"/>
      <c r="AKF590"/>
      <c r="AKG590"/>
      <c r="AKH590"/>
      <c r="AKI590"/>
      <c r="AKJ590"/>
      <c r="AKK590"/>
      <c r="AKL590"/>
      <c r="AKM590"/>
      <c r="AKN590"/>
      <c r="AKO590"/>
      <c r="AKP590"/>
      <c r="AKQ590"/>
      <c r="AKR590"/>
      <c r="AKS590"/>
      <c r="AKT590"/>
      <c r="AKU590"/>
      <c r="AKV590"/>
      <c r="AKW590"/>
    </row>
    <row r="591" spans="1:985">
      <c r="A591" s="421" t="s">
        <v>399</v>
      </c>
      <c r="B591" s="291">
        <v>5870</v>
      </c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  <c r="ZW591"/>
      <c r="ZX591"/>
      <c r="ZY591"/>
      <c r="ZZ591"/>
      <c r="AAA591"/>
      <c r="AAB591"/>
      <c r="AAC591"/>
      <c r="AAD591"/>
      <c r="AAE591"/>
      <c r="AAF591"/>
      <c r="AAG591"/>
      <c r="AAH591"/>
      <c r="AAI591"/>
      <c r="AAJ591"/>
      <c r="AAK591"/>
      <c r="AAL591"/>
      <c r="AAM591"/>
      <c r="AAN591"/>
      <c r="AAO591"/>
      <c r="AAP591"/>
      <c r="AAQ591"/>
      <c r="AAR591"/>
      <c r="AAS591"/>
      <c r="AAT591"/>
      <c r="AAU591"/>
      <c r="AAV591"/>
      <c r="AAW591"/>
      <c r="AAX591"/>
      <c r="AAY591"/>
      <c r="AAZ591"/>
      <c r="ABA591"/>
      <c r="ABB591"/>
      <c r="ABC591"/>
      <c r="ABD591"/>
      <c r="ABE591"/>
      <c r="ABF591"/>
      <c r="ABG591"/>
      <c r="ABH591"/>
      <c r="ABI591"/>
      <c r="ABJ591"/>
      <c r="ABK591"/>
      <c r="ABL591"/>
      <c r="ABM591"/>
      <c r="ABN591"/>
      <c r="ABO591"/>
      <c r="ABP591"/>
      <c r="ABQ591"/>
      <c r="ABR591"/>
      <c r="ABS591"/>
      <c r="ABT591"/>
      <c r="ABU591"/>
      <c r="ABV591"/>
      <c r="ABW591"/>
      <c r="ABX591"/>
      <c r="ABY591"/>
      <c r="ABZ591"/>
      <c r="ACA591"/>
      <c r="ACB591"/>
      <c r="ACC591"/>
      <c r="ACD591"/>
      <c r="ACE591"/>
      <c r="ACF591"/>
      <c r="ACG591"/>
      <c r="ACH591"/>
      <c r="ACI591"/>
      <c r="ACJ591"/>
      <c r="ACK591"/>
      <c r="ACL591"/>
      <c r="ACM591"/>
      <c r="ACN591"/>
      <c r="ACO591"/>
      <c r="ACP591"/>
      <c r="ACQ591"/>
      <c r="ACR591"/>
      <c r="ACS591"/>
      <c r="ACT591"/>
      <c r="ACU591"/>
      <c r="ACV591"/>
      <c r="ACW591"/>
      <c r="ACX591"/>
      <c r="ACY591"/>
      <c r="ACZ591"/>
      <c r="ADA591"/>
      <c r="ADB591"/>
      <c r="ADC591"/>
      <c r="ADD591"/>
      <c r="ADE591"/>
      <c r="ADF591"/>
      <c r="ADG591"/>
      <c r="ADH591"/>
      <c r="ADI591"/>
      <c r="ADJ591"/>
      <c r="ADK591"/>
      <c r="ADL591"/>
      <c r="ADM591"/>
      <c r="ADN591"/>
      <c r="ADO591"/>
      <c r="ADP591"/>
      <c r="ADQ591"/>
      <c r="ADR591"/>
      <c r="ADS591"/>
      <c r="ADT591"/>
      <c r="ADU591"/>
      <c r="ADV591"/>
      <c r="ADW591"/>
      <c r="ADX591"/>
      <c r="ADY591"/>
      <c r="ADZ591"/>
      <c r="AEA591"/>
      <c r="AEB591"/>
      <c r="AEC591"/>
      <c r="AED591"/>
      <c r="AEE591"/>
      <c r="AEF591"/>
      <c r="AEG591"/>
      <c r="AEH591"/>
      <c r="AEI591"/>
      <c r="AEJ591"/>
      <c r="AEK591"/>
      <c r="AEL591"/>
      <c r="AEM591"/>
      <c r="AEN591"/>
      <c r="AEO591"/>
      <c r="AEP591"/>
      <c r="AEQ591"/>
      <c r="AER591"/>
      <c r="AES591"/>
      <c r="AET591"/>
      <c r="AEU591"/>
      <c r="AEV591"/>
      <c r="AEW591"/>
      <c r="AEX591"/>
      <c r="AEY591"/>
      <c r="AEZ591"/>
      <c r="AFA591"/>
      <c r="AFB591"/>
      <c r="AFC591"/>
      <c r="AFD591"/>
      <c r="AFE591"/>
      <c r="AFF591"/>
      <c r="AFG591"/>
      <c r="AFH591"/>
      <c r="AFI591"/>
      <c r="AFJ591"/>
      <c r="AFK591"/>
      <c r="AFL591"/>
      <c r="AFM591"/>
      <c r="AFN591"/>
      <c r="AFO591"/>
      <c r="AFP591"/>
      <c r="AFQ591"/>
      <c r="AFR591"/>
      <c r="AFS591"/>
      <c r="AFT591"/>
      <c r="AFU591"/>
      <c r="AFV591"/>
      <c r="AFW591"/>
      <c r="AFX591"/>
      <c r="AFY591"/>
      <c r="AFZ591"/>
      <c r="AGA591"/>
      <c r="AGB591"/>
      <c r="AGC591"/>
      <c r="AGD591"/>
      <c r="AGE591"/>
      <c r="AGF591"/>
      <c r="AGG591"/>
      <c r="AGH591"/>
      <c r="AGI591"/>
      <c r="AGJ591"/>
      <c r="AGK591"/>
      <c r="AGL591"/>
      <c r="AGM591"/>
      <c r="AGN591"/>
      <c r="AGO591"/>
      <c r="AGP591"/>
      <c r="AGQ591"/>
      <c r="AGR591"/>
      <c r="AGS591"/>
      <c r="AGT591"/>
      <c r="AGU591"/>
      <c r="AGV591"/>
      <c r="AGW591"/>
      <c r="AGX591"/>
      <c r="AGY591"/>
      <c r="AGZ591"/>
      <c r="AHA591"/>
      <c r="AHB591"/>
      <c r="AHC591"/>
      <c r="AHD591"/>
      <c r="AHE591"/>
      <c r="AHF591"/>
      <c r="AHG591"/>
      <c r="AHH591"/>
      <c r="AHI591"/>
      <c r="AHJ591"/>
      <c r="AHK591"/>
      <c r="AHL591"/>
      <c r="AHM591"/>
      <c r="AHN591"/>
      <c r="AHO591"/>
      <c r="AHP591"/>
      <c r="AHQ591"/>
      <c r="AHR591"/>
      <c r="AHS591"/>
      <c r="AHT591"/>
      <c r="AHU591"/>
      <c r="AHV591"/>
      <c r="AHW591"/>
      <c r="AHX591"/>
      <c r="AHY591"/>
      <c r="AHZ591"/>
      <c r="AIA591"/>
      <c r="AIB591"/>
      <c r="AIC591"/>
      <c r="AID591"/>
      <c r="AIE591"/>
      <c r="AIF591"/>
      <c r="AIG591"/>
      <c r="AIH591"/>
      <c r="AII591"/>
      <c r="AIJ591"/>
      <c r="AIK591"/>
      <c r="AIL591"/>
      <c r="AIM591"/>
      <c r="AIN591"/>
      <c r="AIO591"/>
      <c r="AIP591"/>
      <c r="AIQ591"/>
      <c r="AIR591"/>
      <c r="AIS591"/>
      <c r="AIT591"/>
      <c r="AIU591"/>
      <c r="AIV591"/>
      <c r="AIW591"/>
      <c r="AIX591"/>
      <c r="AIY591"/>
      <c r="AIZ591"/>
      <c r="AJA591"/>
      <c r="AJB591"/>
      <c r="AJC591"/>
      <c r="AJD591"/>
      <c r="AJE591"/>
      <c r="AJF591"/>
      <c r="AJG591"/>
      <c r="AJH591"/>
      <c r="AJI591"/>
      <c r="AJJ591"/>
      <c r="AJK591"/>
      <c r="AJL591"/>
      <c r="AJM591"/>
      <c r="AJN591"/>
      <c r="AJO591"/>
      <c r="AJP591"/>
      <c r="AJQ591"/>
      <c r="AJR591"/>
      <c r="AJS591"/>
      <c r="AJT591"/>
      <c r="AJU591"/>
      <c r="AJV591"/>
      <c r="AJW591"/>
      <c r="AJX591"/>
      <c r="AJY591"/>
      <c r="AJZ591"/>
      <c r="AKA591"/>
      <c r="AKB591"/>
      <c r="AKC591"/>
      <c r="AKD591"/>
      <c r="AKE591"/>
      <c r="AKF591"/>
      <c r="AKG591"/>
      <c r="AKH591"/>
      <c r="AKI591"/>
      <c r="AKJ591"/>
      <c r="AKK591"/>
      <c r="AKL591"/>
      <c r="AKM591"/>
      <c r="AKN591"/>
      <c r="AKO591"/>
      <c r="AKP591"/>
      <c r="AKQ591"/>
      <c r="AKR591"/>
      <c r="AKS591"/>
      <c r="AKT591"/>
      <c r="AKU591"/>
      <c r="AKV591"/>
      <c r="AKW591"/>
    </row>
    <row r="592" spans="1:985">
      <c r="A592" s="421" t="s">
        <v>400</v>
      </c>
      <c r="B592" s="291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/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/>
      <c r="AEO592"/>
      <c r="AEP592"/>
      <c r="AEQ592"/>
      <c r="AER592"/>
      <c r="AES592"/>
      <c r="AET592"/>
      <c r="AEU592"/>
      <c r="AEV592"/>
      <c r="AEW592"/>
      <c r="AEX592"/>
      <c r="AEY592"/>
      <c r="AEZ592"/>
      <c r="AFA592"/>
      <c r="AFB592"/>
      <c r="AFC592"/>
      <c r="AFD592"/>
      <c r="AFE592"/>
      <c r="AFF592"/>
      <c r="AFG592"/>
      <c r="AFH592"/>
      <c r="AFI592"/>
      <c r="AFJ592"/>
      <c r="AFK592"/>
      <c r="AFL592"/>
      <c r="AFM592"/>
      <c r="AFN592"/>
      <c r="AFO592"/>
      <c r="AFP592"/>
      <c r="AFQ592"/>
      <c r="AFR592"/>
      <c r="AFS592"/>
      <c r="AFT592"/>
      <c r="AFU592"/>
      <c r="AFV592"/>
      <c r="AFW592"/>
      <c r="AFX592"/>
      <c r="AFY592"/>
      <c r="AFZ592"/>
      <c r="AGA592"/>
      <c r="AGB592"/>
      <c r="AGC592"/>
      <c r="AGD592"/>
      <c r="AGE592"/>
      <c r="AGF592"/>
      <c r="AGG592"/>
      <c r="AGH592"/>
      <c r="AGI592"/>
      <c r="AGJ592"/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/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/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/>
      <c r="AJZ592"/>
      <c r="AKA592"/>
      <c r="AKB592"/>
      <c r="AKC592"/>
      <c r="AKD592"/>
      <c r="AKE592"/>
      <c r="AKF592"/>
      <c r="AKG592"/>
      <c r="AKH592"/>
      <c r="AKI592"/>
      <c r="AKJ592"/>
      <c r="AKK592"/>
      <c r="AKL592"/>
      <c r="AKM592"/>
      <c r="AKN592"/>
      <c r="AKO592"/>
      <c r="AKP592"/>
      <c r="AKQ592"/>
      <c r="AKR592"/>
      <c r="AKS592"/>
      <c r="AKT592"/>
      <c r="AKU592"/>
      <c r="AKV592"/>
      <c r="AKW592"/>
    </row>
    <row r="593" spans="1:985" ht="16.5" customHeight="1">
      <c r="A593" s="421" t="s">
        <v>401</v>
      </c>
      <c r="B593" s="289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  <c r="ZW593"/>
      <c r="ZX593"/>
      <c r="ZY593"/>
      <c r="ZZ593"/>
      <c r="AAA593"/>
      <c r="AAB593"/>
      <c r="AAC593"/>
      <c r="AAD593"/>
      <c r="AAE593"/>
      <c r="AAF593"/>
      <c r="AAG593"/>
      <c r="AAH593"/>
      <c r="AAI593"/>
      <c r="AAJ593"/>
      <c r="AAK593"/>
      <c r="AAL593"/>
      <c r="AAM593"/>
      <c r="AAN593"/>
      <c r="AAO593"/>
      <c r="AAP593"/>
      <c r="AAQ593"/>
      <c r="AAR593"/>
      <c r="AAS593"/>
      <c r="AAT593"/>
      <c r="AAU593"/>
      <c r="AAV593"/>
      <c r="AAW593"/>
      <c r="AAX593"/>
      <c r="AAY593"/>
      <c r="AAZ593"/>
      <c r="ABA593"/>
      <c r="ABB593"/>
      <c r="ABC593"/>
      <c r="ABD593"/>
      <c r="ABE593"/>
      <c r="ABF593"/>
      <c r="ABG593"/>
      <c r="ABH593"/>
      <c r="ABI593"/>
      <c r="ABJ593"/>
      <c r="ABK593"/>
      <c r="ABL593"/>
      <c r="ABM593"/>
      <c r="ABN593"/>
      <c r="ABO593"/>
      <c r="ABP593"/>
      <c r="ABQ593"/>
      <c r="ABR593"/>
      <c r="ABS593"/>
      <c r="ABT593"/>
      <c r="ABU593"/>
      <c r="ABV593"/>
      <c r="ABW593"/>
      <c r="ABX593"/>
      <c r="ABY593"/>
      <c r="ABZ593"/>
      <c r="ACA593"/>
      <c r="ACB593"/>
      <c r="ACC593"/>
      <c r="ACD593"/>
      <c r="ACE593"/>
      <c r="ACF593"/>
      <c r="ACG593"/>
      <c r="ACH593"/>
      <c r="ACI593"/>
      <c r="ACJ593"/>
      <c r="ACK593"/>
      <c r="ACL593"/>
      <c r="ACM593"/>
      <c r="ACN593"/>
      <c r="ACO593"/>
      <c r="ACP593"/>
      <c r="ACQ593"/>
      <c r="ACR593"/>
      <c r="ACS593"/>
      <c r="ACT593"/>
      <c r="ACU593"/>
      <c r="ACV593"/>
      <c r="ACW593"/>
      <c r="ACX593"/>
      <c r="ACY593"/>
      <c r="ACZ593"/>
      <c r="ADA593"/>
      <c r="ADB593"/>
      <c r="ADC593"/>
      <c r="ADD593"/>
      <c r="ADE593"/>
      <c r="ADF593"/>
      <c r="ADG593"/>
      <c r="ADH593"/>
      <c r="ADI593"/>
      <c r="ADJ593"/>
      <c r="ADK593"/>
      <c r="ADL593"/>
      <c r="ADM593"/>
      <c r="ADN593"/>
      <c r="ADO593"/>
      <c r="ADP593"/>
      <c r="ADQ593"/>
      <c r="ADR593"/>
      <c r="ADS593"/>
      <c r="ADT593"/>
      <c r="ADU593"/>
      <c r="ADV593"/>
      <c r="ADW593"/>
      <c r="ADX593"/>
      <c r="ADY593"/>
      <c r="ADZ593"/>
      <c r="AEA593"/>
      <c r="AEB593"/>
      <c r="AEC593"/>
      <c r="AED593"/>
      <c r="AEE593"/>
      <c r="AEF593"/>
      <c r="AEG593"/>
      <c r="AEH593"/>
      <c r="AEI593"/>
      <c r="AEJ593"/>
      <c r="AEK593"/>
      <c r="AEL593"/>
      <c r="AEM593"/>
      <c r="AEN593"/>
      <c r="AEO593"/>
      <c r="AEP593"/>
      <c r="AEQ593"/>
      <c r="AER593"/>
      <c r="AES593"/>
      <c r="AET593"/>
      <c r="AEU593"/>
      <c r="AEV593"/>
      <c r="AEW593"/>
      <c r="AEX593"/>
      <c r="AEY593"/>
      <c r="AEZ593"/>
      <c r="AFA593"/>
      <c r="AFB593"/>
      <c r="AFC593"/>
      <c r="AFD593"/>
      <c r="AFE593"/>
      <c r="AFF593"/>
      <c r="AFG593"/>
      <c r="AFH593"/>
      <c r="AFI593"/>
      <c r="AFJ593"/>
      <c r="AFK593"/>
      <c r="AFL593"/>
      <c r="AFM593"/>
      <c r="AFN593"/>
      <c r="AFO593"/>
      <c r="AFP593"/>
      <c r="AFQ593"/>
      <c r="AFR593"/>
      <c r="AFS593"/>
      <c r="AFT593"/>
      <c r="AFU593"/>
      <c r="AFV593"/>
      <c r="AFW593"/>
      <c r="AFX593"/>
      <c r="AFY593"/>
      <c r="AFZ593"/>
      <c r="AGA593"/>
      <c r="AGB593"/>
      <c r="AGC593"/>
      <c r="AGD593"/>
      <c r="AGE593"/>
      <c r="AGF593"/>
      <c r="AGG593"/>
      <c r="AGH593"/>
      <c r="AGI593"/>
      <c r="AGJ593"/>
      <c r="AGK593"/>
      <c r="AGL593"/>
      <c r="AGM593"/>
      <c r="AGN593"/>
      <c r="AGO593"/>
      <c r="AGP593"/>
      <c r="AGQ593"/>
      <c r="AGR593"/>
      <c r="AGS593"/>
      <c r="AGT593"/>
      <c r="AGU593"/>
      <c r="AGV593"/>
      <c r="AGW593"/>
      <c r="AGX593"/>
      <c r="AGY593"/>
      <c r="AGZ593"/>
      <c r="AHA593"/>
      <c r="AHB593"/>
      <c r="AHC593"/>
      <c r="AHD593"/>
      <c r="AHE593"/>
      <c r="AHF593"/>
      <c r="AHG593"/>
      <c r="AHH593"/>
      <c r="AHI593"/>
      <c r="AHJ593"/>
      <c r="AHK593"/>
      <c r="AHL593"/>
      <c r="AHM593"/>
      <c r="AHN593"/>
      <c r="AHO593"/>
      <c r="AHP593"/>
      <c r="AHQ593"/>
      <c r="AHR593"/>
      <c r="AHS593"/>
      <c r="AHT593"/>
      <c r="AHU593"/>
      <c r="AHV593"/>
      <c r="AHW593"/>
      <c r="AHX593"/>
      <c r="AHY593"/>
      <c r="AHZ593"/>
      <c r="AIA593"/>
      <c r="AIB593"/>
      <c r="AIC593"/>
      <c r="AID593"/>
      <c r="AIE593"/>
      <c r="AIF593"/>
      <c r="AIG593"/>
      <c r="AIH593"/>
      <c r="AII593"/>
      <c r="AIJ593"/>
      <c r="AIK593"/>
      <c r="AIL593"/>
      <c r="AIM593"/>
      <c r="AIN593"/>
      <c r="AIO593"/>
      <c r="AIP593"/>
      <c r="AIQ593"/>
      <c r="AIR593"/>
      <c r="AIS593"/>
      <c r="AIT593"/>
      <c r="AIU593"/>
      <c r="AIV593"/>
      <c r="AIW593"/>
      <c r="AIX593"/>
      <c r="AIY593"/>
      <c r="AIZ593"/>
      <c r="AJA593"/>
      <c r="AJB593"/>
      <c r="AJC593"/>
      <c r="AJD593"/>
      <c r="AJE593"/>
      <c r="AJF593"/>
      <c r="AJG593"/>
      <c r="AJH593"/>
      <c r="AJI593"/>
      <c r="AJJ593"/>
      <c r="AJK593"/>
      <c r="AJL593"/>
      <c r="AJM593"/>
      <c r="AJN593"/>
      <c r="AJO593"/>
      <c r="AJP593"/>
      <c r="AJQ593"/>
      <c r="AJR593"/>
      <c r="AJS593"/>
      <c r="AJT593"/>
      <c r="AJU593"/>
      <c r="AJV593"/>
      <c r="AJW593"/>
      <c r="AJX593"/>
      <c r="AJY593"/>
      <c r="AJZ593"/>
      <c r="AKA593"/>
      <c r="AKB593"/>
      <c r="AKC593"/>
      <c r="AKD593"/>
      <c r="AKE593"/>
      <c r="AKF593"/>
      <c r="AKG593"/>
      <c r="AKH593"/>
      <c r="AKI593"/>
      <c r="AKJ593"/>
      <c r="AKK593"/>
      <c r="AKL593"/>
      <c r="AKM593"/>
      <c r="AKN593"/>
      <c r="AKO593"/>
      <c r="AKP593"/>
      <c r="AKQ593"/>
      <c r="AKR593"/>
      <c r="AKS593"/>
      <c r="AKT593"/>
      <c r="AKU593"/>
      <c r="AKV593"/>
      <c r="AKW593"/>
    </row>
    <row r="594" spans="1:985">
      <c r="A594" s="421" t="s">
        <v>402</v>
      </c>
      <c r="B594" s="291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  <c r="ZW594"/>
      <c r="ZX594"/>
      <c r="ZY594"/>
      <c r="ZZ594"/>
      <c r="AAA594"/>
      <c r="AAB594"/>
      <c r="AAC594"/>
      <c r="AAD594"/>
      <c r="AAE594"/>
      <c r="AAF594"/>
      <c r="AAG594"/>
      <c r="AAH594"/>
      <c r="AAI594"/>
      <c r="AAJ594"/>
      <c r="AAK594"/>
      <c r="AAL594"/>
      <c r="AAM594"/>
      <c r="AAN594"/>
      <c r="AAO594"/>
      <c r="AAP594"/>
      <c r="AAQ594"/>
      <c r="AAR594"/>
      <c r="AAS594"/>
      <c r="AAT594"/>
      <c r="AAU594"/>
      <c r="AAV594"/>
      <c r="AAW594"/>
      <c r="AAX594"/>
      <c r="AAY594"/>
      <c r="AAZ594"/>
      <c r="ABA594"/>
      <c r="ABB594"/>
      <c r="ABC594"/>
      <c r="ABD594"/>
      <c r="ABE594"/>
      <c r="ABF594"/>
      <c r="ABG594"/>
      <c r="ABH594"/>
      <c r="ABI594"/>
      <c r="ABJ594"/>
      <c r="ABK594"/>
      <c r="ABL594"/>
      <c r="ABM594"/>
      <c r="ABN594"/>
      <c r="ABO594"/>
      <c r="ABP594"/>
      <c r="ABQ594"/>
      <c r="ABR594"/>
      <c r="ABS594"/>
      <c r="ABT594"/>
      <c r="ABU594"/>
      <c r="ABV594"/>
      <c r="ABW594"/>
      <c r="ABX594"/>
      <c r="ABY594"/>
      <c r="ABZ594"/>
      <c r="ACA594"/>
      <c r="ACB594"/>
      <c r="ACC594"/>
      <c r="ACD594"/>
      <c r="ACE594"/>
      <c r="ACF594"/>
      <c r="ACG594"/>
      <c r="ACH594"/>
      <c r="ACI594"/>
      <c r="ACJ594"/>
      <c r="ACK594"/>
      <c r="ACL594"/>
      <c r="ACM594"/>
      <c r="ACN594"/>
      <c r="ACO594"/>
      <c r="ACP594"/>
      <c r="ACQ594"/>
      <c r="ACR594"/>
      <c r="ACS594"/>
      <c r="ACT594"/>
      <c r="ACU594"/>
      <c r="ACV594"/>
      <c r="ACW594"/>
      <c r="ACX594"/>
      <c r="ACY594"/>
      <c r="ACZ594"/>
      <c r="ADA594"/>
      <c r="ADB594"/>
      <c r="ADC594"/>
      <c r="ADD594"/>
      <c r="ADE594"/>
      <c r="ADF594"/>
      <c r="ADG594"/>
      <c r="ADH594"/>
      <c r="ADI594"/>
      <c r="ADJ594"/>
      <c r="ADK594"/>
      <c r="ADL594"/>
      <c r="ADM594"/>
      <c r="ADN594"/>
      <c r="ADO594"/>
      <c r="ADP594"/>
      <c r="ADQ594"/>
      <c r="ADR594"/>
      <c r="ADS594"/>
      <c r="ADT594"/>
      <c r="ADU594"/>
      <c r="ADV594"/>
      <c r="ADW594"/>
      <c r="ADX594"/>
      <c r="ADY594"/>
      <c r="ADZ594"/>
      <c r="AEA594"/>
      <c r="AEB594"/>
      <c r="AEC594"/>
      <c r="AED594"/>
      <c r="AEE594"/>
      <c r="AEF594"/>
      <c r="AEG594"/>
      <c r="AEH594"/>
      <c r="AEI594"/>
      <c r="AEJ594"/>
      <c r="AEK594"/>
      <c r="AEL594"/>
      <c r="AEM594"/>
      <c r="AEN594"/>
      <c r="AEO594"/>
      <c r="AEP594"/>
      <c r="AEQ594"/>
      <c r="AER594"/>
      <c r="AES594"/>
      <c r="AET594"/>
      <c r="AEU594"/>
      <c r="AEV594"/>
      <c r="AEW594"/>
      <c r="AEX594"/>
      <c r="AEY594"/>
      <c r="AEZ594"/>
      <c r="AFA594"/>
      <c r="AFB594"/>
      <c r="AFC594"/>
      <c r="AFD594"/>
      <c r="AFE594"/>
      <c r="AFF594"/>
      <c r="AFG594"/>
      <c r="AFH594"/>
      <c r="AFI594"/>
      <c r="AFJ594"/>
      <c r="AFK594"/>
      <c r="AFL594"/>
      <c r="AFM594"/>
      <c r="AFN594"/>
      <c r="AFO594"/>
      <c r="AFP594"/>
      <c r="AFQ594"/>
      <c r="AFR594"/>
      <c r="AFS594"/>
      <c r="AFT594"/>
      <c r="AFU594"/>
      <c r="AFV594"/>
      <c r="AFW594"/>
      <c r="AFX594"/>
      <c r="AFY594"/>
      <c r="AFZ594"/>
      <c r="AGA594"/>
      <c r="AGB594"/>
      <c r="AGC594"/>
      <c r="AGD594"/>
      <c r="AGE594"/>
      <c r="AGF594"/>
      <c r="AGG594"/>
      <c r="AGH594"/>
      <c r="AGI594"/>
      <c r="AGJ594"/>
      <c r="AGK594"/>
      <c r="AGL594"/>
      <c r="AGM594"/>
      <c r="AGN594"/>
      <c r="AGO594"/>
      <c r="AGP594"/>
      <c r="AGQ594"/>
      <c r="AGR594"/>
      <c r="AGS594"/>
      <c r="AGT594"/>
      <c r="AGU594"/>
      <c r="AGV594"/>
      <c r="AGW594"/>
      <c r="AGX594"/>
      <c r="AGY594"/>
      <c r="AGZ594"/>
      <c r="AHA594"/>
      <c r="AHB594"/>
      <c r="AHC594"/>
      <c r="AHD594"/>
      <c r="AHE594"/>
      <c r="AHF594"/>
      <c r="AHG594"/>
      <c r="AHH594"/>
      <c r="AHI594"/>
      <c r="AHJ594"/>
      <c r="AHK594"/>
      <c r="AHL594"/>
      <c r="AHM594"/>
      <c r="AHN594"/>
      <c r="AHO594"/>
      <c r="AHP594"/>
      <c r="AHQ594"/>
      <c r="AHR594"/>
      <c r="AHS594"/>
      <c r="AHT594"/>
      <c r="AHU594"/>
      <c r="AHV594"/>
      <c r="AHW594"/>
      <c r="AHX594"/>
      <c r="AHY594"/>
      <c r="AHZ594"/>
      <c r="AIA594"/>
      <c r="AIB594"/>
      <c r="AIC594"/>
      <c r="AID594"/>
      <c r="AIE594"/>
      <c r="AIF594"/>
      <c r="AIG594"/>
      <c r="AIH594"/>
      <c r="AII594"/>
      <c r="AIJ594"/>
      <c r="AIK594"/>
      <c r="AIL594"/>
      <c r="AIM594"/>
      <c r="AIN594"/>
      <c r="AIO594"/>
      <c r="AIP594"/>
      <c r="AIQ594"/>
      <c r="AIR594"/>
      <c r="AIS594"/>
      <c r="AIT594"/>
      <c r="AIU594"/>
      <c r="AIV594"/>
      <c r="AIW594"/>
      <c r="AIX594"/>
      <c r="AIY594"/>
      <c r="AIZ594"/>
      <c r="AJA594"/>
      <c r="AJB594"/>
      <c r="AJC594"/>
      <c r="AJD594"/>
      <c r="AJE594"/>
      <c r="AJF594"/>
      <c r="AJG594"/>
      <c r="AJH594"/>
      <c r="AJI594"/>
      <c r="AJJ594"/>
      <c r="AJK594"/>
      <c r="AJL594"/>
      <c r="AJM594"/>
      <c r="AJN594"/>
      <c r="AJO594"/>
      <c r="AJP594"/>
      <c r="AJQ594"/>
      <c r="AJR594"/>
      <c r="AJS594"/>
      <c r="AJT594"/>
      <c r="AJU594"/>
      <c r="AJV594"/>
      <c r="AJW594"/>
      <c r="AJX594"/>
      <c r="AJY594"/>
      <c r="AJZ594"/>
      <c r="AKA594"/>
      <c r="AKB594"/>
      <c r="AKC594"/>
      <c r="AKD594"/>
      <c r="AKE594"/>
      <c r="AKF594"/>
      <c r="AKG594"/>
      <c r="AKH594"/>
      <c r="AKI594"/>
      <c r="AKJ594"/>
      <c r="AKK594"/>
      <c r="AKL594"/>
      <c r="AKM594"/>
      <c r="AKN594"/>
      <c r="AKO594"/>
      <c r="AKP594"/>
      <c r="AKQ594"/>
      <c r="AKR594"/>
      <c r="AKS594"/>
      <c r="AKT594"/>
      <c r="AKU594"/>
      <c r="AKV594"/>
      <c r="AKW594"/>
    </row>
    <row r="595" spans="1:985" ht="16.5" customHeight="1">
      <c r="A595" s="421" t="s">
        <v>403</v>
      </c>
      <c r="B595" s="307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  <c r="ZW595"/>
      <c r="ZX595"/>
      <c r="ZY595"/>
      <c r="ZZ595"/>
      <c r="AAA595"/>
      <c r="AAB595"/>
      <c r="AAC595"/>
      <c r="AAD595"/>
      <c r="AAE595"/>
      <c r="AAF595"/>
      <c r="AAG595"/>
      <c r="AAH595"/>
      <c r="AAI595"/>
      <c r="AAJ595"/>
      <c r="AAK595"/>
      <c r="AAL595"/>
      <c r="AAM595"/>
      <c r="AAN595"/>
      <c r="AAO595"/>
      <c r="AAP595"/>
      <c r="AAQ595"/>
      <c r="AAR595"/>
      <c r="AAS595"/>
      <c r="AAT595"/>
      <c r="AAU595"/>
      <c r="AAV595"/>
      <c r="AAW595"/>
      <c r="AAX595"/>
      <c r="AAY595"/>
      <c r="AAZ595"/>
      <c r="ABA595"/>
      <c r="ABB595"/>
      <c r="ABC595"/>
      <c r="ABD595"/>
      <c r="ABE595"/>
      <c r="ABF595"/>
      <c r="ABG595"/>
      <c r="ABH595"/>
      <c r="ABI595"/>
      <c r="ABJ595"/>
      <c r="ABK595"/>
      <c r="ABL595"/>
      <c r="ABM595"/>
      <c r="ABN595"/>
      <c r="ABO595"/>
      <c r="ABP595"/>
      <c r="ABQ595"/>
      <c r="ABR595"/>
      <c r="ABS595"/>
      <c r="ABT595"/>
      <c r="ABU595"/>
      <c r="ABV595"/>
      <c r="ABW595"/>
      <c r="ABX595"/>
      <c r="ABY595"/>
      <c r="ABZ595"/>
      <c r="ACA595"/>
      <c r="ACB595"/>
      <c r="ACC595"/>
      <c r="ACD595"/>
      <c r="ACE595"/>
      <c r="ACF595"/>
      <c r="ACG595"/>
      <c r="ACH595"/>
      <c r="ACI595"/>
      <c r="ACJ595"/>
      <c r="ACK595"/>
      <c r="ACL595"/>
      <c r="ACM595"/>
      <c r="ACN595"/>
      <c r="ACO595"/>
      <c r="ACP595"/>
      <c r="ACQ595"/>
      <c r="ACR595"/>
      <c r="ACS595"/>
      <c r="ACT595"/>
      <c r="ACU595"/>
      <c r="ACV595"/>
      <c r="ACW595"/>
      <c r="ACX595"/>
      <c r="ACY595"/>
      <c r="ACZ595"/>
      <c r="ADA595"/>
      <c r="ADB595"/>
      <c r="ADC595"/>
      <c r="ADD595"/>
      <c r="ADE595"/>
      <c r="ADF595"/>
      <c r="ADG595"/>
      <c r="ADH595"/>
      <c r="ADI595"/>
      <c r="ADJ595"/>
      <c r="ADK595"/>
      <c r="ADL595"/>
      <c r="ADM595"/>
      <c r="ADN595"/>
      <c r="ADO595"/>
      <c r="ADP595"/>
      <c r="ADQ595"/>
      <c r="ADR595"/>
      <c r="ADS595"/>
      <c r="ADT595"/>
      <c r="ADU595"/>
      <c r="ADV595"/>
      <c r="ADW595"/>
      <c r="ADX595"/>
      <c r="ADY595"/>
      <c r="ADZ595"/>
      <c r="AEA595"/>
      <c r="AEB595"/>
      <c r="AEC595"/>
      <c r="AED595"/>
      <c r="AEE595"/>
      <c r="AEF595"/>
      <c r="AEG595"/>
      <c r="AEH595"/>
      <c r="AEI595"/>
      <c r="AEJ595"/>
      <c r="AEK595"/>
      <c r="AEL595"/>
      <c r="AEM595"/>
      <c r="AEN595"/>
      <c r="AEO595"/>
      <c r="AEP595"/>
      <c r="AEQ595"/>
      <c r="AER595"/>
      <c r="AES595"/>
      <c r="AET595"/>
      <c r="AEU595"/>
      <c r="AEV595"/>
      <c r="AEW595"/>
      <c r="AEX595"/>
      <c r="AEY595"/>
      <c r="AEZ595"/>
      <c r="AFA595"/>
      <c r="AFB595"/>
      <c r="AFC595"/>
      <c r="AFD595"/>
      <c r="AFE595"/>
      <c r="AFF595"/>
      <c r="AFG595"/>
      <c r="AFH595"/>
      <c r="AFI595"/>
      <c r="AFJ595"/>
      <c r="AFK595"/>
      <c r="AFL595"/>
      <c r="AFM595"/>
      <c r="AFN595"/>
      <c r="AFO595"/>
      <c r="AFP595"/>
      <c r="AFQ595"/>
      <c r="AFR595"/>
      <c r="AFS595"/>
      <c r="AFT595"/>
      <c r="AFU595"/>
      <c r="AFV595"/>
      <c r="AFW595"/>
      <c r="AFX595"/>
      <c r="AFY595"/>
      <c r="AFZ595"/>
      <c r="AGA595"/>
      <c r="AGB595"/>
      <c r="AGC595"/>
      <c r="AGD595"/>
      <c r="AGE595"/>
      <c r="AGF595"/>
      <c r="AGG595"/>
      <c r="AGH595"/>
      <c r="AGI595"/>
      <c r="AGJ595"/>
      <c r="AGK595"/>
      <c r="AGL595"/>
      <c r="AGM595"/>
      <c r="AGN595"/>
      <c r="AGO595"/>
      <c r="AGP595"/>
      <c r="AGQ595"/>
      <c r="AGR595"/>
      <c r="AGS595"/>
      <c r="AGT595"/>
      <c r="AGU595"/>
      <c r="AGV595"/>
      <c r="AGW595"/>
      <c r="AGX595"/>
      <c r="AGY595"/>
      <c r="AGZ595"/>
      <c r="AHA595"/>
      <c r="AHB595"/>
      <c r="AHC595"/>
      <c r="AHD595"/>
      <c r="AHE595"/>
      <c r="AHF595"/>
      <c r="AHG595"/>
      <c r="AHH595"/>
      <c r="AHI595"/>
      <c r="AHJ595"/>
      <c r="AHK595"/>
      <c r="AHL595"/>
      <c r="AHM595"/>
      <c r="AHN595"/>
      <c r="AHO595"/>
      <c r="AHP595"/>
      <c r="AHQ595"/>
      <c r="AHR595"/>
      <c r="AHS595"/>
      <c r="AHT595"/>
      <c r="AHU595"/>
      <c r="AHV595"/>
      <c r="AHW595"/>
      <c r="AHX595"/>
      <c r="AHY595"/>
      <c r="AHZ595"/>
      <c r="AIA595"/>
      <c r="AIB595"/>
      <c r="AIC595"/>
      <c r="AID595"/>
      <c r="AIE595"/>
      <c r="AIF595"/>
      <c r="AIG595"/>
      <c r="AIH595"/>
      <c r="AII595"/>
      <c r="AIJ595"/>
      <c r="AIK595"/>
      <c r="AIL595"/>
      <c r="AIM595"/>
      <c r="AIN595"/>
      <c r="AIO595"/>
      <c r="AIP595"/>
      <c r="AIQ595"/>
      <c r="AIR595"/>
      <c r="AIS595"/>
      <c r="AIT595"/>
      <c r="AIU595"/>
      <c r="AIV595"/>
      <c r="AIW595"/>
      <c r="AIX595"/>
      <c r="AIY595"/>
      <c r="AIZ595"/>
      <c r="AJA595"/>
      <c r="AJB595"/>
      <c r="AJC595"/>
      <c r="AJD595"/>
      <c r="AJE595"/>
      <c r="AJF595"/>
      <c r="AJG595"/>
      <c r="AJH595"/>
      <c r="AJI595"/>
      <c r="AJJ595"/>
      <c r="AJK595"/>
      <c r="AJL595"/>
      <c r="AJM595"/>
      <c r="AJN595"/>
      <c r="AJO595"/>
      <c r="AJP595"/>
      <c r="AJQ595"/>
      <c r="AJR595"/>
      <c r="AJS595"/>
      <c r="AJT595"/>
      <c r="AJU595"/>
      <c r="AJV595"/>
      <c r="AJW595"/>
      <c r="AJX595"/>
      <c r="AJY595"/>
      <c r="AJZ595"/>
      <c r="AKA595"/>
      <c r="AKB595"/>
      <c r="AKC595"/>
      <c r="AKD595"/>
      <c r="AKE595"/>
      <c r="AKF595"/>
      <c r="AKG595"/>
      <c r="AKH595"/>
      <c r="AKI595"/>
      <c r="AKJ595"/>
      <c r="AKK595"/>
      <c r="AKL595"/>
      <c r="AKM595"/>
      <c r="AKN595"/>
      <c r="AKO595"/>
      <c r="AKP595"/>
      <c r="AKQ595"/>
      <c r="AKR595"/>
      <c r="AKS595"/>
      <c r="AKT595"/>
      <c r="AKU595"/>
      <c r="AKV595"/>
      <c r="AKW595"/>
    </row>
    <row r="596" spans="1:985">
      <c r="A596" s="421" t="s">
        <v>404</v>
      </c>
      <c r="B596" s="291">
        <v>375</v>
      </c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  <c r="ZW596"/>
      <c r="ZX596"/>
      <c r="ZY596"/>
      <c r="ZZ596"/>
      <c r="AAA596"/>
      <c r="AAB596"/>
      <c r="AAC596"/>
      <c r="AAD596"/>
      <c r="AAE596"/>
      <c r="AAF596"/>
      <c r="AAG596"/>
      <c r="AAH596"/>
      <c r="AAI596"/>
      <c r="AAJ596"/>
      <c r="AAK596"/>
      <c r="AAL596"/>
      <c r="AAM596"/>
      <c r="AAN596"/>
      <c r="AAO596"/>
      <c r="AAP596"/>
      <c r="AAQ596"/>
      <c r="AAR596"/>
      <c r="AAS596"/>
      <c r="AAT596"/>
      <c r="AAU596"/>
      <c r="AAV596"/>
      <c r="AAW596"/>
      <c r="AAX596"/>
      <c r="AAY596"/>
      <c r="AAZ596"/>
      <c r="ABA596"/>
      <c r="ABB596"/>
      <c r="ABC596"/>
      <c r="ABD596"/>
      <c r="ABE596"/>
      <c r="ABF596"/>
      <c r="ABG596"/>
      <c r="ABH596"/>
      <c r="ABI596"/>
      <c r="ABJ596"/>
      <c r="ABK596"/>
      <c r="ABL596"/>
      <c r="ABM596"/>
      <c r="ABN596"/>
      <c r="ABO596"/>
      <c r="ABP596"/>
      <c r="ABQ596"/>
      <c r="ABR596"/>
      <c r="ABS596"/>
      <c r="ABT596"/>
      <c r="ABU596"/>
      <c r="ABV596"/>
      <c r="ABW596"/>
      <c r="ABX596"/>
      <c r="ABY596"/>
      <c r="ABZ596"/>
      <c r="ACA596"/>
      <c r="ACB596"/>
      <c r="ACC596"/>
      <c r="ACD596"/>
      <c r="ACE596"/>
      <c r="ACF596"/>
      <c r="ACG596"/>
      <c r="ACH596"/>
      <c r="ACI596"/>
      <c r="ACJ596"/>
      <c r="ACK596"/>
      <c r="ACL596"/>
      <c r="ACM596"/>
      <c r="ACN596"/>
      <c r="ACO596"/>
      <c r="ACP596"/>
      <c r="ACQ596"/>
      <c r="ACR596"/>
      <c r="ACS596"/>
      <c r="ACT596"/>
      <c r="ACU596"/>
      <c r="ACV596"/>
      <c r="ACW596"/>
      <c r="ACX596"/>
      <c r="ACY596"/>
      <c r="ACZ596"/>
      <c r="ADA596"/>
      <c r="ADB596"/>
      <c r="ADC596"/>
      <c r="ADD596"/>
      <c r="ADE596"/>
      <c r="ADF596"/>
      <c r="ADG596"/>
      <c r="ADH596"/>
      <c r="ADI596"/>
      <c r="ADJ596"/>
      <c r="ADK596"/>
      <c r="ADL596"/>
      <c r="ADM596"/>
      <c r="ADN596"/>
      <c r="ADO596"/>
      <c r="ADP596"/>
      <c r="ADQ596"/>
      <c r="ADR596"/>
      <c r="ADS596"/>
      <c r="ADT596"/>
      <c r="ADU596"/>
      <c r="ADV596"/>
      <c r="ADW596"/>
      <c r="ADX596"/>
      <c r="ADY596"/>
      <c r="ADZ596"/>
      <c r="AEA596"/>
      <c r="AEB596"/>
      <c r="AEC596"/>
      <c r="AED596"/>
      <c r="AEE596"/>
      <c r="AEF596"/>
      <c r="AEG596"/>
      <c r="AEH596"/>
      <c r="AEI596"/>
      <c r="AEJ596"/>
      <c r="AEK596"/>
      <c r="AEL596"/>
      <c r="AEM596"/>
      <c r="AEN596"/>
      <c r="AEO596"/>
      <c r="AEP596"/>
      <c r="AEQ596"/>
      <c r="AER596"/>
      <c r="AES596"/>
      <c r="AET596"/>
      <c r="AEU596"/>
      <c r="AEV596"/>
      <c r="AEW596"/>
      <c r="AEX596"/>
      <c r="AEY596"/>
      <c r="AEZ596"/>
      <c r="AFA596"/>
      <c r="AFB596"/>
      <c r="AFC596"/>
      <c r="AFD596"/>
      <c r="AFE596"/>
      <c r="AFF596"/>
      <c r="AFG596"/>
      <c r="AFH596"/>
      <c r="AFI596"/>
      <c r="AFJ596"/>
      <c r="AFK596"/>
      <c r="AFL596"/>
      <c r="AFM596"/>
      <c r="AFN596"/>
      <c r="AFO596"/>
      <c r="AFP596"/>
      <c r="AFQ596"/>
      <c r="AFR596"/>
      <c r="AFS596"/>
      <c r="AFT596"/>
      <c r="AFU596"/>
      <c r="AFV596"/>
      <c r="AFW596"/>
      <c r="AFX596"/>
      <c r="AFY596"/>
      <c r="AFZ596"/>
      <c r="AGA596"/>
      <c r="AGB596"/>
      <c r="AGC596"/>
      <c r="AGD596"/>
      <c r="AGE596"/>
      <c r="AGF596"/>
      <c r="AGG596"/>
      <c r="AGH596"/>
      <c r="AGI596"/>
      <c r="AGJ596"/>
      <c r="AGK596"/>
      <c r="AGL596"/>
      <c r="AGM596"/>
      <c r="AGN596"/>
      <c r="AGO596"/>
      <c r="AGP596"/>
      <c r="AGQ596"/>
      <c r="AGR596"/>
      <c r="AGS596"/>
      <c r="AGT596"/>
      <c r="AGU596"/>
      <c r="AGV596"/>
      <c r="AGW596"/>
      <c r="AGX596"/>
      <c r="AGY596"/>
      <c r="AGZ596"/>
      <c r="AHA596"/>
      <c r="AHB596"/>
      <c r="AHC596"/>
      <c r="AHD596"/>
      <c r="AHE596"/>
      <c r="AHF596"/>
      <c r="AHG596"/>
      <c r="AHH596"/>
      <c r="AHI596"/>
      <c r="AHJ596"/>
      <c r="AHK596"/>
      <c r="AHL596"/>
      <c r="AHM596"/>
      <c r="AHN596"/>
      <c r="AHO596"/>
      <c r="AHP596"/>
      <c r="AHQ596"/>
      <c r="AHR596"/>
      <c r="AHS596"/>
      <c r="AHT596"/>
      <c r="AHU596"/>
      <c r="AHV596"/>
      <c r="AHW596"/>
      <c r="AHX596"/>
      <c r="AHY596"/>
      <c r="AHZ596"/>
      <c r="AIA596"/>
      <c r="AIB596"/>
      <c r="AIC596"/>
      <c r="AID596"/>
      <c r="AIE596"/>
      <c r="AIF596"/>
      <c r="AIG596"/>
      <c r="AIH596"/>
      <c r="AII596"/>
      <c r="AIJ596"/>
      <c r="AIK596"/>
      <c r="AIL596"/>
      <c r="AIM596"/>
      <c r="AIN596"/>
      <c r="AIO596"/>
      <c r="AIP596"/>
      <c r="AIQ596"/>
      <c r="AIR596"/>
      <c r="AIS596"/>
      <c r="AIT596"/>
      <c r="AIU596"/>
      <c r="AIV596"/>
      <c r="AIW596"/>
      <c r="AIX596"/>
      <c r="AIY596"/>
      <c r="AIZ596"/>
      <c r="AJA596"/>
      <c r="AJB596"/>
      <c r="AJC596"/>
      <c r="AJD596"/>
      <c r="AJE596"/>
      <c r="AJF596"/>
      <c r="AJG596"/>
      <c r="AJH596"/>
      <c r="AJI596"/>
      <c r="AJJ596"/>
      <c r="AJK596"/>
      <c r="AJL596"/>
      <c r="AJM596"/>
      <c r="AJN596"/>
      <c r="AJO596"/>
      <c r="AJP596"/>
      <c r="AJQ596"/>
      <c r="AJR596"/>
      <c r="AJS596"/>
      <c r="AJT596"/>
      <c r="AJU596"/>
      <c r="AJV596"/>
      <c r="AJW596"/>
      <c r="AJX596"/>
      <c r="AJY596"/>
      <c r="AJZ596"/>
      <c r="AKA596"/>
      <c r="AKB596"/>
      <c r="AKC596"/>
      <c r="AKD596"/>
      <c r="AKE596"/>
      <c r="AKF596"/>
      <c r="AKG596"/>
      <c r="AKH596"/>
      <c r="AKI596"/>
      <c r="AKJ596"/>
      <c r="AKK596"/>
      <c r="AKL596"/>
      <c r="AKM596"/>
      <c r="AKN596"/>
      <c r="AKO596"/>
      <c r="AKP596"/>
      <c r="AKQ596"/>
      <c r="AKR596"/>
      <c r="AKS596"/>
      <c r="AKT596"/>
      <c r="AKU596"/>
      <c r="AKV596"/>
      <c r="AKW596"/>
    </row>
    <row r="597" spans="1:985">
      <c r="A597" s="282" t="s">
        <v>405</v>
      </c>
      <c r="B597" s="289">
        <v>6960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/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/>
      <c r="ABO597"/>
      <c r="ABP597"/>
      <c r="ABQ597"/>
      <c r="ABR597"/>
      <c r="ABS597"/>
      <c r="ABT597"/>
      <c r="ABU597"/>
      <c r="ABV597"/>
      <c r="ABW597"/>
      <c r="ABX597"/>
      <c r="ABY597"/>
      <c r="ABZ597"/>
      <c r="ACA597"/>
      <c r="ACB597"/>
      <c r="ACC597"/>
      <c r="ACD597"/>
      <c r="ACE597"/>
      <c r="ACF597"/>
      <c r="ACG597"/>
      <c r="ACH597"/>
      <c r="ACI597"/>
      <c r="ACJ597"/>
      <c r="ACK597"/>
      <c r="ACL597"/>
      <c r="ACM597"/>
      <c r="ACN597"/>
      <c r="ACO597"/>
      <c r="ACP597"/>
      <c r="ACQ597"/>
      <c r="ACR597"/>
      <c r="ACS597"/>
      <c r="ACT597"/>
      <c r="ACU597"/>
      <c r="ACV597"/>
      <c r="ACW597"/>
      <c r="ACX597"/>
      <c r="ACY597"/>
      <c r="ACZ597"/>
      <c r="ADA597"/>
      <c r="ADB597"/>
      <c r="ADC597"/>
      <c r="ADD597"/>
      <c r="ADE597"/>
      <c r="ADF597"/>
      <c r="ADG597"/>
      <c r="ADH597"/>
      <c r="ADI597"/>
      <c r="ADJ597"/>
      <c r="ADK597"/>
      <c r="ADL597"/>
      <c r="ADM597"/>
      <c r="ADN597"/>
      <c r="ADO597"/>
      <c r="ADP597"/>
      <c r="ADQ597"/>
      <c r="ADR597"/>
      <c r="ADS597"/>
      <c r="ADT597"/>
      <c r="ADU597"/>
      <c r="ADV597"/>
      <c r="ADW597"/>
      <c r="ADX597"/>
      <c r="ADY597"/>
      <c r="ADZ597"/>
      <c r="AEA597"/>
      <c r="AEB597"/>
      <c r="AEC597"/>
      <c r="AED597"/>
      <c r="AEE597"/>
      <c r="AEF597"/>
      <c r="AEG597"/>
      <c r="AEH597"/>
      <c r="AEI597"/>
      <c r="AEJ597"/>
      <c r="AEK597"/>
      <c r="AEL597"/>
      <c r="AEM597"/>
      <c r="AEN597"/>
      <c r="AEO597"/>
      <c r="AEP597"/>
      <c r="AEQ597"/>
      <c r="AER597"/>
      <c r="AES597"/>
      <c r="AET597"/>
      <c r="AEU597"/>
      <c r="AEV597"/>
      <c r="AEW597"/>
      <c r="AEX597"/>
      <c r="AEY597"/>
      <c r="AEZ597"/>
      <c r="AFA597"/>
      <c r="AFB597"/>
      <c r="AFC597"/>
      <c r="AFD597"/>
      <c r="AFE597"/>
      <c r="AFF597"/>
      <c r="AFG597"/>
      <c r="AFH597"/>
      <c r="AFI597"/>
      <c r="AFJ597"/>
      <c r="AFK597"/>
      <c r="AFL597"/>
      <c r="AFM597"/>
      <c r="AFN597"/>
      <c r="AFO597"/>
      <c r="AFP597"/>
      <c r="AFQ597"/>
      <c r="AFR597"/>
      <c r="AFS597"/>
      <c r="AFT597"/>
      <c r="AFU597"/>
      <c r="AFV597"/>
      <c r="AFW597"/>
      <c r="AFX597"/>
      <c r="AFY597"/>
      <c r="AFZ597"/>
      <c r="AGA597"/>
      <c r="AGB597"/>
      <c r="AGC597"/>
      <c r="AGD597"/>
      <c r="AGE597"/>
      <c r="AGF597"/>
      <c r="AGG597"/>
      <c r="AGH597"/>
      <c r="AGI597"/>
      <c r="AGJ597"/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/>
      <c r="AHU597"/>
      <c r="AHV597"/>
      <c r="AHW597"/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/>
      <c r="AIP597"/>
      <c r="AIQ597"/>
      <c r="AIR597"/>
      <c r="AIS597"/>
      <c r="AIT597"/>
      <c r="AIU597"/>
      <c r="AIV597"/>
      <c r="AIW597"/>
      <c r="AIX597"/>
      <c r="AIY597"/>
      <c r="AIZ597"/>
      <c r="AJA597"/>
      <c r="AJB597"/>
      <c r="AJC597"/>
      <c r="AJD597"/>
      <c r="AJE597"/>
      <c r="AJF597"/>
      <c r="AJG597"/>
      <c r="AJH597"/>
      <c r="AJI597"/>
      <c r="AJJ597"/>
      <c r="AJK597"/>
      <c r="AJL597"/>
      <c r="AJM597"/>
      <c r="AJN597"/>
      <c r="AJO597"/>
      <c r="AJP597"/>
      <c r="AJQ597"/>
      <c r="AJR597"/>
      <c r="AJS597"/>
      <c r="AJT597"/>
      <c r="AJU597"/>
      <c r="AJV597"/>
      <c r="AJW597"/>
      <c r="AJX597"/>
      <c r="AJY597"/>
      <c r="AJZ597"/>
      <c r="AKA597"/>
      <c r="AKB597"/>
      <c r="AKC597"/>
      <c r="AKD597"/>
      <c r="AKE597"/>
      <c r="AKF597"/>
      <c r="AKG597"/>
      <c r="AKH597"/>
      <c r="AKI597"/>
      <c r="AKJ597"/>
      <c r="AKK597"/>
      <c r="AKL597"/>
      <c r="AKM597"/>
      <c r="AKN597"/>
      <c r="AKO597"/>
      <c r="AKP597"/>
      <c r="AKQ597"/>
      <c r="AKR597"/>
      <c r="AKS597"/>
      <c r="AKT597"/>
      <c r="AKU597"/>
      <c r="AKV597"/>
      <c r="AKW597"/>
    </row>
    <row r="598" spans="1:985">
      <c r="A598" s="421" t="s">
        <v>336</v>
      </c>
      <c r="B598" s="290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  <c r="ZW598"/>
      <c r="ZX598"/>
      <c r="ZY598"/>
      <c r="ZZ598"/>
      <c r="AAA598"/>
      <c r="AAB598"/>
      <c r="AAC598"/>
      <c r="AAD598"/>
      <c r="AAE598"/>
      <c r="AAF598"/>
      <c r="AAG598"/>
      <c r="AAH598"/>
      <c r="AAI598"/>
      <c r="AAJ598"/>
      <c r="AAK598"/>
      <c r="AAL598"/>
      <c r="AAM598"/>
      <c r="AAN598"/>
      <c r="AAO598"/>
      <c r="AAP598"/>
      <c r="AAQ598"/>
      <c r="AAR598"/>
      <c r="AAS598"/>
      <c r="AAT598"/>
      <c r="AAU598"/>
      <c r="AAV598"/>
      <c r="AAW598"/>
      <c r="AAX598"/>
      <c r="AAY598"/>
      <c r="AAZ598"/>
      <c r="ABA598"/>
      <c r="ABB598"/>
      <c r="ABC598"/>
      <c r="ABD598"/>
      <c r="ABE598"/>
      <c r="ABF598"/>
      <c r="ABG598"/>
      <c r="ABH598"/>
      <c r="ABI598"/>
      <c r="ABJ598"/>
      <c r="ABK598"/>
      <c r="ABL598"/>
      <c r="ABM598"/>
      <c r="ABN598"/>
      <c r="ABO598"/>
      <c r="ABP598"/>
      <c r="ABQ598"/>
      <c r="ABR598"/>
      <c r="ABS598"/>
      <c r="ABT598"/>
      <c r="ABU598"/>
      <c r="ABV598"/>
      <c r="ABW598"/>
      <c r="ABX598"/>
      <c r="ABY598"/>
      <c r="ABZ598"/>
      <c r="ACA598"/>
      <c r="ACB598"/>
      <c r="ACC598"/>
      <c r="ACD598"/>
      <c r="ACE598"/>
      <c r="ACF598"/>
      <c r="ACG598"/>
      <c r="ACH598"/>
      <c r="ACI598"/>
      <c r="ACJ598"/>
      <c r="ACK598"/>
      <c r="ACL598"/>
      <c r="ACM598"/>
      <c r="ACN598"/>
      <c r="ACO598"/>
      <c r="ACP598"/>
      <c r="ACQ598"/>
      <c r="ACR598"/>
      <c r="ACS598"/>
      <c r="ACT598"/>
      <c r="ACU598"/>
      <c r="ACV598"/>
      <c r="ACW598"/>
      <c r="ACX598"/>
      <c r="ACY598"/>
      <c r="ACZ598"/>
      <c r="ADA598"/>
      <c r="ADB598"/>
      <c r="ADC598"/>
      <c r="ADD598"/>
      <c r="ADE598"/>
      <c r="ADF598"/>
      <c r="ADG598"/>
      <c r="ADH598"/>
      <c r="ADI598"/>
      <c r="ADJ598"/>
      <c r="ADK598"/>
      <c r="ADL598"/>
      <c r="ADM598"/>
      <c r="ADN598"/>
      <c r="ADO598"/>
      <c r="ADP598"/>
      <c r="ADQ598"/>
      <c r="ADR598"/>
      <c r="ADS598"/>
      <c r="ADT598"/>
      <c r="ADU598"/>
      <c r="ADV598"/>
      <c r="ADW598"/>
      <c r="ADX598"/>
      <c r="ADY598"/>
      <c r="ADZ598"/>
      <c r="AEA598"/>
      <c r="AEB598"/>
      <c r="AEC598"/>
      <c r="AED598"/>
      <c r="AEE598"/>
      <c r="AEF598"/>
      <c r="AEG598"/>
      <c r="AEH598"/>
      <c r="AEI598"/>
      <c r="AEJ598"/>
      <c r="AEK598"/>
      <c r="AEL598"/>
      <c r="AEM598"/>
      <c r="AEN598"/>
      <c r="AEO598"/>
      <c r="AEP598"/>
      <c r="AEQ598"/>
      <c r="AER598"/>
      <c r="AES598"/>
      <c r="AET598"/>
      <c r="AEU598"/>
      <c r="AEV598"/>
      <c r="AEW598"/>
      <c r="AEX598"/>
      <c r="AEY598"/>
      <c r="AEZ598"/>
      <c r="AFA598"/>
      <c r="AFB598"/>
      <c r="AFC598"/>
      <c r="AFD598"/>
      <c r="AFE598"/>
      <c r="AFF598"/>
      <c r="AFG598"/>
      <c r="AFH598"/>
      <c r="AFI598"/>
      <c r="AFJ598"/>
      <c r="AFK598"/>
      <c r="AFL598"/>
      <c r="AFM598"/>
      <c r="AFN598"/>
      <c r="AFO598"/>
      <c r="AFP598"/>
      <c r="AFQ598"/>
      <c r="AFR598"/>
      <c r="AFS598"/>
      <c r="AFT598"/>
      <c r="AFU598"/>
      <c r="AFV598"/>
      <c r="AFW598"/>
      <c r="AFX598"/>
      <c r="AFY598"/>
      <c r="AFZ598"/>
      <c r="AGA598"/>
      <c r="AGB598"/>
      <c r="AGC598"/>
      <c r="AGD598"/>
      <c r="AGE598"/>
      <c r="AGF598"/>
      <c r="AGG598"/>
      <c r="AGH598"/>
      <c r="AGI598"/>
      <c r="AGJ598"/>
      <c r="AGK598"/>
      <c r="AGL598"/>
      <c r="AGM598"/>
      <c r="AGN598"/>
      <c r="AGO598"/>
      <c r="AGP598"/>
      <c r="AGQ598"/>
      <c r="AGR598"/>
      <c r="AGS598"/>
      <c r="AGT598"/>
      <c r="AGU598"/>
      <c r="AGV598"/>
      <c r="AGW598"/>
      <c r="AGX598"/>
      <c r="AGY598"/>
      <c r="AGZ598"/>
      <c r="AHA598"/>
      <c r="AHB598"/>
      <c r="AHC598"/>
      <c r="AHD598"/>
      <c r="AHE598"/>
      <c r="AHF598"/>
      <c r="AHG598"/>
      <c r="AHH598"/>
      <c r="AHI598"/>
      <c r="AHJ598"/>
      <c r="AHK598"/>
      <c r="AHL598"/>
      <c r="AHM598"/>
      <c r="AHN598"/>
      <c r="AHO598"/>
      <c r="AHP598"/>
      <c r="AHQ598"/>
      <c r="AHR598"/>
      <c r="AHS598"/>
      <c r="AHT598"/>
      <c r="AHU598"/>
      <c r="AHV598"/>
      <c r="AHW598"/>
      <c r="AHX598"/>
      <c r="AHY598"/>
      <c r="AHZ598"/>
      <c r="AIA598"/>
      <c r="AIB598"/>
      <c r="AIC598"/>
      <c r="AID598"/>
      <c r="AIE598"/>
      <c r="AIF598"/>
      <c r="AIG598"/>
      <c r="AIH598"/>
      <c r="AII598"/>
      <c r="AIJ598"/>
      <c r="AIK598"/>
      <c r="AIL598"/>
      <c r="AIM598"/>
      <c r="AIN598"/>
      <c r="AIO598"/>
      <c r="AIP598"/>
      <c r="AIQ598"/>
      <c r="AIR598"/>
      <c r="AIS598"/>
      <c r="AIT598"/>
      <c r="AIU598"/>
      <c r="AIV598"/>
      <c r="AIW598"/>
      <c r="AIX598"/>
      <c r="AIY598"/>
      <c r="AIZ598"/>
      <c r="AJA598"/>
      <c r="AJB598"/>
      <c r="AJC598"/>
      <c r="AJD598"/>
      <c r="AJE598"/>
      <c r="AJF598"/>
      <c r="AJG598"/>
      <c r="AJH598"/>
      <c r="AJI598"/>
      <c r="AJJ598"/>
      <c r="AJK598"/>
      <c r="AJL598"/>
      <c r="AJM598"/>
      <c r="AJN598"/>
      <c r="AJO598"/>
      <c r="AJP598"/>
      <c r="AJQ598"/>
      <c r="AJR598"/>
      <c r="AJS598"/>
      <c r="AJT598"/>
      <c r="AJU598"/>
      <c r="AJV598"/>
      <c r="AJW598"/>
      <c r="AJX598"/>
      <c r="AJY598"/>
      <c r="AJZ598"/>
      <c r="AKA598"/>
      <c r="AKB598"/>
      <c r="AKC598"/>
      <c r="AKD598"/>
      <c r="AKE598"/>
      <c r="AKF598"/>
      <c r="AKG598"/>
      <c r="AKH598"/>
      <c r="AKI598"/>
      <c r="AKJ598"/>
      <c r="AKK598"/>
      <c r="AKL598"/>
      <c r="AKM598"/>
      <c r="AKN598"/>
      <c r="AKO598"/>
      <c r="AKP598"/>
      <c r="AKQ598"/>
      <c r="AKR598"/>
      <c r="AKS598"/>
      <c r="AKT598"/>
      <c r="AKU598"/>
      <c r="AKV598"/>
      <c r="AKW598"/>
    </row>
    <row r="599" spans="1:985">
      <c r="A599" s="421" t="s">
        <v>408</v>
      </c>
      <c r="B599" s="307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/>
      <c r="ACY599"/>
      <c r="ACZ599"/>
      <c r="ADA599"/>
      <c r="ADB599"/>
      <c r="ADC599"/>
      <c r="ADD599"/>
      <c r="ADE599"/>
      <c r="ADF599"/>
      <c r="ADG599"/>
      <c r="ADH599"/>
      <c r="ADI599"/>
      <c r="ADJ599"/>
      <c r="ADK599"/>
      <c r="ADL599"/>
      <c r="ADM599"/>
      <c r="ADN599"/>
      <c r="ADO599"/>
      <c r="ADP599"/>
      <c r="ADQ599"/>
      <c r="ADR599"/>
      <c r="ADS599"/>
      <c r="ADT599"/>
      <c r="ADU599"/>
      <c r="ADV599"/>
      <c r="ADW599"/>
      <c r="ADX599"/>
      <c r="ADY599"/>
      <c r="ADZ599"/>
      <c r="AEA599"/>
      <c r="AEB599"/>
      <c r="AEC599"/>
      <c r="AED599"/>
      <c r="AEE599"/>
      <c r="AEF599"/>
      <c r="AEG599"/>
      <c r="AEH599"/>
      <c r="AEI599"/>
      <c r="AEJ599"/>
      <c r="AEK599"/>
      <c r="AEL599"/>
      <c r="AEM599"/>
      <c r="AEN599"/>
      <c r="AEO599"/>
      <c r="AEP599"/>
      <c r="AEQ599"/>
      <c r="AER599"/>
      <c r="AES599"/>
      <c r="AET599"/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/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/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/>
      <c r="AJZ599"/>
      <c r="AKA599"/>
      <c r="AKB599"/>
      <c r="AKC599"/>
      <c r="AKD599"/>
      <c r="AKE599"/>
      <c r="AKF599"/>
      <c r="AKG599"/>
      <c r="AKH599"/>
      <c r="AKI599"/>
      <c r="AKJ599"/>
      <c r="AKK599"/>
      <c r="AKL599"/>
      <c r="AKM599"/>
      <c r="AKN599"/>
      <c r="AKO599"/>
      <c r="AKP599"/>
      <c r="AKQ599"/>
      <c r="AKR599"/>
      <c r="AKS599"/>
      <c r="AKT599"/>
      <c r="AKU599"/>
      <c r="AKV599"/>
      <c r="AKW599"/>
    </row>
    <row r="600" spans="1:985">
      <c r="A600" s="421" t="s">
        <v>409</v>
      </c>
      <c r="B600" s="315">
        <v>6500</v>
      </c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  <c r="ZW600"/>
      <c r="ZX600"/>
      <c r="ZY600"/>
      <c r="ZZ600"/>
      <c r="AAA600"/>
      <c r="AAB600"/>
      <c r="AAC600"/>
      <c r="AAD600"/>
      <c r="AAE600"/>
      <c r="AAF600"/>
      <c r="AAG600"/>
      <c r="AAH600"/>
      <c r="AAI600"/>
      <c r="AAJ600"/>
      <c r="AAK600"/>
      <c r="AAL600"/>
      <c r="AAM600"/>
      <c r="AAN600"/>
      <c r="AAO600"/>
      <c r="AAP600"/>
      <c r="AAQ600"/>
      <c r="AAR600"/>
      <c r="AAS600"/>
      <c r="AAT600"/>
      <c r="AAU600"/>
      <c r="AAV600"/>
      <c r="AAW600"/>
      <c r="AAX600"/>
      <c r="AAY600"/>
      <c r="AAZ600"/>
      <c r="ABA600"/>
      <c r="ABB600"/>
      <c r="ABC600"/>
      <c r="ABD600"/>
      <c r="ABE600"/>
      <c r="ABF600"/>
      <c r="ABG600"/>
      <c r="ABH600"/>
      <c r="ABI600"/>
      <c r="ABJ600"/>
      <c r="ABK600"/>
      <c r="ABL600"/>
      <c r="ABM600"/>
      <c r="ABN600"/>
      <c r="ABO600"/>
      <c r="ABP600"/>
      <c r="ABQ600"/>
      <c r="ABR600"/>
      <c r="ABS600"/>
      <c r="ABT600"/>
      <c r="ABU600"/>
      <c r="ABV600"/>
      <c r="ABW600"/>
      <c r="ABX600"/>
      <c r="ABY600"/>
      <c r="ABZ600"/>
      <c r="ACA600"/>
      <c r="ACB600"/>
      <c r="ACC600"/>
      <c r="ACD600"/>
      <c r="ACE600"/>
      <c r="ACF600"/>
      <c r="ACG600"/>
      <c r="ACH600"/>
      <c r="ACI600"/>
      <c r="ACJ600"/>
      <c r="ACK600"/>
      <c r="ACL600"/>
      <c r="ACM600"/>
      <c r="ACN600"/>
      <c r="ACO600"/>
      <c r="ACP600"/>
      <c r="ACQ600"/>
      <c r="ACR600"/>
      <c r="ACS600"/>
      <c r="ACT600"/>
      <c r="ACU600"/>
      <c r="ACV600"/>
      <c r="ACW600"/>
      <c r="ACX600"/>
      <c r="ACY600"/>
      <c r="ACZ600"/>
      <c r="ADA600"/>
      <c r="ADB600"/>
      <c r="ADC600"/>
      <c r="ADD600"/>
      <c r="ADE600"/>
      <c r="ADF600"/>
      <c r="ADG600"/>
      <c r="ADH600"/>
      <c r="ADI600"/>
      <c r="ADJ600"/>
      <c r="ADK600"/>
      <c r="ADL600"/>
      <c r="ADM600"/>
      <c r="ADN600"/>
      <c r="ADO600"/>
      <c r="ADP600"/>
      <c r="ADQ600"/>
      <c r="ADR600"/>
      <c r="ADS600"/>
      <c r="ADT600"/>
      <c r="ADU600"/>
      <c r="ADV600"/>
      <c r="ADW600"/>
      <c r="ADX600"/>
      <c r="ADY600"/>
      <c r="ADZ600"/>
      <c r="AEA600"/>
      <c r="AEB600"/>
      <c r="AEC600"/>
      <c r="AED600"/>
      <c r="AEE600"/>
      <c r="AEF600"/>
      <c r="AEG600"/>
      <c r="AEH600"/>
      <c r="AEI600"/>
      <c r="AEJ600"/>
      <c r="AEK600"/>
      <c r="AEL600"/>
      <c r="AEM600"/>
      <c r="AEN600"/>
      <c r="AEO600"/>
      <c r="AEP600"/>
      <c r="AEQ600"/>
      <c r="AER600"/>
      <c r="AES600"/>
      <c r="AET600"/>
      <c r="AEU600"/>
      <c r="AEV600"/>
      <c r="AEW600"/>
      <c r="AEX600"/>
      <c r="AEY600"/>
      <c r="AEZ600"/>
      <c r="AFA600"/>
      <c r="AFB600"/>
      <c r="AFC600"/>
      <c r="AFD600"/>
      <c r="AFE600"/>
      <c r="AFF600"/>
      <c r="AFG600"/>
      <c r="AFH600"/>
      <c r="AFI600"/>
      <c r="AFJ600"/>
      <c r="AFK600"/>
      <c r="AFL600"/>
      <c r="AFM600"/>
      <c r="AFN600"/>
      <c r="AFO600"/>
      <c r="AFP600"/>
      <c r="AFQ600"/>
      <c r="AFR600"/>
      <c r="AFS600"/>
      <c r="AFT600"/>
      <c r="AFU600"/>
      <c r="AFV600"/>
      <c r="AFW600"/>
      <c r="AFX600"/>
      <c r="AFY600"/>
      <c r="AFZ600"/>
      <c r="AGA600"/>
      <c r="AGB600"/>
      <c r="AGC600"/>
      <c r="AGD600"/>
      <c r="AGE600"/>
      <c r="AGF600"/>
      <c r="AGG600"/>
      <c r="AGH600"/>
      <c r="AGI600"/>
      <c r="AGJ600"/>
      <c r="AGK600"/>
      <c r="AGL600"/>
      <c r="AGM600"/>
      <c r="AGN600"/>
      <c r="AGO600"/>
      <c r="AGP600"/>
      <c r="AGQ600"/>
      <c r="AGR600"/>
      <c r="AGS600"/>
      <c r="AGT600"/>
      <c r="AGU600"/>
      <c r="AGV600"/>
      <c r="AGW600"/>
      <c r="AGX600"/>
      <c r="AGY600"/>
      <c r="AGZ600"/>
      <c r="AHA600"/>
      <c r="AHB600"/>
      <c r="AHC600"/>
      <c r="AHD600"/>
      <c r="AHE600"/>
      <c r="AHF600"/>
      <c r="AHG600"/>
      <c r="AHH600"/>
      <c r="AHI600"/>
      <c r="AHJ600"/>
      <c r="AHK600"/>
      <c r="AHL600"/>
      <c r="AHM600"/>
      <c r="AHN600"/>
      <c r="AHO600"/>
      <c r="AHP600"/>
      <c r="AHQ600"/>
      <c r="AHR600"/>
      <c r="AHS600"/>
      <c r="AHT600"/>
      <c r="AHU600"/>
      <c r="AHV600"/>
      <c r="AHW600"/>
      <c r="AHX600"/>
      <c r="AHY600"/>
      <c r="AHZ600"/>
      <c r="AIA600"/>
      <c r="AIB600"/>
      <c r="AIC600"/>
      <c r="AID600"/>
      <c r="AIE600"/>
      <c r="AIF600"/>
      <c r="AIG600"/>
      <c r="AIH600"/>
      <c r="AII600"/>
      <c r="AIJ600"/>
      <c r="AIK600"/>
      <c r="AIL600"/>
      <c r="AIM600"/>
      <c r="AIN600"/>
      <c r="AIO600"/>
      <c r="AIP600"/>
      <c r="AIQ600"/>
      <c r="AIR600"/>
      <c r="AIS600"/>
      <c r="AIT600"/>
      <c r="AIU600"/>
      <c r="AIV600"/>
      <c r="AIW600"/>
      <c r="AIX600"/>
      <c r="AIY600"/>
      <c r="AIZ600"/>
      <c r="AJA600"/>
      <c r="AJB600"/>
      <c r="AJC600"/>
      <c r="AJD600"/>
      <c r="AJE600"/>
      <c r="AJF600"/>
      <c r="AJG600"/>
      <c r="AJH600"/>
      <c r="AJI600"/>
      <c r="AJJ600"/>
      <c r="AJK600"/>
      <c r="AJL600"/>
      <c r="AJM600"/>
      <c r="AJN600"/>
      <c r="AJO600"/>
      <c r="AJP600"/>
      <c r="AJQ600"/>
      <c r="AJR600"/>
      <c r="AJS600"/>
      <c r="AJT600"/>
      <c r="AJU600"/>
      <c r="AJV600"/>
      <c r="AJW600"/>
      <c r="AJX600"/>
      <c r="AJY600"/>
      <c r="AJZ600"/>
      <c r="AKA600"/>
      <c r="AKB600"/>
      <c r="AKC600"/>
      <c r="AKD600"/>
      <c r="AKE600"/>
      <c r="AKF600"/>
      <c r="AKG600"/>
      <c r="AKH600"/>
      <c r="AKI600"/>
      <c r="AKJ600"/>
      <c r="AKK600"/>
      <c r="AKL600"/>
      <c r="AKM600"/>
      <c r="AKN600"/>
      <c r="AKO600"/>
      <c r="AKP600"/>
      <c r="AKQ600"/>
      <c r="AKR600"/>
      <c r="AKS600"/>
      <c r="AKT600"/>
      <c r="AKU600"/>
      <c r="AKV600"/>
      <c r="AKW600"/>
    </row>
    <row r="601" spans="1:985">
      <c r="A601" s="421" t="s">
        <v>411</v>
      </c>
      <c r="B601" s="29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/>
      <c r="AGN601"/>
      <c r="AGO601"/>
      <c r="AGP601"/>
      <c r="AGQ601"/>
      <c r="AGR601"/>
      <c r="AGS601"/>
      <c r="AGT601"/>
      <c r="AGU601"/>
      <c r="AGV601"/>
      <c r="AGW601"/>
      <c r="AGX601"/>
      <c r="AGY601"/>
      <c r="AGZ601"/>
      <c r="AHA601"/>
      <c r="AHB601"/>
      <c r="AHC601"/>
      <c r="AHD601"/>
      <c r="AHE601"/>
      <c r="AHF601"/>
      <c r="AHG601"/>
      <c r="AHH601"/>
      <c r="AHI601"/>
      <c r="AHJ601"/>
      <c r="AHK601"/>
      <c r="AHL601"/>
      <c r="AHM601"/>
      <c r="AHN601"/>
      <c r="AHO601"/>
      <c r="AHP601"/>
      <c r="AHQ601"/>
      <c r="AHR601"/>
      <c r="AHS601"/>
      <c r="AHT601"/>
      <c r="AHU601"/>
      <c r="AHV601"/>
      <c r="AHW601"/>
      <c r="AHX601"/>
      <c r="AHY601"/>
      <c r="AHZ601"/>
      <c r="AIA601"/>
      <c r="AIB601"/>
      <c r="AIC601"/>
      <c r="AID601"/>
      <c r="AIE601"/>
      <c r="AIF601"/>
      <c r="AIG601"/>
      <c r="AIH601"/>
      <c r="AII601"/>
      <c r="AIJ601"/>
      <c r="AIK601"/>
      <c r="AIL601"/>
      <c r="AIM601"/>
      <c r="AIN601"/>
      <c r="AIO601"/>
      <c r="AIP601"/>
      <c r="AIQ601"/>
      <c r="AIR601"/>
      <c r="AIS601"/>
      <c r="AIT601"/>
      <c r="AIU601"/>
      <c r="AIV601"/>
      <c r="AIW601"/>
      <c r="AIX601"/>
      <c r="AIY601"/>
      <c r="AIZ601"/>
      <c r="AJA601"/>
      <c r="AJB601"/>
      <c r="AJC601"/>
      <c r="AJD601"/>
      <c r="AJE601"/>
      <c r="AJF601"/>
      <c r="AJG601"/>
      <c r="AJH601"/>
      <c r="AJI601"/>
      <c r="AJJ601"/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/>
      <c r="AJZ601"/>
      <c r="AKA601"/>
      <c r="AKB601"/>
      <c r="AKC601"/>
      <c r="AKD601"/>
      <c r="AKE601"/>
      <c r="AKF601"/>
      <c r="AKG601"/>
      <c r="AKH601"/>
      <c r="AKI601"/>
      <c r="AKJ601"/>
      <c r="AKK601"/>
      <c r="AKL601"/>
      <c r="AKM601"/>
      <c r="AKN601"/>
      <c r="AKO601"/>
      <c r="AKP601"/>
      <c r="AKQ601"/>
      <c r="AKR601"/>
      <c r="AKS601"/>
      <c r="AKT601"/>
      <c r="AKU601"/>
      <c r="AKV601"/>
      <c r="AKW601"/>
    </row>
    <row r="602" spans="1:985">
      <c r="A602" s="519" t="s">
        <v>413</v>
      </c>
      <c r="B602" s="291">
        <v>6939.5</v>
      </c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  <c r="ZW602"/>
      <c r="ZX602"/>
      <c r="ZY602"/>
      <c r="ZZ602"/>
      <c r="AAA602"/>
      <c r="AAB602"/>
      <c r="AAC602"/>
      <c r="AAD602"/>
      <c r="AAE602"/>
      <c r="AAF602"/>
      <c r="AAG602"/>
      <c r="AAH602"/>
      <c r="AAI602"/>
      <c r="AAJ602"/>
      <c r="AAK602"/>
      <c r="AAL602"/>
      <c r="AAM602"/>
      <c r="AAN602"/>
      <c r="AAO602"/>
      <c r="AAP602"/>
      <c r="AAQ602"/>
      <c r="AAR602"/>
      <c r="AAS602"/>
      <c r="AAT602"/>
      <c r="AAU602"/>
      <c r="AAV602"/>
      <c r="AAW602"/>
      <c r="AAX602"/>
      <c r="AAY602"/>
      <c r="AAZ602"/>
      <c r="ABA602"/>
      <c r="ABB602"/>
      <c r="ABC602"/>
      <c r="ABD602"/>
      <c r="ABE602"/>
      <c r="ABF602"/>
      <c r="ABG602"/>
      <c r="ABH602"/>
      <c r="ABI602"/>
      <c r="ABJ602"/>
      <c r="ABK602"/>
      <c r="ABL602"/>
      <c r="ABM602"/>
      <c r="ABN602"/>
      <c r="ABO602"/>
      <c r="ABP602"/>
      <c r="ABQ602"/>
      <c r="ABR602"/>
      <c r="ABS602"/>
      <c r="ABT602"/>
      <c r="ABU602"/>
      <c r="ABV602"/>
      <c r="ABW602"/>
      <c r="ABX602"/>
      <c r="ABY602"/>
      <c r="ABZ602"/>
      <c r="ACA602"/>
      <c r="ACB602"/>
      <c r="ACC602"/>
      <c r="ACD602"/>
      <c r="ACE602"/>
      <c r="ACF602"/>
      <c r="ACG602"/>
      <c r="ACH602"/>
      <c r="ACI602"/>
      <c r="ACJ602"/>
      <c r="ACK602"/>
      <c r="ACL602"/>
      <c r="ACM602"/>
      <c r="ACN602"/>
      <c r="ACO602"/>
      <c r="ACP602"/>
      <c r="ACQ602"/>
      <c r="ACR602"/>
      <c r="ACS602"/>
      <c r="ACT602"/>
      <c r="ACU602"/>
      <c r="ACV602"/>
      <c r="ACW602"/>
      <c r="ACX602"/>
      <c r="ACY602"/>
      <c r="ACZ602"/>
      <c r="ADA602"/>
      <c r="ADB602"/>
      <c r="ADC602"/>
      <c r="ADD602"/>
      <c r="ADE602"/>
      <c r="ADF602"/>
      <c r="ADG602"/>
      <c r="ADH602"/>
      <c r="ADI602"/>
      <c r="ADJ602"/>
      <c r="ADK602"/>
      <c r="ADL602"/>
      <c r="ADM602"/>
      <c r="ADN602"/>
      <c r="ADO602"/>
      <c r="ADP602"/>
      <c r="ADQ602"/>
      <c r="ADR602"/>
      <c r="ADS602"/>
      <c r="ADT602"/>
      <c r="ADU602"/>
      <c r="ADV602"/>
      <c r="ADW602"/>
      <c r="ADX602"/>
      <c r="ADY602"/>
      <c r="ADZ602"/>
      <c r="AEA602"/>
      <c r="AEB602"/>
      <c r="AEC602"/>
      <c r="AED602"/>
      <c r="AEE602"/>
      <c r="AEF602"/>
      <c r="AEG602"/>
      <c r="AEH602"/>
      <c r="AEI602"/>
      <c r="AEJ602"/>
      <c r="AEK602"/>
      <c r="AEL602"/>
      <c r="AEM602"/>
      <c r="AEN602"/>
      <c r="AEO602"/>
      <c r="AEP602"/>
      <c r="AEQ602"/>
      <c r="AER602"/>
      <c r="AES602"/>
      <c r="AET602"/>
      <c r="AEU602"/>
      <c r="AEV602"/>
      <c r="AEW602"/>
      <c r="AEX602"/>
      <c r="AEY602"/>
      <c r="AEZ602"/>
      <c r="AFA602"/>
      <c r="AFB602"/>
      <c r="AFC602"/>
      <c r="AFD602"/>
      <c r="AFE602"/>
      <c r="AFF602"/>
      <c r="AFG602"/>
      <c r="AFH602"/>
      <c r="AFI602"/>
      <c r="AFJ602"/>
      <c r="AFK602"/>
      <c r="AFL602"/>
      <c r="AFM602"/>
      <c r="AFN602"/>
      <c r="AFO602"/>
      <c r="AFP602"/>
      <c r="AFQ602"/>
      <c r="AFR602"/>
      <c r="AFS602"/>
      <c r="AFT602"/>
      <c r="AFU602"/>
      <c r="AFV602"/>
      <c r="AFW602"/>
      <c r="AFX602"/>
      <c r="AFY602"/>
      <c r="AFZ602"/>
      <c r="AGA602"/>
      <c r="AGB602"/>
      <c r="AGC602"/>
      <c r="AGD602"/>
      <c r="AGE602"/>
      <c r="AGF602"/>
      <c r="AGG602"/>
      <c r="AGH602"/>
      <c r="AGI602"/>
      <c r="AGJ602"/>
      <c r="AGK602"/>
      <c r="AGL602"/>
      <c r="AGM602"/>
      <c r="AGN602"/>
      <c r="AGO602"/>
      <c r="AGP602"/>
      <c r="AGQ602"/>
      <c r="AGR602"/>
      <c r="AGS602"/>
      <c r="AGT602"/>
      <c r="AGU602"/>
      <c r="AGV602"/>
      <c r="AGW602"/>
      <c r="AGX602"/>
      <c r="AGY602"/>
      <c r="AGZ602"/>
      <c r="AHA602"/>
      <c r="AHB602"/>
      <c r="AHC602"/>
      <c r="AHD602"/>
      <c r="AHE602"/>
      <c r="AHF602"/>
      <c r="AHG602"/>
      <c r="AHH602"/>
      <c r="AHI602"/>
      <c r="AHJ602"/>
      <c r="AHK602"/>
      <c r="AHL602"/>
      <c r="AHM602"/>
      <c r="AHN602"/>
      <c r="AHO602"/>
      <c r="AHP602"/>
      <c r="AHQ602"/>
      <c r="AHR602"/>
      <c r="AHS602"/>
      <c r="AHT602"/>
      <c r="AHU602"/>
      <c r="AHV602"/>
      <c r="AHW602"/>
      <c r="AHX602"/>
      <c r="AHY602"/>
      <c r="AHZ602"/>
      <c r="AIA602"/>
      <c r="AIB602"/>
      <c r="AIC602"/>
      <c r="AID602"/>
      <c r="AIE602"/>
      <c r="AIF602"/>
      <c r="AIG602"/>
      <c r="AIH602"/>
      <c r="AII602"/>
      <c r="AIJ602"/>
      <c r="AIK602"/>
      <c r="AIL602"/>
      <c r="AIM602"/>
      <c r="AIN602"/>
      <c r="AIO602"/>
      <c r="AIP602"/>
      <c r="AIQ602"/>
      <c r="AIR602"/>
      <c r="AIS602"/>
      <c r="AIT602"/>
      <c r="AIU602"/>
      <c r="AIV602"/>
      <c r="AIW602"/>
      <c r="AIX602"/>
      <c r="AIY602"/>
      <c r="AIZ602"/>
      <c r="AJA602"/>
      <c r="AJB602"/>
      <c r="AJC602"/>
      <c r="AJD602"/>
      <c r="AJE602"/>
      <c r="AJF602"/>
      <c r="AJG602"/>
      <c r="AJH602"/>
      <c r="AJI602"/>
      <c r="AJJ602"/>
      <c r="AJK602"/>
      <c r="AJL602"/>
      <c r="AJM602"/>
      <c r="AJN602"/>
      <c r="AJO602"/>
      <c r="AJP602"/>
      <c r="AJQ602"/>
      <c r="AJR602"/>
      <c r="AJS602"/>
      <c r="AJT602"/>
      <c r="AJU602"/>
      <c r="AJV602"/>
      <c r="AJW602"/>
      <c r="AJX602"/>
      <c r="AJY602"/>
      <c r="AJZ602"/>
      <c r="AKA602"/>
      <c r="AKB602"/>
      <c r="AKC602"/>
      <c r="AKD602"/>
      <c r="AKE602"/>
      <c r="AKF602"/>
      <c r="AKG602"/>
      <c r="AKH602"/>
      <c r="AKI602"/>
      <c r="AKJ602"/>
      <c r="AKK602"/>
      <c r="AKL602"/>
      <c r="AKM602"/>
      <c r="AKN602"/>
      <c r="AKO602"/>
      <c r="AKP602"/>
      <c r="AKQ602"/>
      <c r="AKR602"/>
      <c r="AKS602"/>
      <c r="AKT602"/>
      <c r="AKU602"/>
      <c r="AKV602"/>
      <c r="AKW602"/>
    </row>
    <row r="603" spans="1:985">
      <c r="A603" s="293" t="s">
        <v>337</v>
      </c>
      <c r="B603" s="289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  <c r="ZW603"/>
      <c r="ZX603"/>
      <c r="ZY603"/>
      <c r="ZZ603"/>
      <c r="AAA603"/>
      <c r="AAB603"/>
      <c r="AAC603"/>
      <c r="AAD603"/>
      <c r="AAE603"/>
      <c r="AAF603"/>
      <c r="AAG603"/>
      <c r="AAH603"/>
      <c r="AAI603"/>
      <c r="AAJ603"/>
      <c r="AAK603"/>
      <c r="AAL603"/>
      <c r="AAM603"/>
      <c r="AAN603"/>
      <c r="AAO603"/>
      <c r="AAP603"/>
      <c r="AAQ603"/>
      <c r="AAR603"/>
      <c r="AAS603"/>
      <c r="AAT603"/>
      <c r="AAU603"/>
      <c r="AAV603"/>
      <c r="AAW603"/>
      <c r="AAX603"/>
      <c r="AAY603"/>
      <c r="AAZ603"/>
      <c r="ABA603"/>
      <c r="ABB603"/>
      <c r="ABC603"/>
      <c r="ABD603"/>
      <c r="ABE603"/>
      <c r="ABF603"/>
      <c r="ABG603"/>
      <c r="ABH603"/>
      <c r="ABI603"/>
      <c r="ABJ603"/>
      <c r="ABK603"/>
      <c r="ABL603"/>
      <c r="ABM603"/>
      <c r="ABN603"/>
      <c r="ABO603"/>
      <c r="ABP603"/>
      <c r="ABQ603"/>
      <c r="ABR603"/>
      <c r="ABS603"/>
      <c r="ABT603"/>
      <c r="ABU603"/>
      <c r="ABV603"/>
      <c r="ABW603"/>
      <c r="ABX603"/>
      <c r="ABY603"/>
      <c r="ABZ603"/>
      <c r="ACA603"/>
      <c r="ACB603"/>
      <c r="ACC603"/>
      <c r="ACD603"/>
      <c r="ACE603"/>
      <c r="ACF603"/>
      <c r="ACG603"/>
      <c r="ACH603"/>
      <c r="ACI603"/>
      <c r="ACJ603"/>
      <c r="ACK603"/>
      <c r="ACL603"/>
      <c r="ACM603"/>
      <c r="ACN603"/>
      <c r="ACO603"/>
      <c r="ACP603"/>
      <c r="ACQ603"/>
      <c r="ACR603"/>
      <c r="ACS603"/>
      <c r="ACT603"/>
      <c r="ACU603"/>
      <c r="ACV603"/>
      <c r="ACW603"/>
      <c r="ACX603"/>
      <c r="ACY603"/>
      <c r="ACZ603"/>
      <c r="ADA603"/>
      <c r="ADB603"/>
      <c r="ADC603"/>
      <c r="ADD603"/>
      <c r="ADE603"/>
      <c r="ADF603"/>
      <c r="ADG603"/>
      <c r="ADH603"/>
      <c r="ADI603"/>
      <c r="ADJ603"/>
      <c r="ADK603"/>
      <c r="ADL603"/>
      <c r="ADM603"/>
      <c r="ADN603"/>
      <c r="ADO603"/>
      <c r="ADP603"/>
      <c r="ADQ603"/>
      <c r="ADR603"/>
      <c r="ADS603"/>
      <c r="ADT603"/>
      <c r="ADU603"/>
      <c r="ADV603"/>
      <c r="ADW603"/>
      <c r="ADX603"/>
      <c r="ADY603"/>
      <c r="ADZ603"/>
      <c r="AEA603"/>
      <c r="AEB603"/>
      <c r="AEC603"/>
      <c r="AED603"/>
      <c r="AEE603"/>
      <c r="AEF603"/>
      <c r="AEG603"/>
      <c r="AEH603"/>
      <c r="AEI603"/>
      <c r="AEJ603"/>
      <c r="AEK603"/>
      <c r="AEL603"/>
      <c r="AEM603"/>
      <c r="AEN603"/>
      <c r="AEO603"/>
      <c r="AEP603"/>
      <c r="AEQ603"/>
      <c r="AER603"/>
      <c r="AES603"/>
      <c r="AET603"/>
      <c r="AEU603"/>
      <c r="AEV603"/>
      <c r="AEW603"/>
      <c r="AEX603"/>
      <c r="AEY603"/>
      <c r="AEZ603"/>
      <c r="AFA603"/>
      <c r="AFB603"/>
      <c r="AFC603"/>
      <c r="AFD603"/>
      <c r="AFE603"/>
      <c r="AFF603"/>
      <c r="AFG603"/>
      <c r="AFH603"/>
      <c r="AFI603"/>
      <c r="AFJ603"/>
      <c r="AFK603"/>
      <c r="AFL603"/>
      <c r="AFM603"/>
      <c r="AFN603"/>
      <c r="AFO603"/>
      <c r="AFP603"/>
      <c r="AFQ603"/>
      <c r="AFR603"/>
      <c r="AFS603"/>
      <c r="AFT603"/>
      <c r="AFU603"/>
      <c r="AFV603"/>
      <c r="AFW603"/>
      <c r="AFX603"/>
      <c r="AFY603"/>
      <c r="AFZ603"/>
      <c r="AGA603"/>
      <c r="AGB603"/>
      <c r="AGC603"/>
      <c r="AGD603"/>
      <c r="AGE603"/>
      <c r="AGF603"/>
      <c r="AGG603"/>
      <c r="AGH603"/>
      <c r="AGI603"/>
      <c r="AGJ603"/>
      <c r="AGK603"/>
      <c r="AGL603"/>
      <c r="AGM603"/>
      <c r="AGN603"/>
      <c r="AGO603"/>
      <c r="AGP603"/>
      <c r="AGQ603"/>
      <c r="AGR603"/>
      <c r="AGS603"/>
      <c r="AGT603"/>
      <c r="AGU603"/>
      <c r="AGV603"/>
      <c r="AGW603"/>
      <c r="AGX603"/>
      <c r="AGY603"/>
      <c r="AGZ603"/>
      <c r="AHA603"/>
      <c r="AHB603"/>
      <c r="AHC603"/>
      <c r="AHD603"/>
      <c r="AHE603"/>
      <c r="AHF603"/>
      <c r="AHG603"/>
      <c r="AHH603"/>
      <c r="AHI603"/>
      <c r="AHJ603"/>
      <c r="AHK603"/>
      <c r="AHL603"/>
      <c r="AHM603"/>
      <c r="AHN603"/>
      <c r="AHO603"/>
      <c r="AHP603"/>
      <c r="AHQ603"/>
      <c r="AHR603"/>
      <c r="AHS603"/>
      <c r="AHT603"/>
      <c r="AHU603"/>
      <c r="AHV603"/>
      <c r="AHW603"/>
      <c r="AHX603"/>
      <c r="AHY603"/>
      <c r="AHZ603"/>
      <c r="AIA603"/>
      <c r="AIB603"/>
      <c r="AIC603"/>
      <c r="AID603"/>
      <c r="AIE603"/>
      <c r="AIF603"/>
      <c r="AIG603"/>
      <c r="AIH603"/>
      <c r="AII603"/>
      <c r="AIJ603"/>
      <c r="AIK603"/>
      <c r="AIL603"/>
      <c r="AIM603"/>
      <c r="AIN603"/>
      <c r="AIO603"/>
      <c r="AIP603"/>
      <c r="AIQ603"/>
      <c r="AIR603"/>
      <c r="AIS603"/>
      <c r="AIT603"/>
      <c r="AIU603"/>
      <c r="AIV603"/>
      <c r="AIW603"/>
      <c r="AIX603"/>
      <c r="AIY603"/>
      <c r="AIZ603"/>
      <c r="AJA603"/>
      <c r="AJB603"/>
      <c r="AJC603"/>
      <c r="AJD603"/>
      <c r="AJE603"/>
      <c r="AJF603"/>
      <c r="AJG603"/>
      <c r="AJH603"/>
      <c r="AJI603"/>
      <c r="AJJ603"/>
      <c r="AJK603"/>
      <c r="AJL603"/>
      <c r="AJM603"/>
      <c r="AJN603"/>
      <c r="AJO603"/>
      <c r="AJP603"/>
      <c r="AJQ603"/>
      <c r="AJR603"/>
      <c r="AJS603"/>
      <c r="AJT603"/>
      <c r="AJU603"/>
      <c r="AJV603"/>
      <c r="AJW603"/>
      <c r="AJX603"/>
      <c r="AJY603"/>
      <c r="AJZ603"/>
      <c r="AKA603"/>
      <c r="AKB603"/>
      <c r="AKC603"/>
      <c r="AKD603"/>
      <c r="AKE603"/>
      <c r="AKF603"/>
      <c r="AKG603"/>
      <c r="AKH603"/>
      <c r="AKI603"/>
      <c r="AKJ603"/>
      <c r="AKK603"/>
      <c r="AKL603"/>
      <c r="AKM603"/>
      <c r="AKN603"/>
      <c r="AKO603"/>
      <c r="AKP603"/>
      <c r="AKQ603"/>
      <c r="AKR603"/>
      <c r="AKS603"/>
      <c r="AKT603"/>
      <c r="AKU603"/>
      <c r="AKV603"/>
      <c r="AKW603"/>
    </row>
    <row r="604" spans="1:985">
      <c r="A604" s="282" t="s">
        <v>415</v>
      </c>
      <c r="B604" s="291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  <c r="ZW604"/>
      <c r="ZX604"/>
      <c r="ZY604"/>
      <c r="ZZ604"/>
      <c r="AAA604"/>
      <c r="AAB604"/>
      <c r="AAC604"/>
      <c r="AAD604"/>
      <c r="AAE604"/>
      <c r="AAF604"/>
      <c r="AAG604"/>
      <c r="AAH604"/>
      <c r="AAI604"/>
      <c r="AAJ604"/>
      <c r="AAK604"/>
      <c r="AAL604"/>
      <c r="AAM604"/>
      <c r="AAN604"/>
      <c r="AAO604"/>
      <c r="AAP604"/>
      <c r="AAQ604"/>
      <c r="AAR604"/>
      <c r="AAS604"/>
      <c r="AAT604"/>
      <c r="AAU604"/>
      <c r="AAV604"/>
      <c r="AAW604"/>
      <c r="AAX604"/>
      <c r="AAY604"/>
      <c r="AAZ604"/>
      <c r="ABA604"/>
      <c r="ABB604"/>
      <c r="ABC604"/>
      <c r="ABD604"/>
      <c r="ABE604"/>
      <c r="ABF604"/>
      <c r="ABG604"/>
      <c r="ABH604"/>
      <c r="ABI604"/>
      <c r="ABJ604"/>
      <c r="ABK604"/>
      <c r="ABL604"/>
      <c r="ABM604"/>
      <c r="ABN604"/>
      <c r="ABO604"/>
      <c r="ABP604"/>
      <c r="ABQ604"/>
      <c r="ABR604"/>
      <c r="ABS604"/>
      <c r="ABT604"/>
      <c r="ABU604"/>
      <c r="ABV604"/>
      <c r="ABW604"/>
      <c r="ABX604"/>
      <c r="ABY604"/>
      <c r="ABZ604"/>
      <c r="ACA604"/>
      <c r="ACB604"/>
      <c r="ACC604"/>
      <c r="ACD604"/>
      <c r="ACE604"/>
      <c r="ACF604"/>
      <c r="ACG604"/>
      <c r="ACH604"/>
      <c r="ACI604"/>
      <c r="ACJ604"/>
      <c r="ACK604"/>
      <c r="ACL604"/>
      <c r="ACM604"/>
      <c r="ACN604"/>
      <c r="ACO604"/>
      <c r="ACP604"/>
      <c r="ACQ604"/>
      <c r="ACR604"/>
      <c r="ACS604"/>
      <c r="ACT604"/>
      <c r="ACU604"/>
      <c r="ACV604"/>
      <c r="ACW604"/>
      <c r="ACX604"/>
      <c r="ACY604"/>
      <c r="ACZ604"/>
      <c r="ADA604"/>
      <c r="ADB604"/>
      <c r="ADC604"/>
      <c r="ADD604"/>
      <c r="ADE604"/>
      <c r="ADF604"/>
      <c r="ADG604"/>
      <c r="ADH604"/>
      <c r="ADI604"/>
      <c r="ADJ604"/>
      <c r="ADK604"/>
      <c r="ADL604"/>
      <c r="ADM604"/>
      <c r="ADN604"/>
      <c r="ADO604"/>
      <c r="ADP604"/>
      <c r="ADQ604"/>
      <c r="ADR604"/>
      <c r="ADS604"/>
      <c r="ADT604"/>
      <c r="ADU604"/>
      <c r="ADV604"/>
      <c r="ADW604"/>
      <c r="ADX604"/>
      <c r="ADY604"/>
      <c r="ADZ604"/>
      <c r="AEA604"/>
      <c r="AEB604"/>
      <c r="AEC604"/>
      <c r="AED604"/>
      <c r="AEE604"/>
      <c r="AEF604"/>
      <c r="AEG604"/>
      <c r="AEH604"/>
      <c r="AEI604"/>
      <c r="AEJ604"/>
      <c r="AEK604"/>
      <c r="AEL604"/>
      <c r="AEM604"/>
      <c r="AEN604"/>
      <c r="AEO604"/>
      <c r="AEP604"/>
      <c r="AEQ604"/>
      <c r="AER604"/>
      <c r="AES604"/>
      <c r="AET604"/>
      <c r="AEU604"/>
      <c r="AEV604"/>
      <c r="AEW604"/>
      <c r="AEX604"/>
      <c r="AEY604"/>
      <c r="AEZ604"/>
      <c r="AFA604"/>
      <c r="AFB604"/>
      <c r="AFC604"/>
      <c r="AFD604"/>
      <c r="AFE604"/>
      <c r="AFF604"/>
      <c r="AFG604"/>
      <c r="AFH604"/>
      <c r="AFI604"/>
      <c r="AFJ604"/>
      <c r="AFK604"/>
      <c r="AFL604"/>
      <c r="AFM604"/>
      <c r="AFN604"/>
      <c r="AFO604"/>
      <c r="AFP604"/>
      <c r="AFQ604"/>
      <c r="AFR604"/>
      <c r="AFS604"/>
      <c r="AFT604"/>
      <c r="AFU604"/>
      <c r="AFV604"/>
      <c r="AFW604"/>
      <c r="AFX604"/>
      <c r="AFY604"/>
      <c r="AFZ604"/>
      <c r="AGA604"/>
      <c r="AGB604"/>
      <c r="AGC604"/>
      <c r="AGD604"/>
      <c r="AGE604"/>
      <c r="AGF604"/>
      <c r="AGG604"/>
      <c r="AGH604"/>
      <c r="AGI604"/>
      <c r="AGJ604"/>
      <c r="AGK604"/>
      <c r="AGL604"/>
      <c r="AGM604"/>
      <c r="AGN604"/>
      <c r="AGO604"/>
      <c r="AGP604"/>
      <c r="AGQ604"/>
      <c r="AGR604"/>
      <c r="AGS604"/>
      <c r="AGT604"/>
      <c r="AGU604"/>
      <c r="AGV604"/>
      <c r="AGW604"/>
      <c r="AGX604"/>
      <c r="AGY604"/>
      <c r="AGZ604"/>
      <c r="AHA604"/>
      <c r="AHB604"/>
      <c r="AHC604"/>
      <c r="AHD604"/>
      <c r="AHE604"/>
      <c r="AHF604"/>
      <c r="AHG604"/>
      <c r="AHH604"/>
      <c r="AHI604"/>
      <c r="AHJ604"/>
      <c r="AHK604"/>
      <c r="AHL604"/>
      <c r="AHM604"/>
      <c r="AHN604"/>
      <c r="AHO604"/>
      <c r="AHP604"/>
      <c r="AHQ604"/>
      <c r="AHR604"/>
      <c r="AHS604"/>
      <c r="AHT604"/>
      <c r="AHU604"/>
      <c r="AHV604"/>
      <c r="AHW604"/>
      <c r="AHX604"/>
      <c r="AHY604"/>
      <c r="AHZ604"/>
      <c r="AIA604"/>
      <c r="AIB604"/>
      <c r="AIC604"/>
      <c r="AID604"/>
      <c r="AIE604"/>
      <c r="AIF604"/>
      <c r="AIG604"/>
      <c r="AIH604"/>
      <c r="AII604"/>
      <c r="AIJ604"/>
      <c r="AIK604"/>
      <c r="AIL604"/>
      <c r="AIM604"/>
      <c r="AIN604"/>
      <c r="AIO604"/>
      <c r="AIP604"/>
      <c r="AIQ604"/>
      <c r="AIR604"/>
      <c r="AIS604"/>
      <c r="AIT604"/>
      <c r="AIU604"/>
      <c r="AIV604"/>
      <c r="AIW604"/>
      <c r="AIX604"/>
      <c r="AIY604"/>
      <c r="AIZ604"/>
      <c r="AJA604"/>
      <c r="AJB604"/>
      <c r="AJC604"/>
      <c r="AJD604"/>
      <c r="AJE604"/>
      <c r="AJF604"/>
      <c r="AJG604"/>
      <c r="AJH604"/>
      <c r="AJI604"/>
      <c r="AJJ604"/>
      <c r="AJK604"/>
      <c r="AJL604"/>
      <c r="AJM604"/>
      <c r="AJN604"/>
      <c r="AJO604"/>
      <c r="AJP604"/>
      <c r="AJQ604"/>
      <c r="AJR604"/>
      <c r="AJS604"/>
      <c r="AJT604"/>
      <c r="AJU604"/>
      <c r="AJV604"/>
      <c r="AJW604"/>
      <c r="AJX604"/>
      <c r="AJY604"/>
      <c r="AJZ604"/>
      <c r="AKA604"/>
      <c r="AKB604"/>
      <c r="AKC604"/>
      <c r="AKD604"/>
      <c r="AKE604"/>
      <c r="AKF604"/>
      <c r="AKG604"/>
      <c r="AKH604"/>
      <c r="AKI604"/>
      <c r="AKJ604"/>
      <c r="AKK604"/>
      <c r="AKL604"/>
      <c r="AKM604"/>
      <c r="AKN604"/>
      <c r="AKO604"/>
      <c r="AKP604"/>
      <c r="AKQ604"/>
      <c r="AKR604"/>
      <c r="AKS604"/>
      <c r="AKT604"/>
      <c r="AKU604"/>
      <c r="AKV604"/>
      <c r="AKW604"/>
    </row>
    <row r="605" spans="1:985">
      <c r="A605" s="282" t="s">
        <v>416</v>
      </c>
      <c r="B605" s="291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  <c r="ZW605"/>
      <c r="ZX605"/>
      <c r="ZY605"/>
      <c r="ZZ605"/>
      <c r="AAA605"/>
      <c r="AAB605"/>
      <c r="AAC605"/>
      <c r="AAD605"/>
      <c r="AAE605"/>
      <c r="AAF605"/>
      <c r="AAG605"/>
      <c r="AAH605"/>
      <c r="AAI605"/>
      <c r="AAJ605"/>
      <c r="AAK605"/>
      <c r="AAL605"/>
      <c r="AAM605"/>
      <c r="AAN605"/>
      <c r="AAO605"/>
      <c r="AAP605"/>
      <c r="AAQ605"/>
      <c r="AAR605"/>
      <c r="AAS605"/>
      <c r="AAT605"/>
      <c r="AAU605"/>
      <c r="AAV605"/>
      <c r="AAW605"/>
      <c r="AAX605"/>
      <c r="AAY605"/>
      <c r="AAZ605"/>
      <c r="ABA605"/>
      <c r="ABB605"/>
      <c r="ABC605"/>
      <c r="ABD605"/>
      <c r="ABE605"/>
      <c r="ABF605"/>
      <c r="ABG605"/>
      <c r="ABH605"/>
      <c r="ABI605"/>
      <c r="ABJ605"/>
      <c r="ABK605"/>
      <c r="ABL605"/>
      <c r="ABM605"/>
      <c r="ABN605"/>
      <c r="ABO605"/>
      <c r="ABP605"/>
      <c r="ABQ605"/>
      <c r="ABR605"/>
      <c r="ABS605"/>
      <c r="ABT605"/>
      <c r="ABU605"/>
      <c r="ABV605"/>
      <c r="ABW605"/>
      <c r="ABX605"/>
      <c r="ABY605"/>
      <c r="ABZ605"/>
      <c r="ACA605"/>
      <c r="ACB605"/>
      <c r="ACC605"/>
      <c r="ACD605"/>
      <c r="ACE605"/>
      <c r="ACF605"/>
      <c r="ACG605"/>
      <c r="ACH605"/>
      <c r="ACI605"/>
      <c r="ACJ605"/>
      <c r="ACK605"/>
      <c r="ACL605"/>
      <c r="ACM605"/>
      <c r="ACN605"/>
      <c r="ACO605"/>
      <c r="ACP605"/>
      <c r="ACQ605"/>
      <c r="ACR605"/>
      <c r="ACS605"/>
      <c r="ACT605"/>
      <c r="ACU605"/>
      <c r="ACV605"/>
      <c r="ACW605"/>
      <c r="ACX605"/>
      <c r="ACY605"/>
      <c r="ACZ605"/>
      <c r="ADA605"/>
      <c r="ADB605"/>
      <c r="ADC605"/>
      <c r="ADD605"/>
      <c r="ADE605"/>
      <c r="ADF605"/>
      <c r="ADG605"/>
      <c r="ADH605"/>
      <c r="ADI605"/>
      <c r="ADJ605"/>
      <c r="ADK605"/>
      <c r="ADL605"/>
      <c r="ADM605"/>
      <c r="ADN605"/>
      <c r="ADO605"/>
      <c r="ADP605"/>
      <c r="ADQ605"/>
      <c r="ADR605"/>
      <c r="ADS605"/>
      <c r="ADT605"/>
      <c r="ADU605"/>
      <c r="ADV605"/>
      <c r="ADW605"/>
      <c r="ADX605"/>
      <c r="ADY605"/>
      <c r="ADZ605"/>
      <c r="AEA605"/>
      <c r="AEB605"/>
      <c r="AEC605"/>
      <c r="AED605"/>
      <c r="AEE605"/>
      <c r="AEF605"/>
      <c r="AEG605"/>
      <c r="AEH605"/>
      <c r="AEI605"/>
      <c r="AEJ605"/>
      <c r="AEK605"/>
      <c r="AEL605"/>
      <c r="AEM605"/>
      <c r="AEN605"/>
      <c r="AEO605"/>
      <c r="AEP605"/>
      <c r="AEQ605"/>
      <c r="AER605"/>
      <c r="AES605"/>
      <c r="AET605"/>
      <c r="AEU605"/>
      <c r="AEV605"/>
      <c r="AEW605"/>
      <c r="AEX605"/>
      <c r="AEY605"/>
      <c r="AEZ605"/>
      <c r="AFA605"/>
      <c r="AFB605"/>
      <c r="AFC605"/>
      <c r="AFD605"/>
      <c r="AFE605"/>
      <c r="AFF605"/>
      <c r="AFG605"/>
      <c r="AFH605"/>
      <c r="AFI605"/>
      <c r="AFJ605"/>
      <c r="AFK605"/>
      <c r="AFL605"/>
      <c r="AFM605"/>
      <c r="AFN605"/>
      <c r="AFO605"/>
      <c r="AFP605"/>
      <c r="AFQ605"/>
      <c r="AFR605"/>
      <c r="AFS605"/>
      <c r="AFT605"/>
      <c r="AFU605"/>
      <c r="AFV605"/>
      <c r="AFW605"/>
      <c r="AFX605"/>
      <c r="AFY605"/>
      <c r="AFZ605"/>
      <c r="AGA605"/>
      <c r="AGB605"/>
      <c r="AGC605"/>
      <c r="AGD605"/>
      <c r="AGE605"/>
      <c r="AGF605"/>
      <c r="AGG605"/>
      <c r="AGH605"/>
      <c r="AGI605"/>
      <c r="AGJ605"/>
      <c r="AGK605"/>
      <c r="AGL605"/>
      <c r="AGM605"/>
      <c r="AGN605"/>
      <c r="AGO605"/>
      <c r="AGP605"/>
      <c r="AGQ605"/>
      <c r="AGR605"/>
      <c r="AGS605"/>
      <c r="AGT605"/>
      <c r="AGU605"/>
      <c r="AGV605"/>
      <c r="AGW605"/>
      <c r="AGX605"/>
      <c r="AGY605"/>
      <c r="AGZ605"/>
      <c r="AHA605"/>
      <c r="AHB605"/>
      <c r="AHC605"/>
      <c r="AHD605"/>
      <c r="AHE605"/>
      <c r="AHF605"/>
      <c r="AHG605"/>
      <c r="AHH605"/>
      <c r="AHI605"/>
      <c r="AHJ605"/>
      <c r="AHK605"/>
      <c r="AHL605"/>
      <c r="AHM605"/>
      <c r="AHN605"/>
      <c r="AHO605"/>
      <c r="AHP605"/>
      <c r="AHQ605"/>
      <c r="AHR605"/>
      <c r="AHS605"/>
      <c r="AHT605"/>
      <c r="AHU605"/>
      <c r="AHV605"/>
      <c r="AHW605"/>
      <c r="AHX605"/>
      <c r="AHY605"/>
      <c r="AHZ605"/>
      <c r="AIA605"/>
      <c r="AIB605"/>
      <c r="AIC605"/>
      <c r="AID605"/>
      <c r="AIE605"/>
      <c r="AIF605"/>
      <c r="AIG605"/>
      <c r="AIH605"/>
      <c r="AII605"/>
      <c r="AIJ605"/>
      <c r="AIK605"/>
      <c r="AIL605"/>
      <c r="AIM605"/>
      <c r="AIN605"/>
      <c r="AIO605"/>
      <c r="AIP605"/>
      <c r="AIQ605"/>
      <c r="AIR605"/>
      <c r="AIS605"/>
      <c r="AIT605"/>
      <c r="AIU605"/>
      <c r="AIV605"/>
      <c r="AIW605"/>
      <c r="AIX605"/>
      <c r="AIY605"/>
      <c r="AIZ605"/>
      <c r="AJA605"/>
      <c r="AJB605"/>
      <c r="AJC605"/>
      <c r="AJD605"/>
      <c r="AJE605"/>
      <c r="AJF605"/>
      <c r="AJG605"/>
      <c r="AJH605"/>
      <c r="AJI605"/>
      <c r="AJJ605"/>
      <c r="AJK605"/>
      <c r="AJL605"/>
      <c r="AJM605"/>
      <c r="AJN605"/>
      <c r="AJO605"/>
      <c r="AJP605"/>
      <c r="AJQ605"/>
      <c r="AJR605"/>
      <c r="AJS605"/>
      <c r="AJT605"/>
      <c r="AJU605"/>
      <c r="AJV605"/>
      <c r="AJW605"/>
      <c r="AJX605"/>
      <c r="AJY605"/>
      <c r="AJZ605"/>
      <c r="AKA605"/>
      <c r="AKB605"/>
      <c r="AKC605"/>
      <c r="AKD605"/>
      <c r="AKE605"/>
      <c r="AKF605"/>
      <c r="AKG605"/>
      <c r="AKH605"/>
      <c r="AKI605"/>
      <c r="AKJ605"/>
      <c r="AKK605"/>
      <c r="AKL605"/>
      <c r="AKM605"/>
      <c r="AKN605"/>
      <c r="AKO605"/>
      <c r="AKP605"/>
      <c r="AKQ605"/>
      <c r="AKR605"/>
      <c r="AKS605"/>
      <c r="AKT605"/>
      <c r="AKU605"/>
      <c r="AKV605"/>
      <c r="AKW605"/>
    </row>
    <row r="606" spans="1:985">
      <c r="A606" s="282" t="s">
        <v>417</v>
      </c>
      <c r="B606" s="290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  <c r="ABE606"/>
      <c r="ABF606"/>
      <c r="ABG606"/>
      <c r="ABH606"/>
      <c r="ABI606"/>
      <c r="ABJ606"/>
      <c r="ABK606"/>
      <c r="ABL606"/>
      <c r="ABM606"/>
      <c r="ABN606"/>
      <c r="ABO606"/>
      <c r="ABP606"/>
      <c r="ABQ606"/>
      <c r="ABR606"/>
      <c r="ABS606"/>
      <c r="ABT606"/>
      <c r="ABU606"/>
      <c r="ABV606"/>
      <c r="ABW606"/>
      <c r="ABX606"/>
      <c r="ABY606"/>
      <c r="ABZ606"/>
      <c r="ACA606"/>
      <c r="ACB606"/>
      <c r="ACC606"/>
      <c r="ACD606"/>
      <c r="ACE606"/>
      <c r="ACF606"/>
      <c r="ACG606"/>
      <c r="ACH606"/>
      <c r="ACI606"/>
      <c r="ACJ606"/>
      <c r="ACK606"/>
      <c r="ACL606"/>
      <c r="ACM606"/>
      <c r="ACN606"/>
      <c r="ACO606"/>
      <c r="ACP606"/>
      <c r="ACQ606"/>
      <c r="ACR606"/>
      <c r="ACS606"/>
      <c r="ACT606"/>
      <c r="ACU606"/>
      <c r="ACV606"/>
      <c r="ACW606"/>
      <c r="ACX606"/>
      <c r="ACY606"/>
      <c r="ACZ606"/>
      <c r="ADA606"/>
      <c r="ADB606"/>
      <c r="ADC606"/>
      <c r="ADD606"/>
      <c r="ADE606"/>
      <c r="ADF606"/>
      <c r="ADG606"/>
      <c r="ADH606"/>
      <c r="ADI606"/>
      <c r="ADJ606"/>
      <c r="ADK606"/>
      <c r="ADL606"/>
      <c r="ADM606"/>
      <c r="ADN606"/>
      <c r="ADO606"/>
      <c r="ADP606"/>
      <c r="ADQ606"/>
      <c r="ADR606"/>
      <c r="ADS606"/>
      <c r="ADT606"/>
      <c r="ADU606"/>
      <c r="ADV606"/>
      <c r="ADW606"/>
      <c r="ADX606"/>
      <c r="ADY606"/>
      <c r="ADZ606"/>
      <c r="AEA606"/>
      <c r="AEB606"/>
      <c r="AEC606"/>
      <c r="AED606"/>
      <c r="AEE606"/>
      <c r="AEF606"/>
      <c r="AEG606"/>
      <c r="AEH606"/>
      <c r="AEI606"/>
      <c r="AEJ606"/>
      <c r="AEK606"/>
      <c r="AEL606"/>
      <c r="AEM606"/>
      <c r="AEN606"/>
      <c r="AEO606"/>
      <c r="AEP606"/>
      <c r="AEQ606"/>
      <c r="AER606"/>
      <c r="AES606"/>
      <c r="AET606"/>
      <c r="AEU606"/>
      <c r="AEV606"/>
      <c r="AEW606"/>
      <c r="AEX606"/>
      <c r="AEY606"/>
      <c r="AEZ606"/>
      <c r="AFA606"/>
      <c r="AFB606"/>
      <c r="AFC606"/>
      <c r="AFD606"/>
      <c r="AFE606"/>
      <c r="AFF606"/>
      <c r="AFG606"/>
      <c r="AFH606"/>
      <c r="AFI606"/>
      <c r="AFJ606"/>
      <c r="AFK606"/>
      <c r="AFL606"/>
      <c r="AFM606"/>
      <c r="AFN606"/>
      <c r="AFO606"/>
      <c r="AFP606"/>
      <c r="AFQ606"/>
      <c r="AFR606"/>
      <c r="AFS606"/>
      <c r="AFT606"/>
      <c r="AFU606"/>
      <c r="AFV606"/>
      <c r="AFW606"/>
      <c r="AFX606"/>
      <c r="AFY606"/>
      <c r="AFZ606"/>
      <c r="AGA606"/>
      <c r="AGB606"/>
      <c r="AGC606"/>
      <c r="AGD606"/>
      <c r="AGE606"/>
      <c r="AGF606"/>
      <c r="AGG606"/>
      <c r="AGH606"/>
      <c r="AGI606"/>
      <c r="AGJ606"/>
      <c r="AGK606"/>
      <c r="AGL606"/>
      <c r="AGM606"/>
      <c r="AGN606"/>
      <c r="AGO606"/>
      <c r="AGP606"/>
      <c r="AGQ606"/>
      <c r="AGR606"/>
      <c r="AGS606"/>
      <c r="AGT606"/>
      <c r="AGU606"/>
      <c r="AGV606"/>
      <c r="AGW606"/>
      <c r="AGX606"/>
      <c r="AGY606"/>
      <c r="AGZ606"/>
      <c r="AHA606"/>
      <c r="AHB606"/>
      <c r="AHC606"/>
      <c r="AHD606"/>
      <c r="AHE606"/>
      <c r="AHF606"/>
      <c r="AHG606"/>
      <c r="AHH606"/>
      <c r="AHI606"/>
      <c r="AHJ606"/>
      <c r="AHK606"/>
      <c r="AHL606"/>
      <c r="AHM606"/>
      <c r="AHN606"/>
      <c r="AHO606"/>
      <c r="AHP606"/>
      <c r="AHQ606"/>
      <c r="AHR606"/>
      <c r="AHS606"/>
      <c r="AHT606"/>
      <c r="AHU606"/>
      <c r="AHV606"/>
      <c r="AHW606"/>
      <c r="AHX606"/>
      <c r="AHY606"/>
      <c r="AHZ606"/>
      <c r="AIA606"/>
      <c r="AIB606"/>
      <c r="AIC606"/>
      <c r="AID606"/>
      <c r="AIE606"/>
      <c r="AIF606"/>
      <c r="AIG606"/>
      <c r="AIH606"/>
      <c r="AII606"/>
      <c r="AIJ606"/>
      <c r="AIK606"/>
      <c r="AIL606"/>
      <c r="AIM606"/>
      <c r="AIN606"/>
      <c r="AIO606"/>
      <c r="AIP606"/>
      <c r="AIQ606"/>
      <c r="AIR606"/>
      <c r="AIS606"/>
      <c r="AIT606"/>
      <c r="AIU606"/>
      <c r="AIV606"/>
      <c r="AIW606"/>
      <c r="AIX606"/>
      <c r="AIY606"/>
      <c r="AIZ606"/>
      <c r="AJA606"/>
      <c r="AJB606"/>
      <c r="AJC606"/>
      <c r="AJD606"/>
      <c r="AJE606"/>
      <c r="AJF606"/>
      <c r="AJG606"/>
      <c r="AJH606"/>
      <c r="AJI606"/>
      <c r="AJJ606"/>
      <c r="AJK606"/>
      <c r="AJL606"/>
      <c r="AJM606"/>
      <c r="AJN606"/>
      <c r="AJO606"/>
      <c r="AJP606"/>
      <c r="AJQ606"/>
      <c r="AJR606"/>
      <c r="AJS606"/>
      <c r="AJT606"/>
      <c r="AJU606"/>
      <c r="AJV606"/>
      <c r="AJW606"/>
      <c r="AJX606"/>
      <c r="AJY606"/>
      <c r="AJZ606"/>
      <c r="AKA606"/>
      <c r="AKB606"/>
      <c r="AKC606"/>
      <c r="AKD606"/>
      <c r="AKE606"/>
      <c r="AKF606"/>
      <c r="AKG606"/>
      <c r="AKH606"/>
      <c r="AKI606"/>
      <c r="AKJ606"/>
      <c r="AKK606"/>
      <c r="AKL606"/>
      <c r="AKM606"/>
      <c r="AKN606"/>
      <c r="AKO606"/>
      <c r="AKP606"/>
      <c r="AKQ606"/>
      <c r="AKR606"/>
      <c r="AKS606"/>
      <c r="AKT606"/>
      <c r="AKU606"/>
      <c r="AKV606"/>
      <c r="AKW606"/>
    </row>
    <row r="607" spans="1:985">
      <c r="A607" s="293" t="s">
        <v>418</v>
      </c>
      <c r="B607" s="291">
        <f>4834.5+2105</f>
        <v>6939.5</v>
      </c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/>
      <c r="ACY607"/>
      <c r="ACZ607"/>
      <c r="ADA607"/>
      <c r="ADB607"/>
      <c r="ADC607"/>
      <c r="ADD607"/>
      <c r="ADE607"/>
      <c r="ADF607"/>
      <c r="ADG607"/>
      <c r="ADH607"/>
      <c r="ADI607"/>
      <c r="ADJ607"/>
      <c r="ADK607"/>
      <c r="ADL607"/>
      <c r="ADM607"/>
      <c r="ADN607"/>
      <c r="ADO607"/>
      <c r="ADP607"/>
      <c r="ADQ607"/>
      <c r="ADR607"/>
      <c r="ADS607"/>
      <c r="ADT607"/>
      <c r="ADU607"/>
      <c r="ADV607"/>
      <c r="ADW607"/>
      <c r="ADX607"/>
      <c r="ADY607"/>
      <c r="ADZ607"/>
      <c r="AEA607"/>
      <c r="AEB607"/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/>
      <c r="AEU607"/>
      <c r="AEV607"/>
      <c r="AEW607"/>
      <c r="AEX607"/>
      <c r="AEY607"/>
      <c r="AEZ607"/>
      <c r="AFA607"/>
      <c r="AFB607"/>
      <c r="AFC607"/>
      <c r="AFD607"/>
      <c r="AFE607"/>
      <c r="AFF607"/>
      <c r="AFG607"/>
      <c r="AFH607"/>
      <c r="AFI607"/>
      <c r="AFJ607"/>
      <c r="AFK607"/>
      <c r="AFL607"/>
      <c r="AFM607"/>
      <c r="AFN607"/>
      <c r="AFO607"/>
      <c r="AFP607"/>
      <c r="AFQ607"/>
      <c r="AFR607"/>
      <c r="AFS607"/>
      <c r="AFT607"/>
      <c r="AFU607"/>
      <c r="AFV607"/>
      <c r="AFW607"/>
      <c r="AFX607"/>
      <c r="AFY607"/>
      <c r="AFZ607"/>
      <c r="AGA607"/>
      <c r="AGB607"/>
      <c r="AGC607"/>
      <c r="AGD607"/>
      <c r="AGE607"/>
      <c r="AGF607"/>
      <c r="AGG607"/>
      <c r="AGH607"/>
      <c r="AGI607"/>
      <c r="AGJ607"/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/>
      <c r="AJE607"/>
      <c r="AJF607"/>
      <c r="AJG607"/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/>
      <c r="AJZ607"/>
      <c r="AKA607"/>
      <c r="AKB607"/>
      <c r="AKC607"/>
      <c r="AKD607"/>
      <c r="AKE607"/>
      <c r="AKF607"/>
      <c r="AKG607"/>
      <c r="AKH607"/>
      <c r="AKI607"/>
      <c r="AKJ607"/>
      <c r="AKK607"/>
      <c r="AKL607"/>
      <c r="AKM607"/>
      <c r="AKN607"/>
      <c r="AKO607"/>
      <c r="AKP607"/>
      <c r="AKQ607"/>
      <c r="AKR607"/>
      <c r="AKS607"/>
      <c r="AKT607"/>
      <c r="AKU607"/>
      <c r="AKV607"/>
      <c r="AKW607"/>
    </row>
    <row r="608" spans="1:985">
      <c r="A608" s="282" t="s">
        <v>419</v>
      </c>
      <c r="B608" s="291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/>
      <c r="AAZ608"/>
      <c r="ABA608"/>
      <c r="ABB608"/>
      <c r="ABC608"/>
      <c r="ABD608"/>
      <c r="ABE608"/>
      <c r="ABF608"/>
      <c r="ABG608"/>
      <c r="ABH608"/>
      <c r="ABI608"/>
      <c r="ABJ608"/>
      <c r="ABK608"/>
      <c r="ABL608"/>
      <c r="ABM608"/>
      <c r="ABN608"/>
      <c r="ABO608"/>
      <c r="ABP608"/>
      <c r="ABQ608"/>
      <c r="ABR608"/>
      <c r="ABS608"/>
      <c r="ABT608"/>
      <c r="ABU608"/>
      <c r="ABV608"/>
      <c r="ABW608"/>
      <c r="ABX608"/>
      <c r="ABY608"/>
      <c r="ABZ608"/>
      <c r="ACA608"/>
      <c r="ACB608"/>
      <c r="ACC608"/>
      <c r="ACD608"/>
      <c r="ACE608"/>
      <c r="ACF608"/>
      <c r="ACG608"/>
      <c r="ACH608"/>
      <c r="ACI608"/>
      <c r="ACJ608"/>
      <c r="ACK608"/>
      <c r="ACL608"/>
      <c r="ACM608"/>
      <c r="ACN608"/>
      <c r="ACO608"/>
      <c r="ACP608"/>
      <c r="ACQ608"/>
      <c r="ACR608"/>
      <c r="ACS608"/>
      <c r="ACT608"/>
      <c r="ACU608"/>
      <c r="ACV608"/>
      <c r="ACW608"/>
      <c r="ACX608"/>
      <c r="ACY608"/>
      <c r="ACZ608"/>
      <c r="ADA608"/>
      <c r="ADB608"/>
      <c r="ADC608"/>
      <c r="ADD608"/>
      <c r="ADE608"/>
      <c r="ADF608"/>
      <c r="ADG608"/>
      <c r="ADH608"/>
      <c r="ADI608"/>
      <c r="ADJ608"/>
      <c r="ADK608"/>
      <c r="ADL608"/>
      <c r="ADM608"/>
      <c r="ADN608"/>
      <c r="ADO608"/>
      <c r="ADP608"/>
      <c r="ADQ608"/>
      <c r="ADR608"/>
      <c r="ADS608"/>
      <c r="ADT608"/>
      <c r="ADU608"/>
      <c r="ADV608"/>
      <c r="ADW608"/>
      <c r="ADX608"/>
      <c r="ADY608"/>
      <c r="ADZ608"/>
      <c r="AEA608"/>
      <c r="AEB608"/>
      <c r="AEC608"/>
      <c r="AED608"/>
      <c r="AEE608"/>
      <c r="AEF608"/>
      <c r="AEG608"/>
      <c r="AEH608"/>
      <c r="AEI608"/>
      <c r="AEJ608"/>
      <c r="AEK608"/>
      <c r="AEL608"/>
      <c r="AEM608"/>
      <c r="AEN608"/>
      <c r="AEO608"/>
      <c r="AEP608"/>
      <c r="AEQ608"/>
      <c r="AER608"/>
      <c r="AES608"/>
      <c r="AET608"/>
      <c r="AEU608"/>
      <c r="AEV608"/>
      <c r="AEW608"/>
      <c r="AEX608"/>
      <c r="AEY608"/>
      <c r="AEZ608"/>
      <c r="AFA608"/>
      <c r="AFB608"/>
      <c r="AFC608"/>
      <c r="AFD608"/>
      <c r="AFE608"/>
      <c r="AFF608"/>
      <c r="AFG608"/>
      <c r="AFH608"/>
      <c r="AFI608"/>
      <c r="AFJ608"/>
      <c r="AFK608"/>
      <c r="AFL608"/>
      <c r="AFM608"/>
      <c r="AFN608"/>
      <c r="AFO608"/>
      <c r="AFP608"/>
      <c r="AFQ608"/>
      <c r="AFR608"/>
      <c r="AFS608"/>
      <c r="AFT608"/>
      <c r="AFU608"/>
      <c r="AFV608"/>
      <c r="AFW608"/>
      <c r="AFX608"/>
      <c r="AFY608"/>
      <c r="AFZ608"/>
      <c r="AGA608"/>
      <c r="AGB608"/>
      <c r="AGC608"/>
      <c r="AGD608"/>
      <c r="AGE608"/>
      <c r="AGF608"/>
      <c r="AGG608"/>
      <c r="AGH608"/>
      <c r="AGI608"/>
      <c r="AGJ608"/>
      <c r="AGK608"/>
      <c r="AGL608"/>
      <c r="AGM608"/>
      <c r="AGN608"/>
      <c r="AGO608"/>
      <c r="AGP608"/>
      <c r="AGQ608"/>
      <c r="AGR608"/>
      <c r="AGS608"/>
      <c r="AGT608"/>
      <c r="AGU608"/>
      <c r="AGV608"/>
      <c r="AGW608"/>
      <c r="AGX608"/>
      <c r="AGY608"/>
      <c r="AGZ608"/>
      <c r="AHA608"/>
      <c r="AHB608"/>
      <c r="AHC608"/>
      <c r="AHD608"/>
      <c r="AHE608"/>
      <c r="AHF608"/>
      <c r="AHG608"/>
      <c r="AHH608"/>
      <c r="AHI608"/>
      <c r="AHJ608"/>
      <c r="AHK608"/>
      <c r="AHL608"/>
      <c r="AHM608"/>
      <c r="AHN608"/>
      <c r="AHO608"/>
      <c r="AHP608"/>
      <c r="AHQ608"/>
      <c r="AHR608"/>
      <c r="AHS608"/>
      <c r="AHT608"/>
      <c r="AHU608"/>
      <c r="AHV608"/>
      <c r="AHW608"/>
      <c r="AHX608"/>
      <c r="AHY608"/>
      <c r="AHZ608"/>
      <c r="AIA608"/>
      <c r="AIB608"/>
      <c r="AIC608"/>
      <c r="AID608"/>
      <c r="AIE608"/>
      <c r="AIF608"/>
      <c r="AIG608"/>
      <c r="AIH608"/>
      <c r="AII608"/>
      <c r="AIJ608"/>
      <c r="AIK608"/>
      <c r="AIL608"/>
      <c r="AIM608"/>
      <c r="AIN608"/>
      <c r="AIO608"/>
      <c r="AIP608"/>
      <c r="AIQ608"/>
      <c r="AIR608"/>
      <c r="AIS608"/>
      <c r="AIT608"/>
      <c r="AIU608"/>
      <c r="AIV608"/>
      <c r="AIW608"/>
      <c r="AIX608"/>
      <c r="AIY608"/>
      <c r="AIZ608"/>
      <c r="AJA608"/>
      <c r="AJB608"/>
      <c r="AJC608"/>
      <c r="AJD608"/>
      <c r="AJE608"/>
      <c r="AJF608"/>
      <c r="AJG608"/>
      <c r="AJH608"/>
      <c r="AJI608"/>
      <c r="AJJ608"/>
      <c r="AJK608"/>
      <c r="AJL608"/>
      <c r="AJM608"/>
      <c r="AJN608"/>
      <c r="AJO608"/>
      <c r="AJP608"/>
      <c r="AJQ608"/>
      <c r="AJR608"/>
      <c r="AJS608"/>
      <c r="AJT608"/>
      <c r="AJU608"/>
      <c r="AJV608"/>
      <c r="AJW608"/>
      <c r="AJX608"/>
      <c r="AJY608"/>
      <c r="AJZ608"/>
      <c r="AKA608"/>
      <c r="AKB608"/>
      <c r="AKC608"/>
      <c r="AKD608"/>
      <c r="AKE608"/>
      <c r="AKF608"/>
      <c r="AKG608"/>
      <c r="AKH608"/>
      <c r="AKI608"/>
      <c r="AKJ608"/>
      <c r="AKK608"/>
      <c r="AKL608"/>
      <c r="AKM608"/>
      <c r="AKN608"/>
      <c r="AKO608"/>
      <c r="AKP608"/>
      <c r="AKQ608"/>
      <c r="AKR608"/>
      <c r="AKS608"/>
      <c r="AKT608"/>
      <c r="AKU608"/>
      <c r="AKV608"/>
      <c r="AKW608"/>
    </row>
    <row r="609" spans="1:985">
      <c r="A609" s="282" t="s">
        <v>421</v>
      </c>
      <c r="B609" s="291">
        <v>4726.05</v>
      </c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  <c r="ZW609"/>
      <c r="ZX609"/>
      <c r="ZY609"/>
      <c r="ZZ609"/>
      <c r="AAA609"/>
      <c r="AAB609"/>
      <c r="AAC609"/>
      <c r="AAD609"/>
      <c r="AAE609"/>
      <c r="AAF609"/>
      <c r="AAG609"/>
      <c r="AAH609"/>
      <c r="AAI609"/>
      <c r="AAJ609"/>
      <c r="AAK609"/>
      <c r="AAL609"/>
      <c r="AAM609"/>
      <c r="AAN609"/>
      <c r="AAO609"/>
      <c r="AAP609"/>
      <c r="AAQ609"/>
      <c r="AAR609"/>
      <c r="AAS609"/>
      <c r="AAT609"/>
      <c r="AAU609"/>
      <c r="AAV609"/>
      <c r="AAW609"/>
      <c r="AAX609"/>
      <c r="AAY609"/>
      <c r="AAZ609"/>
      <c r="ABA609"/>
      <c r="ABB609"/>
      <c r="ABC609"/>
      <c r="ABD609"/>
      <c r="ABE609"/>
      <c r="ABF609"/>
      <c r="ABG609"/>
      <c r="ABH609"/>
      <c r="ABI609"/>
      <c r="ABJ609"/>
      <c r="ABK609"/>
      <c r="ABL609"/>
      <c r="ABM609"/>
      <c r="ABN609"/>
      <c r="ABO609"/>
      <c r="ABP609"/>
      <c r="ABQ609"/>
      <c r="ABR609"/>
      <c r="ABS609"/>
      <c r="ABT609"/>
      <c r="ABU609"/>
      <c r="ABV609"/>
      <c r="ABW609"/>
      <c r="ABX609"/>
      <c r="ABY609"/>
      <c r="ABZ609"/>
      <c r="ACA609"/>
      <c r="ACB609"/>
      <c r="ACC609"/>
      <c r="ACD609"/>
      <c r="ACE609"/>
      <c r="ACF609"/>
      <c r="ACG609"/>
      <c r="ACH609"/>
      <c r="ACI609"/>
      <c r="ACJ609"/>
      <c r="ACK609"/>
      <c r="ACL609"/>
      <c r="ACM609"/>
      <c r="ACN609"/>
      <c r="ACO609"/>
      <c r="ACP609"/>
      <c r="ACQ609"/>
      <c r="ACR609"/>
      <c r="ACS609"/>
      <c r="ACT609"/>
      <c r="ACU609"/>
      <c r="ACV609"/>
      <c r="ACW609"/>
      <c r="ACX609"/>
      <c r="ACY609"/>
      <c r="ACZ609"/>
      <c r="ADA609"/>
      <c r="ADB609"/>
      <c r="ADC609"/>
      <c r="ADD609"/>
      <c r="ADE609"/>
      <c r="ADF609"/>
      <c r="ADG609"/>
      <c r="ADH609"/>
      <c r="ADI609"/>
      <c r="ADJ609"/>
      <c r="ADK609"/>
      <c r="ADL609"/>
      <c r="ADM609"/>
      <c r="ADN609"/>
      <c r="ADO609"/>
      <c r="ADP609"/>
      <c r="ADQ609"/>
      <c r="ADR609"/>
      <c r="ADS609"/>
      <c r="ADT609"/>
      <c r="ADU609"/>
      <c r="ADV609"/>
      <c r="ADW609"/>
      <c r="ADX609"/>
      <c r="ADY609"/>
      <c r="ADZ609"/>
      <c r="AEA609"/>
      <c r="AEB609"/>
      <c r="AEC609"/>
      <c r="AED609"/>
      <c r="AEE609"/>
      <c r="AEF609"/>
      <c r="AEG609"/>
      <c r="AEH609"/>
      <c r="AEI609"/>
      <c r="AEJ609"/>
      <c r="AEK609"/>
      <c r="AEL609"/>
      <c r="AEM609"/>
      <c r="AEN609"/>
      <c r="AEO609"/>
      <c r="AEP609"/>
      <c r="AEQ609"/>
      <c r="AER609"/>
      <c r="AES609"/>
      <c r="AET609"/>
      <c r="AEU609"/>
      <c r="AEV609"/>
      <c r="AEW609"/>
      <c r="AEX609"/>
      <c r="AEY609"/>
      <c r="AEZ609"/>
      <c r="AFA609"/>
      <c r="AFB609"/>
      <c r="AFC609"/>
      <c r="AFD609"/>
      <c r="AFE609"/>
      <c r="AFF609"/>
      <c r="AFG609"/>
      <c r="AFH609"/>
      <c r="AFI609"/>
      <c r="AFJ609"/>
      <c r="AFK609"/>
      <c r="AFL609"/>
      <c r="AFM609"/>
      <c r="AFN609"/>
      <c r="AFO609"/>
      <c r="AFP609"/>
      <c r="AFQ609"/>
      <c r="AFR609"/>
      <c r="AFS609"/>
      <c r="AFT609"/>
      <c r="AFU609"/>
      <c r="AFV609"/>
      <c r="AFW609"/>
      <c r="AFX609"/>
      <c r="AFY609"/>
      <c r="AFZ609"/>
      <c r="AGA609"/>
      <c r="AGB609"/>
      <c r="AGC609"/>
      <c r="AGD609"/>
      <c r="AGE609"/>
      <c r="AGF609"/>
      <c r="AGG609"/>
      <c r="AGH609"/>
      <c r="AGI609"/>
      <c r="AGJ609"/>
      <c r="AGK609"/>
      <c r="AGL609"/>
      <c r="AGM609"/>
      <c r="AGN609"/>
      <c r="AGO609"/>
      <c r="AGP609"/>
      <c r="AGQ609"/>
      <c r="AGR609"/>
      <c r="AGS609"/>
      <c r="AGT609"/>
      <c r="AGU609"/>
      <c r="AGV609"/>
      <c r="AGW609"/>
      <c r="AGX609"/>
      <c r="AGY609"/>
      <c r="AGZ609"/>
      <c r="AHA609"/>
      <c r="AHB609"/>
      <c r="AHC609"/>
      <c r="AHD609"/>
      <c r="AHE609"/>
      <c r="AHF609"/>
      <c r="AHG609"/>
      <c r="AHH609"/>
      <c r="AHI609"/>
      <c r="AHJ609"/>
      <c r="AHK609"/>
      <c r="AHL609"/>
      <c r="AHM609"/>
      <c r="AHN609"/>
      <c r="AHO609"/>
      <c r="AHP609"/>
      <c r="AHQ609"/>
      <c r="AHR609"/>
      <c r="AHS609"/>
      <c r="AHT609"/>
      <c r="AHU609"/>
      <c r="AHV609"/>
      <c r="AHW609"/>
      <c r="AHX609"/>
      <c r="AHY609"/>
      <c r="AHZ609"/>
      <c r="AIA609"/>
      <c r="AIB609"/>
      <c r="AIC609"/>
      <c r="AID609"/>
      <c r="AIE609"/>
      <c r="AIF609"/>
      <c r="AIG609"/>
      <c r="AIH609"/>
      <c r="AII609"/>
      <c r="AIJ609"/>
      <c r="AIK609"/>
      <c r="AIL609"/>
      <c r="AIM609"/>
      <c r="AIN609"/>
      <c r="AIO609"/>
      <c r="AIP609"/>
      <c r="AIQ609"/>
      <c r="AIR609"/>
      <c r="AIS609"/>
      <c r="AIT609"/>
      <c r="AIU609"/>
      <c r="AIV609"/>
      <c r="AIW609"/>
      <c r="AIX609"/>
      <c r="AIY609"/>
      <c r="AIZ609"/>
      <c r="AJA609"/>
      <c r="AJB609"/>
      <c r="AJC609"/>
      <c r="AJD609"/>
      <c r="AJE609"/>
      <c r="AJF609"/>
      <c r="AJG609"/>
      <c r="AJH609"/>
      <c r="AJI609"/>
      <c r="AJJ609"/>
      <c r="AJK609"/>
      <c r="AJL609"/>
      <c r="AJM609"/>
      <c r="AJN609"/>
      <c r="AJO609"/>
      <c r="AJP609"/>
      <c r="AJQ609"/>
      <c r="AJR609"/>
      <c r="AJS609"/>
      <c r="AJT609"/>
      <c r="AJU609"/>
      <c r="AJV609"/>
      <c r="AJW609"/>
      <c r="AJX609"/>
      <c r="AJY609"/>
      <c r="AJZ609"/>
      <c r="AKA609"/>
      <c r="AKB609"/>
      <c r="AKC609"/>
      <c r="AKD609"/>
      <c r="AKE609"/>
      <c r="AKF609"/>
      <c r="AKG609"/>
      <c r="AKH609"/>
      <c r="AKI609"/>
      <c r="AKJ609"/>
      <c r="AKK609"/>
      <c r="AKL609"/>
      <c r="AKM609"/>
      <c r="AKN609"/>
      <c r="AKO609"/>
      <c r="AKP609"/>
      <c r="AKQ609"/>
      <c r="AKR609"/>
      <c r="AKS609"/>
      <c r="AKT609"/>
      <c r="AKU609"/>
      <c r="AKV609"/>
      <c r="AKW609"/>
    </row>
    <row r="610" spans="1:985">
      <c r="A610" s="282"/>
      <c r="B610" s="291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  <c r="ZW610"/>
      <c r="ZX610"/>
      <c r="ZY610"/>
      <c r="ZZ610"/>
      <c r="AAA610"/>
      <c r="AAB610"/>
      <c r="AAC610"/>
      <c r="AAD610"/>
      <c r="AAE610"/>
      <c r="AAF610"/>
      <c r="AAG610"/>
      <c r="AAH610"/>
      <c r="AAI610"/>
      <c r="AAJ610"/>
      <c r="AAK610"/>
      <c r="AAL610"/>
      <c r="AAM610"/>
      <c r="AAN610"/>
      <c r="AAO610"/>
      <c r="AAP610"/>
      <c r="AAQ610"/>
      <c r="AAR610"/>
      <c r="AAS610"/>
      <c r="AAT610"/>
      <c r="AAU610"/>
      <c r="AAV610"/>
      <c r="AAW610"/>
      <c r="AAX610"/>
      <c r="AAY610"/>
      <c r="AAZ610"/>
      <c r="ABA610"/>
      <c r="ABB610"/>
      <c r="ABC610"/>
      <c r="ABD610"/>
      <c r="ABE610"/>
      <c r="ABF610"/>
      <c r="ABG610"/>
      <c r="ABH610"/>
      <c r="ABI610"/>
      <c r="ABJ610"/>
      <c r="ABK610"/>
      <c r="ABL610"/>
      <c r="ABM610"/>
      <c r="ABN610"/>
      <c r="ABO610"/>
      <c r="ABP610"/>
      <c r="ABQ610"/>
      <c r="ABR610"/>
      <c r="ABS610"/>
      <c r="ABT610"/>
      <c r="ABU610"/>
      <c r="ABV610"/>
      <c r="ABW610"/>
      <c r="ABX610"/>
      <c r="ABY610"/>
      <c r="ABZ610"/>
      <c r="ACA610"/>
      <c r="ACB610"/>
      <c r="ACC610"/>
      <c r="ACD610"/>
      <c r="ACE610"/>
      <c r="ACF610"/>
      <c r="ACG610"/>
      <c r="ACH610"/>
      <c r="ACI610"/>
      <c r="ACJ610"/>
      <c r="ACK610"/>
      <c r="ACL610"/>
      <c r="ACM610"/>
      <c r="ACN610"/>
      <c r="ACO610"/>
      <c r="ACP610"/>
      <c r="ACQ610"/>
      <c r="ACR610"/>
      <c r="ACS610"/>
      <c r="ACT610"/>
      <c r="ACU610"/>
      <c r="ACV610"/>
      <c r="ACW610"/>
      <c r="ACX610"/>
      <c r="ACY610"/>
      <c r="ACZ610"/>
      <c r="ADA610"/>
      <c r="ADB610"/>
      <c r="ADC610"/>
      <c r="ADD610"/>
      <c r="ADE610"/>
      <c r="ADF610"/>
      <c r="ADG610"/>
      <c r="ADH610"/>
      <c r="ADI610"/>
      <c r="ADJ610"/>
      <c r="ADK610"/>
      <c r="ADL610"/>
      <c r="ADM610"/>
      <c r="ADN610"/>
      <c r="ADO610"/>
      <c r="ADP610"/>
      <c r="ADQ610"/>
      <c r="ADR610"/>
      <c r="ADS610"/>
      <c r="ADT610"/>
      <c r="ADU610"/>
      <c r="ADV610"/>
      <c r="ADW610"/>
      <c r="ADX610"/>
      <c r="ADY610"/>
      <c r="ADZ610"/>
      <c r="AEA610"/>
      <c r="AEB610"/>
      <c r="AEC610"/>
      <c r="AED610"/>
      <c r="AEE610"/>
      <c r="AEF610"/>
      <c r="AEG610"/>
      <c r="AEH610"/>
      <c r="AEI610"/>
      <c r="AEJ610"/>
      <c r="AEK610"/>
      <c r="AEL610"/>
      <c r="AEM610"/>
      <c r="AEN610"/>
      <c r="AEO610"/>
      <c r="AEP610"/>
      <c r="AEQ610"/>
      <c r="AER610"/>
      <c r="AES610"/>
      <c r="AET610"/>
      <c r="AEU610"/>
      <c r="AEV610"/>
      <c r="AEW610"/>
      <c r="AEX610"/>
      <c r="AEY610"/>
      <c r="AEZ610"/>
      <c r="AFA610"/>
      <c r="AFB610"/>
      <c r="AFC610"/>
      <c r="AFD610"/>
      <c r="AFE610"/>
      <c r="AFF610"/>
      <c r="AFG610"/>
      <c r="AFH610"/>
      <c r="AFI610"/>
      <c r="AFJ610"/>
      <c r="AFK610"/>
      <c r="AFL610"/>
      <c r="AFM610"/>
      <c r="AFN610"/>
      <c r="AFO610"/>
      <c r="AFP610"/>
      <c r="AFQ610"/>
      <c r="AFR610"/>
      <c r="AFS610"/>
      <c r="AFT610"/>
      <c r="AFU610"/>
      <c r="AFV610"/>
      <c r="AFW610"/>
      <c r="AFX610"/>
      <c r="AFY610"/>
      <c r="AFZ610"/>
      <c r="AGA610"/>
      <c r="AGB610"/>
      <c r="AGC610"/>
      <c r="AGD610"/>
      <c r="AGE610"/>
      <c r="AGF610"/>
      <c r="AGG610"/>
      <c r="AGH610"/>
      <c r="AGI610"/>
      <c r="AGJ610"/>
      <c r="AGK610"/>
      <c r="AGL610"/>
      <c r="AGM610"/>
      <c r="AGN610"/>
      <c r="AGO610"/>
      <c r="AGP610"/>
      <c r="AGQ610"/>
      <c r="AGR610"/>
      <c r="AGS610"/>
      <c r="AGT610"/>
      <c r="AGU610"/>
      <c r="AGV610"/>
      <c r="AGW610"/>
      <c r="AGX610"/>
      <c r="AGY610"/>
      <c r="AGZ610"/>
      <c r="AHA610"/>
      <c r="AHB610"/>
      <c r="AHC610"/>
      <c r="AHD610"/>
      <c r="AHE610"/>
      <c r="AHF610"/>
      <c r="AHG610"/>
      <c r="AHH610"/>
      <c r="AHI610"/>
      <c r="AHJ610"/>
      <c r="AHK610"/>
      <c r="AHL610"/>
      <c r="AHM610"/>
      <c r="AHN610"/>
      <c r="AHO610"/>
      <c r="AHP610"/>
      <c r="AHQ610"/>
      <c r="AHR610"/>
      <c r="AHS610"/>
      <c r="AHT610"/>
      <c r="AHU610"/>
      <c r="AHV610"/>
      <c r="AHW610"/>
      <c r="AHX610"/>
      <c r="AHY610"/>
      <c r="AHZ610"/>
      <c r="AIA610"/>
      <c r="AIB610"/>
      <c r="AIC610"/>
      <c r="AID610"/>
      <c r="AIE610"/>
      <c r="AIF610"/>
      <c r="AIG610"/>
      <c r="AIH610"/>
      <c r="AII610"/>
      <c r="AIJ610"/>
      <c r="AIK610"/>
      <c r="AIL610"/>
      <c r="AIM610"/>
      <c r="AIN610"/>
      <c r="AIO610"/>
      <c r="AIP610"/>
      <c r="AIQ610"/>
      <c r="AIR610"/>
      <c r="AIS610"/>
      <c r="AIT610"/>
      <c r="AIU610"/>
      <c r="AIV610"/>
      <c r="AIW610"/>
      <c r="AIX610"/>
      <c r="AIY610"/>
      <c r="AIZ610"/>
      <c r="AJA610"/>
      <c r="AJB610"/>
      <c r="AJC610"/>
      <c r="AJD610"/>
      <c r="AJE610"/>
      <c r="AJF610"/>
      <c r="AJG610"/>
      <c r="AJH610"/>
      <c r="AJI610"/>
      <c r="AJJ610"/>
      <c r="AJK610"/>
      <c r="AJL610"/>
      <c r="AJM610"/>
      <c r="AJN610"/>
      <c r="AJO610"/>
      <c r="AJP610"/>
      <c r="AJQ610"/>
      <c r="AJR610"/>
      <c r="AJS610"/>
      <c r="AJT610"/>
      <c r="AJU610"/>
      <c r="AJV610"/>
      <c r="AJW610"/>
      <c r="AJX610"/>
      <c r="AJY610"/>
      <c r="AJZ610"/>
      <c r="AKA610"/>
      <c r="AKB610"/>
      <c r="AKC610"/>
      <c r="AKD610"/>
      <c r="AKE610"/>
      <c r="AKF610"/>
      <c r="AKG610"/>
      <c r="AKH610"/>
      <c r="AKI610"/>
      <c r="AKJ610"/>
      <c r="AKK610"/>
      <c r="AKL610"/>
      <c r="AKM610"/>
      <c r="AKN610"/>
      <c r="AKO610"/>
      <c r="AKP610"/>
      <c r="AKQ610"/>
      <c r="AKR610"/>
      <c r="AKS610"/>
      <c r="AKT610"/>
      <c r="AKU610"/>
      <c r="AKV610"/>
      <c r="AKW610"/>
    </row>
    <row r="611" spans="1:985">
      <c r="A611" s="282"/>
      <c r="B611" s="29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  <c r="ZW611"/>
      <c r="ZX611"/>
      <c r="ZY611"/>
      <c r="ZZ611"/>
      <c r="AAA611"/>
      <c r="AAB611"/>
      <c r="AAC611"/>
      <c r="AAD611"/>
      <c r="AAE611"/>
      <c r="AAF611"/>
      <c r="AAG611"/>
      <c r="AAH611"/>
      <c r="AAI611"/>
      <c r="AAJ611"/>
      <c r="AAK611"/>
      <c r="AAL611"/>
      <c r="AAM611"/>
      <c r="AAN611"/>
      <c r="AAO611"/>
      <c r="AAP611"/>
      <c r="AAQ611"/>
      <c r="AAR611"/>
      <c r="AAS611"/>
      <c r="AAT611"/>
      <c r="AAU611"/>
      <c r="AAV611"/>
      <c r="AAW611"/>
      <c r="AAX611"/>
      <c r="AAY611"/>
      <c r="AAZ611"/>
      <c r="ABA611"/>
      <c r="ABB611"/>
      <c r="ABC611"/>
      <c r="ABD611"/>
      <c r="ABE611"/>
      <c r="ABF611"/>
      <c r="ABG611"/>
      <c r="ABH611"/>
      <c r="ABI611"/>
      <c r="ABJ611"/>
      <c r="ABK611"/>
      <c r="ABL611"/>
      <c r="ABM611"/>
      <c r="ABN611"/>
      <c r="ABO611"/>
      <c r="ABP611"/>
      <c r="ABQ611"/>
      <c r="ABR611"/>
      <c r="ABS611"/>
      <c r="ABT611"/>
      <c r="ABU611"/>
      <c r="ABV611"/>
      <c r="ABW611"/>
      <c r="ABX611"/>
      <c r="ABY611"/>
      <c r="ABZ611"/>
      <c r="ACA611"/>
      <c r="ACB611"/>
      <c r="ACC611"/>
      <c r="ACD611"/>
      <c r="ACE611"/>
      <c r="ACF611"/>
      <c r="ACG611"/>
      <c r="ACH611"/>
      <c r="ACI611"/>
      <c r="ACJ611"/>
      <c r="ACK611"/>
      <c r="ACL611"/>
      <c r="ACM611"/>
      <c r="ACN611"/>
      <c r="ACO611"/>
      <c r="ACP611"/>
      <c r="ACQ611"/>
      <c r="ACR611"/>
      <c r="ACS611"/>
      <c r="ACT611"/>
      <c r="ACU611"/>
      <c r="ACV611"/>
      <c r="ACW611"/>
      <c r="ACX611"/>
      <c r="ACY611"/>
      <c r="ACZ611"/>
      <c r="ADA611"/>
      <c r="ADB611"/>
      <c r="ADC611"/>
      <c r="ADD611"/>
      <c r="ADE611"/>
      <c r="ADF611"/>
      <c r="ADG611"/>
      <c r="ADH611"/>
      <c r="ADI611"/>
      <c r="ADJ611"/>
      <c r="ADK611"/>
      <c r="ADL611"/>
      <c r="ADM611"/>
      <c r="ADN611"/>
      <c r="ADO611"/>
      <c r="ADP611"/>
      <c r="ADQ611"/>
      <c r="ADR611"/>
      <c r="ADS611"/>
      <c r="ADT611"/>
      <c r="ADU611"/>
      <c r="ADV611"/>
      <c r="ADW611"/>
      <c r="ADX611"/>
      <c r="ADY611"/>
      <c r="ADZ611"/>
      <c r="AEA611"/>
      <c r="AEB611"/>
      <c r="AEC611"/>
      <c r="AED611"/>
      <c r="AEE611"/>
      <c r="AEF611"/>
      <c r="AEG611"/>
      <c r="AEH611"/>
      <c r="AEI611"/>
      <c r="AEJ611"/>
      <c r="AEK611"/>
      <c r="AEL611"/>
      <c r="AEM611"/>
      <c r="AEN611"/>
      <c r="AEO611"/>
      <c r="AEP611"/>
      <c r="AEQ611"/>
      <c r="AER611"/>
      <c r="AES611"/>
      <c r="AET611"/>
      <c r="AEU611"/>
      <c r="AEV611"/>
      <c r="AEW611"/>
      <c r="AEX611"/>
      <c r="AEY611"/>
      <c r="AEZ611"/>
      <c r="AFA611"/>
      <c r="AFB611"/>
      <c r="AFC611"/>
      <c r="AFD611"/>
      <c r="AFE611"/>
      <c r="AFF611"/>
      <c r="AFG611"/>
      <c r="AFH611"/>
      <c r="AFI611"/>
      <c r="AFJ611"/>
      <c r="AFK611"/>
      <c r="AFL611"/>
      <c r="AFM611"/>
      <c r="AFN611"/>
      <c r="AFO611"/>
      <c r="AFP611"/>
      <c r="AFQ611"/>
      <c r="AFR611"/>
      <c r="AFS611"/>
      <c r="AFT611"/>
      <c r="AFU611"/>
      <c r="AFV611"/>
      <c r="AFW611"/>
      <c r="AFX611"/>
      <c r="AFY611"/>
      <c r="AFZ611"/>
      <c r="AGA611"/>
      <c r="AGB611"/>
      <c r="AGC611"/>
      <c r="AGD611"/>
      <c r="AGE611"/>
      <c r="AGF611"/>
      <c r="AGG611"/>
      <c r="AGH611"/>
      <c r="AGI611"/>
      <c r="AGJ611"/>
      <c r="AGK611"/>
      <c r="AGL611"/>
      <c r="AGM611"/>
      <c r="AGN611"/>
      <c r="AGO611"/>
      <c r="AGP611"/>
      <c r="AGQ611"/>
      <c r="AGR611"/>
      <c r="AGS611"/>
      <c r="AGT611"/>
      <c r="AGU611"/>
      <c r="AGV611"/>
      <c r="AGW611"/>
      <c r="AGX611"/>
      <c r="AGY611"/>
      <c r="AGZ611"/>
      <c r="AHA611"/>
      <c r="AHB611"/>
      <c r="AHC611"/>
      <c r="AHD611"/>
      <c r="AHE611"/>
      <c r="AHF611"/>
      <c r="AHG611"/>
      <c r="AHH611"/>
      <c r="AHI611"/>
      <c r="AHJ611"/>
      <c r="AHK611"/>
      <c r="AHL611"/>
      <c r="AHM611"/>
      <c r="AHN611"/>
      <c r="AHO611"/>
      <c r="AHP611"/>
      <c r="AHQ611"/>
      <c r="AHR611"/>
      <c r="AHS611"/>
      <c r="AHT611"/>
      <c r="AHU611"/>
      <c r="AHV611"/>
      <c r="AHW611"/>
      <c r="AHX611"/>
      <c r="AHY611"/>
      <c r="AHZ611"/>
      <c r="AIA611"/>
      <c r="AIB611"/>
      <c r="AIC611"/>
      <c r="AID611"/>
      <c r="AIE611"/>
      <c r="AIF611"/>
      <c r="AIG611"/>
      <c r="AIH611"/>
      <c r="AII611"/>
      <c r="AIJ611"/>
      <c r="AIK611"/>
      <c r="AIL611"/>
      <c r="AIM611"/>
      <c r="AIN611"/>
      <c r="AIO611"/>
      <c r="AIP611"/>
      <c r="AIQ611"/>
      <c r="AIR611"/>
      <c r="AIS611"/>
      <c r="AIT611"/>
      <c r="AIU611"/>
      <c r="AIV611"/>
      <c r="AIW611"/>
      <c r="AIX611"/>
      <c r="AIY611"/>
      <c r="AIZ611"/>
      <c r="AJA611"/>
      <c r="AJB611"/>
      <c r="AJC611"/>
      <c r="AJD611"/>
      <c r="AJE611"/>
      <c r="AJF611"/>
      <c r="AJG611"/>
      <c r="AJH611"/>
      <c r="AJI611"/>
      <c r="AJJ611"/>
      <c r="AJK611"/>
      <c r="AJL611"/>
      <c r="AJM611"/>
      <c r="AJN611"/>
      <c r="AJO611"/>
      <c r="AJP611"/>
      <c r="AJQ611"/>
      <c r="AJR611"/>
      <c r="AJS611"/>
      <c r="AJT611"/>
      <c r="AJU611"/>
      <c r="AJV611"/>
      <c r="AJW611"/>
      <c r="AJX611"/>
      <c r="AJY611"/>
      <c r="AJZ611"/>
      <c r="AKA611"/>
      <c r="AKB611"/>
      <c r="AKC611"/>
      <c r="AKD611"/>
      <c r="AKE611"/>
      <c r="AKF611"/>
      <c r="AKG611"/>
      <c r="AKH611"/>
      <c r="AKI611"/>
      <c r="AKJ611"/>
      <c r="AKK611"/>
      <c r="AKL611"/>
      <c r="AKM611"/>
      <c r="AKN611"/>
      <c r="AKO611"/>
      <c r="AKP611"/>
      <c r="AKQ611"/>
      <c r="AKR611"/>
      <c r="AKS611"/>
      <c r="AKT611"/>
      <c r="AKU611"/>
      <c r="AKV611"/>
      <c r="AKW611"/>
    </row>
    <row r="612" spans="1:985">
      <c r="A612" s="282"/>
      <c r="B612" s="291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  <c r="ZW612"/>
      <c r="ZX612"/>
      <c r="ZY612"/>
      <c r="ZZ612"/>
      <c r="AAA612"/>
      <c r="AAB612"/>
      <c r="AAC612"/>
      <c r="AAD612"/>
      <c r="AAE612"/>
      <c r="AAF612"/>
      <c r="AAG612"/>
      <c r="AAH612"/>
      <c r="AAI612"/>
      <c r="AAJ612"/>
      <c r="AAK612"/>
      <c r="AAL612"/>
      <c r="AAM612"/>
      <c r="AAN612"/>
      <c r="AAO612"/>
      <c r="AAP612"/>
      <c r="AAQ612"/>
      <c r="AAR612"/>
      <c r="AAS612"/>
      <c r="AAT612"/>
      <c r="AAU612"/>
      <c r="AAV612"/>
      <c r="AAW612"/>
      <c r="AAX612"/>
      <c r="AAY612"/>
      <c r="AAZ612"/>
      <c r="ABA612"/>
      <c r="ABB612"/>
      <c r="ABC612"/>
      <c r="ABD612"/>
      <c r="ABE612"/>
      <c r="ABF612"/>
      <c r="ABG612"/>
      <c r="ABH612"/>
      <c r="ABI612"/>
      <c r="ABJ612"/>
      <c r="ABK612"/>
      <c r="ABL612"/>
      <c r="ABM612"/>
      <c r="ABN612"/>
      <c r="ABO612"/>
      <c r="ABP612"/>
      <c r="ABQ612"/>
      <c r="ABR612"/>
      <c r="ABS612"/>
      <c r="ABT612"/>
      <c r="ABU612"/>
      <c r="ABV612"/>
      <c r="ABW612"/>
      <c r="ABX612"/>
      <c r="ABY612"/>
      <c r="ABZ612"/>
      <c r="ACA612"/>
      <c r="ACB612"/>
      <c r="ACC612"/>
      <c r="ACD612"/>
      <c r="ACE612"/>
      <c r="ACF612"/>
      <c r="ACG612"/>
      <c r="ACH612"/>
      <c r="ACI612"/>
      <c r="ACJ612"/>
      <c r="ACK612"/>
      <c r="ACL612"/>
      <c r="ACM612"/>
      <c r="ACN612"/>
      <c r="ACO612"/>
      <c r="ACP612"/>
      <c r="ACQ612"/>
      <c r="ACR612"/>
      <c r="ACS612"/>
      <c r="ACT612"/>
      <c r="ACU612"/>
      <c r="ACV612"/>
      <c r="ACW612"/>
      <c r="ACX612"/>
      <c r="ACY612"/>
      <c r="ACZ612"/>
      <c r="ADA612"/>
      <c r="ADB612"/>
      <c r="ADC612"/>
      <c r="ADD612"/>
      <c r="ADE612"/>
      <c r="ADF612"/>
      <c r="ADG612"/>
      <c r="ADH612"/>
      <c r="ADI612"/>
      <c r="ADJ612"/>
      <c r="ADK612"/>
      <c r="ADL612"/>
      <c r="ADM612"/>
      <c r="ADN612"/>
      <c r="ADO612"/>
      <c r="ADP612"/>
      <c r="ADQ612"/>
      <c r="ADR612"/>
      <c r="ADS612"/>
      <c r="ADT612"/>
      <c r="ADU612"/>
      <c r="ADV612"/>
      <c r="ADW612"/>
      <c r="ADX612"/>
      <c r="ADY612"/>
      <c r="ADZ612"/>
      <c r="AEA612"/>
      <c r="AEB612"/>
      <c r="AEC612"/>
      <c r="AED612"/>
      <c r="AEE612"/>
      <c r="AEF612"/>
      <c r="AEG612"/>
      <c r="AEH612"/>
      <c r="AEI612"/>
      <c r="AEJ612"/>
      <c r="AEK612"/>
      <c r="AEL612"/>
      <c r="AEM612"/>
      <c r="AEN612"/>
      <c r="AEO612"/>
      <c r="AEP612"/>
      <c r="AEQ612"/>
      <c r="AER612"/>
      <c r="AES612"/>
      <c r="AET612"/>
      <c r="AEU612"/>
      <c r="AEV612"/>
      <c r="AEW612"/>
      <c r="AEX612"/>
      <c r="AEY612"/>
      <c r="AEZ612"/>
      <c r="AFA612"/>
      <c r="AFB612"/>
      <c r="AFC612"/>
      <c r="AFD612"/>
      <c r="AFE612"/>
      <c r="AFF612"/>
      <c r="AFG612"/>
      <c r="AFH612"/>
      <c r="AFI612"/>
      <c r="AFJ612"/>
      <c r="AFK612"/>
      <c r="AFL612"/>
      <c r="AFM612"/>
      <c r="AFN612"/>
      <c r="AFO612"/>
      <c r="AFP612"/>
      <c r="AFQ612"/>
      <c r="AFR612"/>
      <c r="AFS612"/>
      <c r="AFT612"/>
      <c r="AFU612"/>
      <c r="AFV612"/>
      <c r="AFW612"/>
      <c r="AFX612"/>
      <c r="AFY612"/>
      <c r="AFZ612"/>
      <c r="AGA612"/>
      <c r="AGB612"/>
      <c r="AGC612"/>
      <c r="AGD612"/>
      <c r="AGE612"/>
      <c r="AGF612"/>
      <c r="AGG612"/>
      <c r="AGH612"/>
      <c r="AGI612"/>
      <c r="AGJ612"/>
      <c r="AGK612"/>
      <c r="AGL612"/>
      <c r="AGM612"/>
      <c r="AGN612"/>
      <c r="AGO612"/>
      <c r="AGP612"/>
      <c r="AGQ612"/>
      <c r="AGR612"/>
      <c r="AGS612"/>
      <c r="AGT612"/>
      <c r="AGU612"/>
      <c r="AGV612"/>
      <c r="AGW612"/>
      <c r="AGX612"/>
      <c r="AGY612"/>
      <c r="AGZ612"/>
      <c r="AHA612"/>
      <c r="AHB612"/>
      <c r="AHC612"/>
      <c r="AHD612"/>
      <c r="AHE612"/>
      <c r="AHF612"/>
      <c r="AHG612"/>
      <c r="AHH612"/>
      <c r="AHI612"/>
      <c r="AHJ612"/>
      <c r="AHK612"/>
      <c r="AHL612"/>
      <c r="AHM612"/>
      <c r="AHN612"/>
      <c r="AHO612"/>
      <c r="AHP612"/>
      <c r="AHQ612"/>
      <c r="AHR612"/>
      <c r="AHS612"/>
      <c r="AHT612"/>
      <c r="AHU612"/>
      <c r="AHV612"/>
      <c r="AHW612"/>
      <c r="AHX612"/>
      <c r="AHY612"/>
      <c r="AHZ612"/>
      <c r="AIA612"/>
      <c r="AIB612"/>
      <c r="AIC612"/>
      <c r="AID612"/>
      <c r="AIE612"/>
      <c r="AIF612"/>
      <c r="AIG612"/>
      <c r="AIH612"/>
      <c r="AII612"/>
      <c r="AIJ612"/>
      <c r="AIK612"/>
      <c r="AIL612"/>
      <c r="AIM612"/>
      <c r="AIN612"/>
      <c r="AIO612"/>
      <c r="AIP612"/>
      <c r="AIQ612"/>
      <c r="AIR612"/>
      <c r="AIS612"/>
      <c r="AIT612"/>
      <c r="AIU612"/>
      <c r="AIV612"/>
      <c r="AIW612"/>
      <c r="AIX612"/>
      <c r="AIY612"/>
      <c r="AIZ612"/>
      <c r="AJA612"/>
      <c r="AJB612"/>
      <c r="AJC612"/>
      <c r="AJD612"/>
      <c r="AJE612"/>
      <c r="AJF612"/>
      <c r="AJG612"/>
      <c r="AJH612"/>
      <c r="AJI612"/>
      <c r="AJJ612"/>
      <c r="AJK612"/>
      <c r="AJL612"/>
      <c r="AJM612"/>
      <c r="AJN612"/>
      <c r="AJO612"/>
      <c r="AJP612"/>
      <c r="AJQ612"/>
      <c r="AJR612"/>
      <c r="AJS612"/>
      <c r="AJT612"/>
      <c r="AJU612"/>
      <c r="AJV612"/>
      <c r="AJW612"/>
      <c r="AJX612"/>
      <c r="AJY612"/>
      <c r="AJZ612"/>
      <c r="AKA612"/>
      <c r="AKB612"/>
      <c r="AKC612"/>
      <c r="AKD612"/>
      <c r="AKE612"/>
      <c r="AKF612"/>
      <c r="AKG612"/>
      <c r="AKH612"/>
      <c r="AKI612"/>
      <c r="AKJ612"/>
      <c r="AKK612"/>
      <c r="AKL612"/>
      <c r="AKM612"/>
      <c r="AKN612"/>
      <c r="AKO612"/>
      <c r="AKP612"/>
      <c r="AKQ612"/>
      <c r="AKR612"/>
      <c r="AKS612"/>
      <c r="AKT612"/>
      <c r="AKU612"/>
      <c r="AKV612"/>
      <c r="AKW612"/>
    </row>
    <row r="613" spans="1:985">
      <c r="B613" s="430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  <c r="ZW613"/>
      <c r="ZX613"/>
      <c r="ZY613"/>
      <c r="ZZ613"/>
      <c r="AAA613"/>
      <c r="AAB613"/>
      <c r="AAC613"/>
      <c r="AAD613"/>
      <c r="AAE613"/>
      <c r="AAF613"/>
      <c r="AAG613"/>
      <c r="AAH613"/>
      <c r="AAI613"/>
      <c r="AAJ613"/>
      <c r="AAK613"/>
      <c r="AAL613"/>
      <c r="AAM613"/>
      <c r="AAN613"/>
      <c r="AAO613"/>
      <c r="AAP613"/>
      <c r="AAQ613"/>
      <c r="AAR613"/>
      <c r="AAS613"/>
      <c r="AAT613"/>
      <c r="AAU613"/>
      <c r="AAV613"/>
      <c r="AAW613"/>
      <c r="AAX613"/>
      <c r="AAY613"/>
      <c r="AAZ613"/>
      <c r="ABA613"/>
      <c r="ABB613"/>
      <c r="ABC613"/>
      <c r="ABD613"/>
      <c r="ABE613"/>
      <c r="ABF613"/>
      <c r="ABG613"/>
      <c r="ABH613"/>
      <c r="ABI613"/>
      <c r="ABJ613"/>
      <c r="ABK613"/>
      <c r="ABL613"/>
      <c r="ABM613"/>
      <c r="ABN613"/>
      <c r="ABO613"/>
      <c r="ABP613"/>
      <c r="ABQ613"/>
      <c r="ABR613"/>
      <c r="ABS613"/>
      <c r="ABT613"/>
      <c r="ABU613"/>
      <c r="ABV613"/>
      <c r="ABW613"/>
      <c r="ABX613"/>
      <c r="ABY613"/>
      <c r="ABZ613"/>
      <c r="ACA613"/>
      <c r="ACB613"/>
      <c r="ACC613"/>
      <c r="ACD613"/>
      <c r="ACE613"/>
      <c r="ACF613"/>
      <c r="ACG613"/>
      <c r="ACH613"/>
      <c r="ACI613"/>
      <c r="ACJ613"/>
      <c r="ACK613"/>
      <c r="ACL613"/>
      <c r="ACM613"/>
      <c r="ACN613"/>
      <c r="ACO613"/>
      <c r="ACP613"/>
      <c r="ACQ613"/>
      <c r="ACR613"/>
      <c r="ACS613"/>
      <c r="ACT613"/>
      <c r="ACU613"/>
      <c r="ACV613"/>
      <c r="ACW613"/>
      <c r="ACX613"/>
      <c r="ACY613"/>
      <c r="ACZ613"/>
      <c r="ADA613"/>
      <c r="ADB613"/>
      <c r="ADC613"/>
      <c r="ADD613"/>
      <c r="ADE613"/>
      <c r="ADF613"/>
      <c r="ADG613"/>
      <c r="ADH613"/>
      <c r="ADI613"/>
      <c r="ADJ613"/>
      <c r="ADK613"/>
      <c r="ADL613"/>
      <c r="ADM613"/>
      <c r="ADN613"/>
      <c r="ADO613"/>
      <c r="ADP613"/>
      <c r="ADQ613"/>
      <c r="ADR613"/>
      <c r="ADS613"/>
      <c r="ADT613"/>
      <c r="ADU613"/>
      <c r="ADV613"/>
      <c r="ADW613"/>
      <c r="ADX613"/>
      <c r="ADY613"/>
      <c r="ADZ613"/>
      <c r="AEA613"/>
      <c r="AEB613"/>
      <c r="AEC613"/>
      <c r="AED613"/>
      <c r="AEE613"/>
      <c r="AEF613"/>
      <c r="AEG613"/>
      <c r="AEH613"/>
      <c r="AEI613"/>
      <c r="AEJ613"/>
      <c r="AEK613"/>
      <c r="AEL613"/>
      <c r="AEM613"/>
      <c r="AEN613"/>
      <c r="AEO613"/>
      <c r="AEP613"/>
      <c r="AEQ613"/>
      <c r="AER613"/>
      <c r="AES613"/>
      <c r="AET613"/>
      <c r="AEU613"/>
      <c r="AEV613"/>
      <c r="AEW613"/>
      <c r="AEX613"/>
      <c r="AEY613"/>
      <c r="AEZ613"/>
      <c r="AFA613"/>
      <c r="AFB613"/>
      <c r="AFC613"/>
      <c r="AFD613"/>
      <c r="AFE613"/>
      <c r="AFF613"/>
      <c r="AFG613"/>
      <c r="AFH613"/>
      <c r="AFI613"/>
      <c r="AFJ613"/>
      <c r="AFK613"/>
      <c r="AFL613"/>
      <c r="AFM613"/>
      <c r="AFN613"/>
      <c r="AFO613"/>
      <c r="AFP613"/>
      <c r="AFQ613"/>
      <c r="AFR613"/>
      <c r="AFS613"/>
      <c r="AFT613"/>
      <c r="AFU613"/>
      <c r="AFV613"/>
      <c r="AFW613"/>
      <c r="AFX613"/>
      <c r="AFY613"/>
      <c r="AFZ613"/>
      <c r="AGA613"/>
      <c r="AGB613"/>
      <c r="AGC613"/>
      <c r="AGD613"/>
      <c r="AGE613"/>
      <c r="AGF613"/>
      <c r="AGG613"/>
      <c r="AGH613"/>
      <c r="AGI613"/>
      <c r="AGJ613"/>
      <c r="AGK613"/>
      <c r="AGL613"/>
      <c r="AGM613"/>
      <c r="AGN613"/>
      <c r="AGO613"/>
      <c r="AGP613"/>
      <c r="AGQ613"/>
      <c r="AGR613"/>
      <c r="AGS613"/>
      <c r="AGT613"/>
      <c r="AGU613"/>
      <c r="AGV613"/>
      <c r="AGW613"/>
      <c r="AGX613"/>
      <c r="AGY613"/>
      <c r="AGZ613"/>
      <c r="AHA613"/>
      <c r="AHB613"/>
      <c r="AHC613"/>
      <c r="AHD613"/>
      <c r="AHE613"/>
      <c r="AHF613"/>
      <c r="AHG613"/>
      <c r="AHH613"/>
      <c r="AHI613"/>
      <c r="AHJ613"/>
      <c r="AHK613"/>
      <c r="AHL613"/>
      <c r="AHM613"/>
      <c r="AHN613"/>
      <c r="AHO613"/>
      <c r="AHP613"/>
      <c r="AHQ613"/>
      <c r="AHR613"/>
      <c r="AHS613"/>
      <c r="AHT613"/>
      <c r="AHU613"/>
      <c r="AHV613"/>
      <c r="AHW613"/>
      <c r="AHX613"/>
      <c r="AHY613"/>
      <c r="AHZ613"/>
      <c r="AIA613"/>
      <c r="AIB613"/>
      <c r="AIC613"/>
      <c r="AID613"/>
      <c r="AIE613"/>
      <c r="AIF613"/>
      <c r="AIG613"/>
      <c r="AIH613"/>
      <c r="AII613"/>
      <c r="AIJ613"/>
      <c r="AIK613"/>
      <c r="AIL613"/>
      <c r="AIM613"/>
      <c r="AIN613"/>
      <c r="AIO613"/>
      <c r="AIP613"/>
      <c r="AIQ613"/>
      <c r="AIR613"/>
      <c r="AIS613"/>
      <c r="AIT613"/>
      <c r="AIU613"/>
      <c r="AIV613"/>
      <c r="AIW613"/>
      <c r="AIX613"/>
      <c r="AIY613"/>
      <c r="AIZ613"/>
      <c r="AJA613"/>
      <c r="AJB613"/>
      <c r="AJC613"/>
      <c r="AJD613"/>
      <c r="AJE613"/>
      <c r="AJF613"/>
      <c r="AJG613"/>
      <c r="AJH613"/>
      <c r="AJI613"/>
      <c r="AJJ613"/>
      <c r="AJK613"/>
      <c r="AJL613"/>
      <c r="AJM613"/>
      <c r="AJN613"/>
      <c r="AJO613"/>
      <c r="AJP613"/>
      <c r="AJQ613"/>
      <c r="AJR613"/>
      <c r="AJS613"/>
      <c r="AJT613"/>
      <c r="AJU613"/>
      <c r="AJV613"/>
      <c r="AJW613"/>
      <c r="AJX613"/>
      <c r="AJY613"/>
      <c r="AJZ613"/>
      <c r="AKA613"/>
      <c r="AKB613"/>
      <c r="AKC613"/>
      <c r="AKD613"/>
      <c r="AKE613"/>
      <c r="AKF613"/>
      <c r="AKG613"/>
      <c r="AKH613"/>
      <c r="AKI613"/>
      <c r="AKJ613"/>
      <c r="AKK613"/>
      <c r="AKL613"/>
      <c r="AKM613"/>
      <c r="AKN613"/>
      <c r="AKO613"/>
      <c r="AKP613"/>
      <c r="AKQ613"/>
      <c r="AKR613"/>
      <c r="AKS613"/>
      <c r="AKT613"/>
      <c r="AKU613"/>
      <c r="AKV613"/>
      <c r="AKW613"/>
    </row>
    <row r="614" spans="1:985">
      <c r="B614" s="413"/>
    </row>
    <row r="615" spans="1:985">
      <c r="B615" s="413"/>
    </row>
    <row r="616" spans="1:985">
      <c r="B616" s="430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  <c r="ZW616"/>
      <c r="ZX616"/>
      <c r="ZY616"/>
      <c r="ZZ616"/>
      <c r="AAA616"/>
      <c r="AAB616"/>
      <c r="AAC616"/>
      <c r="AAD616"/>
      <c r="AAE616"/>
      <c r="AAF616"/>
      <c r="AAG616"/>
      <c r="AAH616"/>
      <c r="AAI616"/>
      <c r="AAJ616"/>
      <c r="AAK616"/>
      <c r="AAL616"/>
      <c r="AAM616"/>
      <c r="AAN616"/>
      <c r="AAO616"/>
      <c r="AAP616"/>
      <c r="AAQ616"/>
      <c r="AAR616"/>
      <c r="AAS616"/>
      <c r="AAT616"/>
      <c r="AAU616"/>
      <c r="AAV616"/>
      <c r="AAW616"/>
      <c r="AAX616"/>
      <c r="AAY616"/>
      <c r="AAZ616"/>
      <c r="ABA616"/>
      <c r="ABB616"/>
      <c r="ABC616"/>
      <c r="ABD616"/>
      <c r="ABE616"/>
      <c r="ABF616"/>
      <c r="ABG616"/>
      <c r="ABH616"/>
      <c r="ABI616"/>
      <c r="ABJ616"/>
      <c r="ABK616"/>
      <c r="ABL616"/>
      <c r="ABM616"/>
      <c r="ABN616"/>
      <c r="ABO616"/>
      <c r="ABP616"/>
      <c r="ABQ616"/>
      <c r="ABR616"/>
      <c r="ABS616"/>
      <c r="ABT616"/>
      <c r="ABU616"/>
      <c r="ABV616"/>
      <c r="ABW616"/>
      <c r="ABX616"/>
      <c r="ABY616"/>
      <c r="ABZ616"/>
      <c r="ACA616"/>
      <c r="ACB616"/>
      <c r="ACC616"/>
      <c r="ACD616"/>
      <c r="ACE616"/>
      <c r="ACF616"/>
      <c r="ACG616"/>
      <c r="ACH616"/>
      <c r="ACI616"/>
      <c r="ACJ616"/>
      <c r="ACK616"/>
      <c r="ACL616"/>
      <c r="ACM616"/>
      <c r="ACN616"/>
      <c r="ACO616"/>
      <c r="ACP616"/>
      <c r="ACQ616"/>
      <c r="ACR616"/>
      <c r="ACS616"/>
      <c r="ACT616"/>
      <c r="ACU616"/>
      <c r="ACV616"/>
      <c r="ACW616"/>
      <c r="ACX616"/>
      <c r="ACY616"/>
      <c r="ACZ616"/>
      <c r="ADA616"/>
      <c r="ADB616"/>
      <c r="ADC616"/>
      <c r="ADD616"/>
      <c r="ADE616"/>
      <c r="ADF616"/>
      <c r="ADG616"/>
      <c r="ADH616"/>
      <c r="ADI616"/>
      <c r="ADJ616"/>
      <c r="ADK616"/>
      <c r="ADL616"/>
      <c r="ADM616"/>
      <c r="ADN616"/>
      <c r="ADO616"/>
      <c r="ADP616"/>
      <c r="ADQ616"/>
      <c r="ADR616"/>
      <c r="ADS616"/>
      <c r="ADT616"/>
      <c r="ADU616"/>
      <c r="ADV616"/>
      <c r="ADW616"/>
      <c r="ADX616"/>
      <c r="ADY616"/>
      <c r="ADZ616"/>
      <c r="AEA616"/>
      <c r="AEB616"/>
      <c r="AEC616"/>
      <c r="AED616"/>
      <c r="AEE616"/>
      <c r="AEF616"/>
      <c r="AEG616"/>
      <c r="AEH616"/>
      <c r="AEI616"/>
      <c r="AEJ616"/>
      <c r="AEK616"/>
      <c r="AEL616"/>
      <c r="AEM616"/>
      <c r="AEN616"/>
      <c r="AEO616"/>
      <c r="AEP616"/>
      <c r="AEQ616"/>
      <c r="AER616"/>
      <c r="AES616"/>
      <c r="AET616"/>
      <c r="AEU616"/>
      <c r="AEV616"/>
      <c r="AEW616"/>
      <c r="AEX616"/>
      <c r="AEY616"/>
      <c r="AEZ616"/>
      <c r="AFA616"/>
      <c r="AFB616"/>
      <c r="AFC616"/>
      <c r="AFD616"/>
      <c r="AFE616"/>
      <c r="AFF616"/>
      <c r="AFG616"/>
      <c r="AFH616"/>
      <c r="AFI616"/>
      <c r="AFJ616"/>
      <c r="AFK616"/>
      <c r="AFL616"/>
      <c r="AFM616"/>
      <c r="AFN616"/>
      <c r="AFO616"/>
      <c r="AFP616"/>
      <c r="AFQ616"/>
      <c r="AFR616"/>
      <c r="AFS616"/>
      <c r="AFT616"/>
      <c r="AFU616"/>
      <c r="AFV616"/>
      <c r="AFW616"/>
      <c r="AFX616"/>
      <c r="AFY616"/>
      <c r="AFZ616"/>
      <c r="AGA616"/>
      <c r="AGB616"/>
      <c r="AGC616"/>
      <c r="AGD616"/>
      <c r="AGE616"/>
      <c r="AGF616"/>
      <c r="AGG616"/>
      <c r="AGH616"/>
      <c r="AGI616"/>
      <c r="AGJ616"/>
      <c r="AGK616"/>
      <c r="AGL616"/>
      <c r="AGM616"/>
      <c r="AGN616"/>
      <c r="AGO616"/>
      <c r="AGP616"/>
      <c r="AGQ616"/>
      <c r="AGR616"/>
      <c r="AGS616"/>
      <c r="AGT616"/>
      <c r="AGU616"/>
      <c r="AGV616"/>
      <c r="AGW616"/>
      <c r="AGX616"/>
      <c r="AGY616"/>
      <c r="AGZ616"/>
      <c r="AHA616"/>
      <c r="AHB616"/>
      <c r="AHC616"/>
      <c r="AHD616"/>
      <c r="AHE616"/>
      <c r="AHF616"/>
      <c r="AHG616"/>
      <c r="AHH616"/>
      <c r="AHI616"/>
      <c r="AHJ616"/>
      <c r="AHK616"/>
      <c r="AHL616"/>
      <c r="AHM616"/>
      <c r="AHN616"/>
      <c r="AHO616"/>
      <c r="AHP616"/>
      <c r="AHQ616"/>
      <c r="AHR616"/>
      <c r="AHS616"/>
      <c r="AHT616"/>
      <c r="AHU616"/>
      <c r="AHV616"/>
      <c r="AHW616"/>
      <c r="AHX616"/>
      <c r="AHY616"/>
      <c r="AHZ616"/>
      <c r="AIA616"/>
      <c r="AIB616"/>
      <c r="AIC616"/>
      <c r="AID616"/>
      <c r="AIE616"/>
      <c r="AIF616"/>
      <c r="AIG616"/>
      <c r="AIH616"/>
      <c r="AII616"/>
      <c r="AIJ616"/>
      <c r="AIK616"/>
      <c r="AIL616"/>
      <c r="AIM616"/>
      <c r="AIN616"/>
      <c r="AIO616"/>
      <c r="AIP616"/>
      <c r="AIQ616"/>
      <c r="AIR616"/>
      <c r="AIS616"/>
      <c r="AIT616"/>
      <c r="AIU616"/>
      <c r="AIV616"/>
      <c r="AIW616"/>
      <c r="AIX616"/>
      <c r="AIY616"/>
      <c r="AIZ616"/>
      <c r="AJA616"/>
      <c r="AJB616"/>
      <c r="AJC616"/>
      <c r="AJD616"/>
      <c r="AJE616"/>
      <c r="AJF616"/>
      <c r="AJG616"/>
      <c r="AJH616"/>
      <c r="AJI616"/>
      <c r="AJJ616"/>
      <c r="AJK616"/>
      <c r="AJL616"/>
      <c r="AJM616"/>
      <c r="AJN616"/>
      <c r="AJO616"/>
      <c r="AJP616"/>
      <c r="AJQ616"/>
      <c r="AJR616"/>
      <c r="AJS616"/>
      <c r="AJT616"/>
      <c r="AJU616"/>
      <c r="AJV616"/>
      <c r="AJW616"/>
      <c r="AJX616"/>
      <c r="AJY616"/>
      <c r="AJZ616"/>
      <c r="AKA616"/>
      <c r="AKB616"/>
      <c r="AKC616"/>
      <c r="AKD616"/>
      <c r="AKE616"/>
      <c r="AKF616"/>
      <c r="AKG616"/>
      <c r="AKH616"/>
      <c r="AKI616"/>
      <c r="AKJ616"/>
      <c r="AKK616"/>
      <c r="AKL616"/>
      <c r="AKM616"/>
      <c r="AKN616"/>
      <c r="AKO616"/>
      <c r="AKP616"/>
      <c r="AKQ616"/>
      <c r="AKR616"/>
      <c r="AKS616"/>
      <c r="AKT616"/>
      <c r="AKU616"/>
      <c r="AKV616"/>
      <c r="AKW616"/>
    </row>
    <row r="617" spans="1:985">
      <c r="B617" s="441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  <c r="ZW617"/>
      <c r="ZX617"/>
      <c r="ZY617"/>
      <c r="ZZ617"/>
      <c r="AAA617"/>
      <c r="AAB617"/>
      <c r="AAC617"/>
      <c r="AAD617"/>
      <c r="AAE617"/>
      <c r="AAF617"/>
      <c r="AAG617"/>
      <c r="AAH617"/>
      <c r="AAI617"/>
      <c r="AAJ617"/>
      <c r="AAK617"/>
      <c r="AAL617"/>
      <c r="AAM617"/>
      <c r="AAN617"/>
      <c r="AAO617"/>
      <c r="AAP617"/>
      <c r="AAQ617"/>
      <c r="AAR617"/>
      <c r="AAS617"/>
      <c r="AAT617"/>
      <c r="AAU617"/>
      <c r="AAV617"/>
      <c r="AAW617"/>
      <c r="AAX617"/>
      <c r="AAY617"/>
      <c r="AAZ617"/>
      <c r="ABA617"/>
      <c r="ABB617"/>
      <c r="ABC617"/>
      <c r="ABD617"/>
      <c r="ABE617"/>
      <c r="ABF617"/>
      <c r="ABG617"/>
      <c r="ABH617"/>
      <c r="ABI617"/>
      <c r="ABJ617"/>
      <c r="ABK617"/>
      <c r="ABL617"/>
      <c r="ABM617"/>
      <c r="ABN617"/>
      <c r="ABO617"/>
      <c r="ABP617"/>
      <c r="ABQ617"/>
      <c r="ABR617"/>
      <c r="ABS617"/>
      <c r="ABT617"/>
      <c r="ABU617"/>
      <c r="ABV617"/>
      <c r="ABW617"/>
      <c r="ABX617"/>
      <c r="ABY617"/>
      <c r="ABZ617"/>
      <c r="ACA617"/>
      <c r="ACB617"/>
      <c r="ACC617"/>
      <c r="ACD617"/>
      <c r="ACE617"/>
      <c r="ACF617"/>
      <c r="ACG617"/>
      <c r="ACH617"/>
      <c r="ACI617"/>
      <c r="ACJ617"/>
      <c r="ACK617"/>
      <c r="ACL617"/>
      <c r="ACM617"/>
      <c r="ACN617"/>
      <c r="ACO617"/>
      <c r="ACP617"/>
      <c r="ACQ617"/>
      <c r="ACR617"/>
      <c r="ACS617"/>
      <c r="ACT617"/>
      <c r="ACU617"/>
      <c r="ACV617"/>
      <c r="ACW617"/>
      <c r="ACX617"/>
      <c r="ACY617"/>
      <c r="ACZ617"/>
      <c r="ADA617"/>
      <c r="ADB617"/>
      <c r="ADC617"/>
      <c r="ADD617"/>
      <c r="ADE617"/>
      <c r="ADF617"/>
      <c r="ADG617"/>
      <c r="ADH617"/>
      <c r="ADI617"/>
      <c r="ADJ617"/>
      <c r="ADK617"/>
      <c r="ADL617"/>
      <c r="ADM617"/>
      <c r="ADN617"/>
      <c r="ADO617"/>
      <c r="ADP617"/>
      <c r="ADQ617"/>
      <c r="ADR617"/>
      <c r="ADS617"/>
      <c r="ADT617"/>
      <c r="ADU617"/>
      <c r="ADV617"/>
      <c r="ADW617"/>
      <c r="ADX617"/>
      <c r="ADY617"/>
      <c r="ADZ617"/>
      <c r="AEA617"/>
      <c r="AEB617"/>
      <c r="AEC617"/>
      <c r="AED617"/>
      <c r="AEE617"/>
      <c r="AEF617"/>
      <c r="AEG617"/>
      <c r="AEH617"/>
      <c r="AEI617"/>
      <c r="AEJ617"/>
      <c r="AEK617"/>
      <c r="AEL617"/>
      <c r="AEM617"/>
      <c r="AEN617"/>
      <c r="AEO617"/>
      <c r="AEP617"/>
      <c r="AEQ617"/>
      <c r="AER617"/>
      <c r="AES617"/>
      <c r="AET617"/>
      <c r="AEU617"/>
      <c r="AEV617"/>
      <c r="AEW617"/>
      <c r="AEX617"/>
      <c r="AEY617"/>
      <c r="AEZ617"/>
      <c r="AFA617"/>
      <c r="AFB617"/>
      <c r="AFC617"/>
      <c r="AFD617"/>
      <c r="AFE617"/>
      <c r="AFF617"/>
      <c r="AFG617"/>
      <c r="AFH617"/>
      <c r="AFI617"/>
      <c r="AFJ617"/>
      <c r="AFK617"/>
      <c r="AFL617"/>
      <c r="AFM617"/>
      <c r="AFN617"/>
      <c r="AFO617"/>
      <c r="AFP617"/>
      <c r="AFQ617"/>
      <c r="AFR617"/>
      <c r="AFS617"/>
      <c r="AFT617"/>
      <c r="AFU617"/>
      <c r="AFV617"/>
      <c r="AFW617"/>
      <c r="AFX617"/>
      <c r="AFY617"/>
      <c r="AFZ617"/>
      <c r="AGA617"/>
      <c r="AGB617"/>
      <c r="AGC617"/>
      <c r="AGD617"/>
      <c r="AGE617"/>
      <c r="AGF617"/>
      <c r="AGG617"/>
      <c r="AGH617"/>
      <c r="AGI617"/>
      <c r="AGJ617"/>
      <c r="AGK617"/>
      <c r="AGL617"/>
      <c r="AGM617"/>
      <c r="AGN617"/>
      <c r="AGO617"/>
      <c r="AGP617"/>
      <c r="AGQ617"/>
      <c r="AGR617"/>
      <c r="AGS617"/>
      <c r="AGT617"/>
      <c r="AGU617"/>
      <c r="AGV617"/>
      <c r="AGW617"/>
      <c r="AGX617"/>
      <c r="AGY617"/>
      <c r="AGZ617"/>
      <c r="AHA617"/>
      <c r="AHB617"/>
      <c r="AHC617"/>
      <c r="AHD617"/>
      <c r="AHE617"/>
      <c r="AHF617"/>
      <c r="AHG617"/>
      <c r="AHH617"/>
      <c r="AHI617"/>
      <c r="AHJ617"/>
      <c r="AHK617"/>
      <c r="AHL617"/>
      <c r="AHM617"/>
      <c r="AHN617"/>
      <c r="AHO617"/>
      <c r="AHP617"/>
      <c r="AHQ617"/>
      <c r="AHR617"/>
      <c r="AHS617"/>
      <c r="AHT617"/>
      <c r="AHU617"/>
      <c r="AHV617"/>
      <c r="AHW617"/>
      <c r="AHX617"/>
      <c r="AHY617"/>
      <c r="AHZ617"/>
      <c r="AIA617"/>
      <c r="AIB617"/>
      <c r="AIC617"/>
      <c r="AID617"/>
      <c r="AIE617"/>
      <c r="AIF617"/>
      <c r="AIG617"/>
      <c r="AIH617"/>
      <c r="AII617"/>
      <c r="AIJ617"/>
      <c r="AIK617"/>
      <c r="AIL617"/>
      <c r="AIM617"/>
      <c r="AIN617"/>
      <c r="AIO617"/>
      <c r="AIP617"/>
      <c r="AIQ617"/>
      <c r="AIR617"/>
      <c r="AIS617"/>
      <c r="AIT617"/>
      <c r="AIU617"/>
      <c r="AIV617"/>
      <c r="AIW617"/>
      <c r="AIX617"/>
      <c r="AIY617"/>
      <c r="AIZ617"/>
      <c r="AJA617"/>
      <c r="AJB617"/>
      <c r="AJC617"/>
      <c r="AJD617"/>
      <c r="AJE617"/>
      <c r="AJF617"/>
      <c r="AJG617"/>
      <c r="AJH617"/>
      <c r="AJI617"/>
      <c r="AJJ617"/>
      <c r="AJK617"/>
      <c r="AJL617"/>
      <c r="AJM617"/>
      <c r="AJN617"/>
      <c r="AJO617"/>
      <c r="AJP617"/>
      <c r="AJQ617"/>
      <c r="AJR617"/>
      <c r="AJS617"/>
      <c r="AJT617"/>
      <c r="AJU617"/>
      <c r="AJV617"/>
      <c r="AJW617"/>
      <c r="AJX617"/>
      <c r="AJY617"/>
      <c r="AJZ617"/>
      <c r="AKA617"/>
      <c r="AKB617"/>
      <c r="AKC617"/>
      <c r="AKD617"/>
      <c r="AKE617"/>
      <c r="AKF617"/>
      <c r="AKG617"/>
      <c r="AKH617"/>
      <c r="AKI617"/>
      <c r="AKJ617"/>
      <c r="AKK617"/>
      <c r="AKL617"/>
      <c r="AKM617"/>
      <c r="AKN617"/>
      <c r="AKO617"/>
      <c r="AKP617"/>
      <c r="AKQ617"/>
      <c r="AKR617"/>
      <c r="AKS617"/>
      <c r="AKT617"/>
      <c r="AKU617"/>
      <c r="AKV617"/>
      <c r="AKW617"/>
    </row>
    <row r="618" spans="1:985">
      <c r="B618" s="441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  <c r="ZW618"/>
      <c r="ZX618"/>
      <c r="ZY618"/>
      <c r="ZZ618"/>
      <c r="AAA618"/>
      <c r="AAB618"/>
      <c r="AAC618"/>
      <c r="AAD618"/>
      <c r="AAE618"/>
      <c r="AAF618"/>
      <c r="AAG618"/>
      <c r="AAH618"/>
      <c r="AAI618"/>
      <c r="AAJ618"/>
      <c r="AAK618"/>
      <c r="AAL618"/>
      <c r="AAM618"/>
      <c r="AAN618"/>
      <c r="AAO618"/>
      <c r="AAP618"/>
      <c r="AAQ618"/>
      <c r="AAR618"/>
      <c r="AAS618"/>
      <c r="AAT618"/>
      <c r="AAU618"/>
      <c r="AAV618"/>
      <c r="AAW618"/>
      <c r="AAX618"/>
      <c r="AAY618"/>
      <c r="AAZ618"/>
      <c r="ABA618"/>
      <c r="ABB618"/>
      <c r="ABC618"/>
      <c r="ABD618"/>
      <c r="ABE618"/>
      <c r="ABF618"/>
      <c r="ABG618"/>
      <c r="ABH618"/>
      <c r="ABI618"/>
      <c r="ABJ618"/>
      <c r="ABK618"/>
      <c r="ABL618"/>
      <c r="ABM618"/>
      <c r="ABN618"/>
      <c r="ABO618"/>
      <c r="ABP618"/>
      <c r="ABQ618"/>
      <c r="ABR618"/>
      <c r="ABS618"/>
      <c r="ABT618"/>
      <c r="ABU618"/>
      <c r="ABV618"/>
      <c r="ABW618"/>
      <c r="ABX618"/>
      <c r="ABY618"/>
      <c r="ABZ618"/>
      <c r="ACA618"/>
      <c r="ACB618"/>
      <c r="ACC618"/>
      <c r="ACD618"/>
      <c r="ACE618"/>
      <c r="ACF618"/>
      <c r="ACG618"/>
      <c r="ACH618"/>
      <c r="ACI618"/>
      <c r="ACJ618"/>
      <c r="ACK618"/>
      <c r="ACL618"/>
      <c r="ACM618"/>
      <c r="ACN618"/>
      <c r="ACO618"/>
      <c r="ACP618"/>
      <c r="ACQ618"/>
      <c r="ACR618"/>
      <c r="ACS618"/>
      <c r="ACT618"/>
      <c r="ACU618"/>
      <c r="ACV618"/>
      <c r="ACW618"/>
      <c r="ACX618"/>
      <c r="ACY618"/>
      <c r="ACZ618"/>
      <c r="ADA618"/>
      <c r="ADB618"/>
      <c r="ADC618"/>
      <c r="ADD618"/>
      <c r="ADE618"/>
      <c r="ADF618"/>
      <c r="ADG618"/>
      <c r="ADH618"/>
      <c r="ADI618"/>
      <c r="ADJ618"/>
      <c r="ADK618"/>
      <c r="ADL618"/>
      <c r="ADM618"/>
      <c r="ADN618"/>
      <c r="ADO618"/>
      <c r="ADP618"/>
      <c r="ADQ618"/>
      <c r="ADR618"/>
      <c r="ADS618"/>
      <c r="ADT618"/>
      <c r="ADU618"/>
      <c r="ADV618"/>
      <c r="ADW618"/>
      <c r="ADX618"/>
      <c r="ADY618"/>
      <c r="ADZ618"/>
      <c r="AEA618"/>
      <c r="AEB618"/>
      <c r="AEC618"/>
      <c r="AED618"/>
      <c r="AEE618"/>
      <c r="AEF618"/>
      <c r="AEG618"/>
      <c r="AEH618"/>
      <c r="AEI618"/>
      <c r="AEJ618"/>
      <c r="AEK618"/>
      <c r="AEL618"/>
      <c r="AEM618"/>
      <c r="AEN618"/>
      <c r="AEO618"/>
      <c r="AEP618"/>
      <c r="AEQ618"/>
      <c r="AER618"/>
      <c r="AES618"/>
      <c r="AET618"/>
      <c r="AEU618"/>
      <c r="AEV618"/>
      <c r="AEW618"/>
      <c r="AEX618"/>
      <c r="AEY618"/>
      <c r="AEZ618"/>
      <c r="AFA618"/>
      <c r="AFB618"/>
      <c r="AFC618"/>
      <c r="AFD618"/>
      <c r="AFE618"/>
      <c r="AFF618"/>
      <c r="AFG618"/>
      <c r="AFH618"/>
      <c r="AFI618"/>
      <c r="AFJ618"/>
      <c r="AFK618"/>
      <c r="AFL618"/>
      <c r="AFM618"/>
      <c r="AFN618"/>
      <c r="AFO618"/>
      <c r="AFP618"/>
      <c r="AFQ618"/>
      <c r="AFR618"/>
      <c r="AFS618"/>
      <c r="AFT618"/>
      <c r="AFU618"/>
      <c r="AFV618"/>
      <c r="AFW618"/>
      <c r="AFX618"/>
      <c r="AFY618"/>
      <c r="AFZ618"/>
      <c r="AGA618"/>
      <c r="AGB618"/>
      <c r="AGC618"/>
      <c r="AGD618"/>
      <c r="AGE618"/>
      <c r="AGF618"/>
      <c r="AGG618"/>
      <c r="AGH618"/>
      <c r="AGI618"/>
      <c r="AGJ618"/>
      <c r="AGK618"/>
      <c r="AGL618"/>
      <c r="AGM618"/>
      <c r="AGN618"/>
      <c r="AGO618"/>
      <c r="AGP618"/>
      <c r="AGQ618"/>
      <c r="AGR618"/>
      <c r="AGS618"/>
      <c r="AGT618"/>
      <c r="AGU618"/>
      <c r="AGV618"/>
      <c r="AGW618"/>
      <c r="AGX618"/>
      <c r="AGY618"/>
      <c r="AGZ618"/>
      <c r="AHA618"/>
      <c r="AHB618"/>
      <c r="AHC618"/>
      <c r="AHD618"/>
      <c r="AHE618"/>
      <c r="AHF618"/>
      <c r="AHG618"/>
      <c r="AHH618"/>
      <c r="AHI618"/>
      <c r="AHJ618"/>
      <c r="AHK618"/>
      <c r="AHL618"/>
      <c r="AHM618"/>
      <c r="AHN618"/>
      <c r="AHO618"/>
      <c r="AHP618"/>
      <c r="AHQ618"/>
      <c r="AHR618"/>
      <c r="AHS618"/>
      <c r="AHT618"/>
      <c r="AHU618"/>
      <c r="AHV618"/>
      <c r="AHW618"/>
      <c r="AHX618"/>
      <c r="AHY618"/>
      <c r="AHZ618"/>
      <c r="AIA618"/>
      <c r="AIB618"/>
      <c r="AIC618"/>
      <c r="AID618"/>
      <c r="AIE618"/>
      <c r="AIF618"/>
      <c r="AIG618"/>
      <c r="AIH618"/>
      <c r="AII618"/>
      <c r="AIJ618"/>
      <c r="AIK618"/>
      <c r="AIL618"/>
      <c r="AIM618"/>
      <c r="AIN618"/>
      <c r="AIO618"/>
      <c r="AIP618"/>
      <c r="AIQ618"/>
      <c r="AIR618"/>
      <c r="AIS618"/>
      <c r="AIT618"/>
      <c r="AIU618"/>
      <c r="AIV618"/>
      <c r="AIW618"/>
      <c r="AIX618"/>
      <c r="AIY618"/>
      <c r="AIZ618"/>
      <c r="AJA618"/>
      <c r="AJB618"/>
      <c r="AJC618"/>
      <c r="AJD618"/>
      <c r="AJE618"/>
      <c r="AJF618"/>
      <c r="AJG618"/>
      <c r="AJH618"/>
      <c r="AJI618"/>
      <c r="AJJ618"/>
      <c r="AJK618"/>
      <c r="AJL618"/>
      <c r="AJM618"/>
      <c r="AJN618"/>
      <c r="AJO618"/>
      <c r="AJP618"/>
      <c r="AJQ618"/>
      <c r="AJR618"/>
      <c r="AJS618"/>
      <c r="AJT618"/>
      <c r="AJU618"/>
      <c r="AJV618"/>
      <c r="AJW618"/>
      <c r="AJX618"/>
      <c r="AJY618"/>
      <c r="AJZ618"/>
      <c r="AKA618"/>
      <c r="AKB618"/>
      <c r="AKC618"/>
      <c r="AKD618"/>
      <c r="AKE618"/>
      <c r="AKF618"/>
      <c r="AKG618"/>
      <c r="AKH618"/>
      <c r="AKI618"/>
      <c r="AKJ618"/>
      <c r="AKK618"/>
      <c r="AKL618"/>
      <c r="AKM618"/>
      <c r="AKN618"/>
      <c r="AKO618"/>
      <c r="AKP618"/>
      <c r="AKQ618"/>
      <c r="AKR618"/>
      <c r="AKS618"/>
      <c r="AKT618"/>
      <c r="AKU618"/>
      <c r="AKV618"/>
      <c r="AKW618"/>
    </row>
    <row r="619" spans="1:985">
      <c r="B619" s="441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  <c r="ZY619"/>
      <c r="ZZ619"/>
      <c r="AAA619"/>
      <c r="AAB619"/>
      <c r="AAC619"/>
      <c r="AAD619"/>
      <c r="AAE619"/>
      <c r="AAF619"/>
      <c r="AAG619"/>
      <c r="AAH619"/>
      <c r="AAI619"/>
      <c r="AAJ619"/>
      <c r="AAK619"/>
      <c r="AAL619"/>
      <c r="AAM619"/>
      <c r="AAN619"/>
      <c r="AAO619"/>
      <c r="AAP619"/>
      <c r="AAQ619"/>
      <c r="AAR619"/>
      <c r="AAS619"/>
      <c r="AAT619"/>
      <c r="AAU619"/>
      <c r="AAV619"/>
      <c r="AAW619"/>
      <c r="AAX619"/>
      <c r="AAY619"/>
      <c r="AAZ619"/>
      <c r="ABA619"/>
      <c r="ABB619"/>
      <c r="ABC619"/>
      <c r="ABD619"/>
      <c r="ABE619"/>
      <c r="ABF619"/>
      <c r="ABG619"/>
      <c r="ABH619"/>
      <c r="ABI619"/>
      <c r="ABJ619"/>
      <c r="ABK619"/>
      <c r="ABL619"/>
      <c r="ABM619"/>
      <c r="ABN619"/>
      <c r="ABO619"/>
      <c r="ABP619"/>
      <c r="ABQ619"/>
      <c r="ABR619"/>
      <c r="ABS619"/>
      <c r="ABT619"/>
      <c r="ABU619"/>
      <c r="ABV619"/>
      <c r="ABW619"/>
      <c r="ABX619"/>
      <c r="ABY619"/>
      <c r="ABZ619"/>
      <c r="ACA619"/>
      <c r="ACB619"/>
      <c r="ACC619"/>
      <c r="ACD619"/>
      <c r="ACE619"/>
      <c r="ACF619"/>
      <c r="ACG619"/>
      <c r="ACH619"/>
      <c r="ACI619"/>
      <c r="ACJ619"/>
      <c r="ACK619"/>
      <c r="ACL619"/>
      <c r="ACM619"/>
      <c r="ACN619"/>
      <c r="ACO619"/>
      <c r="ACP619"/>
      <c r="ACQ619"/>
      <c r="ACR619"/>
      <c r="ACS619"/>
      <c r="ACT619"/>
      <c r="ACU619"/>
      <c r="ACV619"/>
      <c r="ACW619"/>
      <c r="ACX619"/>
      <c r="ACY619"/>
      <c r="ACZ619"/>
      <c r="ADA619"/>
      <c r="ADB619"/>
      <c r="ADC619"/>
      <c r="ADD619"/>
      <c r="ADE619"/>
      <c r="ADF619"/>
      <c r="ADG619"/>
      <c r="ADH619"/>
      <c r="ADI619"/>
      <c r="ADJ619"/>
      <c r="ADK619"/>
      <c r="ADL619"/>
      <c r="ADM619"/>
      <c r="ADN619"/>
      <c r="ADO619"/>
      <c r="ADP619"/>
      <c r="ADQ619"/>
      <c r="ADR619"/>
      <c r="ADS619"/>
      <c r="ADT619"/>
      <c r="ADU619"/>
      <c r="ADV619"/>
      <c r="ADW619"/>
      <c r="ADX619"/>
      <c r="ADY619"/>
      <c r="ADZ619"/>
      <c r="AEA619"/>
      <c r="AEB619"/>
      <c r="AEC619"/>
      <c r="AED619"/>
      <c r="AEE619"/>
      <c r="AEF619"/>
      <c r="AEG619"/>
      <c r="AEH619"/>
      <c r="AEI619"/>
      <c r="AEJ619"/>
      <c r="AEK619"/>
      <c r="AEL619"/>
      <c r="AEM619"/>
      <c r="AEN619"/>
      <c r="AEO619"/>
      <c r="AEP619"/>
      <c r="AEQ619"/>
      <c r="AER619"/>
      <c r="AES619"/>
      <c r="AET619"/>
      <c r="AEU619"/>
      <c r="AEV619"/>
      <c r="AEW619"/>
      <c r="AEX619"/>
      <c r="AEY619"/>
      <c r="AEZ619"/>
      <c r="AFA619"/>
      <c r="AFB619"/>
      <c r="AFC619"/>
      <c r="AFD619"/>
      <c r="AFE619"/>
      <c r="AFF619"/>
      <c r="AFG619"/>
      <c r="AFH619"/>
      <c r="AFI619"/>
      <c r="AFJ619"/>
      <c r="AFK619"/>
      <c r="AFL619"/>
      <c r="AFM619"/>
      <c r="AFN619"/>
      <c r="AFO619"/>
      <c r="AFP619"/>
      <c r="AFQ619"/>
      <c r="AFR619"/>
      <c r="AFS619"/>
      <c r="AFT619"/>
      <c r="AFU619"/>
      <c r="AFV619"/>
      <c r="AFW619"/>
      <c r="AFX619"/>
      <c r="AFY619"/>
      <c r="AFZ619"/>
      <c r="AGA619"/>
      <c r="AGB619"/>
      <c r="AGC619"/>
      <c r="AGD619"/>
      <c r="AGE619"/>
      <c r="AGF619"/>
      <c r="AGG619"/>
      <c r="AGH619"/>
      <c r="AGI619"/>
      <c r="AGJ619"/>
      <c r="AGK619"/>
      <c r="AGL619"/>
      <c r="AGM619"/>
      <c r="AGN619"/>
      <c r="AGO619"/>
      <c r="AGP619"/>
      <c r="AGQ619"/>
      <c r="AGR619"/>
      <c r="AGS619"/>
      <c r="AGT619"/>
      <c r="AGU619"/>
      <c r="AGV619"/>
      <c r="AGW619"/>
      <c r="AGX619"/>
      <c r="AGY619"/>
      <c r="AGZ619"/>
      <c r="AHA619"/>
      <c r="AHB619"/>
      <c r="AHC619"/>
      <c r="AHD619"/>
      <c r="AHE619"/>
      <c r="AHF619"/>
      <c r="AHG619"/>
      <c r="AHH619"/>
      <c r="AHI619"/>
      <c r="AHJ619"/>
      <c r="AHK619"/>
      <c r="AHL619"/>
      <c r="AHM619"/>
      <c r="AHN619"/>
      <c r="AHO619"/>
      <c r="AHP619"/>
      <c r="AHQ619"/>
      <c r="AHR619"/>
      <c r="AHS619"/>
      <c r="AHT619"/>
      <c r="AHU619"/>
      <c r="AHV619"/>
      <c r="AHW619"/>
      <c r="AHX619"/>
      <c r="AHY619"/>
      <c r="AHZ619"/>
      <c r="AIA619"/>
      <c r="AIB619"/>
      <c r="AIC619"/>
      <c r="AID619"/>
      <c r="AIE619"/>
      <c r="AIF619"/>
      <c r="AIG619"/>
      <c r="AIH619"/>
      <c r="AII619"/>
      <c r="AIJ619"/>
      <c r="AIK619"/>
      <c r="AIL619"/>
      <c r="AIM619"/>
      <c r="AIN619"/>
      <c r="AIO619"/>
      <c r="AIP619"/>
      <c r="AIQ619"/>
      <c r="AIR619"/>
      <c r="AIS619"/>
      <c r="AIT619"/>
      <c r="AIU619"/>
      <c r="AIV619"/>
      <c r="AIW619"/>
      <c r="AIX619"/>
      <c r="AIY619"/>
      <c r="AIZ619"/>
      <c r="AJA619"/>
      <c r="AJB619"/>
      <c r="AJC619"/>
      <c r="AJD619"/>
      <c r="AJE619"/>
      <c r="AJF619"/>
      <c r="AJG619"/>
      <c r="AJH619"/>
      <c r="AJI619"/>
      <c r="AJJ619"/>
      <c r="AJK619"/>
      <c r="AJL619"/>
      <c r="AJM619"/>
      <c r="AJN619"/>
      <c r="AJO619"/>
      <c r="AJP619"/>
      <c r="AJQ619"/>
      <c r="AJR619"/>
      <c r="AJS619"/>
      <c r="AJT619"/>
      <c r="AJU619"/>
      <c r="AJV619"/>
      <c r="AJW619"/>
      <c r="AJX619"/>
      <c r="AJY619"/>
      <c r="AJZ619"/>
      <c r="AKA619"/>
      <c r="AKB619"/>
      <c r="AKC619"/>
      <c r="AKD619"/>
      <c r="AKE619"/>
      <c r="AKF619"/>
      <c r="AKG619"/>
      <c r="AKH619"/>
      <c r="AKI619"/>
      <c r="AKJ619"/>
      <c r="AKK619"/>
      <c r="AKL619"/>
      <c r="AKM619"/>
      <c r="AKN619"/>
      <c r="AKO619"/>
      <c r="AKP619"/>
      <c r="AKQ619"/>
      <c r="AKR619"/>
      <c r="AKS619"/>
      <c r="AKT619"/>
      <c r="AKU619"/>
      <c r="AKV619"/>
      <c r="AKW619"/>
    </row>
    <row r="620" spans="1:985">
      <c r="A620" s="442"/>
      <c r="B620" s="441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  <c r="ZW620"/>
      <c r="ZX620"/>
      <c r="ZY620"/>
      <c r="ZZ620"/>
      <c r="AAA620"/>
      <c r="AAB620"/>
      <c r="AAC620"/>
      <c r="AAD620"/>
      <c r="AAE620"/>
      <c r="AAF620"/>
      <c r="AAG620"/>
      <c r="AAH620"/>
      <c r="AAI620"/>
      <c r="AAJ620"/>
      <c r="AAK620"/>
      <c r="AAL620"/>
      <c r="AAM620"/>
      <c r="AAN620"/>
      <c r="AAO620"/>
      <c r="AAP620"/>
      <c r="AAQ620"/>
      <c r="AAR620"/>
      <c r="AAS620"/>
      <c r="AAT620"/>
      <c r="AAU620"/>
      <c r="AAV620"/>
      <c r="AAW620"/>
      <c r="AAX620"/>
      <c r="AAY620"/>
      <c r="AAZ620"/>
      <c r="ABA620"/>
      <c r="ABB620"/>
      <c r="ABC620"/>
      <c r="ABD620"/>
      <c r="ABE620"/>
      <c r="ABF620"/>
      <c r="ABG620"/>
      <c r="ABH620"/>
      <c r="ABI620"/>
      <c r="ABJ620"/>
      <c r="ABK620"/>
      <c r="ABL620"/>
      <c r="ABM620"/>
      <c r="ABN620"/>
      <c r="ABO620"/>
      <c r="ABP620"/>
      <c r="ABQ620"/>
      <c r="ABR620"/>
      <c r="ABS620"/>
      <c r="ABT620"/>
      <c r="ABU620"/>
      <c r="ABV620"/>
      <c r="ABW620"/>
      <c r="ABX620"/>
      <c r="ABY620"/>
      <c r="ABZ620"/>
      <c r="ACA620"/>
      <c r="ACB620"/>
      <c r="ACC620"/>
      <c r="ACD620"/>
      <c r="ACE620"/>
      <c r="ACF620"/>
      <c r="ACG620"/>
      <c r="ACH620"/>
      <c r="ACI620"/>
      <c r="ACJ620"/>
      <c r="ACK620"/>
      <c r="ACL620"/>
      <c r="ACM620"/>
      <c r="ACN620"/>
      <c r="ACO620"/>
      <c r="ACP620"/>
      <c r="ACQ620"/>
      <c r="ACR620"/>
      <c r="ACS620"/>
      <c r="ACT620"/>
      <c r="ACU620"/>
      <c r="ACV620"/>
      <c r="ACW620"/>
      <c r="ACX620"/>
      <c r="ACY620"/>
      <c r="ACZ620"/>
      <c r="ADA620"/>
      <c r="ADB620"/>
      <c r="ADC620"/>
      <c r="ADD620"/>
      <c r="ADE620"/>
      <c r="ADF620"/>
      <c r="ADG620"/>
      <c r="ADH620"/>
      <c r="ADI620"/>
      <c r="ADJ620"/>
      <c r="ADK620"/>
      <c r="ADL620"/>
      <c r="ADM620"/>
      <c r="ADN620"/>
      <c r="ADO620"/>
      <c r="ADP620"/>
      <c r="ADQ620"/>
      <c r="ADR620"/>
      <c r="ADS620"/>
      <c r="ADT620"/>
      <c r="ADU620"/>
      <c r="ADV620"/>
      <c r="ADW620"/>
      <c r="ADX620"/>
      <c r="ADY620"/>
      <c r="ADZ620"/>
      <c r="AEA620"/>
      <c r="AEB620"/>
      <c r="AEC620"/>
      <c r="AED620"/>
      <c r="AEE620"/>
      <c r="AEF620"/>
      <c r="AEG620"/>
      <c r="AEH620"/>
      <c r="AEI620"/>
      <c r="AEJ620"/>
      <c r="AEK620"/>
      <c r="AEL620"/>
      <c r="AEM620"/>
      <c r="AEN620"/>
      <c r="AEO620"/>
      <c r="AEP620"/>
      <c r="AEQ620"/>
      <c r="AER620"/>
      <c r="AES620"/>
      <c r="AET620"/>
      <c r="AEU620"/>
      <c r="AEV620"/>
      <c r="AEW620"/>
      <c r="AEX620"/>
      <c r="AEY620"/>
      <c r="AEZ620"/>
      <c r="AFA620"/>
      <c r="AFB620"/>
      <c r="AFC620"/>
      <c r="AFD620"/>
      <c r="AFE620"/>
      <c r="AFF620"/>
      <c r="AFG620"/>
      <c r="AFH620"/>
      <c r="AFI620"/>
      <c r="AFJ620"/>
      <c r="AFK620"/>
      <c r="AFL620"/>
      <c r="AFM620"/>
      <c r="AFN620"/>
      <c r="AFO620"/>
      <c r="AFP620"/>
      <c r="AFQ620"/>
      <c r="AFR620"/>
      <c r="AFS620"/>
      <c r="AFT620"/>
      <c r="AFU620"/>
      <c r="AFV620"/>
      <c r="AFW620"/>
      <c r="AFX620"/>
      <c r="AFY620"/>
      <c r="AFZ620"/>
      <c r="AGA620"/>
      <c r="AGB620"/>
      <c r="AGC620"/>
      <c r="AGD620"/>
      <c r="AGE620"/>
      <c r="AGF620"/>
      <c r="AGG620"/>
      <c r="AGH620"/>
      <c r="AGI620"/>
      <c r="AGJ620"/>
      <c r="AGK620"/>
      <c r="AGL620"/>
      <c r="AGM620"/>
      <c r="AGN620"/>
      <c r="AGO620"/>
      <c r="AGP620"/>
      <c r="AGQ620"/>
      <c r="AGR620"/>
      <c r="AGS620"/>
      <c r="AGT620"/>
      <c r="AGU620"/>
      <c r="AGV620"/>
      <c r="AGW620"/>
      <c r="AGX620"/>
      <c r="AGY620"/>
      <c r="AGZ620"/>
      <c r="AHA620"/>
      <c r="AHB620"/>
      <c r="AHC620"/>
      <c r="AHD620"/>
      <c r="AHE620"/>
      <c r="AHF620"/>
      <c r="AHG620"/>
      <c r="AHH620"/>
      <c r="AHI620"/>
      <c r="AHJ620"/>
      <c r="AHK620"/>
      <c r="AHL620"/>
      <c r="AHM620"/>
      <c r="AHN620"/>
      <c r="AHO620"/>
      <c r="AHP620"/>
      <c r="AHQ620"/>
      <c r="AHR620"/>
      <c r="AHS620"/>
      <c r="AHT620"/>
      <c r="AHU620"/>
      <c r="AHV620"/>
      <c r="AHW620"/>
      <c r="AHX620"/>
      <c r="AHY620"/>
      <c r="AHZ620"/>
      <c r="AIA620"/>
      <c r="AIB620"/>
      <c r="AIC620"/>
      <c r="AID620"/>
      <c r="AIE620"/>
      <c r="AIF620"/>
      <c r="AIG620"/>
      <c r="AIH620"/>
      <c r="AII620"/>
      <c r="AIJ620"/>
      <c r="AIK620"/>
      <c r="AIL620"/>
      <c r="AIM620"/>
      <c r="AIN620"/>
      <c r="AIO620"/>
      <c r="AIP620"/>
      <c r="AIQ620"/>
      <c r="AIR620"/>
      <c r="AIS620"/>
      <c r="AIT620"/>
      <c r="AIU620"/>
      <c r="AIV620"/>
      <c r="AIW620"/>
      <c r="AIX620"/>
      <c r="AIY620"/>
      <c r="AIZ620"/>
      <c r="AJA620"/>
      <c r="AJB620"/>
      <c r="AJC620"/>
      <c r="AJD620"/>
      <c r="AJE620"/>
      <c r="AJF620"/>
      <c r="AJG620"/>
      <c r="AJH620"/>
      <c r="AJI620"/>
      <c r="AJJ620"/>
      <c r="AJK620"/>
      <c r="AJL620"/>
      <c r="AJM620"/>
      <c r="AJN620"/>
      <c r="AJO620"/>
      <c r="AJP620"/>
      <c r="AJQ620"/>
      <c r="AJR620"/>
      <c r="AJS620"/>
      <c r="AJT620"/>
      <c r="AJU620"/>
      <c r="AJV620"/>
      <c r="AJW620"/>
      <c r="AJX620"/>
      <c r="AJY620"/>
      <c r="AJZ620"/>
      <c r="AKA620"/>
      <c r="AKB620"/>
      <c r="AKC620"/>
      <c r="AKD620"/>
      <c r="AKE620"/>
      <c r="AKF620"/>
      <c r="AKG620"/>
      <c r="AKH620"/>
      <c r="AKI620"/>
      <c r="AKJ620"/>
      <c r="AKK620"/>
      <c r="AKL620"/>
      <c r="AKM620"/>
      <c r="AKN620"/>
      <c r="AKO620"/>
      <c r="AKP620"/>
      <c r="AKQ620"/>
      <c r="AKR620"/>
      <c r="AKS620"/>
      <c r="AKT620"/>
      <c r="AKU620"/>
      <c r="AKV620"/>
      <c r="AKW620"/>
    </row>
    <row r="621" spans="1:985">
      <c r="A621" s="444"/>
      <c r="B621" s="44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  <c r="ZY621"/>
      <c r="ZZ621"/>
      <c r="AAA621"/>
      <c r="AAB621"/>
      <c r="AAC621"/>
      <c r="AAD621"/>
      <c r="AAE621"/>
      <c r="AAF621"/>
      <c r="AAG621"/>
      <c r="AAH621"/>
      <c r="AAI621"/>
      <c r="AAJ621"/>
      <c r="AAK621"/>
      <c r="AAL621"/>
      <c r="AAM621"/>
      <c r="AAN621"/>
      <c r="AAO621"/>
      <c r="AAP621"/>
      <c r="AAQ621"/>
      <c r="AAR621"/>
      <c r="AAS621"/>
      <c r="AAT621"/>
      <c r="AAU621"/>
      <c r="AAV621"/>
      <c r="AAW621"/>
      <c r="AAX621"/>
      <c r="AAY621"/>
      <c r="AAZ621"/>
      <c r="ABA621"/>
      <c r="ABB621"/>
      <c r="ABC621"/>
      <c r="ABD621"/>
      <c r="ABE621"/>
      <c r="ABF621"/>
      <c r="ABG621"/>
      <c r="ABH621"/>
      <c r="ABI621"/>
      <c r="ABJ621"/>
      <c r="ABK621"/>
      <c r="ABL621"/>
      <c r="ABM621"/>
      <c r="ABN621"/>
      <c r="ABO621"/>
      <c r="ABP621"/>
      <c r="ABQ621"/>
      <c r="ABR621"/>
      <c r="ABS621"/>
      <c r="ABT621"/>
      <c r="ABU621"/>
      <c r="ABV621"/>
      <c r="ABW621"/>
      <c r="ABX621"/>
      <c r="ABY621"/>
      <c r="ABZ621"/>
      <c r="ACA621"/>
      <c r="ACB621"/>
      <c r="ACC621"/>
      <c r="ACD621"/>
      <c r="ACE621"/>
      <c r="ACF621"/>
      <c r="ACG621"/>
      <c r="ACH621"/>
      <c r="ACI621"/>
      <c r="ACJ621"/>
      <c r="ACK621"/>
      <c r="ACL621"/>
      <c r="ACM621"/>
      <c r="ACN621"/>
      <c r="ACO621"/>
      <c r="ACP621"/>
      <c r="ACQ621"/>
      <c r="ACR621"/>
      <c r="ACS621"/>
      <c r="ACT621"/>
      <c r="ACU621"/>
      <c r="ACV621"/>
      <c r="ACW621"/>
      <c r="ACX621"/>
      <c r="ACY621"/>
      <c r="ACZ621"/>
      <c r="ADA621"/>
      <c r="ADB621"/>
      <c r="ADC621"/>
      <c r="ADD621"/>
      <c r="ADE621"/>
      <c r="ADF621"/>
      <c r="ADG621"/>
      <c r="ADH621"/>
      <c r="ADI621"/>
      <c r="ADJ621"/>
      <c r="ADK621"/>
      <c r="ADL621"/>
      <c r="ADM621"/>
      <c r="ADN621"/>
      <c r="ADO621"/>
      <c r="ADP621"/>
      <c r="ADQ621"/>
      <c r="ADR621"/>
      <c r="ADS621"/>
      <c r="ADT621"/>
      <c r="ADU621"/>
      <c r="ADV621"/>
      <c r="ADW621"/>
      <c r="ADX621"/>
      <c r="ADY621"/>
      <c r="ADZ621"/>
      <c r="AEA621"/>
      <c r="AEB621"/>
      <c r="AEC621"/>
      <c r="AED621"/>
      <c r="AEE621"/>
      <c r="AEF621"/>
      <c r="AEG621"/>
      <c r="AEH621"/>
      <c r="AEI621"/>
      <c r="AEJ621"/>
      <c r="AEK621"/>
      <c r="AEL621"/>
      <c r="AEM621"/>
      <c r="AEN621"/>
      <c r="AEO621"/>
      <c r="AEP621"/>
      <c r="AEQ621"/>
      <c r="AER621"/>
      <c r="AES621"/>
      <c r="AET621"/>
      <c r="AEU621"/>
      <c r="AEV621"/>
      <c r="AEW621"/>
      <c r="AEX621"/>
      <c r="AEY621"/>
      <c r="AEZ621"/>
      <c r="AFA621"/>
      <c r="AFB621"/>
      <c r="AFC621"/>
      <c r="AFD621"/>
      <c r="AFE621"/>
      <c r="AFF621"/>
      <c r="AFG621"/>
      <c r="AFH621"/>
      <c r="AFI621"/>
      <c r="AFJ621"/>
      <c r="AFK621"/>
      <c r="AFL621"/>
      <c r="AFM621"/>
      <c r="AFN621"/>
      <c r="AFO621"/>
      <c r="AFP621"/>
      <c r="AFQ621"/>
      <c r="AFR621"/>
      <c r="AFS621"/>
      <c r="AFT621"/>
      <c r="AFU621"/>
      <c r="AFV621"/>
      <c r="AFW621"/>
      <c r="AFX621"/>
      <c r="AFY621"/>
      <c r="AFZ621"/>
      <c r="AGA621"/>
      <c r="AGB621"/>
      <c r="AGC621"/>
      <c r="AGD621"/>
      <c r="AGE621"/>
      <c r="AGF621"/>
      <c r="AGG621"/>
      <c r="AGH621"/>
      <c r="AGI621"/>
      <c r="AGJ621"/>
      <c r="AGK621"/>
      <c r="AGL621"/>
      <c r="AGM621"/>
      <c r="AGN621"/>
      <c r="AGO621"/>
      <c r="AGP621"/>
      <c r="AGQ621"/>
      <c r="AGR621"/>
      <c r="AGS621"/>
      <c r="AGT621"/>
      <c r="AGU621"/>
      <c r="AGV621"/>
      <c r="AGW621"/>
      <c r="AGX621"/>
      <c r="AGY621"/>
      <c r="AGZ621"/>
      <c r="AHA621"/>
      <c r="AHB621"/>
      <c r="AHC621"/>
      <c r="AHD621"/>
      <c r="AHE621"/>
      <c r="AHF621"/>
      <c r="AHG621"/>
      <c r="AHH621"/>
      <c r="AHI621"/>
      <c r="AHJ621"/>
      <c r="AHK621"/>
      <c r="AHL621"/>
      <c r="AHM621"/>
      <c r="AHN621"/>
      <c r="AHO621"/>
      <c r="AHP621"/>
      <c r="AHQ621"/>
      <c r="AHR621"/>
      <c r="AHS621"/>
      <c r="AHT621"/>
      <c r="AHU621"/>
      <c r="AHV621"/>
      <c r="AHW621"/>
      <c r="AHX621"/>
      <c r="AHY621"/>
      <c r="AHZ621"/>
      <c r="AIA621"/>
      <c r="AIB621"/>
      <c r="AIC621"/>
      <c r="AID621"/>
      <c r="AIE621"/>
      <c r="AIF621"/>
      <c r="AIG621"/>
      <c r="AIH621"/>
      <c r="AII621"/>
      <c r="AIJ621"/>
      <c r="AIK621"/>
      <c r="AIL621"/>
      <c r="AIM621"/>
      <c r="AIN621"/>
      <c r="AIO621"/>
      <c r="AIP621"/>
      <c r="AIQ621"/>
      <c r="AIR621"/>
      <c r="AIS621"/>
      <c r="AIT621"/>
      <c r="AIU621"/>
      <c r="AIV621"/>
      <c r="AIW621"/>
      <c r="AIX621"/>
      <c r="AIY621"/>
      <c r="AIZ621"/>
      <c r="AJA621"/>
      <c r="AJB621"/>
      <c r="AJC621"/>
      <c r="AJD621"/>
      <c r="AJE621"/>
      <c r="AJF621"/>
      <c r="AJG621"/>
      <c r="AJH621"/>
      <c r="AJI621"/>
      <c r="AJJ621"/>
      <c r="AJK621"/>
      <c r="AJL621"/>
      <c r="AJM621"/>
      <c r="AJN621"/>
      <c r="AJO621"/>
      <c r="AJP621"/>
      <c r="AJQ621"/>
      <c r="AJR621"/>
      <c r="AJS621"/>
      <c r="AJT621"/>
      <c r="AJU621"/>
      <c r="AJV621"/>
      <c r="AJW621"/>
      <c r="AJX621"/>
      <c r="AJY621"/>
      <c r="AJZ621"/>
      <c r="AKA621"/>
      <c r="AKB621"/>
      <c r="AKC621"/>
      <c r="AKD621"/>
      <c r="AKE621"/>
      <c r="AKF621"/>
      <c r="AKG621"/>
      <c r="AKH621"/>
      <c r="AKI621"/>
      <c r="AKJ621"/>
      <c r="AKK621"/>
      <c r="AKL621"/>
      <c r="AKM621"/>
      <c r="AKN621"/>
      <c r="AKO621"/>
      <c r="AKP621"/>
      <c r="AKQ621"/>
      <c r="AKR621"/>
      <c r="AKS621"/>
      <c r="AKT621"/>
      <c r="AKU621"/>
      <c r="AKV621"/>
      <c r="AKW621"/>
    </row>
    <row r="622" spans="1:985">
      <c r="A622" s="445"/>
      <c r="B622" s="430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  <c r="ZW622"/>
      <c r="ZX622"/>
      <c r="ZY622"/>
      <c r="ZZ622"/>
      <c r="AAA622"/>
      <c r="AAB622"/>
      <c r="AAC622"/>
      <c r="AAD622"/>
      <c r="AAE622"/>
      <c r="AAF622"/>
      <c r="AAG622"/>
      <c r="AAH622"/>
      <c r="AAI622"/>
      <c r="AAJ622"/>
      <c r="AAK622"/>
      <c r="AAL622"/>
      <c r="AAM622"/>
      <c r="AAN622"/>
      <c r="AAO622"/>
      <c r="AAP622"/>
      <c r="AAQ622"/>
      <c r="AAR622"/>
      <c r="AAS622"/>
      <c r="AAT622"/>
      <c r="AAU622"/>
      <c r="AAV622"/>
      <c r="AAW622"/>
      <c r="AAX622"/>
      <c r="AAY622"/>
      <c r="AAZ622"/>
      <c r="ABA622"/>
      <c r="ABB622"/>
      <c r="ABC622"/>
      <c r="ABD622"/>
      <c r="ABE622"/>
      <c r="ABF622"/>
      <c r="ABG622"/>
      <c r="ABH622"/>
      <c r="ABI622"/>
      <c r="ABJ622"/>
      <c r="ABK622"/>
      <c r="ABL622"/>
      <c r="ABM622"/>
      <c r="ABN622"/>
      <c r="ABO622"/>
      <c r="ABP622"/>
      <c r="ABQ622"/>
      <c r="ABR622"/>
      <c r="ABS622"/>
      <c r="ABT622"/>
      <c r="ABU622"/>
      <c r="ABV622"/>
      <c r="ABW622"/>
      <c r="ABX622"/>
      <c r="ABY622"/>
      <c r="ABZ622"/>
      <c r="ACA622"/>
      <c r="ACB622"/>
      <c r="ACC622"/>
      <c r="ACD622"/>
      <c r="ACE622"/>
      <c r="ACF622"/>
      <c r="ACG622"/>
      <c r="ACH622"/>
      <c r="ACI622"/>
      <c r="ACJ622"/>
      <c r="ACK622"/>
      <c r="ACL622"/>
      <c r="ACM622"/>
      <c r="ACN622"/>
      <c r="ACO622"/>
      <c r="ACP622"/>
      <c r="ACQ622"/>
      <c r="ACR622"/>
      <c r="ACS622"/>
      <c r="ACT622"/>
      <c r="ACU622"/>
      <c r="ACV622"/>
      <c r="ACW622"/>
      <c r="ACX622"/>
      <c r="ACY622"/>
      <c r="ACZ622"/>
      <c r="ADA622"/>
      <c r="ADB622"/>
      <c r="ADC622"/>
      <c r="ADD622"/>
      <c r="ADE622"/>
      <c r="ADF622"/>
      <c r="ADG622"/>
      <c r="ADH622"/>
      <c r="ADI622"/>
      <c r="ADJ622"/>
      <c r="ADK622"/>
      <c r="ADL622"/>
      <c r="ADM622"/>
      <c r="ADN622"/>
      <c r="ADO622"/>
      <c r="ADP622"/>
      <c r="ADQ622"/>
      <c r="ADR622"/>
      <c r="ADS622"/>
      <c r="ADT622"/>
      <c r="ADU622"/>
      <c r="ADV622"/>
      <c r="ADW622"/>
      <c r="ADX622"/>
      <c r="ADY622"/>
      <c r="ADZ622"/>
      <c r="AEA622"/>
      <c r="AEB622"/>
      <c r="AEC622"/>
      <c r="AED622"/>
      <c r="AEE622"/>
      <c r="AEF622"/>
      <c r="AEG622"/>
      <c r="AEH622"/>
      <c r="AEI622"/>
      <c r="AEJ622"/>
      <c r="AEK622"/>
      <c r="AEL622"/>
      <c r="AEM622"/>
      <c r="AEN622"/>
      <c r="AEO622"/>
      <c r="AEP622"/>
      <c r="AEQ622"/>
      <c r="AER622"/>
      <c r="AES622"/>
      <c r="AET622"/>
      <c r="AEU622"/>
      <c r="AEV622"/>
      <c r="AEW622"/>
      <c r="AEX622"/>
      <c r="AEY622"/>
      <c r="AEZ622"/>
      <c r="AFA622"/>
      <c r="AFB622"/>
      <c r="AFC622"/>
      <c r="AFD622"/>
      <c r="AFE622"/>
      <c r="AFF622"/>
      <c r="AFG622"/>
      <c r="AFH622"/>
      <c r="AFI622"/>
      <c r="AFJ622"/>
      <c r="AFK622"/>
      <c r="AFL622"/>
      <c r="AFM622"/>
      <c r="AFN622"/>
      <c r="AFO622"/>
      <c r="AFP622"/>
      <c r="AFQ622"/>
      <c r="AFR622"/>
      <c r="AFS622"/>
      <c r="AFT622"/>
      <c r="AFU622"/>
      <c r="AFV622"/>
      <c r="AFW622"/>
      <c r="AFX622"/>
      <c r="AFY622"/>
      <c r="AFZ622"/>
      <c r="AGA622"/>
      <c r="AGB622"/>
      <c r="AGC622"/>
      <c r="AGD622"/>
      <c r="AGE622"/>
      <c r="AGF622"/>
      <c r="AGG622"/>
      <c r="AGH622"/>
      <c r="AGI622"/>
      <c r="AGJ622"/>
      <c r="AGK622"/>
      <c r="AGL622"/>
      <c r="AGM622"/>
      <c r="AGN622"/>
      <c r="AGO622"/>
      <c r="AGP622"/>
      <c r="AGQ622"/>
      <c r="AGR622"/>
      <c r="AGS622"/>
      <c r="AGT622"/>
      <c r="AGU622"/>
      <c r="AGV622"/>
      <c r="AGW622"/>
      <c r="AGX622"/>
      <c r="AGY622"/>
      <c r="AGZ622"/>
      <c r="AHA622"/>
      <c r="AHB622"/>
      <c r="AHC622"/>
      <c r="AHD622"/>
      <c r="AHE622"/>
      <c r="AHF622"/>
      <c r="AHG622"/>
      <c r="AHH622"/>
      <c r="AHI622"/>
      <c r="AHJ622"/>
      <c r="AHK622"/>
      <c r="AHL622"/>
      <c r="AHM622"/>
      <c r="AHN622"/>
      <c r="AHO622"/>
      <c r="AHP622"/>
      <c r="AHQ622"/>
      <c r="AHR622"/>
      <c r="AHS622"/>
      <c r="AHT622"/>
      <c r="AHU622"/>
      <c r="AHV622"/>
      <c r="AHW622"/>
      <c r="AHX622"/>
      <c r="AHY622"/>
      <c r="AHZ622"/>
      <c r="AIA622"/>
      <c r="AIB622"/>
      <c r="AIC622"/>
      <c r="AID622"/>
      <c r="AIE622"/>
      <c r="AIF622"/>
      <c r="AIG622"/>
      <c r="AIH622"/>
      <c r="AII622"/>
      <c r="AIJ622"/>
      <c r="AIK622"/>
      <c r="AIL622"/>
      <c r="AIM622"/>
      <c r="AIN622"/>
      <c r="AIO622"/>
      <c r="AIP622"/>
      <c r="AIQ622"/>
      <c r="AIR622"/>
      <c r="AIS622"/>
      <c r="AIT622"/>
      <c r="AIU622"/>
      <c r="AIV622"/>
      <c r="AIW622"/>
      <c r="AIX622"/>
      <c r="AIY622"/>
      <c r="AIZ622"/>
      <c r="AJA622"/>
      <c r="AJB622"/>
      <c r="AJC622"/>
      <c r="AJD622"/>
      <c r="AJE622"/>
      <c r="AJF622"/>
      <c r="AJG622"/>
      <c r="AJH622"/>
      <c r="AJI622"/>
      <c r="AJJ622"/>
      <c r="AJK622"/>
      <c r="AJL622"/>
      <c r="AJM622"/>
      <c r="AJN622"/>
      <c r="AJO622"/>
      <c r="AJP622"/>
      <c r="AJQ622"/>
      <c r="AJR622"/>
      <c r="AJS622"/>
      <c r="AJT622"/>
      <c r="AJU622"/>
      <c r="AJV622"/>
      <c r="AJW622"/>
      <c r="AJX622"/>
      <c r="AJY622"/>
      <c r="AJZ622"/>
      <c r="AKA622"/>
      <c r="AKB622"/>
      <c r="AKC622"/>
      <c r="AKD622"/>
      <c r="AKE622"/>
      <c r="AKF622"/>
      <c r="AKG622"/>
      <c r="AKH622"/>
      <c r="AKI622"/>
      <c r="AKJ622"/>
      <c r="AKK622"/>
      <c r="AKL622"/>
      <c r="AKM622"/>
      <c r="AKN622"/>
      <c r="AKO622"/>
      <c r="AKP622"/>
      <c r="AKQ622"/>
      <c r="AKR622"/>
      <c r="AKS622"/>
      <c r="AKT622"/>
      <c r="AKU622"/>
      <c r="AKV622"/>
      <c r="AKW622"/>
    </row>
    <row r="623" spans="1:985">
      <c r="A623" s="447"/>
      <c r="B623" s="430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  <c r="ZY623"/>
      <c r="ZZ623"/>
      <c r="AAA623"/>
      <c r="AAB623"/>
      <c r="AAC623"/>
      <c r="AAD623"/>
      <c r="AAE623"/>
      <c r="AAF623"/>
      <c r="AAG623"/>
      <c r="AAH623"/>
      <c r="AAI623"/>
      <c r="AAJ623"/>
      <c r="AAK623"/>
      <c r="AAL623"/>
      <c r="AAM623"/>
      <c r="AAN623"/>
      <c r="AAO623"/>
      <c r="AAP623"/>
      <c r="AAQ623"/>
      <c r="AAR623"/>
      <c r="AAS623"/>
      <c r="AAT623"/>
      <c r="AAU623"/>
      <c r="AAV623"/>
      <c r="AAW623"/>
      <c r="AAX623"/>
      <c r="AAY623"/>
      <c r="AAZ623"/>
      <c r="ABA623"/>
      <c r="ABB623"/>
      <c r="ABC623"/>
      <c r="ABD623"/>
      <c r="ABE623"/>
      <c r="ABF623"/>
      <c r="ABG623"/>
      <c r="ABH623"/>
      <c r="ABI623"/>
      <c r="ABJ623"/>
      <c r="ABK623"/>
      <c r="ABL623"/>
      <c r="ABM623"/>
      <c r="ABN623"/>
      <c r="ABO623"/>
      <c r="ABP623"/>
      <c r="ABQ623"/>
      <c r="ABR623"/>
      <c r="ABS623"/>
      <c r="ABT623"/>
      <c r="ABU623"/>
      <c r="ABV623"/>
      <c r="ABW623"/>
      <c r="ABX623"/>
      <c r="ABY623"/>
      <c r="ABZ623"/>
      <c r="ACA623"/>
      <c r="ACB623"/>
      <c r="ACC623"/>
      <c r="ACD623"/>
      <c r="ACE623"/>
      <c r="ACF623"/>
      <c r="ACG623"/>
      <c r="ACH623"/>
      <c r="ACI623"/>
      <c r="ACJ623"/>
      <c r="ACK623"/>
      <c r="ACL623"/>
      <c r="ACM623"/>
      <c r="ACN623"/>
      <c r="ACO623"/>
      <c r="ACP623"/>
      <c r="ACQ623"/>
      <c r="ACR623"/>
      <c r="ACS623"/>
      <c r="ACT623"/>
      <c r="ACU623"/>
      <c r="ACV623"/>
      <c r="ACW623"/>
      <c r="ACX623"/>
      <c r="ACY623"/>
      <c r="ACZ623"/>
      <c r="ADA623"/>
      <c r="ADB623"/>
      <c r="ADC623"/>
      <c r="ADD623"/>
      <c r="ADE623"/>
      <c r="ADF623"/>
      <c r="ADG623"/>
      <c r="ADH623"/>
      <c r="ADI623"/>
      <c r="ADJ623"/>
      <c r="ADK623"/>
      <c r="ADL623"/>
      <c r="ADM623"/>
      <c r="ADN623"/>
      <c r="ADO623"/>
      <c r="ADP623"/>
      <c r="ADQ623"/>
      <c r="ADR623"/>
      <c r="ADS623"/>
      <c r="ADT623"/>
      <c r="ADU623"/>
      <c r="ADV623"/>
      <c r="ADW623"/>
      <c r="ADX623"/>
      <c r="ADY623"/>
      <c r="ADZ623"/>
      <c r="AEA623"/>
      <c r="AEB623"/>
      <c r="AEC623"/>
      <c r="AED623"/>
      <c r="AEE623"/>
      <c r="AEF623"/>
      <c r="AEG623"/>
      <c r="AEH623"/>
      <c r="AEI623"/>
      <c r="AEJ623"/>
      <c r="AEK623"/>
      <c r="AEL623"/>
      <c r="AEM623"/>
      <c r="AEN623"/>
      <c r="AEO623"/>
      <c r="AEP623"/>
      <c r="AEQ623"/>
      <c r="AER623"/>
      <c r="AES623"/>
      <c r="AET623"/>
      <c r="AEU623"/>
      <c r="AEV623"/>
      <c r="AEW623"/>
      <c r="AEX623"/>
      <c r="AEY623"/>
      <c r="AEZ623"/>
      <c r="AFA623"/>
      <c r="AFB623"/>
      <c r="AFC623"/>
      <c r="AFD623"/>
      <c r="AFE623"/>
      <c r="AFF623"/>
      <c r="AFG623"/>
      <c r="AFH623"/>
      <c r="AFI623"/>
      <c r="AFJ623"/>
      <c r="AFK623"/>
      <c r="AFL623"/>
      <c r="AFM623"/>
      <c r="AFN623"/>
      <c r="AFO623"/>
      <c r="AFP623"/>
      <c r="AFQ623"/>
      <c r="AFR623"/>
      <c r="AFS623"/>
      <c r="AFT623"/>
      <c r="AFU623"/>
      <c r="AFV623"/>
      <c r="AFW623"/>
      <c r="AFX623"/>
      <c r="AFY623"/>
      <c r="AFZ623"/>
      <c r="AGA623"/>
      <c r="AGB623"/>
      <c r="AGC623"/>
      <c r="AGD623"/>
      <c r="AGE623"/>
      <c r="AGF623"/>
      <c r="AGG623"/>
      <c r="AGH623"/>
      <c r="AGI623"/>
      <c r="AGJ623"/>
      <c r="AGK623"/>
      <c r="AGL623"/>
      <c r="AGM623"/>
      <c r="AGN623"/>
      <c r="AGO623"/>
      <c r="AGP623"/>
      <c r="AGQ623"/>
      <c r="AGR623"/>
      <c r="AGS623"/>
      <c r="AGT623"/>
      <c r="AGU623"/>
      <c r="AGV623"/>
      <c r="AGW623"/>
      <c r="AGX623"/>
      <c r="AGY623"/>
      <c r="AGZ623"/>
      <c r="AHA623"/>
      <c r="AHB623"/>
      <c r="AHC623"/>
      <c r="AHD623"/>
      <c r="AHE623"/>
      <c r="AHF623"/>
      <c r="AHG623"/>
      <c r="AHH623"/>
      <c r="AHI623"/>
      <c r="AHJ623"/>
      <c r="AHK623"/>
      <c r="AHL623"/>
      <c r="AHM623"/>
      <c r="AHN623"/>
      <c r="AHO623"/>
      <c r="AHP623"/>
      <c r="AHQ623"/>
      <c r="AHR623"/>
      <c r="AHS623"/>
      <c r="AHT623"/>
      <c r="AHU623"/>
      <c r="AHV623"/>
      <c r="AHW623"/>
      <c r="AHX623"/>
      <c r="AHY623"/>
      <c r="AHZ623"/>
      <c r="AIA623"/>
      <c r="AIB623"/>
      <c r="AIC623"/>
      <c r="AID623"/>
      <c r="AIE623"/>
      <c r="AIF623"/>
      <c r="AIG623"/>
      <c r="AIH623"/>
      <c r="AII623"/>
      <c r="AIJ623"/>
      <c r="AIK623"/>
      <c r="AIL623"/>
      <c r="AIM623"/>
      <c r="AIN623"/>
      <c r="AIO623"/>
      <c r="AIP623"/>
      <c r="AIQ623"/>
      <c r="AIR623"/>
      <c r="AIS623"/>
      <c r="AIT623"/>
      <c r="AIU623"/>
      <c r="AIV623"/>
      <c r="AIW623"/>
      <c r="AIX623"/>
      <c r="AIY623"/>
      <c r="AIZ623"/>
      <c r="AJA623"/>
      <c r="AJB623"/>
      <c r="AJC623"/>
      <c r="AJD623"/>
      <c r="AJE623"/>
      <c r="AJF623"/>
      <c r="AJG623"/>
      <c r="AJH623"/>
      <c r="AJI623"/>
      <c r="AJJ623"/>
      <c r="AJK623"/>
      <c r="AJL623"/>
      <c r="AJM623"/>
      <c r="AJN623"/>
      <c r="AJO623"/>
      <c r="AJP623"/>
      <c r="AJQ623"/>
      <c r="AJR623"/>
      <c r="AJS623"/>
      <c r="AJT623"/>
      <c r="AJU623"/>
      <c r="AJV623"/>
      <c r="AJW623"/>
      <c r="AJX623"/>
      <c r="AJY623"/>
      <c r="AJZ623"/>
      <c r="AKA623"/>
      <c r="AKB623"/>
      <c r="AKC623"/>
      <c r="AKD623"/>
      <c r="AKE623"/>
      <c r="AKF623"/>
      <c r="AKG623"/>
      <c r="AKH623"/>
      <c r="AKI623"/>
      <c r="AKJ623"/>
      <c r="AKK623"/>
      <c r="AKL623"/>
      <c r="AKM623"/>
      <c r="AKN623"/>
      <c r="AKO623"/>
      <c r="AKP623"/>
      <c r="AKQ623"/>
      <c r="AKR623"/>
      <c r="AKS623"/>
      <c r="AKT623"/>
      <c r="AKU623"/>
      <c r="AKV623"/>
      <c r="AKW623"/>
    </row>
    <row r="624" spans="1:985">
      <c r="A624" s="447"/>
      <c r="B624" s="430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  <c r="ZW624"/>
      <c r="ZX624"/>
      <c r="ZY624"/>
      <c r="ZZ624"/>
      <c r="AAA624"/>
      <c r="AAB624"/>
      <c r="AAC624"/>
      <c r="AAD624"/>
      <c r="AAE624"/>
      <c r="AAF624"/>
      <c r="AAG624"/>
      <c r="AAH624"/>
      <c r="AAI624"/>
      <c r="AAJ624"/>
      <c r="AAK624"/>
      <c r="AAL624"/>
      <c r="AAM624"/>
      <c r="AAN624"/>
      <c r="AAO624"/>
      <c r="AAP624"/>
      <c r="AAQ624"/>
      <c r="AAR624"/>
      <c r="AAS624"/>
      <c r="AAT624"/>
      <c r="AAU624"/>
      <c r="AAV624"/>
      <c r="AAW624"/>
      <c r="AAX624"/>
      <c r="AAY624"/>
      <c r="AAZ624"/>
      <c r="ABA624"/>
      <c r="ABB624"/>
      <c r="ABC624"/>
      <c r="ABD624"/>
      <c r="ABE624"/>
      <c r="ABF624"/>
      <c r="ABG624"/>
      <c r="ABH624"/>
      <c r="ABI624"/>
      <c r="ABJ624"/>
      <c r="ABK624"/>
      <c r="ABL624"/>
      <c r="ABM624"/>
      <c r="ABN624"/>
      <c r="ABO624"/>
      <c r="ABP624"/>
      <c r="ABQ624"/>
      <c r="ABR624"/>
      <c r="ABS624"/>
      <c r="ABT624"/>
      <c r="ABU624"/>
      <c r="ABV624"/>
      <c r="ABW624"/>
      <c r="ABX624"/>
      <c r="ABY624"/>
      <c r="ABZ624"/>
      <c r="ACA624"/>
      <c r="ACB624"/>
      <c r="ACC624"/>
      <c r="ACD624"/>
      <c r="ACE624"/>
      <c r="ACF624"/>
      <c r="ACG624"/>
      <c r="ACH624"/>
      <c r="ACI624"/>
      <c r="ACJ624"/>
      <c r="ACK624"/>
      <c r="ACL624"/>
      <c r="ACM624"/>
      <c r="ACN624"/>
      <c r="ACO624"/>
      <c r="ACP624"/>
      <c r="ACQ624"/>
      <c r="ACR624"/>
      <c r="ACS624"/>
      <c r="ACT624"/>
      <c r="ACU624"/>
      <c r="ACV624"/>
      <c r="ACW624"/>
      <c r="ACX624"/>
      <c r="ACY624"/>
      <c r="ACZ624"/>
      <c r="ADA624"/>
      <c r="ADB624"/>
      <c r="ADC624"/>
      <c r="ADD624"/>
      <c r="ADE624"/>
      <c r="ADF624"/>
      <c r="ADG624"/>
      <c r="ADH624"/>
      <c r="ADI624"/>
      <c r="ADJ624"/>
      <c r="ADK624"/>
      <c r="ADL624"/>
      <c r="ADM624"/>
      <c r="ADN624"/>
      <c r="ADO624"/>
      <c r="ADP624"/>
      <c r="ADQ624"/>
      <c r="ADR624"/>
      <c r="ADS624"/>
      <c r="ADT624"/>
      <c r="ADU624"/>
      <c r="ADV624"/>
      <c r="ADW624"/>
      <c r="ADX624"/>
      <c r="ADY624"/>
      <c r="ADZ624"/>
      <c r="AEA624"/>
      <c r="AEB624"/>
      <c r="AEC624"/>
      <c r="AED624"/>
      <c r="AEE624"/>
      <c r="AEF624"/>
      <c r="AEG624"/>
      <c r="AEH624"/>
      <c r="AEI624"/>
      <c r="AEJ624"/>
      <c r="AEK624"/>
      <c r="AEL624"/>
      <c r="AEM624"/>
      <c r="AEN624"/>
      <c r="AEO624"/>
      <c r="AEP624"/>
      <c r="AEQ624"/>
      <c r="AER624"/>
      <c r="AES624"/>
      <c r="AET624"/>
      <c r="AEU624"/>
      <c r="AEV624"/>
      <c r="AEW624"/>
      <c r="AEX624"/>
      <c r="AEY624"/>
      <c r="AEZ624"/>
      <c r="AFA624"/>
      <c r="AFB624"/>
      <c r="AFC624"/>
      <c r="AFD624"/>
      <c r="AFE624"/>
      <c r="AFF624"/>
      <c r="AFG624"/>
      <c r="AFH624"/>
      <c r="AFI624"/>
      <c r="AFJ624"/>
      <c r="AFK624"/>
      <c r="AFL624"/>
      <c r="AFM624"/>
      <c r="AFN624"/>
      <c r="AFO624"/>
      <c r="AFP624"/>
      <c r="AFQ624"/>
      <c r="AFR624"/>
      <c r="AFS624"/>
      <c r="AFT624"/>
      <c r="AFU624"/>
      <c r="AFV624"/>
      <c r="AFW624"/>
      <c r="AFX624"/>
      <c r="AFY624"/>
      <c r="AFZ624"/>
      <c r="AGA624"/>
      <c r="AGB624"/>
      <c r="AGC624"/>
      <c r="AGD624"/>
      <c r="AGE624"/>
      <c r="AGF624"/>
      <c r="AGG624"/>
      <c r="AGH624"/>
      <c r="AGI624"/>
      <c r="AGJ624"/>
      <c r="AGK624"/>
      <c r="AGL624"/>
      <c r="AGM624"/>
      <c r="AGN624"/>
      <c r="AGO624"/>
      <c r="AGP624"/>
      <c r="AGQ624"/>
      <c r="AGR624"/>
      <c r="AGS624"/>
      <c r="AGT624"/>
      <c r="AGU624"/>
      <c r="AGV624"/>
      <c r="AGW624"/>
      <c r="AGX624"/>
      <c r="AGY624"/>
      <c r="AGZ624"/>
      <c r="AHA624"/>
      <c r="AHB624"/>
      <c r="AHC624"/>
      <c r="AHD624"/>
      <c r="AHE624"/>
      <c r="AHF624"/>
      <c r="AHG624"/>
      <c r="AHH624"/>
      <c r="AHI624"/>
      <c r="AHJ624"/>
      <c r="AHK624"/>
      <c r="AHL624"/>
      <c r="AHM624"/>
      <c r="AHN624"/>
      <c r="AHO624"/>
      <c r="AHP624"/>
      <c r="AHQ624"/>
      <c r="AHR624"/>
      <c r="AHS624"/>
      <c r="AHT624"/>
      <c r="AHU624"/>
      <c r="AHV624"/>
      <c r="AHW624"/>
      <c r="AHX624"/>
      <c r="AHY624"/>
      <c r="AHZ624"/>
      <c r="AIA624"/>
      <c r="AIB624"/>
      <c r="AIC624"/>
      <c r="AID624"/>
      <c r="AIE624"/>
      <c r="AIF624"/>
      <c r="AIG624"/>
      <c r="AIH624"/>
      <c r="AII624"/>
      <c r="AIJ624"/>
      <c r="AIK624"/>
      <c r="AIL624"/>
      <c r="AIM624"/>
      <c r="AIN624"/>
      <c r="AIO624"/>
      <c r="AIP624"/>
      <c r="AIQ624"/>
      <c r="AIR624"/>
      <c r="AIS624"/>
      <c r="AIT624"/>
      <c r="AIU624"/>
      <c r="AIV624"/>
      <c r="AIW624"/>
      <c r="AIX624"/>
      <c r="AIY624"/>
      <c r="AIZ624"/>
      <c r="AJA624"/>
      <c r="AJB624"/>
      <c r="AJC624"/>
      <c r="AJD624"/>
      <c r="AJE624"/>
      <c r="AJF624"/>
      <c r="AJG624"/>
      <c r="AJH624"/>
      <c r="AJI624"/>
      <c r="AJJ624"/>
      <c r="AJK624"/>
      <c r="AJL624"/>
      <c r="AJM624"/>
      <c r="AJN624"/>
      <c r="AJO624"/>
      <c r="AJP624"/>
      <c r="AJQ624"/>
      <c r="AJR624"/>
      <c r="AJS624"/>
      <c r="AJT624"/>
      <c r="AJU624"/>
      <c r="AJV624"/>
      <c r="AJW624"/>
      <c r="AJX624"/>
      <c r="AJY624"/>
      <c r="AJZ624"/>
      <c r="AKA624"/>
      <c r="AKB624"/>
      <c r="AKC624"/>
      <c r="AKD624"/>
      <c r="AKE624"/>
      <c r="AKF624"/>
      <c r="AKG624"/>
      <c r="AKH624"/>
      <c r="AKI624"/>
      <c r="AKJ624"/>
      <c r="AKK624"/>
      <c r="AKL624"/>
      <c r="AKM624"/>
      <c r="AKN624"/>
      <c r="AKO624"/>
      <c r="AKP624"/>
      <c r="AKQ624"/>
      <c r="AKR624"/>
      <c r="AKS624"/>
      <c r="AKT624"/>
      <c r="AKU624"/>
      <c r="AKV624"/>
      <c r="AKW624"/>
    </row>
    <row r="625" spans="1:985">
      <c r="B625" s="430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  <c r="ZW625"/>
      <c r="ZX625"/>
      <c r="ZY625"/>
      <c r="ZZ625"/>
      <c r="AAA625"/>
      <c r="AAB625"/>
      <c r="AAC625"/>
      <c r="AAD625"/>
      <c r="AAE625"/>
      <c r="AAF625"/>
      <c r="AAG625"/>
      <c r="AAH625"/>
      <c r="AAI625"/>
      <c r="AAJ625"/>
      <c r="AAK625"/>
      <c r="AAL625"/>
      <c r="AAM625"/>
      <c r="AAN625"/>
      <c r="AAO625"/>
      <c r="AAP625"/>
      <c r="AAQ625"/>
      <c r="AAR625"/>
      <c r="AAS625"/>
      <c r="AAT625"/>
      <c r="AAU625"/>
      <c r="AAV625"/>
      <c r="AAW625"/>
      <c r="AAX625"/>
      <c r="AAY625"/>
      <c r="AAZ625"/>
      <c r="ABA625"/>
      <c r="ABB625"/>
      <c r="ABC625"/>
      <c r="ABD625"/>
      <c r="ABE625"/>
      <c r="ABF625"/>
      <c r="ABG625"/>
      <c r="ABH625"/>
      <c r="ABI625"/>
      <c r="ABJ625"/>
      <c r="ABK625"/>
      <c r="ABL625"/>
      <c r="ABM625"/>
      <c r="ABN625"/>
      <c r="ABO625"/>
      <c r="ABP625"/>
      <c r="ABQ625"/>
      <c r="ABR625"/>
      <c r="ABS625"/>
      <c r="ABT625"/>
      <c r="ABU625"/>
      <c r="ABV625"/>
      <c r="ABW625"/>
      <c r="ABX625"/>
      <c r="ABY625"/>
      <c r="ABZ625"/>
      <c r="ACA625"/>
      <c r="ACB625"/>
      <c r="ACC625"/>
      <c r="ACD625"/>
      <c r="ACE625"/>
      <c r="ACF625"/>
      <c r="ACG625"/>
      <c r="ACH625"/>
      <c r="ACI625"/>
      <c r="ACJ625"/>
      <c r="ACK625"/>
      <c r="ACL625"/>
      <c r="ACM625"/>
      <c r="ACN625"/>
      <c r="ACO625"/>
      <c r="ACP625"/>
      <c r="ACQ625"/>
      <c r="ACR625"/>
      <c r="ACS625"/>
      <c r="ACT625"/>
      <c r="ACU625"/>
      <c r="ACV625"/>
      <c r="ACW625"/>
      <c r="ACX625"/>
      <c r="ACY625"/>
      <c r="ACZ625"/>
      <c r="ADA625"/>
      <c r="ADB625"/>
      <c r="ADC625"/>
      <c r="ADD625"/>
      <c r="ADE625"/>
      <c r="ADF625"/>
      <c r="ADG625"/>
      <c r="ADH625"/>
      <c r="ADI625"/>
      <c r="ADJ625"/>
      <c r="ADK625"/>
      <c r="ADL625"/>
      <c r="ADM625"/>
      <c r="ADN625"/>
      <c r="ADO625"/>
      <c r="ADP625"/>
      <c r="ADQ625"/>
      <c r="ADR625"/>
      <c r="ADS625"/>
      <c r="ADT625"/>
      <c r="ADU625"/>
      <c r="ADV625"/>
      <c r="ADW625"/>
      <c r="ADX625"/>
      <c r="ADY625"/>
      <c r="ADZ625"/>
      <c r="AEA625"/>
      <c r="AEB625"/>
      <c r="AEC625"/>
      <c r="AED625"/>
      <c r="AEE625"/>
      <c r="AEF625"/>
      <c r="AEG625"/>
      <c r="AEH625"/>
      <c r="AEI625"/>
      <c r="AEJ625"/>
      <c r="AEK625"/>
      <c r="AEL625"/>
      <c r="AEM625"/>
      <c r="AEN625"/>
      <c r="AEO625"/>
      <c r="AEP625"/>
      <c r="AEQ625"/>
      <c r="AER625"/>
      <c r="AES625"/>
      <c r="AET625"/>
      <c r="AEU625"/>
      <c r="AEV625"/>
      <c r="AEW625"/>
      <c r="AEX625"/>
      <c r="AEY625"/>
      <c r="AEZ625"/>
      <c r="AFA625"/>
      <c r="AFB625"/>
      <c r="AFC625"/>
      <c r="AFD625"/>
      <c r="AFE625"/>
      <c r="AFF625"/>
      <c r="AFG625"/>
      <c r="AFH625"/>
      <c r="AFI625"/>
      <c r="AFJ625"/>
      <c r="AFK625"/>
      <c r="AFL625"/>
      <c r="AFM625"/>
      <c r="AFN625"/>
      <c r="AFO625"/>
      <c r="AFP625"/>
      <c r="AFQ625"/>
      <c r="AFR625"/>
      <c r="AFS625"/>
      <c r="AFT625"/>
      <c r="AFU625"/>
      <c r="AFV625"/>
      <c r="AFW625"/>
      <c r="AFX625"/>
      <c r="AFY625"/>
      <c r="AFZ625"/>
      <c r="AGA625"/>
      <c r="AGB625"/>
      <c r="AGC625"/>
      <c r="AGD625"/>
      <c r="AGE625"/>
      <c r="AGF625"/>
      <c r="AGG625"/>
      <c r="AGH625"/>
      <c r="AGI625"/>
      <c r="AGJ625"/>
      <c r="AGK625"/>
      <c r="AGL625"/>
      <c r="AGM625"/>
      <c r="AGN625"/>
      <c r="AGO625"/>
      <c r="AGP625"/>
      <c r="AGQ625"/>
      <c r="AGR625"/>
      <c r="AGS625"/>
      <c r="AGT625"/>
      <c r="AGU625"/>
      <c r="AGV625"/>
      <c r="AGW625"/>
      <c r="AGX625"/>
      <c r="AGY625"/>
      <c r="AGZ625"/>
      <c r="AHA625"/>
      <c r="AHB625"/>
      <c r="AHC625"/>
      <c r="AHD625"/>
      <c r="AHE625"/>
      <c r="AHF625"/>
      <c r="AHG625"/>
      <c r="AHH625"/>
      <c r="AHI625"/>
      <c r="AHJ625"/>
      <c r="AHK625"/>
      <c r="AHL625"/>
      <c r="AHM625"/>
      <c r="AHN625"/>
      <c r="AHO625"/>
      <c r="AHP625"/>
      <c r="AHQ625"/>
      <c r="AHR625"/>
      <c r="AHS625"/>
      <c r="AHT625"/>
      <c r="AHU625"/>
      <c r="AHV625"/>
      <c r="AHW625"/>
      <c r="AHX625"/>
      <c r="AHY625"/>
      <c r="AHZ625"/>
      <c r="AIA625"/>
      <c r="AIB625"/>
      <c r="AIC625"/>
      <c r="AID625"/>
      <c r="AIE625"/>
      <c r="AIF625"/>
      <c r="AIG625"/>
      <c r="AIH625"/>
      <c r="AII625"/>
      <c r="AIJ625"/>
      <c r="AIK625"/>
      <c r="AIL625"/>
      <c r="AIM625"/>
      <c r="AIN625"/>
      <c r="AIO625"/>
      <c r="AIP625"/>
      <c r="AIQ625"/>
      <c r="AIR625"/>
      <c r="AIS625"/>
      <c r="AIT625"/>
      <c r="AIU625"/>
      <c r="AIV625"/>
      <c r="AIW625"/>
      <c r="AIX625"/>
      <c r="AIY625"/>
      <c r="AIZ625"/>
      <c r="AJA625"/>
      <c r="AJB625"/>
      <c r="AJC625"/>
      <c r="AJD625"/>
      <c r="AJE625"/>
      <c r="AJF625"/>
      <c r="AJG625"/>
      <c r="AJH625"/>
      <c r="AJI625"/>
      <c r="AJJ625"/>
      <c r="AJK625"/>
      <c r="AJL625"/>
      <c r="AJM625"/>
      <c r="AJN625"/>
      <c r="AJO625"/>
      <c r="AJP625"/>
      <c r="AJQ625"/>
      <c r="AJR625"/>
      <c r="AJS625"/>
      <c r="AJT625"/>
      <c r="AJU625"/>
      <c r="AJV625"/>
      <c r="AJW625"/>
      <c r="AJX625"/>
      <c r="AJY625"/>
      <c r="AJZ625"/>
      <c r="AKA625"/>
      <c r="AKB625"/>
      <c r="AKC625"/>
      <c r="AKD625"/>
      <c r="AKE625"/>
      <c r="AKF625"/>
      <c r="AKG625"/>
      <c r="AKH625"/>
      <c r="AKI625"/>
      <c r="AKJ625"/>
      <c r="AKK625"/>
      <c r="AKL625"/>
      <c r="AKM625"/>
      <c r="AKN625"/>
      <c r="AKO625"/>
      <c r="AKP625"/>
      <c r="AKQ625"/>
      <c r="AKR625"/>
      <c r="AKS625"/>
      <c r="AKT625"/>
      <c r="AKU625"/>
      <c r="AKV625"/>
      <c r="AKW625"/>
    </row>
    <row r="626" spans="1:985">
      <c r="A626" s="356"/>
      <c r="B626" s="441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  <c r="ZW626"/>
      <c r="ZX626"/>
      <c r="ZY626"/>
      <c r="ZZ626"/>
      <c r="AAA626"/>
      <c r="AAB626"/>
      <c r="AAC626"/>
      <c r="AAD626"/>
      <c r="AAE626"/>
      <c r="AAF626"/>
      <c r="AAG626"/>
      <c r="AAH626"/>
      <c r="AAI626"/>
      <c r="AAJ626"/>
      <c r="AAK626"/>
      <c r="AAL626"/>
      <c r="AAM626"/>
      <c r="AAN626"/>
      <c r="AAO626"/>
      <c r="AAP626"/>
      <c r="AAQ626"/>
      <c r="AAR626"/>
      <c r="AAS626"/>
      <c r="AAT626"/>
      <c r="AAU626"/>
      <c r="AAV626"/>
      <c r="AAW626"/>
      <c r="AAX626"/>
      <c r="AAY626"/>
      <c r="AAZ626"/>
      <c r="ABA626"/>
      <c r="ABB626"/>
      <c r="ABC626"/>
      <c r="ABD626"/>
      <c r="ABE626"/>
      <c r="ABF626"/>
      <c r="ABG626"/>
      <c r="ABH626"/>
      <c r="ABI626"/>
      <c r="ABJ626"/>
      <c r="ABK626"/>
      <c r="ABL626"/>
      <c r="ABM626"/>
      <c r="ABN626"/>
      <c r="ABO626"/>
      <c r="ABP626"/>
      <c r="ABQ626"/>
      <c r="ABR626"/>
      <c r="ABS626"/>
      <c r="ABT626"/>
      <c r="ABU626"/>
      <c r="ABV626"/>
      <c r="ABW626"/>
      <c r="ABX626"/>
      <c r="ABY626"/>
      <c r="ABZ626"/>
      <c r="ACA626"/>
      <c r="ACB626"/>
      <c r="ACC626"/>
      <c r="ACD626"/>
      <c r="ACE626"/>
      <c r="ACF626"/>
      <c r="ACG626"/>
      <c r="ACH626"/>
      <c r="ACI626"/>
      <c r="ACJ626"/>
      <c r="ACK626"/>
      <c r="ACL626"/>
      <c r="ACM626"/>
      <c r="ACN626"/>
      <c r="ACO626"/>
      <c r="ACP626"/>
      <c r="ACQ626"/>
      <c r="ACR626"/>
      <c r="ACS626"/>
      <c r="ACT626"/>
      <c r="ACU626"/>
      <c r="ACV626"/>
      <c r="ACW626"/>
      <c r="ACX626"/>
      <c r="ACY626"/>
      <c r="ACZ626"/>
      <c r="ADA626"/>
      <c r="ADB626"/>
      <c r="ADC626"/>
      <c r="ADD626"/>
      <c r="ADE626"/>
      <c r="ADF626"/>
      <c r="ADG626"/>
      <c r="ADH626"/>
      <c r="ADI626"/>
      <c r="ADJ626"/>
      <c r="ADK626"/>
      <c r="ADL626"/>
      <c r="ADM626"/>
      <c r="ADN626"/>
      <c r="ADO626"/>
      <c r="ADP626"/>
      <c r="ADQ626"/>
      <c r="ADR626"/>
      <c r="ADS626"/>
      <c r="ADT626"/>
      <c r="ADU626"/>
      <c r="ADV626"/>
      <c r="ADW626"/>
      <c r="ADX626"/>
      <c r="ADY626"/>
      <c r="ADZ626"/>
      <c r="AEA626"/>
      <c r="AEB626"/>
      <c r="AEC626"/>
      <c r="AED626"/>
      <c r="AEE626"/>
      <c r="AEF626"/>
      <c r="AEG626"/>
      <c r="AEH626"/>
      <c r="AEI626"/>
      <c r="AEJ626"/>
      <c r="AEK626"/>
      <c r="AEL626"/>
      <c r="AEM626"/>
      <c r="AEN626"/>
      <c r="AEO626"/>
      <c r="AEP626"/>
      <c r="AEQ626"/>
      <c r="AER626"/>
      <c r="AES626"/>
      <c r="AET626"/>
      <c r="AEU626"/>
      <c r="AEV626"/>
      <c r="AEW626"/>
      <c r="AEX626"/>
      <c r="AEY626"/>
      <c r="AEZ626"/>
      <c r="AFA626"/>
      <c r="AFB626"/>
      <c r="AFC626"/>
      <c r="AFD626"/>
      <c r="AFE626"/>
      <c r="AFF626"/>
      <c r="AFG626"/>
      <c r="AFH626"/>
      <c r="AFI626"/>
      <c r="AFJ626"/>
      <c r="AFK626"/>
      <c r="AFL626"/>
      <c r="AFM626"/>
      <c r="AFN626"/>
      <c r="AFO626"/>
      <c r="AFP626"/>
      <c r="AFQ626"/>
      <c r="AFR626"/>
      <c r="AFS626"/>
      <c r="AFT626"/>
      <c r="AFU626"/>
      <c r="AFV626"/>
      <c r="AFW626"/>
      <c r="AFX626"/>
      <c r="AFY626"/>
      <c r="AFZ626"/>
      <c r="AGA626"/>
      <c r="AGB626"/>
      <c r="AGC626"/>
      <c r="AGD626"/>
      <c r="AGE626"/>
      <c r="AGF626"/>
      <c r="AGG626"/>
      <c r="AGH626"/>
      <c r="AGI626"/>
      <c r="AGJ626"/>
      <c r="AGK626"/>
      <c r="AGL626"/>
      <c r="AGM626"/>
      <c r="AGN626"/>
      <c r="AGO626"/>
      <c r="AGP626"/>
      <c r="AGQ626"/>
      <c r="AGR626"/>
      <c r="AGS626"/>
      <c r="AGT626"/>
      <c r="AGU626"/>
      <c r="AGV626"/>
      <c r="AGW626"/>
      <c r="AGX626"/>
      <c r="AGY626"/>
      <c r="AGZ626"/>
      <c r="AHA626"/>
      <c r="AHB626"/>
      <c r="AHC626"/>
      <c r="AHD626"/>
      <c r="AHE626"/>
      <c r="AHF626"/>
      <c r="AHG626"/>
      <c r="AHH626"/>
      <c r="AHI626"/>
      <c r="AHJ626"/>
      <c r="AHK626"/>
      <c r="AHL626"/>
      <c r="AHM626"/>
      <c r="AHN626"/>
      <c r="AHO626"/>
      <c r="AHP626"/>
      <c r="AHQ626"/>
      <c r="AHR626"/>
      <c r="AHS626"/>
      <c r="AHT626"/>
      <c r="AHU626"/>
      <c r="AHV626"/>
      <c r="AHW626"/>
      <c r="AHX626"/>
      <c r="AHY626"/>
      <c r="AHZ626"/>
      <c r="AIA626"/>
      <c r="AIB626"/>
      <c r="AIC626"/>
      <c r="AID626"/>
      <c r="AIE626"/>
      <c r="AIF626"/>
      <c r="AIG626"/>
      <c r="AIH626"/>
      <c r="AII626"/>
      <c r="AIJ626"/>
      <c r="AIK626"/>
      <c r="AIL626"/>
      <c r="AIM626"/>
      <c r="AIN626"/>
      <c r="AIO626"/>
      <c r="AIP626"/>
      <c r="AIQ626"/>
      <c r="AIR626"/>
      <c r="AIS626"/>
      <c r="AIT626"/>
      <c r="AIU626"/>
      <c r="AIV626"/>
      <c r="AIW626"/>
      <c r="AIX626"/>
      <c r="AIY626"/>
      <c r="AIZ626"/>
      <c r="AJA626"/>
      <c r="AJB626"/>
      <c r="AJC626"/>
      <c r="AJD626"/>
      <c r="AJE626"/>
      <c r="AJF626"/>
      <c r="AJG626"/>
      <c r="AJH626"/>
      <c r="AJI626"/>
      <c r="AJJ626"/>
      <c r="AJK626"/>
      <c r="AJL626"/>
      <c r="AJM626"/>
      <c r="AJN626"/>
      <c r="AJO626"/>
      <c r="AJP626"/>
      <c r="AJQ626"/>
      <c r="AJR626"/>
      <c r="AJS626"/>
      <c r="AJT626"/>
      <c r="AJU626"/>
      <c r="AJV626"/>
      <c r="AJW626"/>
      <c r="AJX626"/>
      <c r="AJY626"/>
      <c r="AJZ626"/>
      <c r="AKA626"/>
      <c r="AKB626"/>
      <c r="AKC626"/>
      <c r="AKD626"/>
      <c r="AKE626"/>
      <c r="AKF626"/>
      <c r="AKG626"/>
      <c r="AKH626"/>
      <c r="AKI626"/>
      <c r="AKJ626"/>
      <c r="AKK626"/>
      <c r="AKL626"/>
      <c r="AKM626"/>
      <c r="AKN626"/>
      <c r="AKO626"/>
      <c r="AKP626"/>
      <c r="AKQ626"/>
      <c r="AKR626"/>
      <c r="AKS626"/>
      <c r="AKT626"/>
      <c r="AKU626"/>
      <c r="AKV626"/>
      <c r="AKW626"/>
    </row>
    <row r="627" spans="1:985">
      <c r="A627" s="442"/>
      <c r="B627" s="430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  <c r="ZW627"/>
      <c r="ZX627"/>
      <c r="ZY627"/>
      <c r="ZZ627"/>
      <c r="AAA627"/>
      <c r="AAB627"/>
      <c r="AAC627"/>
      <c r="AAD627"/>
      <c r="AAE627"/>
      <c r="AAF627"/>
      <c r="AAG627"/>
      <c r="AAH627"/>
      <c r="AAI627"/>
      <c r="AAJ627"/>
      <c r="AAK627"/>
      <c r="AAL627"/>
      <c r="AAM627"/>
      <c r="AAN627"/>
      <c r="AAO627"/>
      <c r="AAP627"/>
      <c r="AAQ627"/>
      <c r="AAR627"/>
      <c r="AAS627"/>
      <c r="AAT627"/>
      <c r="AAU627"/>
      <c r="AAV627"/>
      <c r="AAW627"/>
      <c r="AAX627"/>
      <c r="AAY627"/>
      <c r="AAZ627"/>
      <c r="ABA627"/>
      <c r="ABB627"/>
      <c r="ABC627"/>
      <c r="ABD627"/>
      <c r="ABE627"/>
      <c r="ABF627"/>
      <c r="ABG627"/>
      <c r="ABH627"/>
      <c r="ABI627"/>
      <c r="ABJ627"/>
      <c r="ABK627"/>
      <c r="ABL627"/>
      <c r="ABM627"/>
      <c r="ABN627"/>
      <c r="ABO627"/>
      <c r="ABP627"/>
      <c r="ABQ627"/>
      <c r="ABR627"/>
      <c r="ABS627"/>
      <c r="ABT627"/>
      <c r="ABU627"/>
      <c r="ABV627"/>
      <c r="ABW627"/>
      <c r="ABX627"/>
      <c r="ABY627"/>
      <c r="ABZ627"/>
      <c r="ACA627"/>
      <c r="ACB627"/>
      <c r="ACC627"/>
      <c r="ACD627"/>
      <c r="ACE627"/>
      <c r="ACF627"/>
      <c r="ACG627"/>
      <c r="ACH627"/>
      <c r="ACI627"/>
      <c r="ACJ627"/>
      <c r="ACK627"/>
      <c r="ACL627"/>
      <c r="ACM627"/>
      <c r="ACN627"/>
      <c r="ACO627"/>
      <c r="ACP627"/>
      <c r="ACQ627"/>
      <c r="ACR627"/>
      <c r="ACS627"/>
      <c r="ACT627"/>
      <c r="ACU627"/>
      <c r="ACV627"/>
      <c r="ACW627"/>
      <c r="ACX627"/>
      <c r="ACY627"/>
      <c r="ACZ627"/>
      <c r="ADA627"/>
      <c r="ADB627"/>
      <c r="ADC627"/>
      <c r="ADD627"/>
      <c r="ADE627"/>
      <c r="ADF627"/>
      <c r="ADG627"/>
      <c r="ADH627"/>
      <c r="ADI627"/>
      <c r="ADJ627"/>
      <c r="ADK627"/>
      <c r="ADL627"/>
      <c r="ADM627"/>
      <c r="ADN627"/>
      <c r="ADO627"/>
      <c r="ADP627"/>
      <c r="ADQ627"/>
      <c r="ADR627"/>
      <c r="ADS627"/>
      <c r="ADT627"/>
      <c r="ADU627"/>
      <c r="ADV627"/>
      <c r="ADW627"/>
      <c r="ADX627"/>
      <c r="ADY627"/>
      <c r="ADZ627"/>
      <c r="AEA627"/>
      <c r="AEB627"/>
      <c r="AEC627"/>
      <c r="AED627"/>
      <c r="AEE627"/>
      <c r="AEF627"/>
      <c r="AEG627"/>
      <c r="AEH627"/>
      <c r="AEI627"/>
      <c r="AEJ627"/>
      <c r="AEK627"/>
      <c r="AEL627"/>
      <c r="AEM627"/>
      <c r="AEN627"/>
      <c r="AEO627"/>
      <c r="AEP627"/>
      <c r="AEQ627"/>
      <c r="AER627"/>
      <c r="AES627"/>
      <c r="AET627"/>
      <c r="AEU627"/>
      <c r="AEV627"/>
      <c r="AEW627"/>
      <c r="AEX627"/>
      <c r="AEY627"/>
      <c r="AEZ627"/>
      <c r="AFA627"/>
      <c r="AFB627"/>
      <c r="AFC627"/>
      <c r="AFD627"/>
      <c r="AFE627"/>
      <c r="AFF627"/>
      <c r="AFG627"/>
      <c r="AFH627"/>
      <c r="AFI627"/>
      <c r="AFJ627"/>
      <c r="AFK627"/>
      <c r="AFL627"/>
      <c r="AFM627"/>
      <c r="AFN627"/>
      <c r="AFO627"/>
      <c r="AFP627"/>
      <c r="AFQ627"/>
      <c r="AFR627"/>
      <c r="AFS627"/>
      <c r="AFT627"/>
      <c r="AFU627"/>
      <c r="AFV627"/>
      <c r="AFW627"/>
      <c r="AFX627"/>
      <c r="AFY627"/>
      <c r="AFZ627"/>
      <c r="AGA627"/>
      <c r="AGB627"/>
      <c r="AGC627"/>
      <c r="AGD627"/>
      <c r="AGE627"/>
      <c r="AGF627"/>
      <c r="AGG627"/>
      <c r="AGH627"/>
      <c r="AGI627"/>
      <c r="AGJ627"/>
      <c r="AGK627"/>
      <c r="AGL627"/>
      <c r="AGM627"/>
      <c r="AGN627"/>
      <c r="AGO627"/>
      <c r="AGP627"/>
      <c r="AGQ627"/>
      <c r="AGR627"/>
      <c r="AGS627"/>
      <c r="AGT627"/>
      <c r="AGU627"/>
      <c r="AGV627"/>
      <c r="AGW627"/>
      <c r="AGX627"/>
      <c r="AGY627"/>
      <c r="AGZ627"/>
      <c r="AHA627"/>
      <c r="AHB627"/>
      <c r="AHC627"/>
      <c r="AHD627"/>
      <c r="AHE627"/>
      <c r="AHF627"/>
      <c r="AHG627"/>
      <c r="AHH627"/>
      <c r="AHI627"/>
      <c r="AHJ627"/>
      <c r="AHK627"/>
      <c r="AHL627"/>
      <c r="AHM627"/>
      <c r="AHN627"/>
      <c r="AHO627"/>
      <c r="AHP627"/>
      <c r="AHQ627"/>
      <c r="AHR627"/>
      <c r="AHS627"/>
      <c r="AHT627"/>
      <c r="AHU627"/>
      <c r="AHV627"/>
      <c r="AHW627"/>
      <c r="AHX627"/>
      <c r="AHY627"/>
      <c r="AHZ627"/>
      <c r="AIA627"/>
      <c r="AIB627"/>
      <c r="AIC627"/>
      <c r="AID627"/>
      <c r="AIE627"/>
      <c r="AIF627"/>
      <c r="AIG627"/>
      <c r="AIH627"/>
      <c r="AII627"/>
      <c r="AIJ627"/>
      <c r="AIK627"/>
      <c r="AIL627"/>
      <c r="AIM627"/>
      <c r="AIN627"/>
      <c r="AIO627"/>
      <c r="AIP627"/>
      <c r="AIQ627"/>
      <c r="AIR627"/>
      <c r="AIS627"/>
      <c r="AIT627"/>
      <c r="AIU627"/>
      <c r="AIV627"/>
      <c r="AIW627"/>
      <c r="AIX627"/>
      <c r="AIY627"/>
      <c r="AIZ627"/>
      <c r="AJA627"/>
      <c r="AJB627"/>
      <c r="AJC627"/>
      <c r="AJD627"/>
      <c r="AJE627"/>
      <c r="AJF627"/>
      <c r="AJG627"/>
      <c r="AJH627"/>
      <c r="AJI627"/>
      <c r="AJJ627"/>
      <c r="AJK627"/>
      <c r="AJL627"/>
      <c r="AJM627"/>
      <c r="AJN627"/>
      <c r="AJO627"/>
      <c r="AJP627"/>
      <c r="AJQ627"/>
      <c r="AJR627"/>
      <c r="AJS627"/>
      <c r="AJT627"/>
      <c r="AJU627"/>
      <c r="AJV627"/>
      <c r="AJW627"/>
      <c r="AJX627"/>
      <c r="AJY627"/>
      <c r="AJZ627"/>
      <c r="AKA627"/>
      <c r="AKB627"/>
      <c r="AKC627"/>
      <c r="AKD627"/>
      <c r="AKE627"/>
      <c r="AKF627"/>
      <c r="AKG627"/>
      <c r="AKH627"/>
      <c r="AKI627"/>
      <c r="AKJ627"/>
      <c r="AKK627"/>
      <c r="AKL627"/>
      <c r="AKM627"/>
      <c r="AKN627"/>
      <c r="AKO627"/>
      <c r="AKP627"/>
      <c r="AKQ627"/>
      <c r="AKR627"/>
      <c r="AKS627"/>
      <c r="AKT627"/>
      <c r="AKU627"/>
      <c r="AKV627"/>
      <c r="AKW627"/>
    </row>
    <row r="628" spans="1:985">
      <c r="B628" s="430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  <c r="ABE628"/>
      <c r="ABF628"/>
      <c r="ABG628"/>
      <c r="ABH628"/>
      <c r="ABI628"/>
      <c r="ABJ628"/>
      <c r="ABK628"/>
      <c r="ABL628"/>
      <c r="ABM628"/>
      <c r="ABN628"/>
      <c r="ABO628"/>
      <c r="ABP628"/>
      <c r="ABQ628"/>
      <c r="ABR628"/>
      <c r="ABS628"/>
      <c r="ABT628"/>
      <c r="ABU628"/>
      <c r="ABV628"/>
      <c r="ABW628"/>
      <c r="ABX628"/>
      <c r="ABY628"/>
      <c r="ABZ628"/>
      <c r="ACA628"/>
      <c r="ACB628"/>
      <c r="ACC628"/>
      <c r="ACD628"/>
      <c r="ACE628"/>
      <c r="ACF628"/>
      <c r="ACG628"/>
      <c r="ACH628"/>
      <c r="ACI628"/>
      <c r="ACJ628"/>
      <c r="ACK628"/>
      <c r="ACL628"/>
      <c r="ACM628"/>
      <c r="ACN628"/>
      <c r="ACO628"/>
      <c r="ACP628"/>
      <c r="ACQ628"/>
      <c r="ACR628"/>
      <c r="ACS628"/>
      <c r="ACT628"/>
      <c r="ACU628"/>
      <c r="ACV628"/>
      <c r="ACW628"/>
      <c r="ACX628"/>
      <c r="ACY628"/>
      <c r="ACZ628"/>
      <c r="ADA628"/>
      <c r="ADB628"/>
      <c r="ADC628"/>
      <c r="ADD628"/>
      <c r="ADE628"/>
      <c r="ADF628"/>
      <c r="ADG628"/>
      <c r="ADH628"/>
      <c r="ADI628"/>
      <c r="ADJ628"/>
      <c r="ADK628"/>
      <c r="ADL628"/>
      <c r="ADM628"/>
      <c r="ADN628"/>
      <c r="ADO628"/>
      <c r="ADP628"/>
      <c r="ADQ628"/>
      <c r="ADR628"/>
      <c r="ADS628"/>
      <c r="ADT628"/>
      <c r="ADU628"/>
      <c r="ADV628"/>
      <c r="ADW628"/>
      <c r="ADX628"/>
      <c r="ADY628"/>
      <c r="ADZ628"/>
      <c r="AEA628"/>
      <c r="AEB628"/>
      <c r="AEC628"/>
      <c r="AED628"/>
      <c r="AEE628"/>
      <c r="AEF628"/>
      <c r="AEG628"/>
      <c r="AEH628"/>
      <c r="AEI628"/>
      <c r="AEJ628"/>
      <c r="AEK628"/>
      <c r="AEL628"/>
      <c r="AEM628"/>
      <c r="AEN628"/>
      <c r="AEO628"/>
      <c r="AEP628"/>
      <c r="AEQ628"/>
      <c r="AER628"/>
      <c r="AES628"/>
      <c r="AET628"/>
      <c r="AEU628"/>
      <c r="AEV628"/>
      <c r="AEW628"/>
      <c r="AEX628"/>
      <c r="AEY628"/>
      <c r="AEZ628"/>
      <c r="AFA628"/>
      <c r="AFB628"/>
      <c r="AFC628"/>
      <c r="AFD628"/>
      <c r="AFE628"/>
      <c r="AFF628"/>
      <c r="AFG628"/>
      <c r="AFH628"/>
      <c r="AFI628"/>
      <c r="AFJ628"/>
      <c r="AFK628"/>
      <c r="AFL628"/>
      <c r="AFM628"/>
      <c r="AFN628"/>
      <c r="AFO628"/>
      <c r="AFP628"/>
      <c r="AFQ628"/>
      <c r="AFR628"/>
      <c r="AFS628"/>
      <c r="AFT628"/>
      <c r="AFU628"/>
      <c r="AFV628"/>
      <c r="AFW628"/>
      <c r="AFX628"/>
      <c r="AFY628"/>
      <c r="AFZ628"/>
      <c r="AGA628"/>
      <c r="AGB628"/>
      <c r="AGC628"/>
      <c r="AGD628"/>
      <c r="AGE628"/>
      <c r="AGF628"/>
      <c r="AGG628"/>
      <c r="AGH628"/>
      <c r="AGI628"/>
      <c r="AGJ628"/>
      <c r="AGK628"/>
      <c r="AGL628"/>
      <c r="AGM628"/>
      <c r="AGN628"/>
      <c r="AGO628"/>
      <c r="AGP628"/>
      <c r="AGQ628"/>
      <c r="AGR628"/>
      <c r="AGS628"/>
      <c r="AGT628"/>
      <c r="AGU628"/>
      <c r="AGV628"/>
      <c r="AGW628"/>
      <c r="AGX628"/>
      <c r="AGY628"/>
      <c r="AGZ628"/>
      <c r="AHA628"/>
      <c r="AHB628"/>
      <c r="AHC628"/>
      <c r="AHD628"/>
      <c r="AHE628"/>
      <c r="AHF628"/>
      <c r="AHG628"/>
      <c r="AHH628"/>
      <c r="AHI628"/>
      <c r="AHJ628"/>
      <c r="AHK628"/>
      <c r="AHL628"/>
      <c r="AHM628"/>
      <c r="AHN628"/>
      <c r="AHO628"/>
      <c r="AHP628"/>
      <c r="AHQ628"/>
      <c r="AHR628"/>
      <c r="AHS628"/>
      <c r="AHT628"/>
      <c r="AHU628"/>
      <c r="AHV628"/>
      <c r="AHW628"/>
      <c r="AHX628"/>
      <c r="AHY628"/>
      <c r="AHZ628"/>
      <c r="AIA628"/>
      <c r="AIB628"/>
      <c r="AIC628"/>
      <c r="AID628"/>
      <c r="AIE628"/>
      <c r="AIF628"/>
      <c r="AIG628"/>
      <c r="AIH628"/>
      <c r="AII628"/>
      <c r="AIJ628"/>
      <c r="AIK628"/>
      <c r="AIL628"/>
      <c r="AIM628"/>
      <c r="AIN628"/>
      <c r="AIO628"/>
      <c r="AIP628"/>
      <c r="AIQ628"/>
      <c r="AIR628"/>
      <c r="AIS628"/>
      <c r="AIT628"/>
      <c r="AIU628"/>
      <c r="AIV628"/>
      <c r="AIW628"/>
      <c r="AIX628"/>
      <c r="AIY628"/>
      <c r="AIZ628"/>
      <c r="AJA628"/>
      <c r="AJB628"/>
      <c r="AJC628"/>
      <c r="AJD628"/>
      <c r="AJE628"/>
      <c r="AJF628"/>
      <c r="AJG628"/>
      <c r="AJH628"/>
      <c r="AJI628"/>
      <c r="AJJ628"/>
      <c r="AJK628"/>
      <c r="AJL628"/>
      <c r="AJM628"/>
      <c r="AJN628"/>
      <c r="AJO628"/>
      <c r="AJP628"/>
      <c r="AJQ628"/>
      <c r="AJR628"/>
      <c r="AJS628"/>
      <c r="AJT628"/>
      <c r="AJU628"/>
      <c r="AJV628"/>
      <c r="AJW628"/>
      <c r="AJX628"/>
      <c r="AJY628"/>
      <c r="AJZ628"/>
      <c r="AKA628"/>
      <c r="AKB628"/>
      <c r="AKC628"/>
      <c r="AKD628"/>
      <c r="AKE628"/>
      <c r="AKF628"/>
      <c r="AKG628"/>
      <c r="AKH628"/>
      <c r="AKI628"/>
      <c r="AKJ628"/>
      <c r="AKK628"/>
      <c r="AKL628"/>
      <c r="AKM628"/>
      <c r="AKN628"/>
      <c r="AKO628"/>
      <c r="AKP628"/>
      <c r="AKQ628"/>
      <c r="AKR628"/>
      <c r="AKS628"/>
      <c r="AKT628"/>
      <c r="AKU628"/>
      <c r="AKV628"/>
      <c r="AKW628"/>
    </row>
    <row r="629" spans="1:985">
      <c r="A629" s="449"/>
      <c r="B629" s="441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  <c r="ZW629"/>
      <c r="ZX629"/>
      <c r="ZY629"/>
      <c r="ZZ629"/>
      <c r="AAA629"/>
      <c r="AAB629"/>
      <c r="AAC629"/>
      <c r="AAD629"/>
      <c r="AAE629"/>
      <c r="AAF629"/>
      <c r="AAG629"/>
      <c r="AAH629"/>
      <c r="AAI629"/>
      <c r="AAJ629"/>
      <c r="AAK629"/>
      <c r="AAL629"/>
      <c r="AAM629"/>
      <c r="AAN629"/>
      <c r="AAO629"/>
      <c r="AAP629"/>
      <c r="AAQ629"/>
      <c r="AAR629"/>
      <c r="AAS629"/>
      <c r="AAT629"/>
      <c r="AAU629"/>
      <c r="AAV629"/>
      <c r="AAW629"/>
      <c r="AAX629"/>
      <c r="AAY629"/>
      <c r="AAZ629"/>
      <c r="ABA629"/>
      <c r="ABB629"/>
      <c r="ABC629"/>
      <c r="ABD629"/>
      <c r="ABE629"/>
      <c r="ABF629"/>
      <c r="ABG629"/>
      <c r="ABH629"/>
      <c r="ABI629"/>
      <c r="ABJ629"/>
      <c r="ABK629"/>
      <c r="ABL629"/>
      <c r="ABM629"/>
      <c r="ABN629"/>
      <c r="ABO629"/>
      <c r="ABP629"/>
      <c r="ABQ629"/>
      <c r="ABR629"/>
      <c r="ABS629"/>
      <c r="ABT629"/>
      <c r="ABU629"/>
      <c r="ABV629"/>
      <c r="ABW629"/>
      <c r="ABX629"/>
      <c r="ABY629"/>
      <c r="ABZ629"/>
      <c r="ACA629"/>
      <c r="ACB629"/>
      <c r="ACC629"/>
      <c r="ACD629"/>
      <c r="ACE629"/>
      <c r="ACF629"/>
      <c r="ACG629"/>
      <c r="ACH629"/>
      <c r="ACI629"/>
      <c r="ACJ629"/>
      <c r="ACK629"/>
      <c r="ACL629"/>
      <c r="ACM629"/>
      <c r="ACN629"/>
      <c r="ACO629"/>
      <c r="ACP629"/>
      <c r="ACQ629"/>
      <c r="ACR629"/>
      <c r="ACS629"/>
      <c r="ACT629"/>
      <c r="ACU629"/>
      <c r="ACV629"/>
      <c r="ACW629"/>
      <c r="ACX629"/>
      <c r="ACY629"/>
      <c r="ACZ629"/>
      <c r="ADA629"/>
      <c r="ADB629"/>
      <c r="ADC629"/>
      <c r="ADD629"/>
      <c r="ADE629"/>
      <c r="ADF629"/>
      <c r="ADG629"/>
      <c r="ADH629"/>
      <c r="ADI629"/>
      <c r="ADJ629"/>
      <c r="ADK629"/>
      <c r="ADL629"/>
      <c r="ADM629"/>
      <c r="ADN629"/>
      <c r="ADO629"/>
      <c r="ADP629"/>
      <c r="ADQ629"/>
      <c r="ADR629"/>
      <c r="ADS629"/>
      <c r="ADT629"/>
      <c r="ADU629"/>
      <c r="ADV629"/>
      <c r="ADW629"/>
      <c r="ADX629"/>
      <c r="ADY629"/>
      <c r="ADZ629"/>
      <c r="AEA629"/>
      <c r="AEB629"/>
      <c r="AEC629"/>
      <c r="AED629"/>
      <c r="AEE629"/>
      <c r="AEF629"/>
      <c r="AEG629"/>
      <c r="AEH629"/>
      <c r="AEI629"/>
      <c r="AEJ629"/>
      <c r="AEK629"/>
      <c r="AEL629"/>
      <c r="AEM629"/>
      <c r="AEN629"/>
      <c r="AEO629"/>
      <c r="AEP629"/>
      <c r="AEQ629"/>
      <c r="AER629"/>
      <c r="AES629"/>
      <c r="AET629"/>
      <c r="AEU629"/>
      <c r="AEV629"/>
      <c r="AEW629"/>
      <c r="AEX629"/>
      <c r="AEY629"/>
      <c r="AEZ629"/>
      <c r="AFA629"/>
      <c r="AFB629"/>
      <c r="AFC629"/>
      <c r="AFD629"/>
      <c r="AFE629"/>
      <c r="AFF629"/>
      <c r="AFG629"/>
      <c r="AFH629"/>
      <c r="AFI629"/>
      <c r="AFJ629"/>
      <c r="AFK629"/>
      <c r="AFL629"/>
      <c r="AFM629"/>
      <c r="AFN629"/>
      <c r="AFO629"/>
      <c r="AFP629"/>
      <c r="AFQ629"/>
      <c r="AFR629"/>
      <c r="AFS629"/>
      <c r="AFT629"/>
      <c r="AFU629"/>
      <c r="AFV629"/>
      <c r="AFW629"/>
      <c r="AFX629"/>
      <c r="AFY629"/>
      <c r="AFZ629"/>
      <c r="AGA629"/>
      <c r="AGB629"/>
      <c r="AGC629"/>
      <c r="AGD629"/>
      <c r="AGE629"/>
      <c r="AGF629"/>
      <c r="AGG629"/>
      <c r="AGH629"/>
      <c r="AGI629"/>
      <c r="AGJ629"/>
      <c r="AGK629"/>
      <c r="AGL629"/>
      <c r="AGM629"/>
      <c r="AGN629"/>
      <c r="AGO629"/>
      <c r="AGP629"/>
      <c r="AGQ629"/>
      <c r="AGR629"/>
      <c r="AGS629"/>
      <c r="AGT629"/>
      <c r="AGU629"/>
      <c r="AGV629"/>
      <c r="AGW629"/>
      <c r="AGX629"/>
      <c r="AGY629"/>
      <c r="AGZ629"/>
      <c r="AHA629"/>
      <c r="AHB629"/>
      <c r="AHC629"/>
      <c r="AHD629"/>
      <c r="AHE629"/>
      <c r="AHF629"/>
      <c r="AHG629"/>
      <c r="AHH629"/>
      <c r="AHI629"/>
      <c r="AHJ629"/>
      <c r="AHK629"/>
      <c r="AHL629"/>
      <c r="AHM629"/>
      <c r="AHN629"/>
      <c r="AHO629"/>
      <c r="AHP629"/>
      <c r="AHQ629"/>
      <c r="AHR629"/>
      <c r="AHS629"/>
      <c r="AHT629"/>
      <c r="AHU629"/>
      <c r="AHV629"/>
      <c r="AHW629"/>
      <c r="AHX629"/>
      <c r="AHY629"/>
      <c r="AHZ629"/>
      <c r="AIA629"/>
      <c r="AIB629"/>
      <c r="AIC629"/>
      <c r="AID629"/>
      <c r="AIE629"/>
      <c r="AIF629"/>
      <c r="AIG629"/>
      <c r="AIH629"/>
      <c r="AII629"/>
      <c r="AIJ629"/>
      <c r="AIK629"/>
      <c r="AIL629"/>
      <c r="AIM629"/>
      <c r="AIN629"/>
      <c r="AIO629"/>
      <c r="AIP629"/>
      <c r="AIQ629"/>
      <c r="AIR629"/>
      <c r="AIS629"/>
      <c r="AIT629"/>
      <c r="AIU629"/>
      <c r="AIV629"/>
      <c r="AIW629"/>
      <c r="AIX629"/>
      <c r="AIY629"/>
      <c r="AIZ629"/>
      <c r="AJA629"/>
      <c r="AJB629"/>
      <c r="AJC629"/>
      <c r="AJD629"/>
      <c r="AJE629"/>
      <c r="AJF629"/>
      <c r="AJG629"/>
      <c r="AJH629"/>
      <c r="AJI629"/>
      <c r="AJJ629"/>
      <c r="AJK629"/>
      <c r="AJL629"/>
      <c r="AJM629"/>
      <c r="AJN629"/>
      <c r="AJO629"/>
      <c r="AJP629"/>
      <c r="AJQ629"/>
      <c r="AJR629"/>
      <c r="AJS629"/>
      <c r="AJT629"/>
      <c r="AJU629"/>
      <c r="AJV629"/>
      <c r="AJW629"/>
      <c r="AJX629"/>
      <c r="AJY629"/>
      <c r="AJZ629"/>
      <c r="AKA629"/>
      <c r="AKB629"/>
      <c r="AKC629"/>
      <c r="AKD629"/>
      <c r="AKE629"/>
      <c r="AKF629"/>
      <c r="AKG629"/>
      <c r="AKH629"/>
      <c r="AKI629"/>
      <c r="AKJ629"/>
      <c r="AKK629"/>
      <c r="AKL629"/>
      <c r="AKM629"/>
      <c r="AKN629"/>
      <c r="AKO629"/>
      <c r="AKP629"/>
      <c r="AKQ629"/>
      <c r="AKR629"/>
      <c r="AKS629"/>
      <c r="AKT629"/>
      <c r="AKU629"/>
      <c r="AKV629"/>
      <c r="AKW629"/>
    </row>
    <row r="630" spans="1:985">
      <c r="A630" s="356"/>
      <c r="B630" s="4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  <c r="ZW630"/>
      <c r="ZX630"/>
      <c r="ZY630"/>
      <c r="ZZ630"/>
      <c r="AAA630"/>
      <c r="AAB630"/>
      <c r="AAC630"/>
      <c r="AAD630"/>
      <c r="AAE630"/>
      <c r="AAF630"/>
      <c r="AAG630"/>
      <c r="AAH630"/>
      <c r="AAI630"/>
      <c r="AAJ630"/>
      <c r="AAK630"/>
      <c r="AAL630"/>
      <c r="AAM630"/>
      <c r="AAN630"/>
      <c r="AAO630"/>
      <c r="AAP630"/>
      <c r="AAQ630"/>
      <c r="AAR630"/>
      <c r="AAS630"/>
      <c r="AAT630"/>
      <c r="AAU630"/>
      <c r="AAV630"/>
      <c r="AAW630"/>
      <c r="AAX630"/>
      <c r="AAY630"/>
      <c r="AAZ630"/>
      <c r="ABA630"/>
      <c r="ABB630"/>
      <c r="ABC630"/>
      <c r="ABD630"/>
      <c r="ABE630"/>
      <c r="ABF630"/>
      <c r="ABG630"/>
      <c r="ABH630"/>
      <c r="ABI630"/>
      <c r="ABJ630"/>
      <c r="ABK630"/>
      <c r="ABL630"/>
      <c r="ABM630"/>
      <c r="ABN630"/>
      <c r="ABO630"/>
      <c r="ABP630"/>
      <c r="ABQ630"/>
      <c r="ABR630"/>
      <c r="ABS630"/>
      <c r="ABT630"/>
      <c r="ABU630"/>
      <c r="ABV630"/>
      <c r="ABW630"/>
      <c r="ABX630"/>
      <c r="ABY630"/>
      <c r="ABZ630"/>
      <c r="ACA630"/>
      <c r="ACB630"/>
      <c r="ACC630"/>
      <c r="ACD630"/>
      <c r="ACE630"/>
      <c r="ACF630"/>
      <c r="ACG630"/>
      <c r="ACH630"/>
      <c r="ACI630"/>
      <c r="ACJ630"/>
      <c r="ACK630"/>
      <c r="ACL630"/>
      <c r="ACM630"/>
      <c r="ACN630"/>
      <c r="ACO630"/>
      <c r="ACP630"/>
      <c r="ACQ630"/>
      <c r="ACR630"/>
      <c r="ACS630"/>
      <c r="ACT630"/>
      <c r="ACU630"/>
      <c r="ACV630"/>
      <c r="ACW630"/>
      <c r="ACX630"/>
      <c r="ACY630"/>
      <c r="ACZ630"/>
      <c r="ADA630"/>
      <c r="ADB630"/>
      <c r="ADC630"/>
      <c r="ADD630"/>
      <c r="ADE630"/>
      <c r="ADF630"/>
      <c r="ADG630"/>
      <c r="ADH630"/>
      <c r="ADI630"/>
      <c r="ADJ630"/>
      <c r="ADK630"/>
      <c r="ADL630"/>
      <c r="ADM630"/>
      <c r="ADN630"/>
      <c r="ADO630"/>
      <c r="ADP630"/>
      <c r="ADQ630"/>
      <c r="ADR630"/>
      <c r="ADS630"/>
      <c r="ADT630"/>
      <c r="ADU630"/>
      <c r="ADV630"/>
      <c r="ADW630"/>
      <c r="ADX630"/>
      <c r="ADY630"/>
      <c r="ADZ630"/>
      <c r="AEA630"/>
      <c r="AEB630"/>
      <c r="AEC630"/>
      <c r="AED630"/>
      <c r="AEE630"/>
      <c r="AEF630"/>
      <c r="AEG630"/>
      <c r="AEH630"/>
      <c r="AEI630"/>
      <c r="AEJ630"/>
      <c r="AEK630"/>
      <c r="AEL630"/>
      <c r="AEM630"/>
      <c r="AEN630"/>
      <c r="AEO630"/>
      <c r="AEP630"/>
      <c r="AEQ630"/>
      <c r="AER630"/>
      <c r="AES630"/>
      <c r="AET630"/>
      <c r="AEU630"/>
      <c r="AEV630"/>
      <c r="AEW630"/>
      <c r="AEX630"/>
      <c r="AEY630"/>
      <c r="AEZ630"/>
      <c r="AFA630"/>
      <c r="AFB630"/>
      <c r="AFC630"/>
      <c r="AFD630"/>
      <c r="AFE630"/>
      <c r="AFF630"/>
      <c r="AFG630"/>
      <c r="AFH630"/>
      <c r="AFI630"/>
      <c r="AFJ630"/>
      <c r="AFK630"/>
      <c r="AFL630"/>
      <c r="AFM630"/>
      <c r="AFN630"/>
      <c r="AFO630"/>
      <c r="AFP630"/>
      <c r="AFQ630"/>
      <c r="AFR630"/>
      <c r="AFS630"/>
      <c r="AFT630"/>
      <c r="AFU630"/>
      <c r="AFV630"/>
      <c r="AFW630"/>
      <c r="AFX630"/>
      <c r="AFY630"/>
      <c r="AFZ630"/>
      <c r="AGA630"/>
      <c r="AGB630"/>
      <c r="AGC630"/>
      <c r="AGD630"/>
      <c r="AGE630"/>
      <c r="AGF630"/>
      <c r="AGG630"/>
      <c r="AGH630"/>
      <c r="AGI630"/>
      <c r="AGJ630"/>
      <c r="AGK630"/>
      <c r="AGL630"/>
      <c r="AGM630"/>
      <c r="AGN630"/>
      <c r="AGO630"/>
      <c r="AGP630"/>
      <c r="AGQ630"/>
      <c r="AGR630"/>
      <c r="AGS630"/>
      <c r="AGT630"/>
      <c r="AGU630"/>
      <c r="AGV630"/>
      <c r="AGW630"/>
      <c r="AGX630"/>
      <c r="AGY630"/>
      <c r="AGZ630"/>
      <c r="AHA630"/>
      <c r="AHB630"/>
      <c r="AHC630"/>
      <c r="AHD630"/>
      <c r="AHE630"/>
      <c r="AHF630"/>
      <c r="AHG630"/>
      <c r="AHH630"/>
      <c r="AHI630"/>
      <c r="AHJ630"/>
      <c r="AHK630"/>
      <c r="AHL630"/>
      <c r="AHM630"/>
      <c r="AHN630"/>
      <c r="AHO630"/>
      <c r="AHP630"/>
      <c r="AHQ630"/>
      <c r="AHR630"/>
      <c r="AHS630"/>
      <c r="AHT630"/>
      <c r="AHU630"/>
      <c r="AHV630"/>
      <c r="AHW630"/>
      <c r="AHX630"/>
      <c r="AHY630"/>
      <c r="AHZ630"/>
      <c r="AIA630"/>
      <c r="AIB630"/>
      <c r="AIC630"/>
      <c r="AID630"/>
      <c r="AIE630"/>
      <c r="AIF630"/>
      <c r="AIG630"/>
      <c r="AIH630"/>
      <c r="AII630"/>
      <c r="AIJ630"/>
      <c r="AIK630"/>
      <c r="AIL630"/>
      <c r="AIM630"/>
      <c r="AIN630"/>
      <c r="AIO630"/>
      <c r="AIP630"/>
      <c r="AIQ630"/>
      <c r="AIR630"/>
      <c r="AIS630"/>
      <c r="AIT630"/>
      <c r="AIU630"/>
      <c r="AIV630"/>
      <c r="AIW630"/>
      <c r="AIX630"/>
      <c r="AIY630"/>
      <c r="AIZ630"/>
      <c r="AJA630"/>
      <c r="AJB630"/>
      <c r="AJC630"/>
      <c r="AJD630"/>
      <c r="AJE630"/>
      <c r="AJF630"/>
      <c r="AJG630"/>
      <c r="AJH630"/>
      <c r="AJI630"/>
      <c r="AJJ630"/>
      <c r="AJK630"/>
      <c r="AJL630"/>
      <c r="AJM630"/>
      <c r="AJN630"/>
      <c r="AJO630"/>
      <c r="AJP630"/>
      <c r="AJQ630"/>
      <c r="AJR630"/>
      <c r="AJS630"/>
      <c r="AJT630"/>
      <c r="AJU630"/>
      <c r="AJV630"/>
      <c r="AJW630"/>
      <c r="AJX630"/>
      <c r="AJY630"/>
      <c r="AJZ630"/>
      <c r="AKA630"/>
      <c r="AKB630"/>
      <c r="AKC630"/>
      <c r="AKD630"/>
      <c r="AKE630"/>
      <c r="AKF630"/>
      <c r="AKG630"/>
      <c r="AKH630"/>
      <c r="AKI630"/>
      <c r="AKJ630"/>
      <c r="AKK630"/>
      <c r="AKL630"/>
      <c r="AKM630"/>
      <c r="AKN630"/>
      <c r="AKO630"/>
      <c r="AKP630"/>
      <c r="AKQ630"/>
      <c r="AKR630"/>
      <c r="AKS630"/>
      <c r="AKT630"/>
      <c r="AKU630"/>
      <c r="AKV630"/>
      <c r="AKW630"/>
    </row>
    <row r="631" spans="1:985">
      <c r="B631" s="430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  <c r="VW631"/>
      <c r="VX631"/>
      <c r="VY631"/>
      <c r="VZ631"/>
      <c r="WA631"/>
      <c r="WB631"/>
      <c r="WC631"/>
      <c r="WD631"/>
      <c r="WE631"/>
      <c r="WF631"/>
      <c r="WG631"/>
      <c r="WH631"/>
      <c r="WI631"/>
      <c r="WJ631"/>
      <c r="WK631"/>
      <c r="WL631"/>
      <c r="WM631"/>
      <c r="WN631"/>
      <c r="WO631"/>
      <c r="WP631"/>
      <c r="WQ631"/>
      <c r="WR631"/>
      <c r="WS631"/>
      <c r="WT631"/>
      <c r="WU631"/>
      <c r="WV631"/>
      <c r="WW631"/>
      <c r="WX631"/>
      <c r="WY631"/>
      <c r="WZ631"/>
      <c r="XA631"/>
      <c r="XB631"/>
      <c r="XC631"/>
      <c r="XD631"/>
      <c r="XE631"/>
      <c r="XF631"/>
      <c r="XG631"/>
      <c r="XH631"/>
      <c r="XI631"/>
      <c r="XJ631"/>
      <c r="XK631"/>
      <c r="XL631"/>
      <c r="XM631"/>
      <c r="XN631"/>
      <c r="XO631"/>
      <c r="XP631"/>
      <c r="XQ631"/>
      <c r="XR631"/>
      <c r="XS631"/>
      <c r="XT631"/>
      <c r="XU631"/>
      <c r="XV631"/>
      <c r="XW631"/>
      <c r="XX631"/>
      <c r="XY631"/>
      <c r="XZ631"/>
      <c r="YA631"/>
      <c r="YB631"/>
      <c r="YC631"/>
      <c r="YD631"/>
      <c r="YE631"/>
      <c r="YF631"/>
      <c r="YG631"/>
      <c r="YH631"/>
      <c r="YI631"/>
      <c r="YJ631"/>
      <c r="YK631"/>
      <c r="YL631"/>
      <c r="YM631"/>
      <c r="YN631"/>
      <c r="YO631"/>
      <c r="YP631"/>
      <c r="YQ631"/>
      <c r="YR631"/>
      <c r="YS631"/>
      <c r="YT631"/>
      <c r="YU631"/>
      <c r="YV631"/>
      <c r="YW631"/>
      <c r="YX631"/>
      <c r="YY631"/>
      <c r="YZ631"/>
      <c r="ZA631"/>
      <c r="ZB631"/>
      <c r="ZC631"/>
      <c r="ZD631"/>
      <c r="ZE631"/>
      <c r="ZF631"/>
      <c r="ZG631"/>
      <c r="ZH631"/>
      <c r="ZI631"/>
      <c r="ZJ631"/>
      <c r="ZK631"/>
      <c r="ZL631"/>
      <c r="ZM631"/>
      <c r="ZN631"/>
      <c r="ZO631"/>
      <c r="ZP631"/>
      <c r="ZQ631"/>
      <c r="ZR631"/>
      <c r="ZS631"/>
      <c r="ZT631"/>
      <c r="ZU631"/>
      <c r="ZV631"/>
      <c r="ZW631"/>
      <c r="ZX631"/>
      <c r="ZY631"/>
      <c r="ZZ631"/>
      <c r="AAA631"/>
      <c r="AAB631"/>
      <c r="AAC631"/>
      <c r="AAD631"/>
      <c r="AAE631"/>
      <c r="AAF631"/>
      <c r="AAG631"/>
      <c r="AAH631"/>
      <c r="AAI631"/>
      <c r="AAJ631"/>
      <c r="AAK631"/>
      <c r="AAL631"/>
      <c r="AAM631"/>
      <c r="AAN631"/>
      <c r="AAO631"/>
      <c r="AAP631"/>
      <c r="AAQ631"/>
      <c r="AAR631"/>
      <c r="AAS631"/>
      <c r="AAT631"/>
      <c r="AAU631"/>
      <c r="AAV631"/>
      <c r="AAW631"/>
      <c r="AAX631"/>
      <c r="AAY631"/>
      <c r="AAZ631"/>
      <c r="ABA631"/>
      <c r="ABB631"/>
      <c r="ABC631"/>
      <c r="ABD631"/>
      <c r="ABE631"/>
      <c r="ABF631"/>
      <c r="ABG631"/>
      <c r="ABH631"/>
      <c r="ABI631"/>
      <c r="ABJ631"/>
      <c r="ABK631"/>
      <c r="ABL631"/>
      <c r="ABM631"/>
      <c r="ABN631"/>
      <c r="ABO631"/>
      <c r="ABP631"/>
      <c r="ABQ631"/>
      <c r="ABR631"/>
      <c r="ABS631"/>
      <c r="ABT631"/>
      <c r="ABU631"/>
      <c r="ABV631"/>
      <c r="ABW631"/>
      <c r="ABX631"/>
      <c r="ABY631"/>
      <c r="ABZ631"/>
      <c r="ACA631"/>
      <c r="ACB631"/>
      <c r="ACC631"/>
      <c r="ACD631"/>
      <c r="ACE631"/>
      <c r="ACF631"/>
      <c r="ACG631"/>
      <c r="ACH631"/>
      <c r="ACI631"/>
      <c r="ACJ631"/>
      <c r="ACK631"/>
      <c r="ACL631"/>
      <c r="ACM631"/>
      <c r="ACN631"/>
      <c r="ACO631"/>
      <c r="ACP631"/>
      <c r="ACQ631"/>
      <c r="ACR631"/>
      <c r="ACS631"/>
      <c r="ACT631"/>
      <c r="ACU631"/>
      <c r="ACV631"/>
      <c r="ACW631"/>
      <c r="ACX631"/>
      <c r="ACY631"/>
      <c r="ACZ631"/>
      <c r="ADA631"/>
      <c r="ADB631"/>
      <c r="ADC631"/>
      <c r="ADD631"/>
      <c r="ADE631"/>
      <c r="ADF631"/>
      <c r="ADG631"/>
      <c r="ADH631"/>
      <c r="ADI631"/>
      <c r="ADJ631"/>
      <c r="ADK631"/>
      <c r="ADL631"/>
      <c r="ADM631"/>
      <c r="ADN631"/>
      <c r="ADO631"/>
      <c r="ADP631"/>
      <c r="ADQ631"/>
      <c r="ADR631"/>
      <c r="ADS631"/>
      <c r="ADT631"/>
      <c r="ADU631"/>
      <c r="ADV631"/>
      <c r="ADW631"/>
      <c r="ADX631"/>
      <c r="ADY631"/>
      <c r="ADZ631"/>
      <c r="AEA631"/>
      <c r="AEB631"/>
      <c r="AEC631"/>
      <c r="AED631"/>
      <c r="AEE631"/>
      <c r="AEF631"/>
      <c r="AEG631"/>
      <c r="AEH631"/>
      <c r="AEI631"/>
      <c r="AEJ631"/>
      <c r="AEK631"/>
      <c r="AEL631"/>
      <c r="AEM631"/>
      <c r="AEN631"/>
      <c r="AEO631"/>
      <c r="AEP631"/>
      <c r="AEQ631"/>
      <c r="AER631"/>
      <c r="AES631"/>
      <c r="AET631"/>
      <c r="AEU631"/>
      <c r="AEV631"/>
      <c r="AEW631"/>
      <c r="AEX631"/>
      <c r="AEY631"/>
      <c r="AEZ631"/>
      <c r="AFA631"/>
      <c r="AFB631"/>
      <c r="AFC631"/>
      <c r="AFD631"/>
      <c r="AFE631"/>
      <c r="AFF631"/>
      <c r="AFG631"/>
      <c r="AFH631"/>
      <c r="AFI631"/>
      <c r="AFJ631"/>
      <c r="AFK631"/>
      <c r="AFL631"/>
      <c r="AFM631"/>
      <c r="AFN631"/>
      <c r="AFO631"/>
      <c r="AFP631"/>
      <c r="AFQ631"/>
      <c r="AFR631"/>
      <c r="AFS631"/>
      <c r="AFT631"/>
      <c r="AFU631"/>
      <c r="AFV631"/>
      <c r="AFW631"/>
      <c r="AFX631"/>
      <c r="AFY631"/>
      <c r="AFZ631"/>
      <c r="AGA631"/>
      <c r="AGB631"/>
      <c r="AGC631"/>
      <c r="AGD631"/>
      <c r="AGE631"/>
      <c r="AGF631"/>
      <c r="AGG631"/>
      <c r="AGH631"/>
      <c r="AGI631"/>
      <c r="AGJ631"/>
      <c r="AGK631"/>
      <c r="AGL631"/>
      <c r="AGM631"/>
      <c r="AGN631"/>
      <c r="AGO631"/>
      <c r="AGP631"/>
      <c r="AGQ631"/>
      <c r="AGR631"/>
      <c r="AGS631"/>
      <c r="AGT631"/>
      <c r="AGU631"/>
      <c r="AGV631"/>
      <c r="AGW631"/>
      <c r="AGX631"/>
      <c r="AGY631"/>
      <c r="AGZ631"/>
      <c r="AHA631"/>
      <c r="AHB631"/>
      <c r="AHC631"/>
      <c r="AHD631"/>
      <c r="AHE631"/>
      <c r="AHF631"/>
      <c r="AHG631"/>
      <c r="AHH631"/>
      <c r="AHI631"/>
      <c r="AHJ631"/>
      <c r="AHK631"/>
      <c r="AHL631"/>
      <c r="AHM631"/>
      <c r="AHN631"/>
      <c r="AHO631"/>
      <c r="AHP631"/>
      <c r="AHQ631"/>
      <c r="AHR631"/>
      <c r="AHS631"/>
      <c r="AHT631"/>
      <c r="AHU631"/>
      <c r="AHV631"/>
      <c r="AHW631"/>
      <c r="AHX631"/>
      <c r="AHY631"/>
      <c r="AHZ631"/>
      <c r="AIA631"/>
      <c r="AIB631"/>
      <c r="AIC631"/>
      <c r="AID631"/>
      <c r="AIE631"/>
      <c r="AIF631"/>
      <c r="AIG631"/>
      <c r="AIH631"/>
      <c r="AII631"/>
      <c r="AIJ631"/>
      <c r="AIK631"/>
      <c r="AIL631"/>
      <c r="AIM631"/>
      <c r="AIN631"/>
      <c r="AIO631"/>
      <c r="AIP631"/>
      <c r="AIQ631"/>
      <c r="AIR631"/>
      <c r="AIS631"/>
      <c r="AIT631"/>
      <c r="AIU631"/>
      <c r="AIV631"/>
      <c r="AIW631"/>
      <c r="AIX631"/>
      <c r="AIY631"/>
      <c r="AIZ631"/>
      <c r="AJA631"/>
      <c r="AJB631"/>
      <c r="AJC631"/>
      <c r="AJD631"/>
      <c r="AJE631"/>
      <c r="AJF631"/>
      <c r="AJG631"/>
      <c r="AJH631"/>
      <c r="AJI631"/>
      <c r="AJJ631"/>
      <c r="AJK631"/>
      <c r="AJL631"/>
      <c r="AJM631"/>
      <c r="AJN631"/>
      <c r="AJO631"/>
      <c r="AJP631"/>
      <c r="AJQ631"/>
      <c r="AJR631"/>
      <c r="AJS631"/>
      <c r="AJT631"/>
      <c r="AJU631"/>
      <c r="AJV631"/>
      <c r="AJW631"/>
      <c r="AJX631"/>
      <c r="AJY631"/>
      <c r="AJZ631"/>
      <c r="AKA631"/>
      <c r="AKB631"/>
      <c r="AKC631"/>
      <c r="AKD631"/>
      <c r="AKE631"/>
      <c r="AKF631"/>
      <c r="AKG631"/>
      <c r="AKH631"/>
      <c r="AKI631"/>
      <c r="AKJ631"/>
      <c r="AKK631"/>
      <c r="AKL631"/>
      <c r="AKM631"/>
      <c r="AKN631"/>
      <c r="AKO631"/>
      <c r="AKP631"/>
      <c r="AKQ631"/>
      <c r="AKR631"/>
      <c r="AKS631"/>
      <c r="AKT631"/>
      <c r="AKU631"/>
      <c r="AKV631"/>
      <c r="AKW631"/>
    </row>
    <row r="632" spans="1:985">
      <c r="B632" s="430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  <c r="ZW632"/>
      <c r="ZX632"/>
      <c r="ZY632"/>
      <c r="ZZ632"/>
      <c r="AAA632"/>
      <c r="AAB632"/>
      <c r="AAC632"/>
      <c r="AAD632"/>
      <c r="AAE632"/>
      <c r="AAF632"/>
      <c r="AAG632"/>
      <c r="AAH632"/>
      <c r="AAI632"/>
      <c r="AAJ632"/>
      <c r="AAK632"/>
      <c r="AAL632"/>
      <c r="AAM632"/>
      <c r="AAN632"/>
      <c r="AAO632"/>
      <c r="AAP632"/>
      <c r="AAQ632"/>
      <c r="AAR632"/>
      <c r="AAS632"/>
      <c r="AAT632"/>
      <c r="AAU632"/>
      <c r="AAV632"/>
      <c r="AAW632"/>
      <c r="AAX632"/>
      <c r="AAY632"/>
      <c r="AAZ632"/>
      <c r="ABA632"/>
      <c r="ABB632"/>
      <c r="ABC632"/>
      <c r="ABD632"/>
      <c r="ABE632"/>
      <c r="ABF632"/>
      <c r="ABG632"/>
      <c r="ABH632"/>
      <c r="ABI632"/>
      <c r="ABJ632"/>
      <c r="ABK632"/>
      <c r="ABL632"/>
      <c r="ABM632"/>
      <c r="ABN632"/>
      <c r="ABO632"/>
      <c r="ABP632"/>
      <c r="ABQ632"/>
      <c r="ABR632"/>
      <c r="ABS632"/>
      <c r="ABT632"/>
      <c r="ABU632"/>
      <c r="ABV632"/>
      <c r="ABW632"/>
      <c r="ABX632"/>
      <c r="ABY632"/>
      <c r="ABZ632"/>
      <c r="ACA632"/>
      <c r="ACB632"/>
      <c r="ACC632"/>
      <c r="ACD632"/>
      <c r="ACE632"/>
      <c r="ACF632"/>
      <c r="ACG632"/>
      <c r="ACH632"/>
      <c r="ACI632"/>
      <c r="ACJ632"/>
      <c r="ACK632"/>
      <c r="ACL632"/>
      <c r="ACM632"/>
      <c r="ACN632"/>
      <c r="ACO632"/>
      <c r="ACP632"/>
      <c r="ACQ632"/>
      <c r="ACR632"/>
      <c r="ACS632"/>
      <c r="ACT632"/>
      <c r="ACU632"/>
      <c r="ACV632"/>
      <c r="ACW632"/>
      <c r="ACX632"/>
      <c r="ACY632"/>
      <c r="ACZ632"/>
      <c r="ADA632"/>
      <c r="ADB632"/>
      <c r="ADC632"/>
      <c r="ADD632"/>
      <c r="ADE632"/>
      <c r="ADF632"/>
      <c r="ADG632"/>
      <c r="ADH632"/>
      <c r="ADI632"/>
      <c r="ADJ632"/>
      <c r="ADK632"/>
      <c r="ADL632"/>
      <c r="ADM632"/>
      <c r="ADN632"/>
      <c r="ADO632"/>
      <c r="ADP632"/>
      <c r="ADQ632"/>
      <c r="ADR632"/>
      <c r="ADS632"/>
      <c r="ADT632"/>
      <c r="ADU632"/>
      <c r="ADV632"/>
      <c r="ADW632"/>
      <c r="ADX632"/>
      <c r="ADY632"/>
      <c r="ADZ632"/>
      <c r="AEA632"/>
      <c r="AEB632"/>
      <c r="AEC632"/>
      <c r="AED632"/>
      <c r="AEE632"/>
      <c r="AEF632"/>
      <c r="AEG632"/>
      <c r="AEH632"/>
      <c r="AEI632"/>
      <c r="AEJ632"/>
      <c r="AEK632"/>
      <c r="AEL632"/>
      <c r="AEM632"/>
      <c r="AEN632"/>
      <c r="AEO632"/>
      <c r="AEP632"/>
      <c r="AEQ632"/>
      <c r="AER632"/>
      <c r="AES632"/>
      <c r="AET632"/>
      <c r="AEU632"/>
      <c r="AEV632"/>
      <c r="AEW632"/>
      <c r="AEX632"/>
      <c r="AEY632"/>
      <c r="AEZ632"/>
      <c r="AFA632"/>
      <c r="AFB632"/>
      <c r="AFC632"/>
      <c r="AFD632"/>
      <c r="AFE632"/>
      <c r="AFF632"/>
      <c r="AFG632"/>
      <c r="AFH632"/>
      <c r="AFI632"/>
      <c r="AFJ632"/>
      <c r="AFK632"/>
      <c r="AFL632"/>
      <c r="AFM632"/>
      <c r="AFN632"/>
      <c r="AFO632"/>
      <c r="AFP632"/>
      <c r="AFQ632"/>
      <c r="AFR632"/>
      <c r="AFS632"/>
      <c r="AFT632"/>
      <c r="AFU632"/>
      <c r="AFV632"/>
      <c r="AFW632"/>
      <c r="AFX632"/>
      <c r="AFY632"/>
      <c r="AFZ632"/>
      <c r="AGA632"/>
      <c r="AGB632"/>
      <c r="AGC632"/>
      <c r="AGD632"/>
      <c r="AGE632"/>
      <c r="AGF632"/>
      <c r="AGG632"/>
      <c r="AGH632"/>
      <c r="AGI632"/>
      <c r="AGJ632"/>
      <c r="AGK632"/>
      <c r="AGL632"/>
      <c r="AGM632"/>
      <c r="AGN632"/>
      <c r="AGO632"/>
      <c r="AGP632"/>
      <c r="AGQ632"/>
      <c r="AGR632"/>
      <c r="AGS632"/>
      <c r="AGT632"/>
      <c r="AGU632"/>
      <c r="AGV632"/>
      <c r="AGW632"/>
      <c r="AGX632"/>
      <c r="AGY632"/>
      <c r="AGZ632"/>
      <c r="AHA632"/>
      <c r="AHB632"/>
      <c r="AHC632"/>
      <c r="AHD632"/>
      <c r="AHE632"/>
      <c r="AHF632"/>
      <c r="AHG632"/>
      <c r="AHH632"/>
      <c r="AHI632"/>
      <c r="AHJ632"/>
      <c r="AHK632"/>
      <c r="AHL632"/>
      <c r="AHM632"/>
      <c r="AHN632"/>
      <c r="AHO632"/>
      <c r="AHP632"/>
      <c r="AHQ632"/>
      <c r="AHR632"/>
      <c r="AHS632"/>
      <c r="AHT632"/>
      <c r="AHU632"/>
      <c r="AHV632"/>
      <c r="AHW632"/>
      <c r="AHX632"/>
      <c r="AHY632"/>
      <c r="AHZ632"/>
      <c r="AIA632"/>
      <c r="AIB632"/>
      <c r="AIC632"/>
      <c r="AID632"/>
      <c r="AIE632"/>
      <c r="AIF632"/>
      <c r="AIG632"/>
      <c r="AIH632"/>
      <c r="AII632"/>
      <c r="AIJ632"/>
      <c r="AIK632"/>
      <c r="AIL632"/>
      <c r="AIM632"/>
      <c r="AIN632"/>
      <c r="AIO632"/>
      <c r="AIP632"/>
      <c r="AIQ632"/>
      <c r="AIR632"/>
      <c r="AIS632"/>
      <c r="AIT632"/>
      <c r="AIU632"/>
      <c r="AIV632"/>
      <c r="AIW632"/>
      <c r="AIX632"/>
      <c r="AIY632"/>
      <c r="AIZ632"/>
      <c r="AJA632"/>
      <c r="AJB632"/>
      <c r="AJC632"/>
      <c r="AJD632"/>
      <c r="AJE632"/>
      <c r="AJF632"/>
      <c r="AJG632"/>
      <c r="AJH632"/>
      <c r="AJI632"/>
      <c r="AJJ632"/>
      <c r="AJK632"/>
      <c r="AJL632"/>
      <c r="AJM632"/>
      <c r="AJN632"/>
      <c r="AJO632"/>
      <c r="AJP632"/>
      <c r="AJQ632"/>
      <c r="AJR632"/>
      <c r="AJS632"/>
      <c r="AJT632"/>
      <c r="AJU632"/>
      <c r="AJV632"/>
      <c r="AJW632"/>
      <c r="AJX632"/>
      <c r="AJY632"/>
      <c r="AJZ632"/>
      <c r="AKA632"/>
      <c r="AKB632"/>
      <c r="AKC632"/>
      <c r="AKD632"/>
      <c r="AKE632"/>
      <c r="AKF632"/>
      <c r="AKG632"/>
      <c r="AKH632"/>
      <c r="AKI632"/>
      <c r="AKJ632"/>
      <c r="AKK632"/>
      <c r="AKL632"/>
      <c r="AKM632"/>
      <c r="AKN632"/>
      <c r="AKO632"/>
      <c r="AKP632"/>
      <c r="AKQ632"/>
      <c r="AKR632"/>
      <c r="AKS632"/>
      <c r="AKT632"/>
      <c r="AKU632"/>
      <c r="AKV632"/>
      <c r="AKW632"/>
    </row>
    <row r="633" spans="1:985">
      <c r="B633" s="430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  <c r="ZW633"/>
      <c r="ZX633"/>
      <c r="ZY633"/>
      <c r="ZZ633"/>
      <c r="AAA633"/>
      <c r="AAB633"/>
      <c r="AAC633"/>
      <c r="AAD633"/>
      <c r="AAE633"/>
      <c r="AAF633"/>
      <c r="AAG633"/>
      <c r="AAH633"/>
      <c r="AAI633"/>
      <c r="AAJ633"/>
      <c r="AAK633"/>
      <c r="AAL633"/>
      <c r="AAM633"/>
      <c r="AAN633"/>
      <c r="AAO633"/>
      <c r="AAP633"/>
      <c r="AAQ633"/>
      <c r="AAR633"/>
      <c r="AAS633"/>
      <c r="AAT633"/>
      <c r="AAU633"/>
      <c r="AAV633"/>
      <c r="AAW633"/>
      <c r="AAX633"/>
      <c r="AAY633"/>
      <c r="AAZ633"/>
      <c r="ABA633"/>
      <c r="ABB633"/>
      <c r="ABC633"/>
      <c r="ABD633"/>
      <c r="ABE633"/>
      <c r="ABF633"/>
      <c r="ABG633"/>
      <c r="ABH633"/>
      <c r="ABI633"/>
      <c r="ABJ633"/>
      <c r="ABK633"/>
      <c r="ABL633"/>
      <c r="ABM633"/>
      <c r="ABN633"/>
      <c r="ABO633"/>
      <c r="ABP633"/>
      <c r="ABQ633"/>
      <c r="ABR633"/>
      <c r="ABS633"/>
      <c r="ABT633"/>
      <c r="ABU633"/>
      <c r="ABV633"/>
      <c r="ABW633"/>
      <c r="ABX633"/>
      <c r="ABY633"/>
      <c r="ABZ633"/>
      <c r="ACA633"/>
      <c r="ACB633"/>
      <c r="ACC633"/>
      <c r="ACD633"/>
      <c r="ACE633"/>
      <c r="ACF633"/>
      <c r="ACG633"/>
      <c r="ACH633"/>
      <c r="ACI633"/>
      <c r="ACJ633"/>
      <c r="ACK633"/>
      <c r="ACL633"/>
      <c r="ACM633"/>
      <c r="ACN633"/>
      <c r="ACO633"/>
      <c r="ACP633"/>
      <c r="ACQ633"/>
      <c r="ACR633"/>
      <c r="ACS633"/>
      <c r="ACT633"/>
      <c r="ACU633"/>
      <c r="ACV633"/>
      <c r="ACW633"/>
      <c r="ACX633"/>
      <c r="ACY633"/>
      <c r="ACZ633"/>
      <c r="ADA633"/>
      <c r="ADB633"/>
      <c r="ADC633"/>
      <c r="ADD633"/>
      <c r="ADE633"/>
      <c r="ADF633"/>
      <c r="ADG633"/>
      <c r="ADH633"/>
      <c r="ADI633"/>
      <c r="ADJ633"/>
      <c r="ADK633"/>
      <c r="ADL633"/>
      <c r="ADM633"/>
      <c r="ADN633"/>
      <c r="ADO633"/>
      <c r="ADP633"/>
      <c r="ADQ633"/>
      <c r="ADR633"/>
      <c r="ADS633"/>
      <c r="ADT633"/>
      <c r="ADU633"/>
      <c r="ADV633"/>
      <c r="ADW633"/>
      <c r="ADX633"/>
      <c r="ADY633"/>
      <c r="ADZ633"/>
      <c r="AEA633"/>
      <c r="AEB633"/>
      <c r="AEC633"/>
      <c r="AED633"/>
      <c r="AEE633"/>
      <c r="AEF633"/>
      <c r="AEG633"/>
      <c r="AEH633"/>
      <c r="AEI633"/>
      <c r="AEJ633"/>
      <c r="AEK633"/>
      <c r="AEL633"/>
      <c r="AEM633"/>
      <c r="AEN633"/>
      <c r="AEO633"/>
      <c r="AEP633"/>
      <c r="AEQ633"/>
      <c r="AER633"/>
      <c r="AES633"/>
      <c r="AET633"/>
      <c r="AEU633"/>
      <c r="AEV633"/>
      <c r="AEW633"/>
      <c r="AEX633"/>
      <c r="AEY633"/>
      <c r="AEZ633"/>
      <c r="AFA633"/>
      <c r="AFB633"/>
      <c r="AFC633"/>
      <c r="AFD633"/>
      <c r="AFE633"/>
      <c r="AFF633"/>
      <c r="AFG633"/>
      <c r="AFH633"/>
      <c r="AFI633"/>
      <c r="AFJ633"/>
      <c r="AFK633"/>
      <c r="AFL633"/>
      <c r="AFM633"/>
      <c r="AFN633"/>
      <c r="AFO633"/>
      <c r="AFP633"/>
      <c r="AFQ633"/>
      <c r="AFR633"/>
      <c r="AFS633"/>
      <c r="AFT633"/>
      <c r="AFU633"/>
      <c r="AFV633"/>
      <c r="AFW633"/>
      <c r="AFX633"/>
      <c r="AFY633"/>
      <c r="AFZ633"/>
      <c r="AGA633"/>
      <c r="AGB633"/>
      <c r="AGC633"/>
      <c r="AGD633"/>
      <c r="AGE633"/>
      <c r="AGF633"/>
      <c r="AGG633"/>
      <c r="AGH633"/>
      <c r="AGI633"/>
      <c r="AGJ633"/>
      <c r="AGK633"/>
      <c r="AGL633"/>
      <c r="AGM633"/>
      <c r="AGN633"/>
      <c r="AGO633"/>
      <c r="AGP633"/>
      <c r="AGQ633"/>
      <c r="AGR633"/>
      <c r="AGS633"/>
      <c r="AGT633"/>
      <c r="AGU633"/>
      <c r="AGV633"/>
      <c r="AGW633"/>
      <c r="AGX633"/>
      <c r="AGY633"/>
      <c r="AGZ633"/>
      <c r="AHA633"/>
      <c r="AHB633"/>
      <c r="AHC633"/>
      <c r="AHD633"/>
      <c r="AHE633"/>
      <c r="AHF633"/>
      <c r="AHG633"/>
      <c r="AHH633"/>
      <c r="AHI633"/>
      <c r="AHJ633"/>
      <c r="AHK633"/>
      <c r="AHL633"/>
      <c r="AHM633"/>
      <c r="AHN633"/>
      <c r="AHO633"/>
      <c r="AHP633"/>
      <c r="AHQ633"/>
      <c r="AHR633"/>
      <c r="AHS633"/>
      <c r="AHT633"/>
      <c r="AHU633"/>
      <c r="AHV633"/>
      <c r="AHW633"/>
      <c r="AHX633"/>
      <c r="AHY633"/>
      <c r="AHZ633"/>
      <c r="AIA633"/>
      <c r="AIB633"/>
      <c r="AIC633"/>
      <c r="AID633"/>
      <c r="AIE633"/>
      <c r="AIF633"/>
      <c r="AIG633"/>
      <c r="AIH633"/>
      <c r="AII633"/>
      <c r="AIJ633"/>
      <c r="AIK633"/>
      <c r="AIL633"/>
      <c r="AIM633"/>
      <c r="AIN633"/>
      <c r="AIO633"/>
      <c r="AIP633"/>
      <c r="AIQ633"/>
      <c r="AIR633"/>
      <c r="AIS633"/>
      <c r="AIT633"/>
      <c r="AIU633"/>
      <c r="AIV633"/>
      <c r="AIW633"/>
      <c r="AIX633"/>
      <c r="AIY633"/>
      <c r="AIZ633"/>
      <c r="AJA633"/>
      <c r="AJB633"/>
      <c r="AJC633"/>
      <c r="AJD633"/>
      <c r="AJE633"/>
      <c r="AJF633"/>
      <c r="AJG633"/>
      <c r="AJH633"/>
      <c r="AJI633"/>
      <c r="AJJ633"/>
      <c r="AJK633"/>
      <c r="AJL633"/>
      <c r="AJM633"/>
      <c r="AJN633"/>
      <c r="AJO633"/>
      <c r="AJP633"/>
      <c r="AJQ633"/>
      <c r="AJR633"/>
      <c r="AJS633"/>
      <c r="AJT633"/>
      <c r="AJU633"/>
      <c r="AJV633"/>
      <c r="AJW633"/>
      <c r="AJX633"/>
      <c r="AJY633"/>
      <c r="AJZ633"/>
      <c r="AKA633"/>
      <c r="AKB633"/>
      <c r="AKC633"/>
      <c r="AKD633"/>
      <c r="AKE633"/>
      <c r="AKF633"/>
      <c r="AKG633"/>
      <c r="AKH633"/>
      <c r="AKI633"/>
      <c r="AKJ633"/>
      <c r="AKK633"/>
      <c r="AKL633"/>
      <c r="AKM633"/>
      <c r="AKN633"/>
      <c r="AKO633"/>
      <c r="AKP633"/>
      <c r="AKQ633"/>
      <c r="AKR633"/>
      <c r="AKS633"/>
      <c r="AKT633"/>
      <c r="AKU633"/>
      <c r="AKV633"/>
      <c r="AKW633"/>
    </row>
    <row r="634" spans="1:985">
      <c r="B634" s="430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  <c r="ZW634"/>
      <c r="ZX634"/>
      <c r="ZY634"/>
      <c r="ZZ634"/>
      <c r="AAA634"/>
      <c r="AAB634"/>
      <c r="AAC634"/>
      <c r="AAD634"/>
      <c r="AAE634"/>
      <c r="AAF634"/>
      <c r="AAG634"/>
      <c r="AAH634"/>
      <c r="AAI634"/>
      <c r="AAJ634"/>
      <c r="AAK634"/>
      <c r="AAL634"/>
      <c r="AAM634"/>
      <c r="AAN634"/>
      <c r="AAO634"/>
      <c r="AAP634"/>
      <c r="AAQ634"/>
      <c r="AAR634"/>
      <c r="AAS634"/>
      <c r="AAT634"/>
      <c r="AAU634"/>
      <c r="AAV634"/>
      <c r="AAW634"/>
      <c r="AAX634"/>
      <c r="AAY634"/>
      <c r="AAZ634"/>
      <c r="ABA634"/>
      <c r="ABB634"/>
      <c r="ABC634"/>
      <c r="ABD634"/>
      <c r="ABE634"/>
      <c r="ABF634"/>
      <c r="ABG634"/>
      <c r="ABH634"/>
      <c r="ABI634"/>
      <c r="ABJ634"/>
      <c r="ABK634"/>
      <c r="ABL634"/>
      <c r="ABM634"/>
      <c r="ABN634"/>
      <c r="ABO634"/>
      <c r="ABP634"/>
      <c r="ABQ634"/>
      <c r="ABR634"/>
      <c r="ABS634"/>
      <c r="ABT634"/>
      <c r="ABU634"/>
      <c r="ABV634"/>
      <c r="ABW634"/>
      <c r="ABX634"/>
      <c r="ABY634"/>
      <c r="ABZ634"/>
      <c r="ACA634"/>
      <c r="ACB634"/>
      <c r="ACC634"/>
      <c r="ACD634"/>
      <c r="ACE634"/>
      <c r="ACF634"/>
      <c r="ACG634"/>
      <c r="ACH634"/>
      <c r="ACI634"/>
      <c r="ACJ634"/>
      <c r="ACK634"/>
      <c r="ACL634"/>
      <c r="ACM634"/>
      <c r="ACN634"/>
      <c r="ACO634"/>
      <c r="ACP634"/>
      <c r="ACQ634"/>
      <c r="ACR634"/>
      <c r="ACS634"/>
      <c r="ACT634"/>
      <c r="ACU634"/>
      <c r="ACV634"/>
      <c r="ACW634"/>
      <c r="ACX634"/>
      <c r="ACY634"/>
      <c r="ACZ634"/>
      <c r="ADA634"/>
      <c r="ADB634"/>
      <c r="ADC634"/>
      <c r="ADD634"/>
      <c r="ADE634"/>
      <c r="ADF634"/>
      <c r="ADG634"/>
      <c r="ADH634"/>
      <c r="ADI634"/>
      <c r="ADJ634"/>
      <c r="ADK634"/>
      <c r="ADL634"/>
      <c r="ADM634"/>
      <c r="ADN634"/>
      <c r="ADO634"/>
      <c r="ADP634"/>
      <c r="ADQ634"/>
      <c r="ADR634"/>
      <c r="ADS634"/>
      <c r="ADT634"/>
      <c r="ADU634"/>
      <c r="ADV634"/>
      <c r="ADW634"/>
      <c r="ADX634"/>
      <c r="ADY634"/>
      <c r="ADZ634"/>
      <c r="AEA634"/>
      <c r="AEB634"/>
      <c r="AEC634"/>
      <c r="AED634"/>
      <c r="AEE634"/>
      <c r="AEF634"/>
      <c r="AEG634"/>
      <c r="AEH634"/>
      <c r="AEI634"/>
      <c r="AEJ634"/>
      <c r="AEK634"/>
      <c r="AEL634"/>
      <c r="AEM634"/>
      <c r="AEN634"/>
      <c r="AEO634"/>
      <c r="AEP634"/>
      <c r="AEQ634"/>
      <c r="AER634"/>
      <c r="AES634"/>
      <c r="AET634"/>
      <c r="AEU634"/>
      <c r="AEV634"/>
      <c r="AEW634"/>
      <c r="AEX634"/>
      <c r="AEY634"/>
      <c r="AEZ634"/>
      <c r="AFA634"/>
      <c r="AFB634"/>
      <c r="AFC634"/>
      <c r="AFD634"/>
      <c r="AFE634"/>
      <c r="AFF634"/>
      <c r="AFG634"/>
      <c r="AFH634"/>
      <c r="AFI634"/>
      <c r="AFJ634"/>
      <c r="AFK634"/>
      <c r="AFL634"/>
      <c r="AFM634"/>
      <c r="AFN634"/>
      <c r="AFO634"/>
      <c r="AFP634"/>
      <c r="AFQ634"/>
      <c r="AFR634"/>
      <c r="AFS634"/>
      <c r="AFT634"/>
      <c r="AFU634"/>
      <c r="AFV634"/>
      <c r="AFW634"/>
      <c r="AFX634"/>
      <c r="AFY634"/>
      <c r="AFZ634"/>
      <c r="AGA634"/>
      <c r="AGB634"/>
      <c r="AGC634"/>
      <c r="AGD634"/>
      <c r="AGE634"/>
      <c r="AGF634"/>
      <c r="AGG634"/>
      <c r="AGH634"/>
      <c r="AGI634"/>
      <c r="AGJ634"/>
      <c r="AGK634"/>
      <c r="AGL634"/>
      <c r="AGM634"/>
      <c r="AGN634"/>
      <c r="AGO634"/>
      <c r="AGP634"/>
      <c r="AGQ634"/>
      <c r="AGR634"/>
      <c r="AGS634"/>
      <c r="AGT634"/>
      <c r="AGU634"/>
      <c r="AGV634"/>
      <c r="AGW634"/>
      <c r="AGX634"/>
      <c r="AGY634"/>
      <c r="AGZ634"/>
      <c r="AHA634"/>
      <c r="AHB634"/>
      <c r="AHC634"/>
      <c r="AHD634"/>
      <c r="AHE634"/>
      <c r="AHF634"/>
      <c r="AHG634"/>
      <c r="AHH634"/>
      <c r="AHI634"/>
      <c r="AHJ634"/>
      <c r="AHK634"/>
      <c r="AHL634"/>
      <c r="AHM634"/>
      <c r="AHN634"/>
      <c r="AHO634"/>
      <c r="AHP634"/>
      <c r="AHQ634"/>
      <c r="AHR634"/>
      <c r="AHS634"/>
      <c r="AHT634"/>
      <c r="AHU634"/>
      <c r="AHV634"/>
      <c r="AHW634"/>
      <c r="AHX634"/>
      <c r="AHY634"/>
      <c r="AHZ634"/>
      <c r="AIA634"/>
      <c r="AIB634"/>
      <c r="AIC634"/>
      <c r="AID634"/>
      <c r="AIE634"/>
      <c r="AIF634"/>
      <c r="AIG634"/>
      <c r="AIH634"/>
      <c r="AII634"/>
      <c r="AIJ634"/>
      <c r="AIK634"/>
      <c r="AIL634"/>
      <c r="AIM634"/>
      <c r="AIN634"/>
      <c r="AIO634"/>
      <c r="AIP634"/>
      <c r="AIQ634"/>
      <c r="AIR634"/>
      <c r="AIS634"/>
      <c r="AIT634"/>
      <c r="AIU634"/>
      <c r="AIV634"/>
      <c r="AIW634"/>
      <c r="AIX634"/>
      <c r="AIY634"/>
      <c r="AIZ634"/>
      <c r="AJA634"/>
      <c r="AJB634"/>
      <c r="AJC634"/>
      <c r="AJD634"/>
      <c r="AJE634"/>
      <c r="AJF634"/>
      <c r="AJG634"/>
      <c r="AJH634"/>
      <c r="AJI634"/>
      <c r="AJJ634"/>
      <c r="AJK634"/>
      <c r="AJL634"/>
      <c r="AJM634"/>
      <c r="AJN634"/>
      <c r="AJO634"/>
      <c r="AJP634"/>
      <c r="AJQ634"/>
      <c r="AJR634"/>
      <c r="AJS634"/>
      <c r="AJT634"/>
      <c r="AJU634"/>
      <c r="AJV634"/>
      <c r="AJW634"/>
      <c r="AJX634"/>
      <c r="AJY634"/>
      <c r="AJZ634"/>
      <c r="AKA634"/>
      <c r="AKB634"/>
      <c r="AKC634"/>
      <c r="AKD634"/>
      <c r="AKE634"/>
      <c r="AKF634"/>
      <c r="AKG634"/>
      <c r="AKH634"/>
      <c r="AKI634"/>
      <c r="AKJ634"/>
      <c r="AKK634"/>
      <c r="AKL634"/>
      <c r="AKM634"/>
      <c r="AKN634"/>
      <c r="AKO634"/>
      <c r="AKP634"/>
      <c r="AKQ634"/>
      <c r="AKR634"/>
      <c r="AKS634"/>
      <c r="AKT634"/>
      <c r="AKU634"/>
      <c r="AKV634"/>
      <c r="AKW634"/>
    </row>
    <row r="635" spans="1:985">
      <c r="B635" s="430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  <c r="ZW635"/>
      <c r="ZX635"/>
      <c r="ZY635"/>
      <c r="ZZ635"/>
      <c r="AAA635"/>
      <c r="AAB635"/>
      <c r="AAC635"/>
      <c r="AAD635"/>
      <c r="AAE635"/>
      <c r="AAF635"/>
      <c r="AAG635"/>
      <c r="AAH635"/>
      <c r="AAI635"/>
      <c r="AAJ635"/>
      <c r="AAK635"/>
      <c r="AAL635"/>
      <c r="AAM635"/>
      <c r="AAN635"/>
      <c r="AAO635"/>
      <c r="AAP635"/>
      <c r="AAQ635"/>
      <c r="AAR635"/>
      <c r="AAS635"/>
      <c r="AAT635"/>
      <c r="AAU635"/>
      <c r="AAV635"/>
      <c r="AAW635"/>
      <c r="AAX635"/>
      <c r="AAY635"/>
      <c r="AAZ635"/>
      <c r="ABA635"/>
      <c r="ABB635"/>
      <c r="ABC635"/>
      <c r="ABD635"/>
      <c r="ABE635"/>
      <c r="ABF635"/>
      <c r="ABG635"/>
      <c r="ABH635"/>
      <c r="ABI635"/>
      <c r="ABJ635"/>
      <c r="ABK635"/>
      <c r="ABL635"/>
      <c r="ABM635"/>
      <c r="ABN635"/>
      <c r="ABO635"/>
      <c r="ABP635"/>
      <c r="ABQ635"/>
      <c r="ABR635"/>
      <c r="ABS635"/>
      <c r="ABT635"/>
      <c r="ABU635"/>
      <c r="ABV635"/>
      <c r="ABW635"/>
      <c r="ABX635"/>
      <c r="ABY635"/>
      <c r="ABZ635"/>
      <c r="ACA635"/>
      <c r="ACB635"/>
      <c r="ACC635"/>
      <c r="ACD635"/>
      <c r="ACE635"/>
      <c r="ACF635"/>
      <c r="ACG635"/>
      <c r="ACH635"/>
      <c r="ACI635"/>
      <c r="ACJ635"/>
      <c r="ACK635"/>
      <c r="ACL635"/>
      <c r="ACM635"/>
      <c r="ACN635"/>
      <c r="ACO635"/>
      <c r="ACP635"/>
      <c r="ACQ635"/>
      <c r="ACR635"/>
      <c r="ACS635"/>
      <c r="ACT635"/>
      <c r="ACU635"/>
      <c r="ACV635"/>
      <c r="ACW635"/>
      <c r="ACX635"/>
      <c r="ACY635"/>
      <c r="ACZ635"/>
      <c r="ADA635"/>
      <c r="ADB635"/>
      <c r="ADC635"/>
      <c r="ADD635"/>
      <c r="ADE635"/>
      <c r="ADF635"/>
      <c r="ADG635"/>
      <c r="ADH635"/>
      <c r="ADI635"/>
      <c r="ADJ635"/>
      <c r="ADK635"/>
      <c r="ADL635"/>
      <c r="ADM635"/>
      <c r="ADN635"/>
      <c r="ADO635"/>
      <c r="ADP635"/>
      <c r="ADQ635"/>
      <c r="ADR635"/>
      <c r="ADS635"/>
      <c r="ADT635"/>
      <c r="ADU635"/>
      <c r="ADV635"/>
      <c r="ADW635"/>
      <c r="ADX635"/>
      <c r="ADY635"/>
      <c r="ADZ635"/>
      <c r="AEA635"/>
      <c r="AEB635"/>
      <c r="AEC635"/>
      <c r="AED635"/>
      <c r="AEE635"/>
      <c r="AEF635"/>
      <c r="AEG635"/>
      <c r="AEH635"/>
      <c r="AEI635"/>
      <c r="AEJ635"/>
      <c r="AEK635"/>
      <c r="AEL635"/>
      <c r="AEM635"/>
      <c r="AEN635"/>
      <c r="AEO635"/>
      <c r="AEP635"/>
      <c r="AEQ635"/>
      <c r="AER635"/>
      <c r="AES635"/>
      <c r="AET635"/>
      <c r="AEU635"/>
      <c r="AEV635"/>
      <c r="AEW635"/>
      <c r="AEX635"/>
      <c r="AEY635"/>
      <c r="AEZ635"/>
      <c r="AFA635"/>
      <c r="AFB635"/>
      <c r="AFC635"/>
      <c r="AFD635"/>
      <c r="AFE635"/>
      <c r="AFF635"/>
      <c r="AFG635"/>
      <c r="AFH635"/>
      <c r="AFI635"/>
      <c r="AFJ635"/>
      <c r="AFK635"/>
      <c r="AFL635"/>
      <c r="AFM635"/>
      <c r="AFN635"/>
      <c r="AFO635"/>
      <c r="AFP635"/>
      <c r="AFQ635"/>
      <c r="AFR635"/>
      <c r="AFS635"/>
      <c r="AFT635"/>
      <c r="AFU635"/>
      <c r="AFV635"/>
      <c r="AFW635"/>
      <c r="AFX635"/>
      <c r="AFY635"/>
      <c r="AFZ635"/>
      <c r="AGA635"/>
      <c r="AGB635"/>
      <c r="AGC635"/>
      <c r="AGD635"/>
      <c r="AGE635"/>
      <c r="AGF635"/>
      <c r="AGG635"/>
      <c r="AGH635"/>
      <c r="AGI635"/>
      <c r="AGJ635"/>
      <c r="AGK635"/>
      <c r="AGL635"/>
      <c r="AGM635"/>
      <c r="AGN635"/>
      <c r="AGO635"/>
      <c r="AGP635"/>
      <c r="AGQ635"/>
      <c r="AGR635"/>
      <c r="AGS635"/>
      <c r="AGT635"/>
      <c r="AGU635"/>
      <c r="AGV635"/>
      <c r="AGW635"/>
      <c r="AGX635"/>
      <c r="AGY635"/>
      <c r="AGZ635"/>
      <c r="AHA635"/>
      <c r="AHB635"/>
      <c r="AHC635"/>
      <c r="AHD635"/>
      <c r="AHE635"/>
      <c r="AHF635"/>
      <c r="AHG635"/>
      <c r="AHH635"/>
      <c r="AHI635"/>
      <c r="AHJ635"/>
      <c r="AHK635"/>
      <c r="AHL635"/>
      <c r="AHM635"/>
      <c r="AHN635"/>
      <c r="AHO635"/>
      <c r="AHP635"/>
      <c r="AHQ635"/>
      <c r="AHR635"/>
      <c r="AHS635"/>
      <c r="AHT635"/>
      <c r="AHU635"/>
      <c r="AHV635"/>
      <c r="AHW635"/>
      <c r="AHX635"/>
      <c r="AHY635"/>
      <c r="AHZ635"/>
      <c r="AIA635"/>
      <c r="AIB635"/>
      <c r="AIC635"/>
      <c r="AID635"/>
      <c r="AIE635"/>
      <c r="AIF635"/>
      <c r="AIG635"/>
      <c r="AIH635"/>
      <c r="AII635"/>
      <c r="AIJ635"/>
      <c r="AIK635"/>
      <c r="AIL635"/>
      <c r="AIM635"/>
      <c r="AIN635"/>
      <c r="AIO635"/>
      <c r="AIP635"/>
      <c r="AIQ635"/>
      <c r="AIR635"/>
      <c r="AIS635"/>
      <c r="AIT635"/>
      <c r="AIU635"/>
      <c r="AIV635"/>
      <c r="AIW635"/>
      <c r="AIX635"/>
      <c r="AIY635"/>
      <c r="AIZ635"/>
      <c r="AJA635"/>
      <c r="AJB635"/>
      <c r="AJC635"/>
      <c r="AJD635"/>
      <c r="AJE635"/>
      <c r="AJF635"/>
      <c r="AJG635"/>
      <c r="AJH635"/>
      <c r="AJI635"/>
      <c r="AJJ635"/>
      <c r="AJK635"/>
      <c r="AJL635"/>
      <c r="AJM635"/>
      <c r="AJN635"/>
      <c r="AJO635"/>
      <c r="AJP635"/>
      <c r="AJQ635"/>
      <c r="AJR635"/>
      <c r="AJS635"/>
      <c r="AJT635"/>
      <c r="AJU635"/>
      <c r="AJV635"/>
      <c r="AJW635"/>
      <c r="AJX635"/>
      <c r="AJY635"/>
      <c r="AJZ635"/>
      <c r="AKA635"/>
      <c r="AKB635"/>
      <c r="AKC635"/>
      <c r="AKD635"/>
      <c r="AKE635"/>
      <c r="AKF635"/>
      <c r="AKG635"/>
      <c r="AKH635"/>
      <c r="AKI635"/>
      <c r="AKJ635"/>
      <c r="AKK635"/>
      <c r="AKL635"/>
      <c r="AKM635"/>
      <c r="AKN635"/>
      <c r="AKO635"/>
      <c r="AKP635"/>
      <c r="AKQ635"/>
      <c r="AKR635"/>
      <c r="AKS635"/>
      <c r="AKT635"/>
      <c r="AKU635"/>
      <c r="AKV635"/>
      <c r="AKW635"/>
    </row>
    <row r="636" spans="1:985">
      <c r="B636" s="430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  <c r="ZW636"/>
      <c r="ZX636"/>
      <c r="ZY636"/>
      <c r="ZZ636"/>
      <c r="AAA636"/>
      <c r="AAB636"/>
      <c r="AAC636"/>
      <c r="AAD636"/>
      <c r="AAE636"/>
      <c r="AAF636"/>
      <c r="AAG636"/>
      <c r="AAH636"/>
      <c r="AAI636"/>
      <c r="AAJ636"/>
      <c r="AAK636"/>
      <c r="AAL636"/>
      <c r="AAM636"/>
      <c r="AAN636"/>
      <c r="AAO636"/>
      <c r="AAP636"/>
      <c r="AAQ636"/>
      <c r="AAR636"/>
      <c r="AAS636"/>
      <c r="AAT636"/>
      <c r="AAU636"/>
      <c r="AAV636"/>
      <c r="AAW636"/>
      <c r="AAX636"/>
      <c r="AAY636"/>
      <c r="AAZ636"/>
      <c r="ABA636"/>
      <c r="ABB636"/>
      <c r="ABC636"/>
      <c r="ABD636"/>
      <c r="ABE636"/>
      <c r="ABF636"/>
      <c r="ABG636"/>
      <c r="ABH636"/>
      <c r="ABI636"/>
      <c r="ABJ636"/>
      <c r="ABK636"/>
      <c r="ABL636"/>
      <c r="ABM636"/>
      <c r="ABN636"/>
      <c r="ABO636"/>
      <c r="ABP636"/>
      <c r="ABQ636"/>
      <c r="ABR636"/>
      <c r="ABS636"/>
      <c r="ABT636"/>
      <c r="ABU636"/>
      <c r="ABV636"/>
      <c r="ABW636"/>
      <c r="ABX636"/>
      <c r="ABY636"/>
      <c r="ABZ636"/>
      <c r="ACA636"/>
      <c r="ACB636"/>
      <c r="ACC636"/>
      <c r="ACD636"/>
      <c r="ACE636"/>
      <c r="ACF636"/>
      <c r="ACG636"/>
      <c r="ACH636"/>
      <c r="ACI636"/>
      <c r="ACJ636"/>
      <c r="ACK636"/>
      <c r="ACL636"/>
      <c r="ACM636"/>
      <c r="ACN636"/>
      <c r="ACO636"/>
      <c r="ACP636"/>
      <c r="ACQ636"/>
      <c r="ACR636"/>
      <c r="ACS636"/>
      <c r="ACT636"/>
      <c r="ACU636"/>
      <c r="ACV636"/>
      <c r="ACW636"/>
      <c r="ACX636"/>
      <c r="ACY636"/>
      <c r="ACZ636"/>
      <c r="ADA636"/>
      <c r="ADB636"/>
      <c r="ADC636"/>
      <c r="ADD636"/>
      <c r="ADE636"/>
      <c r="ADF636"/>
      <c r="ADG636"/>
      <c r="ADH636"/>
      <c r="ADI636"/>
      <c r="ADJ636"/>
      <c r="ADK636"/>
      <c r="ADL636"/>
      <c r="ADM636"/>
      <c r="ADN636"/>
      <c r="ADO636"/>
      <c r="ADP636"/>
      <c r="ADQ636"/>
      <c r="ADR636"/>
      <c r="ADS636"/>
      <c r="ADT636"/>
      <c r="ADU636"/>
      <c r="ADV636"/>
      <c r="ADW636"/>
      <c r="ADX636"/>
      <c r="ADY636"/>
      <c r="ADZ636"/>
      <c r="AEA636"/>
      <c r="AEB636"/>
      <c r="AEC636"/>
      <c r="AED636"/>
      <c r="AEE636"/>
      <c r="AEF636"/>
      <c r="AEG636"/>
      <c r="AEH636"/>
      <c r="AEI636"/>
      <c r="AEJ636"/>
      <c r="AEK636"/>
      <c r="AEL636"/>
      <c r="AEM636"/>
      <c r="AEN636"/>
      <c r="AEO636"/>
      <c r="AEP636"/>
      <c r="AEQ636"/>
      <c r="AER636"/>
      <c r="AES636"/>
      <c r="AET636"/>
      <c r="AEU636"/>
      <c r="AEV636"/>
      <c r="AEW636"/>
      <c r="AEX636"/>
      <c r="AEY636"/>
      <c r="AEZ636"/>
      <c r="AFA636"/>
      <c r="AFB636"/>
      <c r="AFC636"/>
      <c r="AFD636"/>
      <c r="AFE636"/>
      <c r="AFF636"/>
      <c r="AFG636"/>
      <c r="AFH636"/>
      <c r="AFI636"/>
      <c r="AFJ636"/>
      <c r="AFK636"/>
      <c r="AFL636"/>
      <c r="AFM636"/>
      <c r="AFN636"/>
      <c r="AFO636"/>
      <c r="AFP636"/>
      <c r="AFQ636"/>
      <c r="AFR636"/>
      <c r="AFS636"/>
      <c r="AFT636"/>
      <c r="AFU636"/>
      <c r="AFV636"/>
      <c r="AFW636"/>
      <c r="AFX636"/>
      <c r="AFY636"/>
      <c r="AFZ636"/>
      <c r="AGA636"/>
      <c r="AGB636"/>
      <c r="AGC636"/>
      <c r="AGD636"/>
      <c r="AGE636"/>
      <c r="AGF636"/>
      <c r="AGG636"/>
      <c r="AGH636"/>
      <c r="AGI636"/>
      <c r="AGJ636"/>
      <c r="AGK636"/>
      <c r="AGL636"/>
      <c r="AGM636"/>
      <c r="AGN636"/>
      <c r="AGO636"/>
      <c r="AGP636"/>
      <c r="AGQ636"/>
      <c r="AGR636"/>
      <c r="AGS636"/>
      <c r="AGT636"/>
      <c r="AGU636"/>
      <c r="AGV636"/>
      <c r="AGW636"/>
      <c r="AGX636"/>
      <c r="AGY636"/>
      <c r="AGZ636"/>
      <c r="AHA636"/>
      <c r="AHB636"/>
      <c r="AHC636"/>
      <c r="AHD636"/>
      <c r="AHE636"/>
      <c r="AHF636"/>
      <c r="AHG636"/>
      <c r="AHH636"/>
      <c r="AHI636"/>
      <c r="AHJ636"/>
      <c r="AHK636"/>
      <c r="AHL636"/>
      <c r="AHM636"/>
      <c r="AHN636"/>
      <c r="AHO636"/>
      <c r="AHP636"/>
      <c r="AHQ636"/>
      <c r="AHR636"/>
      <c r="AHS636"/>
      <c r="AHT636"/>
      <c r="AHU636"/>
      <c r="AHV636"/>
      <c r="AHW636"/>
      <c r="AHX636"/>
      <c r="AHY636"/>
      <c r="AHZ636"/>
      <c r="AIA636"/>
      <c r="AIB636"/>
      <c r="AIC636"/>
      <c r="AID636"/>
      <c r="AIE636"/>
      <c r="AIF636"/>
      <c r="AIG636"/>
      <c r="AIH636"/>
      <c r="AII636"/>
      <c r="AIJ636"/>
      <c r="AIK636"/>
      <c r="AIL636"/>
      <c r="AIM636"/>
      <c r="AIN636"/>
      <c r="AIO636"/>
      <c r="AIP636"/>
      <c r="AIQ636"/>
      <c r="AIR636"/>
      <c r="AIS636"/>
      <c r="AIT636"/>
      <c r="AIU636"/>
      <c r="AIV636"/>
      <c r="AIW636"/>
      <c r="AIX636"/>
      <c r="AIY636"/>
      <c r="AIZ636"/>
      <c r="AJA636"/>
      <c r="AJB636"/>
      <c r="AJC636"/>
      <c r="AJD636"/>
      <c r="AJE636"/>
      <c r="AJF636"/>
      <c r="AJG636"/>
      <c r="AJH636"/>
      <c r="AJI636"/>
      <c r="AJJ636"/>
      <c r="AJK636"/>
      <c r="AJL636"/>
      <c r="AJM636"/>
      <c r="AJN636"/>
      <c r="AJO636"/>
      <c r="AJP636"/>
      <c r="AJQ636"/>
      <c r="AJR636"/>
      <c r="AJS636"/>
      <c r="AJT636"/>
      <c r="AJU636"/>
      <c r="AJV636"/>
      <c r="AJW636"/>
      <c r="AJX636"/>
      <c r="AJY636"/>
      <c r="AJZ636"/>
      <c r="AKA636"/>
      <c r="AKB636"/>
      <c r="AKC636"/>
      <c r="AKD636"/>
      <c r="AKE636"/>
      <c r="AKF636"/>
      <c r="AKG636"/>
      <c r="AKH636"/>
      <c r="AKI636"/>
      <c r="AKJ636"/>
      <c r="AKK636"/>
      <c r="AKL636"/>
      <c r="AKM636"/>
      <c r="AKN636"/>
      <c r="AKO636"/>
      <c r="AKP636"/>
      <c r="AKQ636"/>
      <c r="AKR636"/>
      <c r="AKS636"/>
      <c r="AKT636"/>
      <c r="AKU636"/>
      <c r="AKV636"/>
      <c r="AKW636"/>
    </row>
    <row r="637" spans="1:985">
      <c r="B637" s="413"/>
    </row>
    <row r="638" spans="1:985">
      <c r="B638" s="413"/>
    </row>
    <row r="639" spans="1:985" s="462" customFormat="1" ht="12.75">
      <c r="A639" s="454"/>
      <c r="B639" s="461"/>
    </row>
    <row r="640" spans="1:985">
      <c r="B640" s="413"/>
    </row>
    <row r="641" spans="2:985">
      <c r="B641" s="430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  <c r="ZW641"/>
      <c r="ZX641"/>
      <c r="ZY641"/>
      <c r="ZZ641"/>
      <c r="AAA641"/>
      <c r="AAB641"/>
      <c r="AAC641"/>
      <c r="AAD641"/>
      <c r="AAE641"/>
      <c r="AAF641"/>
      <c r="AAG641"/>
      <c r="AAH641"/>
      <c r="AAI641"/>
      <c r="AAJ641"/>
      <c r="AAK641"/>
      <c r="AAL641"/>
      <c r="AAM641"/>
      <c r="AAN641"/>
      <c r="AAO641"/>
      <c r="AAP641"/>
      <c r="AAQ641"/>
      <c r="AAR641"/>
      <c r="AAS641"/>
      <c r="AAT641"/>
      <c r="AAU641"/>
      <c r="AAV641"/>
      <c r="AAW641"/>
      <c r="AAX641"/>
      <c r="AAY641"/>
      <c r="AAZ641"/>
      <c r="ABA641"/>
      <c r="ABB641"/>
      <c r="ABC641"/>
      <c r="ABD641"/>
      <c r="ABE641"/>
      <c r="ABF641"/>
      <c r="ABG641"/>
      <c r="ABH641"/>
      <c r="ABI641"/>
      <c r="ABJ641"/>
      <c r="ABK641"/>
      <c r="ABL641"/>
      <c r="ABM641"/>
      <c r="ABN641"/>
      <c r="ABO641"/>
      <c r="ABP641"/>
      <c r="ABQ641"/>
      <c r="ABR641"/>
      <c r="ABS641"/>
      <c r="ABT641"/>
      <c r="ABU641"/>
      <c r="ABV641"/>
      <c r="ABW641"/>
      <c r="ABX641"/>
      <c r="ABY641"/>
      <c r="ABZ641"/>
      <c r="ACA641"/>
      <c r="ACB641"/>
      <c r="ACC641"/>
      <c r="ACD641"/>
      <c r="ACE641"/>
      <c r="ACF641"/>
      <c r="ACG641"/>
      <c r="ACH641"/>
      <c r="ACI641"/>
      <c r="ACJ641"/>
      <c r="ACK641"/>
      <c r="ACL641"/>
      <c r="ACM641"/>
      <c r="ACN641"/>
      <c r="ACO641"/>
      <c r="ACP641"/>
      <c r="ACQ641"/>
      <c r="ACR641"/>
      <c r="ACS641"/>
      <c r="ACT641"/>
      <c r="ACU641"/>
      <c r="ACV641"/>
      <c r="ACW641"/>
      <c r="ACX641"/>
      <c r="ACY641"/>
      <c r="ACZ641"/>
      <c r="ADA641"/>
      <c r="ADB641"/>
      <c r="ADC641"/>
      <c r="ADD641"/>
      <c r="ADE641"/>
      <c r="ADF641"/>
      <c r="ADG641"/>
      <c r="ADH641"/>
      <c r="ADI641"/>
      <c r="ADJ641"/>
      <c r="ADK641"/>
      <c r="ADL641"/>
      <c r="ADM641"/>
      <c r="ADN641"/>
      <c r="ADO641"/>
      <c r="ADP641"/>
      <c r="ADQ641"/>
      <c r="ADR641"/>
      <c r="ADS641"/>
      <c r="ADT641"/>
      <c r="ADU641"/>
      <c r="ADV641"/>
      <c r="ADW641"/>
      <c r="ADX641"/>
      <c r="ADY641"/>
      <c r="ADZ641"/>
      <c r="AEA641"/>
      <c r="AEB641"/>
      <c r="AEC641"/>
      <c r="AED641"/>
      <c r="AEE641"/>
      <c r="AEF641"/>
      <c r="AEG641"/>
      <c r="AEH641"/>
      <c r="AEI641"/>
      <c r="AEJ641"/>
      <c r="AEK641"/>
      <c r="AEL641"/>
      <c r="AEM641"/>
      <c r="AEN641"/>
      <c r="AEO641"/>
      <c r="AEP641"/>
      <c r="AEQ641"/>
      <c r="AER641"/>
      <c r="AES641"/>
      <c r="AET641"/>
      <c r="AEU641"/>
      <c r="AEV641"/>
      <c r="AEW641"/>
      <c r="AEX641"/>
      <c r="AEY641"/>
      <c r="AEZ641"/>
      <c r="AFA641"/>
      <c r="AFB641"/>
      <c r="AFC641"/>
      <c r="AFD641"/>
      <c r="AFE641"/>
      <c r="AFF641"/>
      <c r="AFG641"/>
      <c r="AFH641"/>
      <c r="AFI641"/>
      <c r="AFJ641"/>
      <c r="AFK641"/>
      <c r="AFL641"/>
      <c r="AFM641"/>
      <c r="AFN641"/>
      <c r="AFO641"/>
      <c r="AFP641"/>
      <c r="AFQ641"/>
      <c r="AFR641"/>
      <c r="AFS641"/>
      <c r="AFT641"/>
      <c r="AFU641"/>
      <c r="AFV641"/>
      <c r="AFW641"/>
      <c r="AFX641"/>
      <c r="AFY641"/>
      <c r="AFZ641"/>
      <c r="AGA641"/>
      <c r="AGB641"/>
      <c r="AGC641"/>
      <c r="AGD641"/>
      <c r="AGE641"/>
      <c r="AGF641"/>
      <c r="AGG641"/>
      <c r="AGH641"/>
      <c r="AGI641"/>
      <c r="AGJ641"/>
      <c r="AGK641"/>
      <c r="AGL641"/>
      <c r="AGM641"/>
      <c r="AGN641"/>
      <c r="AGO641"/>
      <c r="AGP641"/>
      <c r="AGQ641"/>
      <c r="AGR641"/>
      <c r="AGS641"/>
      <c r="AGT641"/>
      <c r="AGU641"/>
      <c r="AGV641"/>
      <c r="AGW641"/>
      <c r="AGX641"/>
      <c r="AGY641"/>
      <c r="AGZ641"/>
      <c r="AHA641"/>
      <c r="AHB641"/>
      <c r="AHC641"/>
      <c r="AHD641"/>
      <c r="AHE641"/>
      <c r="AHF641"/>
      <c r="AHG641"/>
      <c r="AHH641"/>
      <c r="AHI641"/>
      <c r="AHJ641"/>
      <c r="AHK641"/>
      <c r="AHL641"/>
      <c r="AHM641"/>
      <c r="AHN641"/>
      <c r="AHO641"/>
      <c r="AHP641"/>
      <c r="AHQ641"/>
      <c r="AHR641"/>
      <c r="AHS641"/>
      <c r="AHT641"/>
      <c r="AHU641"/>
      <c r="AHV641"/>
      <c r="AHW641"/>
      <c r="AHX641"/>
      <c r="AHY641"/>
      <c r="AHZ641"/>
      <c r="AIA641"/>
      <c r="AIB641"/>
      <c r="AIC641"/>
      <c r="AID641"/>
      <c r="AIE641"/>
      <c r="AIF641"/>
      <c r="AIG641"/>
      <c r="AIH641"/>
      <c r="AII641"/>
      <c r="AIJ641"/>
      <c r="AIK641"/>
      <c r="AIL641"/>
      <c r="AIM641"/>
      <c r="AIN641"/>
      <c r="AIO641"/>
      <c r="AIP641"/>
      <c r="AIQ641"/>
      <c r="AIR641"/>
      <c r="AIS641"/>
      <c r="AIT641"/>
      <c r="AIU641"/>
      <c r="AIV641"/>
      <c r="AIW641"/>
      <c r="AIX641"/>
      <c r="AIY641"/>
      <c r="AIZ641"/>
      <c r="AJA641"/>
      <c r="AJB641"/>
      <c r="AJC641"/>
      <c r="AJD641"/>
      <c r="AJE641"/>
      <c r="AJF641"/>
      <c r="AJG641"/>
      <c r="AJH641"/>
      <c r="AJI641"/>
      <c r="AJJ641"/>
      <c r="AJK641"/>
      <c r="AJL641"/>
      <c r="AJM641"/>
      <c r="AJN641"/>
      <c r="AJO641"/>
      <c r="AJP641"/>
      <c r="AJQ641"/>
      <c r="AJR641"/>
      <c r="AJS641"/>
      <c r="AJT641"/>
      <c r="AJU641"/>
      <c r="AJV641"/>
      <c r="AJW641"/>
      <c r="AJX641"/>
      <c r="AJY641"/>
      <c r="AJZ641"/>
      <c r="AKA641"/>
      <c r="AKB641"/>
      <c r="AKC641"/>
      <c r="AKD641"/>
      <c r="AKE641"/>
      <c r="AKF641"/>
      <c r="AKG641"/>
      <c r="AKH641"/>
      <c r="AKI641"/>
      <c r="AKJ641"/>
      <c r="AKK641"/>
      <c r="AKL641"/>
      <c r="AKM641"/>
      <c r="AKN641"/>
      <c r="AKO641"/>
      <c r="AKP641"/>
      <c r="AKQ641"/>
      <c r="AKR641"/>
      <c r="AKS641"/>
      <c r="AKT641"/>
      <c r="AKU641"/>
      <c r="AKV641"/>
      <c r="AKW641"/>
    </row>
    <row r="642" spans="2:985">
      <c r="B642" s="41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9FED6-E25D-42C6-82E7-12421C64E2BB}">
  <dimension ref="A1:J122"/>
  <sheetViews>
    <sheetView topLeftCell="A73" workbookViewId="0">
      <selection activeCell="J17" sqref="J17"/>
    </sheetView>
  </sheetViews>
  <sheetFormatPr defaultColWidth="11.42578125" defaultRowHeight="15"/>
  <cols>
    <col min="1" max="1" width="5" customWidth="1"/>
    <col min="2" max="2" width="42.42578125" customWidth="1"/>
    <col min="3" max="3" width="11.42578125" style="597"/>
  </cols>
  <sheetData>
    <row r="1" spans="1:10">
      <c r="A1" s="4"/>
      <c r="B1" s="178" t="s">
        <v>330</v>
      </c>
      <c r="C1" s="603"/>
      <c r="D1" s="4"/>
      <c r="E1" s="4" t="s">
        <v>1990</v>
      </c>
      <c r="F1" s="4" t="s">
        <v>1991</v>
      </c>
    </row>
    <row r="2" spans="1:10">
      <c r="A2" s="4">
        <v>1</v>
      </c>
      <c r="B2" s="282" t="s">
        <v>1483</v>
      </c>
      <c r="C2" s="603">
        <v>3696</v>
      </c>
      <c r="D2" s="291">
        <v>750</v>
      </c>
      <c r="E2" s="5">
        <v>1</v>
      </c>
      <c r="F2" s="4"/>
    </row>
    <row r="3" spans="1:10">
      <c r="A3" s="4">
        <f>+A2+1</f>
        <v>2</v>
      </c>
      <c r="B3" s="602" t="s">
        <v>1485</v>
      </c>
      <c r="C3" s="604"/>
      <c r="D3" s="605">
        <v>0</v>
      </c>
      <c r="E3" s="607"/>
      <c r="F3" s="606"/>
    </row>
    <row r="4" spans="1:10">
      <c r="A4" s="4">
        <f t="shared" ref="A4:A14" si="0">+A3+1</f>
        <v>3</v>
      </c>
      <c r="B4" s="282" t="s">
        <v>1489</v>
      </c>
      <c r="C4" s="603">
        <v>3668</v>
      </c>
      <c r="D4" s="291">
        <v>750</v>
      </c>
      <c r="E4" s="5">
        <v>1</v>
      </c>
      <c r="F4" s="4"/>
    </row>
    <row r="5" spans="1:10">
      <c r="A5" s="4">
        <f t="shared" si="0"/>
        <v>4</v>
      </c>
      <c r="B5" s="293" t="s">
        <v>1492</v>
      </c>
      <c r="C5" s="603">
        <v>3713</v>
      </c>
      <c r="D5" s="291">
        <v>750</v>
      </c>
      <c r="E5" s="611">
        <v>1</v>
      </c>
      <c r="F5" s="4"/>
    </row>
    <row r="6" spans="1:10">
      <c r="A6" s="4">
        <f t="shared" si="0"/>
        <v>5</v>
      </c>
      <c r="B6" s="282" t="s">
        <v>1496</v>
      </c>
      <c r="C6" s="603">
        <v>3707</v>
      </c>
      <c r="D6" s="291">
        <v>750</v>
      </c>
      <c r="E6" s="5">
        <v>1</v>
      </c>
      <c r="F6" s="4"/>
    </row>
    <row r="7" spans="1:10">
      <c r="A7" s="4">
        <f t="shared" si="0"/>
        <v>6</v>
      </c>
      <c r="B7" s="282" t="s">
        <v>1498</v>
      </c>
      <c r="C7" s="603">
        <v>3686</v>
      </c>
      <c r="D7" s="291">
        <v>750</v>
      </c>
      <c r="E7" s="5">
        <v>1</v>
      </c>
      <c r="F7" s="4"/>
    </row>
    <row r="8" spans="1:10">
      <c r="A8" s="4">
        <f t="shared" si="0"/>
        <v>7</v>
      </c>
      <c r="B8" s="282" t="s">
        <v>331</v>
      </c>
      <c r="C8" s="603"/>
      <c r="D8" s="291"/>
      <c r="E8" s="608"/>
      <c r="F8" s="4"/>
    </row>
    <row r="9" spans="1:10">
      <c r="A9" s="4">
        <f t="shared" si="0"/>
        <v>8</v>
      </c>
      <c r="B9" s="282" t="s">
        <v>332</v>
      </c>
      <c r="C9" s="603">
        <v>3699</v>
      </c>
      <c r="D9" s="291">
        <v>750</v>
      </c>
      <c r="E9" s="5">
        <v>1</v>
      </c>
      <c r="F9" s="4"/>
    </row>
    <row r="10" spans="1:10">
      <c r="A10" s="4">
        <f t="shared" si="0"/>
        <v>9</v>
      </c>
      <c r="B10" s="282" t="s">
        <v>334</v>
      </c>
      <c r="C10" s="603">
        <v>3648</v>
      </c>
      <c r="D10" s="291">
        <v>750</v>
      </c>
      <c r="E10" s="5">
        <v>1</v>
      </c>
      <c r="F10" s="4"/>
    </row>
    <row r="11" spans="1:10">
      <c r="A11" s="4">
        <f t="shared" si="0"/>
        <v>10</v>
      </c>
      <c r="B11" s="282" t="s">
        <v>1504</v>
      </c>
      <c r="C11" s="603">
        <v>3687</v>
      </c>
      <c r="D11" s="291">
        <v>750</v>
      </c>
      <c r="E11" s="5">
        <v>1</v>
      </c>
      <c r="F11" s="4"/>
    </row>
    <row r="12" spans="1:10">
      <c r="A12" s="4">
        <f t="shared" si="0"/>
        <v>11</v>
      </c>
      <c r="B12" s="282" t="s">
        <v>1506</v>
      </c>
      <c r="C12" s="603">
        <v>3667</v>
      </c>
      <c r="D12" s="291">
        <v>750</v>
      </c>
      <c r="E12" s="5">
        <v>1</v>
      </c>
      <c r="F12" s="4"/>
    </row>
    <row r="13" spans="1:10">
      <c r="A13" s="4">
        <f t="shared" si="0"/>
        <v>12</v>
      </c>
      <c r="B13" s="602" t="s">
        <v>333</v>
      </c>
      <c r="C13" s="604"/>
      <c r="D13" s="605">
        <v>0</v>
      </c>
      <c r="E13" s="607"/>
      <c r="F13" s="606"/>
    </row>
    <row r="14" spans="1:10">
      <c r="A14" s="4">
        <f t="shared" si="0"/>
        <v>13</v>
      </c>
      <c r="B14" s="282" t="s">
        <v>1509</v>
      </c>
      <c r="C14" s="603">
        <v>3576</v>
      </c>
      <c r="D14" s="291">
        <v>750</v>
      </c>
      <c r="E14" s="5">
        <v>1</v>
      </c>
      <c r="F14" s="4"/>
    </row>
    <row r="15" spans="1:10">
      <c r="A15" s="4"/>
      <c r="B15" s="282"/>
      <c r="C15" s="603"/>
      <c r="D15" s="291"/>
      <c r="E15" s="5"/>
      <c r="F15" s="4"/>
    </row>
    <row r="16" spans="1:10">
      <c r="A16" s="4"/>
      <c r="B16" s="282"/>
      <c r="C16" s="603"/>
      <c r="D16" s="291"/>
      <c r="E16" s="5">
        <f>SUM(E2:E15)</f>
        <v>10</v>
      </c>
      <c r="F16" s="4"/>
      <c r="G16">
        <f>SUM(E16:F16)</f>
        <v>10</v>
      </c>
      <c r="J16">
        <v>3</v>
      </c>
    </row>
    <row r="17" spans="1:6">
      <c r="B17" s="151"/>
      <c r="D17" s="8"/>
    </row>
    <row r="18" spans="1:6">
      <c r="A18" s="4"/>
      <c r="B18" s="178" t="s">
        <v>335</v>
      </c>
      <c r="C18" s="603"/>
      <c r="D18" s="291"/>
      <c r="E18" s="4" t="s">
        <v>1990</v>
      </c>
      <c r="F18" s="4" t="s">
        <v>1991</v>
      </c>
    </row>
    <row r="19" spans="1:6">
      <c r="A19" s="4">
        <v>1</v>
      </c>
      <c r="B19" s="282" t="s">
        <v>383</v>
      </c>
      <c r="C19" s="603"/>
      <c r="D19" s="291"/>
      <c r="E19" s="608"/>
      <c r="F19" s="5"/>
    </row>
    <row r="20" spans="1:6">
      <c r="A20" s="4">
        <f>+A19+1</f>
        <v>2</v>
      </c>
      <c r="B20" s="282" t="s">
        <v>384</v>
      </c>
      <c r="C20" s="603">
        <v>3673</v>
      </c>
      <c r="D20" s="291">
        <v>750</v>
      </c>
      <c r="E20" s="5">
        <v>1</v>
      </c>
      <c r="F20" s="5"/>
    </row>
    <row r="21" spans="1:6">
      <c r="A21" s="4">
        <f t="shared" ref="A21:A46" si="1">+A20+1</f>
        <v>3</v>
      </c>
      <c r="B21" s="282" t="s">
        <v>386</v>
      </c>
      <c r="C21" s="603">
        <v>3685</v>
      </c>
      <c r="D21" s="291">
        <v>750</v>
      </c>
      <c r="E21" s="5">
        <v>1</v>
      </c>
      <c r="F21" s="5"/>
    </row>
    <row r="22" spans="1:6">
      <c r="A22" s="4">
        <f t="shared" si="1"/>
        <v>4</v>
      </c>
      <c r="B22" s="282" t="s">
        <v>388</v>
      </c>
      <c r="C22" s="603">
        <v>3685</v>
      </c>
      <c r="D22" s="291">
        <v>750</v>
      </c>
      <c r="E22" s="5"/>
      <c r="F22" s="5">
        <v>1</v>
      </c>
    </row>
    <row r="23" spans="1:6">
      <c r="A23" s="4">
        <f t="shared" si="1"/>
        <v>5</v>
      </c>
      <c r="B23" s="293" t="s">
        <v>389</v>
      </c>
      <c r="C23" s="603">
        <v>3674</v>
      </c>
      <c r="D23" s="291">
        <v>750</v>
      </c>
      <c r="E23" s="5">
        <v>1</v>
      </c>
      <c r="F23" s="5"/>
    </row>
    <row r="24" spans="1:6">
      <c r="A24" s="4">
        <f t="shared" si="1"/>
        <v>6</v>
      </c>
      <c r="B24" s="282" t="s">
        <v>391</v>
      </c>
      <c r="C24" s="603">
        <v>3655</v>
      </c>
      <c r="D24" s="291">
        <v>750</v>
      </c>
      <c r="E24" s="5">
        <v>1</v>
      </c>
      <c r="F24" s="5"/>
    </row>
    <row r="25" spans="1:6">
      <c r="A25" s="4">
        <f t="shared" si="1"/>
        <v>7</v>
      </c>
      <c r="B25" s="602" t="s">
        <v>393</v>
      </c>
      <c r="C25" s="604"/>
      <c r="D25" s="605"/>
      <c r="E25" s="607"/>
      <c r="F25" s="607"/>
    </row>
    <row r="26" spans="1:6">
      <c r="A26" s="4">
        <f t="shared" si="1"/>
        <v>8</v>
      </c>
      <c r="B26" s="602" t="s">
        <v>395</v>
      </c>
      <c r="C26" s="604"/>
      <c r="D26" s="605"/>
      <c r="E26" s="607"/>
      <c r="F26" s="607"/>
    </row>
    <row r="27" spans="1:6">
      <c r="A27" s="4">
        <f t="shared" si="1"/>
        <v>9</v>
      </c>
      <c r="B27" s="602" t="s">
        <v>397</v>
      </c>
      <c r="C27" s="604"/>
      <c r="D27" s="605"/>
      <c r="E27" s="607"/>
      <c r="F27" s="607"/>
    </row>
    <row r="28" spans="1:6">
      <c r="A28" s="4">
        <f t="shared" si="1"/>
        <v>10</v>
      </c>
      <c r="B28" s="282" t="s">
        <v>399</v>
      </c>
      <c r="C28" s="603">
        <v>3705</v>
      </c>
      <c r="D28" s="291">
        <v>750</v>
      </c>
      <c r="E28" s="5"/>
      <c r="F28" s="5">
        <v>1</v>
      </c>
    </row>
    <row r="29" spans="1:6">
      <c r="A29" s="4">
        <f t="shared" si="1"/>
        <v>11</v>
      </c>
      <c r="B29" s="282" t="s">
        <v>400</v>
      </c>
      <c r="C29" s="603">
        <v>3704</v>
      </c>
      <c r="D29" s="291">
        <v>750</v>
      </c>
      <c r="E29" s="5">
        <v>1</v>
      </c>
      <c r="F29" s="5"/>
    </row>
    <row r="30" spans="1:6">
      <c r="A30" s="4">
        <f t="shared" si="1"/>
        <v>12</v>
      </c>
      <c r="B30" s="282" t="s">
        <v>401</v>
      </c>
      <c r="C30" s="603">
        <v>3657</v>
      </c>
      <c r="D30" s="291">
        <v>750</v>
      </c>
      <c r="E30" s="5">
        <v>1</v>
      </c>
      <c r="F30" s="5"/>
    </row>
    <row r="31" spans="1:6">
      <c r="A31" s="4">
        <f t="shared" si="1"/>
        <v>13</v>
      </c>
      <c r="B31" s="282" t="s">
        <v>402</v>
      </c>
      <c r="C31" s="603">
        <v>3676</v>
      </c>
      <c r="D31" s="291">
        <v>750</v>
      </c>
      <c r="E31" s="5"/>
      <c r="F31" s="5">
        <v>1</v>
      </c>
    </row>
    <row r="32" spans="1:6">
      <c r="A32" s="4">
        <f t="shared" si="1"/>
        <v>14</v>
      </c>
      <c r="B32" s="602" t="s">
        <v>403</v>
      </c>
      <c r="C32" s="604"/>
      <c r="D32" s="605"/>
      <c r="E32" s="607"/>
      <c r="F32" s="607"/>
    </row>
    <row r="33" spans="1:10">
      <c r="A33" s="4">
        <f t="shared" si="1"/>
        <v>15</v>
      </c>
      <c r="B33" s="282" t="s">
        <v>404</v>
      </c>
      <c r="C33" s="603"/>
      <c r="D33" s="291"/>
      <c r="E33" s="608"/>
      <c r="F33" s="5"/>
    </row>
    <row r="34" spans="1:10">
      <c r="A34" s="4">
        <f t="shared" si="1"/>
        <v>16</v>
      </c>
      <c r="B34" s="282" t="s">
        <v>405</v>
      </c>
      <c r="C34" s="603">
        <v>3695</v>
      </c>
      <c r="D34" s="291">
        <v>750</v>
      </c>
      <c r="E34" s="5">
        <v>1</v>
      </c>
      <c r="F34" s="5"/>
    </row>
    <row r="35" spans="1:10">
      <c r="A35" s="4">
        <f t="shared" si="1"/>
        <v>17</v>
      </c>
      <c r="B35" s="602" t="s">
        <v>336</v>
      </c>
      <c r="C35" s="604"/>
      <c r="D35" s="605"/>
      <c r="E35" s="607"/>
      <c r="F35" s="607"/>
    </row>
    <row r="36" spans="1:10">
      <c r="A36" s="4">
        <f t="shared" si="1"/>
        <v>18</v>
      </c>
      <c r="B36" s="602" t="s">
        <v>408</v>
      </c>
      <c r="C36" s="604"/>
      <c r="D36" s="605"/>
      <c r="E36" s="607"/>
      <c r="F36" s="607"/>
    </row>
    <row r="37" spans="1:10">
      <c r="A37" s="4">
        <f t="shared" si="1"/>
        <v>19</v>
      </c>
      <c r="B37" s="282" t="s">
        <v>409</v>
      </c>
      <c r="C37" s="603">
        <v>3669</v>
      </c>
      <c r="D37" s="291">
        <v>750</v>
      </c>
      <c r="E37" s="5">
        <v>1</v>
      </c>
      <c r="F37" s="5"/>
    </row>
    <row r="38" spans="1:10">
      <c r="A38" s="4">
        <f t="shared" si="1"/>
        <v>20</v>
      </c>
      <c r="B38" s="282" t="s">
        <v>411</v>
      </c>
      <c r="C38" s="603">
        <v>3710</v>
      </c>
      <c r="D38" s="291">
        <v>750</v>
      </c>
      <c r="E38" s="5"/>
      <c r="F38" s="5">
        <v>1</v>
      </c>
    </row>
    <row r="39" spans="1:10">
      <c r="A39" s="4">
        <f t="shared" si="1"/>
        <v>21</v>
      </c>
      <c r="B39" s="519" t="s">
        <v>413</v>
      </c>
      <c r="C39" s="603">
        <v>3675</v>
      </c>
      <c r="D39" s="291">
        <v>750</v>
      </c>
      <c r="E39" s="5">
        <v>1</v>
      </c>
      <c r="F39" s="5"/>
    </row>
    <row r="40" spans="1:10">
      <c r="A40" s="4">
        <f t="shared" si="1"/>
        <v>22</v>
      </c>
      <c r="B40" s="293" t="s">
        <v>337</v>
      </c>
      <c r="C40" s="603">
        <v>3656</v>
      </c>
      <c r="D40" s="291">
        <v>750</v>
      </c>
      <c r="E40" s="5">
        <v>1</v>
      </c>
      <c r="F40" s="5"/>
    </row>
    <row r="41" spans="1:10">
      <c r="A41" s="4">
        <f t="shared" si="1"/>
        <v>23</v>
      </c>
      <c r="B41" s="282" t="s">
        <v>415</v>
      </c>
      <c r="C41" s="603">
        <v>3701</v>
      </c>
      <c r="D41" s="291">
        <v>750</v>
      </c>
      <c r="E41" s="5">
        <v>1</v>
      </c>
      <c r="F41" s="5"/>
    </row>
    <row r="42" spans="1:10">
      <c r="A42" s="4">
        <f t="shared" si="1"/>
        <v>24</v>
      </c>
      <c r="B42" s="602" t="s">
        <v>416</v>
      </c>
      <c r="C42" s="604"/>
      <c r="D42" s="605"/>
      <c r="E42" s="607"/>
      <c r="F42" s="607"/>
    </row>
    <row r="43" spans="1:10">
      <c r="A43" s="4">
        <f t="shared" si="1"/>
        <v>25</v>
      </c>
      <c r="B43" s="282" t="s">
        <v>417</v>
      </c>
      <c r="C43" s="603">
        <v>3577</v>
      </c>
      <c r="D43" s="291">
        <v>750</v>
      </c>
      <c r="E43" s="5">
        <v>1</v>
      </c>
      <c r="F43" s="5"/>
    </row>
    <row r="44" spans="1:10">
      <c r="A44" s="4">
        <f t="shared" si="1"/>
        <v>26</v>
      </c>
      <c r="B44" s="293" t="s">
        <v>418</v>
      </c>
      <c r="C44" s="603">
        <v>3688</v>
      </c>
      <c r="D44" s="291">
        <v>750</v>
      </c>
      <c r="E44" s="5">
        <v>1</v>
      </c>
      <c r="F44" s="5"/>
    </row>
    <row r="45" spans="1:10">
      <c r="A45" s="4">
        <f t="shared" si="1"/>
        <v>27</v>
      </c>
      <c r="B45" s="282" t="s">
        <v>419</v>
      </c>
      <c r="C45" s="603">
        <v>3703</v>
      </c>
      <c r="D45" s="291">
        <v>750</v>
      </c>
      <c r="E45" s="5">
        <v>1</v>
      </c>
      <c r="F45" s="5"/>
    </row>
    <row r="46" spans="1:10">
      <c r="A46" s="4">
        <f t="shared" si="1"/>
        <v>28</v>
      </c>
      <c r="B46" s="282" t="s">
        <v>421</v>
      </c>
      <c r="C46" s="603">
        <v>3700</v>
      </c>
      <c r="D46" s="308">
        <v>750</v>
      </c>
      <c r="E46" s="5">
        <v>1</v>
      </c>
      <c r="F46" s="5"/>
    </row>
    <row r="47" spans="1:10">
      <c r="A47" s="4"/>
      <c r="B47" s="282"/>
      <c r="C47" s="603"/>
      <c r="D47" s="291"/>
      <c r="E47" s="5">
        <f>SUM(E19:E46)</f>
        <v>15</v>
      </c>
      <c r="F47" s="5">
        <f>SUM(F19:F46)</f>
        <v>4</v>
      </c>
      <c r="G47">
        <f>SUM(E47:F47)</f>
        <v>19</v>
      </c>
      <c r="J47">
        <v>9</v>
      </c>
    </row>
    <row r="48" spans="1:10">
      <c r="D48" s="8"/>
    </row>
    <row r="49" spans="1:6">
      <c r="D49" s="8"/>
    </row>
    <row r="50" spans="1:6">
      <c r="D50" s="8"/>
    </row>
    <row r="51" spans="1:6">
      <c r="A51" s="4"/>
      <c r="B51" s="178" t="s">
        <v>298</v>
      </c>
      <c r="C51" s="603"/>
      <c r="D51" s="291"/>
      <c r="E51" s="4" t="s">
        <v>1990</v>
      </c>
      <c r="F51" s="4" t="s">
        <v>1991</v>
      </c>
    </row>
    <row r="52" spans="1:6">
      <c r="A52" s="4">
        <v>1</v>
      </c>
      <c r="B52" s="293" t="s">
        <v>299</v>
      </c>
      <c r="C52" s="603">
        <v>3642</v>
      </c>
      <c r="D52" s="291">
        <v>750</v>
      </c>
      <c r="E52" s="5">
        <v>1</v>
      </c>
      <c r="F52" s="5"/>
    </row>
    <row r="53" spans="1:6">
      <c r="A53" s="4">
        <f>+A52+1</f>
        <v>2</v>
      </c>
      <c r="B53" s="282" t="s">
        <v>300</v>
      </c>
      <c r="C53" s="603">
        <v>3712</v>
      </c>
      <c r="D53" s="291">
        <v>750</v>
      </c>
      <c r="E53" s="5">
        <v>1</v>
      </c>
      <c r="F53" s="5"/>
    </row>
    <row r="54" spans="1:6">
      <c r="A54" s="4">
        <f t="shared" ref="A54:A77" si="2">+A53+1</f>
        <v>3</v>
      </c>
      <c r="B54" s="282" t="s">
        <v>301</v>
      </c>
      <c r="C54" s="603">
        <v>3689</v>
      </c>
      <c r="D54" s="291">
        <v>750</v>
      </c>
      <c r="E54" s="5"/>
      <c r="F54" s="5">
        <v>1</v>
      </c>
    </row>
    <row r="55" spans="1:6">
      <c r="A55" s="4">
        <f t="shared" si="2"/>
        <v>4</v>
      </c>
      <c r="B55" s="293" t="s">
        <v>1305</v>
      </c>
      <c r="C55" s="603" t="s">
        <v>1992</v>
      </c>
      <c r="D55" s="291">
        <v>750</v>
      </c>
      <c r="E55" s="611">
        <v>1</v>
      </c>
      <c r="F55" s="5"/>
    </row>
    <row r="56" spans="1:6">
      <c r="A56" s="4">
        <f t="shared" si="2"/>
        <v>5</v>
      </c>
      <c r="B56" s="282" t="s">
        <v>302</v>
      </c>
      <c r="C56" s="603">
        <v>3694</v>
      </c>
      <c r="D56" s="291">
        <v>750</v>
      </c>
      <c r="E56" s="5"/>
      <c r="F56" s="5">
        <v>1</v>
      </c>
    </row>
    <row r="57" spans="1:6">
      <c r="A57" s="4">
        <f t="shared" si="2"/>
        <v>6</v>
      </c>
      <c r="B57" s="282" t="s">
        <v>308</v>
      </c>
      <c r="C57" s="603">
        <v>3646</v>
      </c>
      <c r="D57" s="291">
        <v>750</v>
      </c>
      <c r="E57" s="5"/>
      <c r="F57" s="5">
        <v>1</v>
      </c>
    </row>
    <row r="58" spans="1:6">
      <c r="A58" s="4">
        <f t="shared" si="2"/>
        <v>7</v>
      </c>
      <c r="B58" s="293" t="s">
        <v>1309</v>
      </c>
      <c r="C58" s="603">
        <v>3711</v>
      </c>
      <c r="D58" s="291">
        <v>750</v>
      </c>
      <c r="E58" s="5"/>
      <c r="F58" s="5">
        <v>1</v>
      </c>
    </row>
    <row r="59" spans="1:6">
      <c r="A59" s="4">
        <f t="shared" si="2"/>
        <v>8</v>
      </c>
      <c r="B59" s="282" t="s">
        <v>1312</v>
      </c>
      <c r="C59" s="603">
        <v>3644</v>
      </c>
      <c r="D59" s="291">
        <v>750</v>
      </c>
      <c r="E59" s="5">
        <v>1</v>
      </c>
      <c r="F59" s="5"/>
    </row>
    <row r="60" spans="1:6">
      <c r="A60" s="4">
        <f t="shared" si="2"/>
        <v>9</v>
      </c>
      <c r="B60" s="293" t="s">
        <v>1315</v>
      </c>
      <c r="C60" s="603">
        <v>3684</v>
      </c>
      <c r="D60" s="291">
        <v>750</v>
      </c>
      <c r="E60" s="5">
        <v>1</v>
      </c>
      <c r="F60" s="5"/>
    </row>
    <row r="61" spans="1:6">
      <c r="A61" s="4">
        <f t="shared" si="2"/>
        <v>10</v>
      </c>
      <c r="B61" s="293" t="s">
        <v>1317</v>
      </c>
      <c r="C61" s="603"/>
      <c r="D61" s="291"/>
      <c r="E61" s="5"/>
      <c r="F61" s="608"/>
    </row>
    <row r="62" spans="1:6">
      <c r="A62" s="4">
        <f t="shared" si="2"/>
        <v>11</v>
      </c>
      <c r="B62" s="293" t="s">
        <v>1319</v>
      </c>
      <c r="C62" s="603">
        <v>3709</v>
      </c>
      <c r="D62" s="291">
        <v>750</v>
      </c>
      <c r="E62" s="5"/>
      <c r="F62" s="5">
        <v>1</v>
      </c>
    </row>
    <row r="63" spans="1:6">
      <c r="A63" s="4">
        <f t="shared" si="2"/>
        <v>12</v>
      </c>
      <c r="B63" s="293" t="s">
        <v>1322</v>
      </c>
      <c r="C63" s="603">
        <v>3680</v>
      </c>
      <c r="D63" s="291">
        <v>750</v>
      </c>
      <c r="E63" s="5"/>
      <c r="F63" s="5">
        <v>1</v>
      </c>
    </row>
    <row r="64" spans="1:6">
      <c r="A64" s="4">
        <f t="shared" si="2"/>
        <v>13</v>
      </c>
      <c r="B64" s="293" t="s">
        <v>1324</v>
      </c>
      <c r="C64" s="603"/>
      <c r="D64" s="291"/>
      <c r="E64" s="5"/>
      <c r="F64" s="608"/>
    </row>
    <row r="65" spans="1:10">
      <c r="A65" s="4">
        <f t="shared" si="2"/>
        <v>14</v>
      </c>
      <c r="B65" s="293" t="s">
        <v>304</v>
      </c>
      <c r="C65" s="603">
        <v>3691</v>
      </c>
      <c r="D65" s="291">
        <v>750</v>
      </c>
      <c r="E65" s="5">
        <v>1</v>
      </c>
      <c r="F65" s="5"/>
    </row>
    <row r="66" spans="1:10">
      <c r="A66" s="4">
        <f t="shared" si="2"/>
        <v>15</v>
      </c>
      <c r="B66" s="293" t="s">
        <v>1328</v>
      </c>
      <c r="C66" s="603">
        <v>3653</v>
      </c>
      <c r="D66" s="291">
        <v>750</v>
      </c>
      <c r="E66" s="5"/>
      <c r="F66" s="5">
        <v>1</v>
      </c>
    </row>
    <row r="67" spans="1:10">
      <c r="A67" s="4">
        <f t="shared" si="2"/>
        <v>16</v>
      </c>
      <c r="B67" s="293" t="s">
        <v>1330</v>
      </c>
      <c r="C67" s="603">
        <v>3671</v>
      </c>
      <c r="D67" s="291">
        <v>750</v>
      </c>
      <c r="E67" s="5"/>
      <c r="F67" s="5">
        <v>1</v>
      </c>
    </row>
    <row r="68" spans="1:10">
      <c r="A68" s="4">
        <f t="shared" si="2"/>
        <v>17</v>
      </c>
      <c r="B68" s="282" t="s">
        <v>309</v>
      </c>
      <c r="C68" s="603">
        <v>3683</v>
      </c>
      <c r="D68" s="291">
        <v>750</v>
      </c>
      <c r="E68" s="5"/>
      <c r="F68" s="5">
        <v>1</v>
      </c>
    </row>
    <row r="69" spans="1:10">
      <c r="A69" s="4">
        <f t="shared" si="2"/>
        <v>18</v>
      </c>
      <c r="B69" s="293" t="s">
        <v>1333</v>
      </c>
      <c r="C69" s="603">
        <v>3698</v>
      </c>
      <c r="D69" s="291">
        <v>750</v>
      </c>
      <c r="E69" s="5">
        <v>1</v>
      </c>
      <c r="F69" s="5"/>
    </row>
    <row r="70" spans="1:10">
      <c r="A70" s="4">
        <f t="shared" si="2"/>
        <v>19</v>
      </c>
      <c r="B70" s="293" t="s">
        <v>1336</v>
      </c>
      <c r="C70" s="603">
        <v>3698</v>
      </c>
      <c r="D70" s="291">
        <v>750</v>
      </c>
      <c r="E70" s="5">
        <v>1</v>
      </c>
      <c r="F70" s="5"/>
    </row>
    <row r="71" spans="1:10">
      <c r="A71" s="4">
        <f t="shared" si="2"/>
        <v>20</v>
      </c>
      <c r="B71" s="293" t="s">
        <v>305</v>
      </c>
      <c r="C71" s="603">
        <v>3670</v>
      </c>
      <c r="D71" s="291">
        <v>750</v>
      </c>
      <c r="E71" s="5"/>
      <c r="F71" s="5">
        <v>1</v>
      </c>
    </row>
    <row r="72" spans="1:10">
      <c r="A72" s="4">
        <f t="shared" si="2"/>
        <v>21</v>
      </c>
      <c r="B72" s="293" t="s">
        <v>1339</v>
      </c>
      <c r="C72" s="603" t="s">
        <v>1993</v>
      </c>
      <c r="D72" s="291">
        <f>720+30</f>
        <v>750</v>
      </c>
      <c r="E72" s="5">
        <v>1</v>
      </c>
      <c r="F72" s="5"/>
    </row>
    <row r="73" spans="1:10">
      <c r="A73" s="4">
        <f t="shared" si="2"/>
        <v>22</v>
      </c>
      <c r="B73" s="293" t="s">
        <v>306</v>
      </c>
      <c r="C73" s="603">
        <v>3697</v>
      </c>
      <c r="D73" s="291">
        <v>750</v>
      </c>
      <c r="E73" s="5">
        <v>1</v>
      </c>
      <c r="F73" s="5"/>
    </row>
    <row r="74" spans="1:10">
      <c r="A74" s="4">
        <f t="shared" si="2"/>
        <v>23</v>
      </c>
      <c r="B74" s="293" t="s">
        <v>1342</v>
      </c>
      <c r="C74" s="603">
        <v>3672</v>
      </c>
      <c r="D74" s="291">
        <v>750</v>
      </c>
      <c r="E74" s="5"/>
      <c r="F74" s="5">
        <v>1</v>
      </c>
    </row>
    <row r="75" spans="1:10">
      <c r="A75" s="4">
        <f t="shared" si="2"/>
        <v>24</v>
      </c>
      <c r="B75" s="293" t="s">
        <v>1344</v>
      </c>
      <c r="C75" s="603">
        <v>3681</v>
      </c>
      <c r="D75" s="291">
        <v>750</v>
      </c>
      <c r="E75" s="5">
        <v>1</v>
      </c>
      <c r="F75" s="5"/>
    </row>
    <row r="76" spans="1:10">
      <c r="A76" s="4">
        <f t="shared" si="2"/>
        <v>25</v>
      </c>
      <c r="B76" s="293" t="s">
        <v>1346</v>
      </c>
      <c r="C76" s="603">
        <v>3654</v>
      </c>
      <c r="D76" s="291">
        <v>750</v>
      </c>
      <c r="E76" s="5"/>
      <c r="F76" s="5">
        <v>1</v>
      </c>
    </row>
    <row r="77" spans="1:10">
      <c r="A77" s="4">
        <f t="shared" si="2"/>
        <v>26</v>
      </c>
      <c r="B77" s="293" t="s">
        <v>307</v>
      </c>
      <c r="C77" s="603">
        <v>3691</v>
      </c>
      <c r="D77" s="291">
        <v>750</v>
      </c>
      <c r="E77" s="5">
        <v>1</v>
      </c>
      <c r="F77" s="5"/>
    </row>
    <row r="78" spans="1:10">
      <c r="A78" s="4"/>
      <c r="B78" s="293"/>
      <c r="C78" s="603"/>
      <c r="D78" s="291"/>
      <c r="E78" s="5"/>
      <c r="F78" s="5"/>
    </row>
    <row r="79" spans="1:10">
      <c r="A79" s="4"/>
      <c r="B79" s="293"/>
      <c r="C79" s="603"/>
      <c r="D79" s="291"/>
      <c r="E79" s="5">
        <f>SUM(E52:E78)</f>
        <v>12</v>
      </c>
      <c r="F79" s="5">
        <f>SUM(F52:F78)</f>
        <v>12</v>
      </c>
      <c r="G79">
        <f>SUM(E79:F79)</f>
        <v>24</v>
      </c>
      <c r="J79">
        <v>2</v>
      </c>
    </row>
    <row r="80" spans="1:10">
      <c r="B80" s="151"/>
      <c r="D80" s="8"/>
    </row>
    <row r="81" spans="1:6">
      <c r="A81" s="4"/>
      <c r="B81" s="178" t="s">
        <v>310</v>
      </c>
      <c r="C81" s="603"/>
      <c r="D81" s="291"/>
      <c r="E81" s="4" t="s">
        <v>1990</v>
      </c>
      <c r="F81" s="4" t="s">
        <v>1991</v>
      </c>
    </row>
    <row r="82" spans="1:6">
      <c r="A82" s="4">
        <v>1</v>
      </c>
      <c r="B82" s="282" t="s">
        <v>342</v>
      </c>
      <c r="C82" s="603">
        <v>3651</v>
      </c>
      <c r="D82" s="291">
        <v>750</v>
      </c>
      <c r="E82" s="5">
        <v>1</v>
      </c>
      <c r="F82" s="5"/>
    </row>
    <row r="83" spans="1:6">
      <c r="A83" s="4">
        <f>+A82+1</f>
        <v>2</v>
      </c>
      <c r="B83" s="282" t="s">
        <v>343</v>
      </c>
      <c r="C83" s="603"/>
      <c r="D83" s="291"/>
      <c r="E83" s="608"/>
      <c r="F83" s="5"/>
    </row>
    <row r="84" spans="1:6">
      <c r="A84" s="4">
        <f t="shared" ref="A84:A106" si="3">+A83+1</f>
        <v>3</v>
      </c>
      <c r="B84" s="293" t="s">
        <v>311</v>
      </c>
      <c r="C84" s="603">
        <v>3645</v>
      </c>
      <c r="D84" s="291">
        <v>750</v>
      </c>
      <c r="E84" s="5"/>
      <c r="F84" s="5">
        <v>1</v>
      </c>
    </row>
    <row r="85" spans="1:6">
      <c r="A85" s="4">
        <f t="shared" si="3"/>
        <v>4</v>
      </c>
      <c r="B85" s="282" t="s">
        <v>346</v>
      </c>
      <c r="C85" s="603">
        <v>3682</v>
      </c>
      <c r="D85" s="291">
        <v>750</v>
      </c>
      <c r="E85" s="5"/>
      <c r="F85" s="5">
        <v>1</v>
      </c>
    </row>
    <row r="86" spans="1:6">
      <c r="A86" s="4">
        <f t="shared" si="3"/>
        <v>5</v>
      </c>
      <c r="B86" s="282" t="s">
        <v>312</v>
      </c>
      <c r="C86" s="603">
        <v>3652</v>
      </c>
      <c r="D86" s="291">
        <v>750</v>
      </c>
      <c r="E86" s="5">
        <v>1</v>
      </c>
      <c r="F86" s="5"/>
    </row>
    <row r="87" spans="1:6">
      <c r="A87" s="4">
        <f t="shared" si="3"/>
        <v>6</v>
      </c>
      <c r="B87" s="282" t="s">
        <v>349</v>
      </c>
      <c r="C87" s="603">
        <v>3658</v>
      </c>
      <c r="D87" s="291">
        <v>750</v>
      </c>
      <c r="E87" s="5"/>
      <c r="F87" s="5">
        <v>1</v>
      </c>
    </row>
    <row r="88" spans="1:6">
      <c r="A88" s="4">
        <f t="shared" si="3"/>
        <v>7</v>
      </c>
      <c r="B88" s="282" t="s">
        <v>351</v>
      </c>
      <c r="C88" s="603">
        <v>3643</v>
      </c>
      <c r="D88" s="291">
        <v>750</v>
      </c>
      <c r="E88" s="5">
        <v>1</v>
      </c>
      <c r="F88" s="5"/>
    </row>
    <row r="89" spans="1:6">
      <c r="A89" s="4">
        <f t="shared" si="3"/>
        <v>8</v>
      </c>
      <c r="B89" s="293" t="s">
        <v>353</v>
      </c>
      <c r="C89" s="603">
        <v>3575</v>
      </c>
      <c r="D89" s="291">
        <v>750</v>
      </c>
      <c r="E89" s="5">
        <v>1</v>
      </c>
      <c r="F89" s="5"/>
    </row>
    <row r="90" spans="1:6">
      <c r="A90" s="4">
        <f t="shared" si="3"/>
        <v>9</v>
      </c>
      <c r="B90" s="282" t="s">
        <v>354</v>
      </c>
      <c r="C90" s="603">
        <v>3666</v>
      </c>
      <c r="D90" s="291">
        <v>750</v>
      </c>
      <c r="E90" s="5"/>
      <c r="F90" s="5">
        <v>1</v>
      </c>
    </row>
    <row r="91" spans="1:6">
      <c r="A91" s="4">
        <f t="shared" si="3"/>
        <v>10</v>
      </c>
      <c r="B91" s="293" t="s">
        <v>356</v>
      </c>
      <c r="C91" s="603">
        <v>3665</v>
      </c>
      <c r="D91" s="291">
        <v>750</v>
      </c>
      <c r="E91" s="5"/>
      <c r="F91" s="5">
        <v>1</v>
      </c>
    </row>
    <row r="92" spans="1:6">
      <c r="A92" s="4">
        <f t="shared" si="3"/>
        <v>11</v>
      </c>
      <c r="B92" s="282" t="s">
        <v>358</v>
      </c>
      <c r="C92" s="603">
        <v>3706</v>
      </c>
      <c r="D92" s="291">
        <v>750</v>
      </c>
      <c r="E92" s="5"/>
      <c r="F92" s="5">
        <v>1</v>
      </c>
    </row>
    <row r="93" spans="1:6">
      <c r="A93" s="4">
        <f t="shared" si="3"/>
        <v>12</v>
      </c>
      <c r="B93" s="282" t="s">
        <v>360</v>
      </c>
      <c r="C93" s="603">
        <v>3644</v>
      </c>
      <c r="D93" s="291">
        <v>750</v>
      </c>
      <c r="E93" s="5">
        <v>1</v>
      </c>
      <c r="F93" s="5"/>
    </row>
    <row r="94" spans="1:6">
      <c r="A94" s="4">
        <f t="shared" si="3"/>
        <v>13</v>
      </c>
      <c r="B94" s="293" t="s">
        <v>362</v>
      </c>
      <c r="C94" s="603"/>
      <c r="D94" s="291"/>
      <c r="E94" s="5"/>
      <c r="F94" s="608"/>
    </row>
    <row r="95" spans="1:6">
      <c r="A95" s="4">
        <f t="shared" si="3"/>
        <v>14</v>
      </c>
      <c r="B95" s="282" t="s">
        <v>364</v>
      </c>
      <c r="C95" s="603">
        <v>3659</v>
      </c>
      <c r="D95" s="291">
        <v>750</v>
      </c>
      <c r="E95" s="5"/>
      <c r="F95" s="5">
        <v>1</v>
      </c>
    </row>
    <row r="96" spans="1:6">
      <c r="A96" s="4">
        <f t="shared" si="3"/>
        <v>15</v>
      </c>
      <c r="B96" s="293" t="s">
        <v>365</v>
      </c>
      <c r="C96" s="603">
        <v>3678</v>
      </c>
      <c r="D96" s="291">
        <v>750</v>
      </c>
      <c r="E96" s="5">
        <v>1</v>
      </c>
      <c r="F96" s="5"/>
    </row>
    <row r="97" spans="1:10">
      <c r="A97" s="4">
        <f t="shared" si="3"/>
        <v>16</v>
      </c>
      <c r="B97" s="293" t="s">
        <v>366</v>
      </c>
      <c r="C97" s="603"/>
      <c r="D97" s="291"/>
      <c r="E97" s="5"/>
      <c r="F97" s="608"/>
    </row>
    <row r="98" spans="1:10">
      <c r="A98" s="4">
        <f t="shared" si="3"/>
        <v>17</v>
      </c>
      <c r="B98" s="293" t="s">
        <v>368</v>
      </c>
      <c r="C98" s="603">
        <v>3647</v>
      </c>
      <c r="D98" s="291">
        <v>750</v>
      </c>
      <c r="E98" s="5"/>
      <c r="F98" s="5">
        <v>1</v>
      </c>
    </row>
    <row r="99" spans="1:10">
      <c r="A99" s="4">
        <f t="shared" si="3"/>
        <v>18</v>
      </c>
      <c r="B99" s="282" t="s">
        <v>370</v>
      </c>
      <c r="C99" s="603">
        <v>3677</v>
      </c>
      <c r="D99" s="291">
        <v>750</v>
      </c>
      <c r="E99" s="5">
        <v>1</v>
      </c>
      <c r="F99" s="5"/>
    </row>
    <row r="100" spans="1:10">
      <c r="A100" s="4">
        <f t="shared" si="3"/>
        <v>19</v>
      </c>
      <c r="B100" s="293" t="s">
        <v>371</v>
      </c>
      <c r="C100" s="603">
        <v>3693</v>
      </c>
      <c r="D100" s="291">
        <v>750</v>
      </c>
      <c r="E100" s="5">
        <v>1</v>
      </c>
      <c r="F100" s="5"/>
    </row>
    <row r="101" spans="1:10">
      <c r="A101" s="4">
        <f t="shared" si="3"/>
        <v>20</v>
      </c>
      <c r="B101" s="293" t="s">
        <v>373</v>
      </c>
      <c r="C101" s="603">
        <v>3660</v>
      </c>
      <c r="D101" s="291">
        <v>750</v>
      </c>
      <c r="E101" s="5"/>
      <c r="F101" s="5">
        <v>1</v>
      </c>
    </row>
    <row r="102" spans="1:10">
      <c r="A102" s="4">
        <f t="shared" si="3"/>
        <v>21</v>
      </c>
      <c r="B102" s="293" t="s">
        <v>375</v>
      </c>
      <c r="C102" s="603">
        <v>3663</v>
      </c>
      <c r="D102" s="291">
        <v>750</v>
      </c>
      <c r="E102" s="5">
        <v>1</v>
      </c>
      <c r="F102" s="5"/>
    </row>
    <row r="103" spans="1:10">
      <c r="A103" s="4">
        <f t="shared" si="3"/>
        <v>22</v>
      </c>
      <c r="B103" s="293" t="s">
        <v>376</v>
      </c>
      <c r="C103" s="603">
        <v>3690</v>
      </c>
      <c r="D103" s="291">
        <v>750</v>
      </c>
      <c r="E103" s="5">
        <v>1</v>
      </c>
      <c r="F103" s="5"/>
    </row>
    <row r="104" spans="1:10">
      <c r="A104" s="4">
        <f t="shared" si="3"/>
        <v>23</v>
      </c>
      <c r="B104" s="282" t="s">
        <v>377</v>
      </c>
      <c r="C104" s="603">
        <v>3661</v>
      </c>
      <c r="D104" s="291">
        <v>750</v>
      </c>
      <c r="E104" s="5"/>
      <c r="F104" s="5">
        <v>1</v>
      </c>
    </row>
    <row r="105" spans="1:10">
      <c r="A105" s="4">
        <f t="shared" si="3"/>
        <v>24</v>
      </c>
      <c r="B105" s="293" t="s">
        <v>379</v>
      </c>
      <c r="C105" s="603">
        <v>3664</v>
      </c>
      <c r="D105" s="291">
        <v>750</v>
      </c>
      <c r="E105" s="5">
        <v>1</v>
      </c>
      <c r="F105" s="5"/>
    </row>
    <row r="106" spans="1:10">
      <c r="A106" s="4">
        <f t="shared" si="3"/>
        <v>25</v>
      </c>
      <c r="B106" s="293" t="s">
        <v>380</v>
      </c>
      <c r="C106" s="603">
        <v>3679</v>
      </c>
      <c r="D106" s="291">
        <v>750</v>
      </c>
      <c r="E106" s="5"/>
      <c r="F106" s="5">
        <v>1</v>
      </c>
    </row>
    <row r="107" spans="1:10">
      <c r="A107" s="4"/>
      <c r="B107" s="282"/>
      <c r="C107" s="603"/>
      <c r="D107" s="291"/>
      <c r="E107" s="5">
        <f>SUM(E82:E106)</f>
        <v>11</v>
      </c>
      <c r="F107" s="5">
        <f>SUM(F82:F106)</f>
        <v>11</v>
      </c>
      <c r="G107">
        <f>SUM(E107:F107)</f>
        <v>22</v>
      </c>
      <c r="J107">
        <v>3</v>
      </c>
    </row>
    <row r="109" spans="1:10">
      <c r="E109" s="614"/>
      <c r="F109" s="614"/>
    </row>
    <row r="110" spans="1:10">
      <c r="D110" s="12"/>
    </row>
    <row r="111" spans="1:10">
      <c r="D111" s="12">
        <f>SUM(D2:D110)</f>
        <v>56250</v>
      </c>
      <c r="E111" s="614">
        <f>+E16+E47+E79+E107</f>
        <v>48</v>
      </c>
      <c r="F111" s="614">
        <f>+F47+F79+F107</f>
        <v>27</v>
      </c>
      <c r="G111" s="614">
        <f>+G16+G47+G79+G107</f>
        <v>75</v>
      </c>
    </row>
    <row r="113" spans="2:7">
      <c r="B113" t="s">
        <v>1994</v>
      </c>
      <c r="E113" s="614"/>
      <c r="F113" s="614">
        <v>1</v>
      </c>
    </row>
    <row r="114" spans="2:7">
      <c r="B114" t="s">
        <v>1995</v>
      </c>
      <c r="E114" s="614"/>
      <c r="F114" s="614">
        <v>1</v>
      </c>
    </row>
    <row r="115" spans="2:7">
      <c r="B115" t="s">
        <v>1996</v>
      </c>
      <c r="E115" s="614"/>
      <c r="F115" s="614">
        <v>1</v>
      </c>
    </row>
    <row r="116" spans="2:7">
      <c r="B116" t="s">
        <v>1997</v>
      </c>
      <c r="E116" s="614">
        <v>1</v>
      </c>
      <c r="F116" s="614"/>
    </row>
    <row r="117" spans="2:7">
      <c r="B117" t="s">
        <v>1998</v>
      </c>
      <c r="E117" s="614"/>
      <c r="F117" s="614">
        <v>1</v>
      </c>
    </row>
    <row r="118" spans="2:7">
      <c r="B118" t="s">
        <v>1999</v>
      </c>
      <c r="F118" s="614">
        <v>1</v>
      </c>
    </row>
    <row r="120" spans="2:7">
      <c r="E120" s="614">
        <f>SUM(E111:E119)</f>
        <v>49</v>
      </c>
      <c r="F120" s="614">
        <f>SUM(F111:F119)</f>
        <v>32</v>
      </c>
      <c r="G120" s="614">
        <f>SUM(E120:F120)</f>
        <v>81</v>
      </c>
    </row>
    <row r="122" spans="2:7">
      <c r="D122" s="12"/>
    </row>
  </sheetData>
  <pageMargins left="0.7" right="0.7" top="0.75" bottom="0.75" header="0.3" footer="0.3"/>
  <pageSetup scale="85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CB962-88AA-48E4-8771-C2BFE2DDC3B7}">
  <dimension ref="B2:E79"/>
  <sheetViews>
    <sheetView topLeftCell="A58" workbookViewId="0">
      <selection activeCell="B84" sqref="B84:B85"/>
    </sheetView>
  </sheetViews>
  <sheetFormatPr defaultColWidth="11.42578125" defaultRowHeight="15"/>
  <cols>
    <col min="2" max="2" width="39" customWidth="1"/>
    <col min="3" max="3" width="11.140625" customWidth="1"/>
  </cols>
  <sheetData>
    <row r="2" spans="2:5">
      <c r="B2" s="178" t="s">
        <v>1054</v>
      </c>
      <c r="C2" s="178"/>
      <c r="D2" s="4" t="s">
        <v>2000</v>
      </c>
      <c r="E2" s="4" t="s">
        <v>2001</v>
      </c>
    </row>
    <row r="3" spans="2:5">
      <c r="B3" s="293" t="s">
        <v>1055</v>
      </c>
      <c r="C3" s="286" t="s">
        <v>516</v>
      </c>
      <c r="D3" s="21">
        <v>3624</v>
      </c>
      <c r="E3" s="291">
        <v>250</v>
      </c>
    </row>
    <row r="4" spans="2:5">
      <c r="B4" s="293" t="s">
        <v>270</v>
      </c>
      <c r="C4" s="286" t="s">
        <v>516</v>
      </c>
      <c r="D4" s="21">
        <v>3601</v>
      </c>
      <c r="E4" s="291">
        <v>250</v>
      </c>
    </row>
    <row r="5" spans="2:5">
      <c r="B5" s="293" t="s">
        <v>271</v>
      </c>
      <c r="C5" s="286" t="s">
        <v>516</v>
      </c>
      <c r="D5" s="21">
        <v>3605</v>
      </c>
      <c r="E5" s="291">
        <v>250</v>
      </c>
    </row>
    <row r="6" spans="2:5">
      <c r="B6" s="293" t="s">
        <v>1060</v>
      </c>
      <c r="C6" s="286" t="s">
        <v>516</v>
      </c>
      <c r="D6" s="21"/>
      <c r="E6" s="291"/>
    </row>
    <row r="7" spans="2:5">
      <c r="B7" s="293" t="s">
        <v>1064</v>
      </c>
      <c r="C7" s="286" t="s">
        <v>516</v>
      </c>
      <c r="D7" s="21">
        <v>3623</v>
      </c>
      <c r="E7" s="291">
        <v>250</v>
      </c>
    </row>
    <row r="8" spans="2:5">
      <c r="B8" s="293" t="s">
        <v>1067</v>
      </c>
      <c r="C8" s="286" t="s">
        <v>516</v>
      </c>
      <c r="D8" s="21"/>
      <c r="E8" s="291"/>
    </row>
    <row r="9" spans="2:5">
      <c r="B9" s="282" t="s">
        <v>273</v>
      </c>
      <c r="C9" s="286" t="s">
        <v>516</v>
      </c>
      <c r="D9" s="21">
        <v>3630</v>
      </c>
      <c r="E9" s="291">
        <v>250</v>
      </c>
    </row>
    <row r="10" spans="2:5">
      <c r="B10" s="293" t="s">
        <v>1073</v>
      </c>
      <c r="C10" s="286" t="s">
        <v>516</v>
      </c>
      <c r="D10" s="592"/>
      <c r="E10" s="291">
        <v>250</v>
      </c>
    </row>
    <row r="11" spans="2:5">
      <c r="B11" s="293" t="s">
        <v>274</v>
      </c>
      <c r="C11" s="286" t="s">
        <v>516</v>
      </c>
      <c r="D11" s="21">
        <v>3603</v>
      </c>
      <c r="E11" s="291">
        <v>250</v>
      </c>
    </row>
    <row r="12" spans="2:5">
      <c r="B12" s="293" t="s">
        <v>1076</v>
      </c>
      <c r="C12" s="286" t="s">
        <v>516</v>
      </c>
      <c r="D12" s="21">
        <v>3628</v>
      </c>
      <c r="E12" s="291">
        <v>250</v>
      </c>
    </row>
    <row r="13" spans="2:5">
      <c r="B13" s="282" t="s">
        <v>1079</v>
      </c>
      <c r="C13" s="286" t="s">
        <v>516</v>
      </c>
      <c r="D13" s="21">
        <v>3617</v>
      </c>
      <c r="E13" s="291">
        <v>250</v>
      </c>
    </row>
    <row r="14" spans="2:5">
      <c r="B14" s="293" t="s">
        <v>1082</v>
      </c>
      <c r="C14" s="286" t="s">
        <v>516</v>
      </c>
      <c r="D14" s="21">
        <v>3641</v>
      </c>
      <c r="E14" s="291">
        <v>250</v>
      </c>
    </row>
    <row r="15" spans="2:5">
      <c r="B15" s="293" t="s">
        <v>1085</v>
      </c>
      <c r="C15" s="286" t="s">
        <v>516</v>
      </c>
      <c r="D15" s="21">
        <v>3631</v>
      </c>
      <c r="E15" s="291">
        <v>250</v>
      </c>
    </row>
    <row r="16" spans="2:5">
      <c r="B16" s="282" t="s">
        <v>275</v>
      </c>
      <c r="C16" s="286" t="s">
        <v>516</v>
      </c>
      <c r="D16" s="21">
        <v>3616</v>
      </c>
      <c r="E16" s="291">
        <v>250</v>
      </c>
    </row>
    <row r="17" spans="2:5">
      <c r="B17" s="293" t="s">
        <v>1088</v>
      </c>
      <c r="C17" s="286" t="s">
        <v>516</v>
      </c>
      <c r="D17" s="21">
        <v>3629</v>
      </c>
      <c r="E17" s="291">
        <v>250</v>
      </c>
    </row>
    <row r="18" spans="2:5">
      <c r="B18" s="282" t="s">
        <v>1090</v>
      </c>
      <c r="C18" s="286" t="s">
        <v>516</v>
      </c>
      <c r="D18" s="592"/>
      <c r="E18" s="291">
        <v>250</v>
      </c>
    </row>
    <row r="19" spans="2:5">
      <c r="B19" s="293" t="s">
        <v>1093</v>
      </c>
      <c r="C19" s="286" t="s">
        <v>516</v>
      </c>
      <c r="D19" s="21">
        <v>3618</v>
      </c>
      <c r="E19" s="291">
        <v>250</v>
      </c>
    </row>
    <row r="20" spans="2:5">
      <c r="B20" s="293" t="s">
        <v>1096</v>
      </c>
      <c r="C20" s="286" t="s">
        <v>516</v>
      </c>
      <c r="D20" s="592"/>
      <c r="E20" s="291">
        <v>250</v>
      </c>
    </row>
    <row r="21" spans="2:5">
      <c r="B21" s="282" t="s">
        <v>1098</v>
      </c>
      <c r="C21" s="286" t="s">
        <v>516</v>
      </c>
      <c r="D21" s="21">
        <v>3639</v>
      </c>
      <c r="E21" s="291">
        <v>250</v>
      </c>
    </row>
    <row r="22" spans="2:5">
      <c r="B22" s="293"/>
      <c r="C22" s="286"/>
      <c r="D22" s="21"/>
      <c r="E22" s="291"/>
    </row>
    <row r="23" spans="2:5">
      <c r="B23" s="293"/>
      <c r="C23" s="286"/>
      <c r="D23" s="21"/>
      <c r="E23" s="291"/>
    </row>
    <row r="24" spans="2:5">
      <c r="B24" s="178" t="s">
        <v>1101</v>
      </c>
      <c r="C24" s="286"/>
      <c r="D24" s="21"/>
      <c r="E24" s="291"/>
    </row>
    <row r="25" spans="2:5">
      <c r="B25" s="282" t="s">
        <v>1102</v>
      </c>
      <c r="C25" s="286" t="s">
        <v>553</v>
      </c>
      <c r="D25" s="21">
        <v>3625</v>
      </c>
      <c r="E25" s="291">
        <v>250</v>
      </c>
    </row>
    <row r="26" spans="2:5">
      <c r="B26" s="293" t="s">
        <v>1105</v>
      </c>
      <c r="C26" s="286" t="s">
        <v>553</v>
      </c>
      <c r="D26" s="21"/>
      <c r="E26" s="291"/>
    </row>
    <row r="27" spans="2:5">
      <c r="B27" s="282" t="s">
        <v>1107</v>
      </c>
      <c r="C27" s="286" t="s">
        <v>553</v>
      </c>
      <c r="D27" s="21">
        <v>3621</v>
      </c>
      <c r="E27" s="291">
        <v>250</v>
      </c>
    </row>
    <row r="28" spans="2:5">
      <c r="B28" s="282" t="s">
        <v>1111</v>
      </c>
      <c r="C28" s="286" t="s">
        <v>553</v>
      </c>
      <c r="D28" s="592"/>
      <c r="E28" s="291">
        <v>250</v>
      </c>
    </row>
    <row r="29" spans="2:5">
      <c r="B29" s="282" t="s">
        <v>276</v>
      </c>
      <c r="C29" s="286" t="s">
        <v>553</v>
      </c>
      <c r="D29" s="21">
        <v>3635</v>
      </c>
      <c r="E29" s="291">
        <v>250</v>
      </c>
    </row>
    <row r="30" spans="2:5">
      <c r="B30" s="293" t="s">
        <v>279</v>
      </c>
      <c r="C30" s="286" t="s">
        <v>553</v>
      </c>
      <c r="D30" s="21">
        <v>3627</v>
      </c>
      <c r="E30" s="291">
        <v>250</v>
      </c>
    </row>
    <row r="31" spans="2:5">
      <c r="B31" s="293" t="s">
        <v>1117</v>
      </c>
      <c r="C31" s="286" t="s">
        <v>553</v>
      </c>
      <c r="D31" s="21">
        <v>3602</v>
      </c>
      <c r="E31" s="291">
        <v>250</v>
      </c>
    </row>
    <row r="32" spans="2:5">
      <c r="B32" s="293" t="s">
        <v>1119</v>
      </c>
      <c r="C32" s="286" t="s">
        <v>553</v>
      </c>
      <c r="D32" s="21"/>
      <c r="E32" s="291"/>
    </row>
    <row r="33" spans="2:5">
      <c r="B33" s="293" t="s">
        <v>1122</v>
      </c>
      <c r="C33" s="286" t="s">
        <v>553</v>
      </c>
      <c r="D33" s="21">
        <v>3626</v>
      </c>
      <c r="E33" s="291">
        <v>250</v>
      </c>
    </row>
    <row r="34" spans="2:5">
      <c r="B34" s="293" t="s">
        <v>272</v>
      </c>
      <c r="C34" s="286" t="s">
        <v>553</v>
      </c>
      <c r="D34" s="21">
        <v>3640</v>
      </c>
      <c r="E34" s="291">
        <v>250</v>
      </c>
    </row>
    <row r="35" spans="2:5">
      <c r="B35" s="293" t="s">
        <v>280</v>
      </c>
      <c r="C35" s="286" t="s">
        <v>553</v>
      </c>
      <c r="D35" s="592"/>
      <c r="E35" s="291">
        <v>250</v>
      </c>
    </row>
    <row r="36" spans="2:5">
      <c r="B36" s="293" t="s">
        <v>1126</v>
      </c>
      <c r="C36" s="286" t="s">
        <v>553</v>
      </c>
      <c r="D36" s="21">
        <v>3620</v>
      </c>
      <c r="E36" s="291">
        <v>250</v>
      </c>
    </row>
    <row r="37" spans="2:5">
      <c r="B37" s="4" t="s">
        <v>1128</v>
      </c>
      <c r="C37" s="286" t="s">
        <v>553</v>
      </c>
      <c r="D37" s="21"/>
      <c r="E37" s="291"/>
    </row>
    <row r="38" spans="2:5">
      <c r="B38" s="293" t="s">
        <v>1131</v>
      </c>
      <c r="C38" s="286" t="s">
        <v>553</v>
      </c>
      <c r="D38" s="21">
        <v>1926</v>
      </c>
      <c r="E38" s="291">
        <v>250</v>
      </c>
    </row>
    <row r="39" spans="2:5">
      <c r="B39" s="293" t="s">
        <v>1133</v>
      </c>
      <c r="C39" s="286" t="s">
        <v>553</v>
      </c>
      <c r="D39" s="592"/>
      <c r="E39" s="291">
        <v>250</v>
      </c>
    </row>
    <row r="40" spans="2:5">
      <c r="B40" s="293" t="s">
        <v>281</v>
      </c>
      <c r="C40" s="286" t="s">
        <v>553</v>
      </c>
      <c r="D40" s="592"/>
      <c r="E40" s="291">
        <v>250</v>
      </c>
    </row>
    <row r="41" spans="2:5">
      <c r="B41" s="293" t="s">
        <v>1138</v>
      </c>
      <c r="C41" s="286" t="s">
        <v>553</v>
      </c>
      <c r="D41" s="21">
        <v>3633</v>
      </c>
      <c r="E41" s="291">
        <v>250</v>
      </c>
    </row>
    <row r="42" spans="2:5">
      <c r="B42" s="293" t="s">
        <v>1140</v>
      </c>
      <c r="C42" s="286" t="s">
        <v>553</v>
      </c>
      <c r="D42" s="21">
        <v>3615</v>
      </c>
      <c r="E42" s="291">
        <v>250</v>
      </c>
    </row>
    <row r="43" spans="2:5">
      <c r="B43" s="282" t="s">
        <v>1142</v>
      </c>
      <c r="C43" s="286" t="s">
        <v>553</v>
      </c>
      <c r="D43" s="592"/>
      <c r="E43" s="291">
        <v>250</v>
      </c>
    </row>
    <row r="44" spans="2:5">
      <c r="B44" s="293" t="s">
        <v>1144</v>
      </c>
      <c r="C44" s="286" t="s">
        <v>553</v>
      </c>
      <c r="D44" s="21">
        <v>3622</v>
      </c>
      <c r="E44" s="291">
        <v>250</v>
      </c>
    </row>
    <row r="45" spans="2:5">
      <c r="B45" s="293"/>
      <c r="C45" s="286"/>
      <c r="D45" s="21"/>
      <c r="E45" s="291"/>
    </row>
    <row r="46" spans="2:5">
      <c r="B46" s="4"/>
      <c r="C46" s="4"/>
      <c r="D46" s="21"/>
      <c r="E46" s="291"/>
    </row>
    <row r="47" spans="2:5">
      <c r="B47" s="178" t="s">
        <v>313</v>
      </c>
      <c r="C47" s="4"/>
      <c r="D47" s="21"/>
      <c r="E47" s="291"/>
    </row>
    <row r="48" spans="2:5">
      <c r="B48" s="169" t="s">
        <v>1384</v>
      </c>
      <c r="C48" s="4"/>
      <c r="D48" s="592"/>
      <c r="E48" s="291">
        <v>250</v>
      </c>
    </row>
    <row r="49" spans="2:5">
      <c r="B49" s="169" t="s">
        <v>320</v>
      </c>
      <c r="C49" s="4"/>
      <c r="D49" s="21"/>
      <c r="E49" s="291"/>
    </row>
    <row r="50" spans="2:5">
      <c r="B50" s="293" t="s">
        <v>315</v>
      </c>
      <c r="C50" s="4"/>
      <c r="D50" s="592"/>
      <c r="E50" s="291">
        <v>250</v>
      </c>
    </row>
    <row r="51" spans="2:5">
      <c r="B51" s="169" t="s">
        <v>1389</v>
      </c>
      <c r="C51" s="4"/>
      <c r="D51" s="21">
        <v>3614</v>
      </c>
      <c r="E51" s="291">
        <v>250</v>
      </c>
    </row>
    <row r="52" spans="2:5">
      <c r="B52" s="169" t="s">
        <v>1392</v>
      </c>
      <c r="C52" s="4"/>
      <c r="D52" s="21">
        <v>3637</v>
      </c>
      <c r="E52" s="291">
        <v>250</v>
      </c>
    </row>
    <row r="53" spans="2:5">
      <c r="B53" s="169" t="s">
        <v>1394</v>
      </c>
      <c r="C53" s="4"/>
      <c r="D53" s="21"/>
      <c r="E53" s="291"/>
    </row>
    <row r="54" spans="2:5">
      <c r="B54" s="169" t="s">
        <v>1396</v>
      </c>
      <c r="C54" s="4"/>
      <c r="D54" s="21">
        <v>3638</v>
      </c>
      <c r="E54" s="291">
        <v>250</v>
      </c>
    </row>
    <row r="55" spans="2:5">
      <c r="B55" s="169" t="s">
        <v>1398</v>
      </c>
      <c r="C55" s="4"/>
      <c r="D55" s="21">
        <v>3604</v>
      </c>
      <c r="E55" s="291">
        <v>250</v>
      </c>
    </row>
    <row r="56" spans="2:5">
      <c r="B56" s="293" t="s">
        <v>316</v>
      </c>
      <c r="C56" s="4"/>
      <c r="D56" s="21">
        <v>3608</v>
      </c>
      <c r="E56" s="291">
        <v>250</v>
      </c>
    </row>
    <row r="57" spans="2:5">
      <c r="B57" s="169" t="s">
        <v>1402</v>
      </c>
      <c r="C57" s="4"/>
      <c r="D57" s="592"/>
      <c r="E57" s="291">
        <v>250</v>
      </c>
    </row>
    <row r="58" spans="2:5">
      <c r="B58" s="169" t="s">
        <v>317</v>
      </c>
      <c r="C58" s="4"/>
      <c r="D58" s="21">
        <v>3634</v>
      </c>
      <c r="E58" s="291">
        <v>250</v>
      </c>
    </row>
    <row r="59" spans="2:5">
      <c r="B59" s="169" t="s">
        <v>1405</v>
      </c>
      <c r="C59" s="4"/>
      <c r="D59" s="21">
        <v>3612</v>
      </c>
      <c r="E59" s="291">
        <v>250</v>
      </c>
    </row>
    <row r="60" spans="2:5">
      <c r="B60" s="169" t="s">
        <v>1409</v>
      </c>
      <c r="C60" s="4"/>
      <c r="D60" s="592"/>
      <c r="E60" s="291">
        <v>250</v>
      </c>
    </row>
    <row r="61" spans="2:5">
      <c r="B61" s="169" t="s">
        <v>1411</v>
      </c>
      <c r="C61" s="4"/>
      <c r="D61" s="592"/>
      <c r="E61" s="291">
        <v>250</v>
      </c>
    </row>
    <row r="62" spans="2:5">
      <c r="B62" s="169" t="s">
        <v>321</v>
      </c>
      <c r="C62" s="4"/>
      <c r="D62" s="21">
        <v>3611</v>
      </c>
      <c r="E62" s="291">
        <v>250</v>
      </c>
    </row>
    <row r="63" spans="2:5">
      <c r="B63" s="169" t="s">
        <v>1415</v>
      </c>
      <c r="C63" s="4"/>
      <c r="D63" s="592"/>
      <c r="E63" s="291">
        <v>250</v>
      </c>
    </row>
    <row r="64" spans="2:5">
      <c r="B64" s="169" t="s">
        <v>1417</v>
      </c>
      <c r="C64" s="4"/>
      <c r="D64" s="21">
        <v>3607</v>
      </c>
      <c r="E64" s="291">
        <v>250</v>
      </c>
    </row>
    <row r="65" spans="2:5">
      <c r="B65" s="169" t="s">
        <v>1419</v>
      </c>
      <c r="C65" s="4"/>
      <c r="D65" s="21">
        <v>3636</v>
      </c>
      <c r="E65" s="291">
        <v>250</v>
      </c>
    </row>
    <row r="66" spans="2:5">
      <c r="B66" s="169" t="s">
        <v>318</v>
      </c>
      <c r="C66" s="4"/>
      <c r="D66" s="21">
        <v>3606</v>
      </c>
      <c r="E66" s="291">
        <v>250</v>
      </c>
    </row>
    <row r="67" spans="2:5">
      <c r="B67" s="169"/>
      <c r="C67" s="4"/>
      <c r="D67" s="4"/>
      <c r="E67" s="291"/>
    </row>
    <row r="68" spans="2:5">
      <c r="B68" s="4"/>
      <c r="C68" s="4"/>
      <c r="D68" s="4"/>
      <c r="E68" s="291"/>
    </row>
    <row r="69" spans="2:5">
      <c r="B69" s="4" t="s">
        <v>2002</v>
      </c>
      <c r="C69" s="4"/>
      <c r="D69" s="4"/>
      <c r="E69" s="291">
        <f>SUM(E3:E68)</f>
        <v>12750</v>
      </c>
    </row>
    <row r="70" spans="2:5">
      <c r="B70" s="4" t="s">
        <v>2003</v>
      </c>
      <c r="C70" s="4"/>
      <c r="D70" s="4"/>
      <c r="E70" s="5">
        <f>+E69/250</f>
        <v>51</v>
      </c>
    </row>
    <row r="72" spans="2:5">
      <c r="B72" t="s">
        <v>2004</v>
      </c>
    </row>
    <row r="73" spans="2:5">
      <c r="B73" t="s">
        <v>2005</v>
      </c>
      <c r="C73" s="8">
        <v>3500</v>
      </c>
    </row>
    <row r="74" spans="2:5">
      <c r="B74" t="s">
        <v>2006</v>
      </c>
      <c r="C74" s="8">
        <v>2400</v>
      </c>
    </row>
    <row r="75" spans="2:5">
      <c r="B75" t="s">
        <v>2007</v>
      </c>
      <c r="C75" s="8">
        <f>51*100</f>
        <v>5100</v>
      </c>
    </row>
    <row r="76" spans="2:5">
      <c r="B76" t="s">
        <v>2008</v>
      </c>
      <c r="C76" s="8">
        <v>400</v>
      </c>
    </row>
    <row r="77" spans="2:5">
      <c r="C77" s="8"/>
    </row>
    <row r="78" spans="2:5">
      <c r="C78" s="8">
        <f>SUM(C73:C77)</f>
        <v>11400</v>
      </c>
    </row>
    <row r="79" spans="2:5">
      <c r="E79">
        <f>12750-11400</f>
        <v>1350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BCBF9-2B74-4C03-B554-BD8291A177CD}">
  <dimension ref="B3:E7"/>
  <sheetViews>
    <sheetView workbookViewId="0">
      <selection activeCell="E8" sqref="E8"/>
    </sheetView>
  </sheetViews>
  <sheetFormatPr defaultColWidth="11.42578125" defaultRowHeight="15"/>
  <cols>
    <col min="2" max="2" width="15.85546875" customWidth="1"/>
  </cols>
  <sheetData>
    <row r="3" spans="2:5">
      <c r="B3" t="s">
        <v>2009</v>
      </c>
    </row>
    <row r="4" spans="2:5">
      <c r="D4" t="s">
        <v>2010</v>
      </c>
    </row>
    <row r="5" spans="2:5">
      <c r="B5" t="s">
        <v>1785</v>
      </c>
      <c r="C5" t="s">
        <v>1610</v>
      </c>
      <c r="D5">
        <v>1500</v>
      </c>
    </row>
    <row r="6" spans="2:5">
      <c r="B6" t="s">
        <v>2011</v>
      </c>
      <c r="C6" t="s">
        <v>1610</v>
      </c>
      <c r="D6">
        <v>1500</v>
      </c>
    </row>
    <row r="7" spans="2:5">
      <c r="B7" t="s">
        <v>2012</v>
      </c>
      <c r="C7" t="s">
        <v>1702</v>
      </c>
      <c r="D7">
        <v>1500</v>
      </c>
      <c r="E7" t="s">
        <v>2013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02459-FFC3-496A-A2D5-FA82205184C0}">
  <dimension ref="B3:E90"/>
  <sheetViews>
    <sheetView topLeftCell="A52" workbookViewId="0">
      <selection activeCell="D86" sqref="D86"/>
    </sheetView>
  </sheetViews>
  <sheetFormatPr defaultColWidth="11.42578125" defaultRowHeight="15"/>
  <cols>
    <col min="3" max="3" width="14.85546875" customWidth="1"/>
    <col min="4" max="4" width="12.42578125" bestFit="1" customWidth="1"/>
  </cols>
  <sheetData>
    <row r="3" spans="2:5">
      <c r="B3" s="27">
        <v>45785</v>
      </c>
      <c r="C3" s="614">
        <v>1445</v>
      </c>
      <c r="D3" s="8">
        <v>5319</v>
      </c>
    </row>
    <row r="4" spans="2:5">
      <c r="C4" s="614">
        <v>1446</v>
      </c>
      <c r="D4" s="8">
        <v>7000</v>
      </c>
    </row>
    <row r="5" spans="2:5">
      <c r="C5" s="614">
        <v>1447</v>
      </c>
      <c r="D5" s="8">
        <v>3628</v>
      </c>
    </row>
    <row r="6" spans="2:5">
      <c r="C6" s="614">
        <v>1448</v>
      </c>
      <c r="D6" s="8">
        <v>6892.3</v>
      </c>
      <c r="E6" t="s">
        <v>2014</v>
      </c>
    </row>
    <row r="7" spans="2:5">
      <c r="C7" s="614">
        <v>1449</v>
      </c>
      <c r="D7" s="8">
        <v>3754.2</v>
      </c>
    </row>
    <row r="8" spans="2:5">
      <c r="C8" s="614">
        <v>1450</v>
      </c>
      <c r="D8" s="8">
        <v>4479.33</v>
      </c>
    </row>
    <row r="9" spans="2:5">
      <c r="C9" s="614"/>
      <c r="D9" s="8"/>
    </row>
    <row r="10" spans="2:5">
      <c r="B10" s="27">
        <v>45786</v>
      </c>
      <c r="C10" s="614">
        <v>14451</v>
      </c>
      <c r="D10" s="8">
        <v>3932.33</v>
      </c>
    </row>
    <row r="11" spans="2:5">
      <c r="C11" s="614">
        <v>14452</v>
      </c>
      <c r="D11" s="8">
        <v>6151</v>
      </c>
    </row>
    <row r="12" spans="2:5">
      <c r="C12" s="614">
        <v>14453</v>
      </c>
      <c r="D12" s="8">
        <v>7920</v>
      </c>
    </row>
    <row r="13" spans="2:5">
      <c r="C13" s="614">
        <v>14454</v>
      </c>
      <c r="D13" s="8">
        <v>3000</v>
      </c>
    </row>
    <row r="14" spans="2:5">
      <c r="C14" s="614">
        <v>14456</v>
      </c>
      <c r="D14" s="598">
        <v>6189.6</v>
      </c>
    </row>
    <row r="15" spans="2:5">
      <c r="C15" s="614">
        <v>14457</v>
      </c>
      <c r="D15" s="598">
        <v>740</v>
      </c>
    </row>
    <row r="16" spans="2:5">
      <c r="C16" s="614">
        <v>14458</v>
      </c>
      <c r="D16" s="8">
        <v>3627.1</v>
      </c>
    </row>
    <row r="17" spans="2:4">
      <c r="C17" s="614">
        <v>14459</v>
      </c>
      <c r="D17" s="8">
        <v>5815</v>
      </c>
    </row>
    <row r="18" spans="2:4">
      <c r="C18" s="614">
        <v>14460</v>
      </c>
      <c r="D18" s="8">
        <v>6010.13</v>
      </c>
    </row>
    <row r="19" spans="2:4">
      <c r="C19" s="614">
        <v>14461</v>
      </c>
      <c r="D19" s="8">
        <v>3619</v>
      </c>
    </row>
    <row r="20" spans="2:4">
      <c r="C20" s="614">
        <v>14602</v>
      </c>
      <c r="D20" s="8">
        <v>740</v>
      </c>
    </row>
    <row r="21" spans="2:4">
      <c r="C21" s="614">
        <v>14603</v>
      </c>
      <c r="D21" s="8">
        <v>3518.2</v>
      </c>
    </row>
    <row r="22" spans="2:4">
      <c r="C22" s="614">
        <v>14464</v>
      </c>
      <c r="D22" s="598">
        <v>3518.2</v>
      </c>
    </row>
    <row r="23" spans="2:4">
      <c r="C23" s="614">
        <v>14465</v>
      </c>
      <c r="D23" s="8">
        <v>6573.85</v>
      </c>
    </row>
    <row r="24" spans="2:4">
      <c r="C24" s="614">
        <v>14467</v>
      </c>
      <c r="D24" s="8">
        <v>11362.3</v>
      </c>
    </row>
    <row r="25" spans="2:4">
      <c r="B25" s="27">
        <v>45789</v>
      </c>
      <c r="C25" s="614">
        <v>14468</v>
      </c>
      <c r="D25" s="8">
        <v>370</v>
      </c>
    </row>
    <row r="26" spans="2:4">
      <c r="C26" s="614">
        <v>14469</v>
      </c>
      <c r="D26" s="8">
        <v>370</v>
      </c>
    </row>
    <row r="27" spans="2:4">
      <c r="C27" s="614">
        <v>14470</v>
      </c>
      <c r="D27" s="8">
        <v>6000</v>
      </c>
    </row>
    <row r="28" spans="2:4">
      <c r="C28" s="614">
        <v>14471</v>
      </c>
      <c r="D28" s="8">
        <v>12007.98</v>
      </c>
    </row>
    <row r="29" spans="2:4">
      <c r="C29" s="614">
        <v>14472</v>
      </c>
      <c r="D29" s="8">
        <v>740</v>
      </c>
    </row>
    <row r="30" spans="2:4">
      <c r="C30" s="614">
        <v>14473</v>
      </c>
      <c r="D30" s="598">
        <v>10324.65</v>
      </c>
    </row>
    <row r="31" spans="2:4">
      <c r="C31" s="614">
        <v>14474</v>
      </c>
      <c r="D31" s="8">
        <v>11170</v>
      </c>
    </row>
    <row r="32" spans="2:4">
      <c r="C32" s="614">
        <v>14475</v>
      </c>
      <c r="D32" s="8">
        <v>3784</v>
      </c>
    </row>
    <row r="33" spans="2:4">
      <c r="C33" s="614">
        <v>14476</v>
      </c>
      <c r="D33" s="8">
        <v>4475</v>
      </c>
    </row>
    <row r="34" spans="2:4">
      <c r="C34" s="614">
        <v>14477</v>
      </c>
      <c r="D34" s="8">
        <v>5575.6</v>
      </c>
    </row>
    <row r="35" spans="2:4">
      <c r="C35" s="614">
        <v>14478</v>
      </c>
      <c r="D35" s="8">
        <v>4500</v>
      </c>
    </row>
    <row r="36" spans="2:4">
      <c r="B36" s="27">
        <v>45790</v>
      </c>
      <c r="C36" s="614">
        <v>14479</v>
      </c>
      <c r="D36" s="8">
        <v>4000</v>
      </c>
    </row>
    <row r="37" spans="2:4">
      <c r="C37" s="614">
        <v>14480</v>
      </c>
      <c r="D37" s="8">
        <v>3997.1</v>
      </c>
    </row>
    <row r="38" spans="2:4">
      <c r="C38" s="614">
        <v>14481</v>
      </c>
      <c r="D38" s="8">
        <v>4007.85</v>
      </c>
    </row>
    <row r="39" spans="2:4">
      <c r="C39" s="614">
        <v>14482</v>
      </c>
      <c r="D39" s="598">
        <v>2756.65</v>
      </c>
    </row>
    <row r="40" spans="2:4">
      <c r="C40" s="614">
        <v>14483</v>
      </c>
      <c r="D40" s="8">
        <v>370</v>
      </c>
    </row>
    <row r="41" spans="2:4">
      <c r="C41" s="614">
        <v>14484</v>
      </c>
      <c r="D41" s="8">
        <v>5775.6</v>
      </c>
    </row>
    <row r="42" spans="2:4">
      <c r="C42" s="614">
        <v>14485</v>
      </c>
      <c r="D42" s="8">
        <v>5775.6</v>
      </c>
    </row>
    <row r="43" spans="2:4">
      <c r="C43" s="614">
        <v>14486</v>
      </c>
      <c r="D43" s="8">
        <v>5584</v>
      </c>
    </row>
    <row r="44" spans="2:4">
      <c r="C44" s="614">
        <v>14487</v>
      </c>
      <c r="D44" s="8">
        <v>7027.5</v>
      </c>
    </row>
    <row r="45" spans="2:4">
      <c r="B45" s="27">
        <v>45791</v>
      </c>
      <c r="C45" s="614">
        <v>14488</v>
      </c>
      <c r="D45" s="8">
        <v>7725.77</v>
      </c>
    </row>
    <row r="46" spans="2:4">
      <c r="C46" s="614">
        <v>14490</v>
      </c>
      <c r="D46" s="8">
        <v>4320</v>
      </c>
    </row>
    <row r="47" spans="2:4">
      <c r="C47" s="614"/>
      <c r="D47" s="8"/>
    </row>
    <row r="48" spans="2:4">
      <c r="C48" s="614"/>
      <c r="D48" s="8"/>
    </row>
    <row r="49" spans="2:4">
      <c r="B49" s="27">
        <v>45792</v>
      </c>
      <c r="C49" s="614">
        <v>14491</v>
      </c>
      <c r="D49" s="8">
        <v>5623.2</v>
      </c>
    </row>
    <row r="50" spans="2:4">
      <c r="C50" s="614">
        <v>14492</v>
      </c>
      <c r="D50" s="8">
        <v>4102.75</v>
      </c>
    </row>
    <row r="51" spans="2:4">
      <c r="C51" s="614">
        <v>14493</v>
      </c>
      <c r="D51" s="8">
        <v>3405.6</v>
      </c>
    </row>
    <row r="52" spans="2:4">
      <c r="C52" s="614">
        <v>14494</v>
      </c>
      <c r="D52" s="8">
        <v>7148.85</v>
      </c>
    </row>
    <row r="53" spans="2:4">
      <c r="C53" s="614">
        <v>14495</v>
      </c>
      <c r="D53" s="598">
        <v>7550</v>
      </c>
    </row>
    <row r="54" spans="2:4">
      <c r="C54" s="614">
        <v>14496</v>
      </c>
      <c r="D54" s="8">
        <v>6975</v>
      </c>
    </row>
    <row r="55" spans="2:4">
      <c r="C55" s="614">
        <v>14497</v>
      </c>
      <c r="D55" s="8">
        <v>6233.2</v>
      </c>
    </row>
    <row r="56" spans="2:4">
      <c r="C56" s="614">
        <v>14498</v>
      </c>
      <c r="D56" s="8">
        <v>4343.2</v>
      </c>
    </row>
    <row r="57" spans="2:4">
      <c r="C57" s="614">
        <v>14499</v>
      </c>
      <c r="D57" s="8">
        <v>6156.13</v>
      </c>
    </row>
    <row r="58" spans="2:4">
      <c r="C58" s="614">
        <v>14500</v>
      </c>
      <c r="D58" s="8">
        <v>3076.15</v>
      </c>
    </row>
    <row r="59" spans="2:4">
      <c r="C59" s="614">
        <v>14501</v>
      </c>
      <c r="D59" s="598">
        <v>23387.24</v>
      </c>
    </row>
    <row r="60" spans="2:4">
      <c r="C60" s="614">
        <v>14502</v>
      </c>
      <c r="D60" s="8">
        <v>5427.1</v>
      </c>
    </row>
    <row r="61" spans="2:4">
      <c r="C61" s="614">
        <v>14503</v>
      </c>
      <c r="D61" s="8">
        <v>6697.95</v>
      </c>
    </row>
    <row r="62" spans="2:4">
      <c r="B62" s="27">
        <v>45793</v>
      </c>
      <c r="C62" s="614">
        <v>14504</v>
      </c>
      <c r="D62" s="8">
        <v>6214.95</v>
      </c>
    </row>
    <row r="63" spans="2:4">
      <c r="C63" s="614">
        <v>14505</v>
      </c>
      <c r="D63" s="8">
        <v>3989</v>
      </c>
    </row>
    <row r="64" spans="2:4">
      <c r="C64" s="614">
        <v>14506</v>
      </c>
      <c r="D64" s="8">
        <v>925.48</v>
      </c>
    </row>
    <row r="65" spans="3:4">
      <c r="C65" s="614">
        <v>14509</v>
      </c>
      <c r="D65" s="598">
        <v>10000</v>
      </c>
    </row>
    <row r="66" spans="3:4">
      <c r="C66" s="614">
        <v>14510</v>
      </c>
      <c r="D66" s="8">
        <v>13145.86</v>
      </c>
    </row>
    <row r="67" spans="3:4">
      <c r="C67" s="614">
        <v>14511</v>
      </c>
      <c r="D67" s="8">
        <v>5075</v>
      </c>
    </row>
    <row r="68" spans="3:4">
      <c r="C68" s="614">
        <v>14512</v>
      </c>
      <c r="D68" s="8">
        <v>16440</v>
      </c>
    </row>
    <row r="69" spans="3:4">
      <c r="D69" s="8"/>
    </row>
    <row r="70" spans="3:4">
      <c r="C70" t="s">
        <v>2015</v>
      </c>
      <c r="D70" s="8">
        <f>SUM(D3:D69)</f>
        <v>360363.50000000006</v>
      </c>
    </row>
    <row r="72" spans="3:4">
      <c r="C72" t="s">
        <v>2016</v>
      </c>
      <c r="D72" s="8">
        <f>+D14+D15+D22+D30+D39+D53+D59+D65</f>
        <v>64466.34</v>
      </c>
    </row>
    <row r="73" spans="3:4">
      <c r="C73" t="s">
        <v>2017</v>
      </c>
      <c r="D73" s="8">
        <v>38591.01</v>
      </c>
    </row>
    <row r="74" spans="3:4">
      <c r="C74" t="s">
        <v>2018</v>
      </c>
      <c r="D74" s="8">
        <v>11362.3</v>
      </c>
    </row>
    <row r="75" spans="3:4">
      <c r="C75" t="s">
        <v>2019</v>
      </c>
      <c r="D75" s="8">
        <v>32493.58</v>
      </c>
    </row>
    <row r="76" spans="3:4">
      <c r="C76" t="s">
        <v>2020</v>
      </c>
      <c r="D76" s="8">
        <v>25140.15</v>
      </c>
    </row>
    <row r="77" spans="3:4">
      <c r="C77" t="s">
        <v>2021</v>
      </c>
      <c r="D77" s="8">
        <v>13348.97</v>
      </c>
    </row>
    <row r="78" spans="3:4">
      <c r="C78" t="s">
        <v>2022</v>
      </c>
      <c r="D78" s="8">
        <v>46660.33</v>
      </c>
    </row>
    <row r="79" spans="3:4">
      <c r="C79" t="s">
        <v>2023</v>
      </c>
      <c r="D79" s="8">
        <v>31718.95</v>
      </c>
    </row>
    <row r="80" spans="3:4">
      <c r="D80" s="12">
        <f>SUM(D72:D79)</f>
        <v>263781.63</v>
      </c>
    </row>
    <row r="82" spans="2:5">
      <c r="C82" t="s">
        <v>382</v>
      </c>
      <c r="D82" s="12">
        <f>+D70-D80</f>
        <v>96581.870000000054</v>
      </c>
    </row>
    <row r="83" spans="2:5">
      <c r="B83" s="599">
        <v>45792</v>
      </c>
      <c r="C83" s="600" t="s">
        <v>2024</v>
      </c>
      <c r="D83" s="601">
        <v>39000</v>
      </c>
    </row>
    <row r="84" spans="2:5">
      <c r="C84" t="s">
        <v>2025</v>
      </c>
      <c r="D84" s="8">
        <f>19702.52+6123</f>
        <v>25825.52</v>
      </c>
    </row>
    <row r="85" spans="2:5">
      <c r="C85" t="s">
        <v>2026</v>
      </c>
      <c r="D85" s="12">
        <v>0</v>
      </c>
    </row>
    <row r="86" spans="2:5">
      <c r="D86" s="12"/>
    </row>
    <row r="87" spans="2:5">
      <c r="C87" t="s">
        <v>2027</v>
      </c>
      <c r="D87" s="8">
        <f>15500+5721.98+10534.37</f>
        <v>31756.35</v>
      </c>
      <c r="E87" t="s">
        <v>1547</v>
      </c>
    </row>
    <row r="89" spans="2:5">
      <c r="D89" s="12">
        <f>+D82-D83-D84-D85-D87</f>
        <v>5.4569682106375694E-11</v>
      </c>
    </row>
    <row r="90" spans="2:5">
      <c r="D90" s="12"/>
    </row>
  </sheetData>
  <pageMargins left="0.7" right="0.7" top="0.75" bottom="0.75" header="0.3" footer="0.3"/>
  <pageSetup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C2D7E-425C-4EE7-A042-5FA731DA0AD0}">
  <dimension ref="A1:AKZ640"/>
  <sheetViews>
    <sheetView topLeftCell="A134" workbookViewId="0">
      <selection activeCell="A189" sqref="A189"/>
    </sheetView>
  </sheetViews>
  <sheetFormatPr defaultColWidth="9.140625" defaultRowHeight="15"/>
  <cols>
    <col min="1" max="1" width="41.140625" style="151" bestFit="1" customWidth="1"/>
    <col min="2" max="2" width="11.85546875" style="433" customWidth="1"/>
    <col min="3" max="3" width="12.28515625" style="432" customWidth="1"/>
    <col min="4" max="4" width="18" style="432" customWidth="1"/>
    <col min="5" max="987" width="10.7109375" style="151" customWidth="1"/>
  </cols>
  <sheetData>
    <row r="1" spans="1:4" s="151" customFormat="1" ht="45">
      <c r="A1" s="134" t="s">
        <v>423</v>
      </c>
      <c r="B1" s="146" t="s">
        <v>189</v>
      </c>
      <c r="C1" s="147" t="s">
        <v>190</v>
      </c>
      <c r="D1" s="147" t="s">
        <v>191</v>
      </c>
    </row>
    <row r="2" spans="1:4" s="151" customFormat="1">
      <c r="A2" s="134" t="s">
        <v>194</v>
      </c>
      <c r="B2" s="146"/>
      <c r="C2" s="147"/>
      <c r="D2" s="147"/>
    </row>
    <row r="3" spans="1:4" s="151" customFormat="1">
      <c r="A3" s="169" t="s">
        <v>443</v>
      </c>
      <c r="B3" s="165">
        <v>3250</v>
      </c>
      <c r="C3" s="166">
        <v>3885</v>
      </c>
      <c r="D3" s="166"/>
    </row>
    <row r="4" spans="1:4" s="151" customFormat="1">
      <c r="A4" s="169" t="s">
        <v>445</v>
      </c>
      <c r="B4" s="165">
        <v>3007</v>
      </c>
      <c r="C4" s="166">
        <v>3885</v>
      </c>
      <c r="D4" s="166"/>
    </row>
    <row r="5" spans="1:4" s="151" customFormat="1">
      <c r="A5" s="169" t="s">
        <v>447</v>
      </c>
      <c r="B5" s="165" t="s">
        <v>449</v>
      </c>
      <c r="C5" s="166">
        <f>2500+1385</f>
        <v>3885</v>
      </c>
      <c r="D5" s="166"/>
    </row>
    <row r="6" spans="1:4" s="151" customFormat="1">
      <c r="A6" s="169" t="s">
        <v>450</v>
      </c>
      <c r="B6" s="165"/>
      <c r="C6" s="166"/>
      <c r="D6" s="166"/>
    </row>
    <row r="7" spans="1:4" s="151" customFormat="1">
      <c r="A7" s="169" t="s">
        <v>453</v>
      </c>
      <c r="B7" s="165"/>
      <c r="C7" s="166"/>
      <c r="D7" s="166"/>
    </row>
    <row r="8" spans="1:4" s="151" customFormat="1">
      <c r="A8" s="169" t="s">
        <v>198</v>
      </c>
      <c r="B8" s="165">
        <v>2808</v>
      </c>
      <c r="C8" s="166">
        <v>1500</v>
      </c>
      <c r="D8" s="166" t="s">
        <v>199</v>
      </c>
    </row>
    <row r="9" spans="1:4" s="151" customFormat="1">
      <c r="A9" s="169" t="s">
        <v>200</v>
      </c>
      <c r="B9" s="165">
        <v>2768</v>
      </c>
      <c r="C9" s="166">
        <v>3885</v>
      </c>
      <c r="D9" s="166"/>
    </row>
    <row r="10" spans="1:4" s="151" customFormat="1">
      <c r="A10" s="169" t="s">
        <v>457</v>
      </c>
      <c r="B10" s="165"/>
      <c r="C10" s="166"/>
      <c r="D10" s="166"/>
    </row>
    <row r="11" spans="1:4" s="151" customFormat="1">
      <c r="A11" s="169" t="s">
        <v>460</v>
      </c>
      <c r="B11" s="165"/>
      <c r="C11" s="166"/>
      <c r="D11" s="166"/>
    </row>
    <row r="12" spans="1:4" s="151" customFormat="1">
      <c r="A12" s="169" t="s">
        <v>201</v>
      </c>
      <c r="B12" s="165">
        <v>2737</v>
      </c>
      <c r="C12" s="166">
        <v>3885</v>
      </c>
      <c r="D12" s="166"/>
    </row>
    <row r="13" spans="1:4" s="151" customFormat="1">
      <c r="A13" s="169" t="s">
        <v>463</v>
      </c>
      <c r="B13" s="165">
        <v>3195</v>
      </c>
      <c r="C13" s="166">
        <v>3885</v>
      </c>
      <c r="D13" s="166"/>
    </row>
    <row r="14" spans="1:4" s="151" customFormat="1">
      <c r="A14" s="169" t="s">
        <v>466</v>
      </c>
      <c r="B14" s="165"/>
      <c r="C14" s="166"/>
      <c r="D14" s="166"/>
    </row>
    <row r="15" spans="1:4" s="151" customFormat="1">
      <c r="A15" s="169" t="s">
        <v>468</v>
      </c>
      <c r="B15" s="165"/>
      <c r="C15" s="166"/>
      <c r="D15" s="166"/>
    </row>
    <row r="16" spans="1:4" s="151" customFormat="1">
      <c r="A16" s="169" t="s">
        <v>470</v>
      </c>
      <c r="B16" s="165">
        <v>2887</v>
      </c>
      <c r="C16" s="166">
        <v>3885</v>
      </c>
      <c r="D16" s="166"/>
    </row>
    <row r="17" spans="1:4" s="151" customFormat="1">
      <c r="A17" s="169" t="s">
        <v>472</v>
      </c>
      <c r="B17" s="165"/>
      <c r="C17" s="166"/>
      <c r="D17" s="166"/>
    </row>
    <row r="18" spans="1:4" s="151" customFormat="1">
      <c r="A18" s="169"/>
      <c r="B18" s="165"/>
      <c r="C18" s="166"/>
      <c r="D18" s="166"/>
    </row>
    <row r="19" spans="1:4" s="151" customFormat="1">
      <c r="A19" s="134" t="s">
        <v>475</v>
      </c>
      <c r="B19" s="165"/>
      <c r="C19" s="166"/>
      <c r="D19" s="166"/>
    </row>
    <row r="20" spans="1:4" s="151" customFormat="1">
      <c r="A20" s="169" t="s">
        <v>476</v>
      </c>
      <c r="B20" s="165"/>
      <c r="C20" s="166"/>
      <c r="D20" s="166"/>
    </row>
    <row r="21" spans="1:4" s="151" customFormat="1">
      <c r="A21" s="169" t="s">
        <v>478</v>
      </c>
      <c r="B21" s="165"/>
      <c r="C21" s="166"/>
      <c r="D21" s="166"/>
    </row>
    <row r="22" spans="1:4" s="151" customFormat="1">
      <c r="A22" s="501" t="s">
        <v>197</v>
      </c>
      <c r="B22" s="165">
        <v>2516</v>
      </c>
      <c r="C22" s="166">
        <v>3885</v>
      </c>
      <c r="D22" s="166"/>
    </row>
    <row r="23" spans="1:4" s="151" customFormat="1">
      <c r="A23" s="169" t="s">
        <v>483</v>
      </c>
      <c r="B23" s="165"/>
      <c r="C23" s="166"/>
      <c r="D23" s="166"/>
    </row>
    <row r="24" spans="1:4" s="151" customFormat="1">
      <c r="A24" s="169" t="s">
        <v>485</v>
      </c>
      <c r="B24" s="165"/>
      <c r="C24" s="166"/>
      <c r="D24" s="166"/>
    </row>
    <row r="25" spans="1:4" s="151" customFormat="1">
      <c r="A25" s="169" t="s">
        <v>489</v>
      </c>
      <c r="B25" s="165"/>
      <c r="C25" s="166"/>
      <c r="D25" s="166"/>
    </row>
    <row r="26" spans="1:4" s="151" customFormat="1">
      <c r="A26" s="501" t="s">
        <v>491</v>
      </c>
      <c r="B26" s="165">
        <v>2984</v>
      </c>
      <c r="C26" s="166">
        <v>3885</v>
      </c>
      <c r="D26" s="166"/>
    </row>
    <row r="27" spans="1:4" s="151" customFormat="1">
      <c r="A27" s="169" t="s">
        <v>493</v>
      </c>
      <c r="B27" s="165" t="s">
        <v>495</v>
      </c>
      <c r="C27" s="166">
        <f>3205+680</f>
        <v>3885</v>
      </c>
      <c r="D27" s="166"/>
    </row>
    <row r="28" spans="1:4" s="151" customFormat="1">
      <c r="A28" s="169" t="s">
        <v>496</v>
      </c>
      <c r="B28" s="146"/>
      <c r="C28" s="147"/>
      <c r="D28" s="147"/>
    </row>
    <row r="29" spans="1:4" s="151" customFormat="1">
      <c r="A29" s="169" t="s">
        <v>500</v>
      </c>
      <c r="B29" s="165"/>
      <c r="C29" s="166"/>
      <c r="D29" s="166"/>
    </row>
    <row r="30" spans="1:4" s="151" customFormat="1">
      <c r="A30" s="169" t="s">
        <v>202</v>
      </c>
      <c r="B30" s="165">
        <v>2744</v>
      </c>
      <c r="C30" s="166">
        <v>3885</v>
      </c>
      <c r="D30" s="166"/>
    </row>
    <row r="31" spans="1:4" s="151" customFormat="1">
      <c r="A31" s="169" t="s">
        <v>505</v>
      </c>
      <c r="B31" s="165">
        <v>2964</v>
      </c>
      <c r="C31" s="166">
        <v>3885</v>
      </c>
      <c r="D31" s="166"/>
    </row>
    <row r="32" spans="1:4" s="151" customFormat="1" ht="30">
      <c r="A32" s="169" t="s">
        <v>195</v>
      </c>
      <c r="B32" s="165" t="s">
        <v>509</v>
      </c>
      <c r="C32" s="166">
        <f>2000+1200+685</f>
        <v>3885</v>
      </c>
      <c r="D32" s="166"/>
    </row>
    <row r="33" spans="1:4" s="151" customFormat="1">
      <c r="A33" s="169" t="s">
        <v>510</v>
      </c>
      <c r="B33" s="165"/>
      <c r="C33" s="166"/>
      <c r="D33" s="166"/>
    </row>
    <row r="34" spans="1:4" s="151" customFormat="1">
      <c r="A34" s="169" t="s">
        <v>512</v>
      </c>
      <c r="B34" s="165"/>
      <c r="C34" s="166"/>
      <c r="D34" s="166"/>
    </row>
    <row r="35" spans="1:4" s="151" customFormat="1">
      <c r="A35" s="178"/>
      <c r="B35" s="146"/>
      <c r="C35" s="147"/>
      <c r="D35" s="147"/>
    </row>
    <row r="36" spans="1:4" s="151" customFormat="1">
      <c r="A36" s="187" t="s">
        <v>171</v>
      </c>
      <c r="B36" s="146"/>
      <c r="C36" s="147"/>
      <c r="D36" s="147"/>
    </row>
    <row r="37" spans="1:4" s="151" customFormat="1">
      <c r="A37" s="178"/>
      <c r="B37" s="189"/>
      <c r="C37" s="190"/>
      <c r="D37" s="190"/>
    </row>
    <row r="38" spans="1:4" s="151" customFormat="1">
      <c r="A38" s="169" t="s">
        <v>515</v>
      </c>
      <c r="B38" s="172">
        <v>3189</v>
      </c>
      <c r="C38" s="173">
        <v>6494</v>
      </c>
      <c r="D38" s="173"/>
    </row>
    <row r="39" spans="1:4" s="151" customFormat="1">
      <c r="A39" s="169" t="s">
        <v>518</v>
      </c>
      <c r="B39" s="172">
        <v>2917</v>
      </c>
      <c r="C39" s="173">
        <v>6494</v>
      </c>
      <c r="D39" s="173"/>
    </row>
    <row r="40" spans="1:4" s="151" customFormat="1">
      <c r="A40" s="169" t="s">
        <v>521</v>
      </c>
      <c r="B40" s="172">
        <v>3422</v>
      </c>
      <c r="C40" s="173">
        <v>6494</v>
      </c>
      <c r="D40" s="173"/>
    </row>
    <row r="41" spans="1:4" s="151" customFormat="1">
      <c r="A41" s="169" t="s">
        <v>523</v>
      </c>
      <c r="B41" s="172">
        <v>2918</v>
      </c>
      <c r="C41" s="173">
        <v>6494</v>
      </c>
      <c r="D41" s="173"/>
    </row>
    <row r="42" spans="1:4" s="151" customFormat="1">
      <c r="A42" s="169" t="s">
        <v>525</v>
      </c>
      <c r="B42" s="172">
        <v>3089</v>
      </c>
      <c r="C42" s="173">
        <v>6494</v>
      </c>
      <c r="D42" s="173"/>
    </row>
    <row r="43" spans="1:4" s="151" customFormat="1">
      <c r="A43" s="169" t="s">
        <v>527</v>
      </c>
      <c r="B43" s="172">
        <v>3246</v>
      </c>
      <c r="C43" s="173">
        <v>6496</v>
      </c>
      <c r="D43" s="173"/>
    </row>
    <row r="44" spans="1:4" s="151" customFormat="1">
      <c r="A44" s="169" t="s">
        <v>530</v>
      </c>
      <c r="B44" s="172"/>
      <c r="C44" s="173"/>
      <c r="D44" s="173"/>
    </row>
    <row r="45" spans="1:4" s="151" customFormat="1">
      <c r="A45" s="169" t="s">
        <v>532</v>
      </c>
      <c r="B45" s="172">
        <v>2938</v>
      </c>
      <c r="C45" s="173">
        <v>6494</v>
      </c>
      <c r="D45" s="173"/>
    </row>
    <row r="46" spans="1:4" s="151" customFormat="1">
      <c r="A46" s="169" t="s">
        <v>534</v>
      </c>
      <c r="B46" s="172">
        <v>3237</v>
      </c>
      <c r="C46" s="173">
        <v>2415</v>
      </c>
      <c r="D46" s="173" t="s">
        <v>536</v>
      </c>
    </row>
    <row r="47" spans="1:4" s="151" customFormat="1">
      <c r="A47" s="169" t="s">
        <v>537</v>
      </c>
      <c r="B47" s="172"/>
      <c r="C47" s="173"/>
      <c r="D47" s="173"/>
    </row>
    <row r="48" spans="1:4" s="151" customFormat="1">
      <c r="A48" s="169" t="s">
        <v>541</v>
      </c>
      <c r="B48" s="172">
        <v>3168</v>
      </c>
      <c r="C48" s="173">
        <v>6494</v>
      </c>
      <c r="D48" s="173"/>
    </row>
    <row r="49" spans="1:4" s="151" customFormat="1">
      <c r="A49" s="205" t="s">
        <v>204</v>
      </c>
      <c r="B49" s="219">
        <v>2801</v>
      </c>
      <c r="C49" s="220">
        <f>165+6329</f>
        <v>6494</v>
      </c>
      <c r="D49" s="220"/>
    </row>
    <row r="50" spans="1:4" s="151" customFormat="1">
      <c r="A50" s="158" t="s">
        <v>206</v>
      </c>
      <c r="B50" s="219">
        <v>2864</v>
      </c>
      <c r="C50" s="220">
        <v>6494</v>
      </c>
      <c r="D50" s="220"/>
    </row>
    <row r="51" spans="1:4" s="151" customFormat="1">
      <c r="A51" s="169" t="s">
        <v>546</v>
      </c>
      <c r="B51" s="219">
        <v>3157</v>
      </c>
      <c r="C51" s="220">
        <v>6494</v>
      </c>
      <c r="D51" s="220"/>
    </row>
    <row r="52" spans="1:4" s="151" customFormat="1">
      <c r="A52" s="169"/>
      <c r="B52" s="219"/>
      <c r="C52" s="220"/>
      <c r="D52" s="220"/>
    </row>
    <row r="53" spans="1:4" s="151" customFormat="1">
      <c r="A53" s="169"/>
      <c r="B53" s="219"/>
      <c r="C53" s="220"/>
      <c r="D53" s="220"/>
    </row>
    <row r="54" spans="1:4" s="151" customFormat="1">
      <c r="A54" s="169" t="s">
        <v>552</v>
      </c>
      <c r="B54" s="219">
        <v>3018</v>
      </c>
      <c r="C54" s="220">
        <v>6494</v>
      </c>
      <c r="D54" s="220"/>
    </row>
    <row r="55" spans="1:4" s="151" customFormat="1">
      <c r="A55" s="169" t="s">
        <v>556</v>
      </c>
      <c r="B55" s="219">
        <v>2953</v>
      </c>
      <c r="C55" s="220">
        <v>6494</v>
      </c>
      <c r="D55" s="220"/>
    </row>
    <row r="56" spans="1:4" s="151" customFormat="1">
      <c r="A56" s="169" t="s">
        <v>208</v>
      </c>
      <c r="B56" s="219">
        <v>2807</v>
      </c>
      <c r="C56" s="220">
        <v>6494</v>
      </c>
      <c r="D56" s="220"/>
    </row>
    <row r="57" spans="1:4" s="151" customFormat="1">
      <c r="A57" s="169" t="s">
        <v>561</v>
      </c>
      <c r="B57" s="219">
        <v>2956</v>
      </c>
      <c r="C57" s="220">
        <v>6494</v>
      </c>
      <c r="D57" s="220"/>
    </row>
    <row r="58" spans="1:4" s="151" customFormat="1">
      <c r="A58" s="169" t="s">
        <v>203</v>
      </c>
      <c r="B58" s="219">
        <v>2785</v>
      </c>
      <c r="C58" s="220">
        <v>6494</v>
      </c>
      <c r="D58" s="220"/>
    </row>
    <row r="59" spans="1:4" s="151" customFormat="1">
      <c r="A59" s="169" t="s">
        <v>564</v>
      </c>
      <c r="B59" s="219">
        <v>3185</v>
      </c>
      <c r="C59" s="220">
        <v>6494</v>
      </c>
      <c r="D59" s="220"/>
    </row>
    <row r="60" spans="1:4" s="151" customFormat="1">
      <c r="A60" s="169" t="s">
        <v>566</v>
      </c>
      <c r="B60" s="219">
        <v>2991</v>
      </c>
      <c r="C60" s="220">
        <v>6494</v>
      </c>
      <c r="D60" s="220"/>
    </row>
    <row r="61" spans="1:4" s="151" customFormat="1">
      <c r="A61" s="169" t="s">
        <v>207</v>
      </c>
      <c r="B61" s="219">
        <v>2804</v>
      </c>
      <c r="C61" s="220">
        <v>6494</v>
      </c>
      <c r="D61" s="220"/>
    </row>
    <row r="62" spans="1:4" s="151" customFormat="1">
      <c r="A62" s="169" t="s">
        <v>569</v>
      </c>
      <c r="B62" s="219">
        <v>3219</v>
      </c>
      <c r="C62" s="220">
        <v>6494</v>
      </c>
      <c r="D62" s="220"/>
    </row>
    <row r="63" spans="1:4" s="151" customFormat="1" ht="14.25" customHeight="1">
      <c r="A63" s="169" t="s">
        <v>209</v>
      </c>
      <c r="B63" s="219">
        <v>2677</v>
      </c>
      <c r="C63" s="220">
        <v>6494</v>
      </c>
      <c r="D63" s="220"/>
    </row>
    <row r="64" spans="1:4" s="151" customFormat="1">
      <c r="A64" s="169" t="s">
        <v>574</v>
      </c>
      <c r="B64" s="219"/>
      <c r="C64" s="220"/>
      <c r="D64" s="220"/>
    </row>
    <row r="65" spans="1:4" s="151" customFormat="1">
      <c r="A65" s="169" t="s">
        <v>578</v>
      </c>
      <c r="B65" s="219">
        <v>3171</v>
      </c>
      <c r="C65" s="220">
        <v>6494</v>
      </c>
      <c r="D65" s="220"/>
    </row>
    <row r="66" spans="1:4" s="151" customFormat="1">
      <c r="A66" s="169" t="s">
        <v>580</v>
      </c>
      <c r="B66" s="219">
        <v>3229</v>
      </c>
      <c r="C66" s="220">
        <v>6494</v>
      </c>
      <c r="D66" s="220"/>
    </row>
    <row r="67" spans="1:4" s="151" customFormat="1">
      <c r="A67" s="169" t="s">
        <v>583</v>
      </c>
      <c r="B67" s="219">
        <v>3013</v>
      </c>
      <c r="C67" s="220">
        <v>6494</v>
      </c>
      <c r="D67" s="220"/>
    </row>
    <row r="68" spans="1:4" s="151" customFormat="1">
      <c r="A68" s="169"/>
      <c r="B68" s="219"/>
      <c r="C68" s="220"/>
      <c r="D68" s="220"/>
    </row>
    <row r="69" spans="1:4" s="151" customFormat="1">
      <c r="A69" s="169"/>
      <c r="B69" s="229"/>
      <c r="C69" s="230"/>
      <c r="D69" s="230"/>
    </row>
    <row r="70" spans="1:4" s="151" customFormat="1">
      <c r="A70" s="134" t="s">
        <v>585</v>
      </c>
      <c r="B70" s="240"/>
      <c r="C70" s="241"/>
      <c r="D70" s="241"/>
    </row>
    <row r="71" spans="1:4" s="151" customFormat="1">
      <c r="A71" s="243" t="s">
        <v>587</v>
      </c>
      <c r="B71" s="172">
        <v>3087</v>
      </c>
      <c r="C71" s="173">
        <v>6335</v>
      </c>
      <c r="D71" s="173"/>
    </row>
    <row r="72" spans="1:4" s="151" customFormat="1">
      <c r="A72" s="199" t="s">
        <v>589</v>
      </c>
      <c r="B72" s="172" t="s">
        <v>488</v>
      </c>
      <c r="C72" s="173"/>
      <c r="D72" s="173"/>
    </row>
    <row r="73" spans="1:4" s="151" customFormat="1">
      <c r="A73" s="199" t="s">
        <v>592</v>
      </c>
      <c r="B73" s="172">
        <v>2986</v>
      </c>
      <c r="C73" s="173">
        <v>6335</v>
      </c>
      <c r="D73" s="173"/>
    </row>
    <row r="74" spans="1:4" s="151" customFormat="1">
      <c r="A74" s="199" t="s">
        <v>221</v>
      </c>
      <c r="B74" s="172">
        <v>2847</v>
      </c>
      <c r="C74" s="173">
        <v>6335</v>
      </c>
      <c r="D74" s="173"/>
    </row>
    <row r="75" spans="1:4" s="151" customFormat="1">
      <c r="A75" s="199" t="s">
        <v>594</v>
      </c>
      <c r="B75" s="172">
        <v>3192</v>
      </c>
      <c r="C75" s="173">
        <v>6335</v>
      </c>
      <c r="D75" s="173"/>
    </row>
    <row r="76" spans="1:4" s="151" customFormat="1">
      <c r="A76" s="206" t="s">
        <v>597</v>
      </c>
      <c r="B76" s="172">
        <v>3234</v>
      </c>
      <c r="C76" s="173">
        <v>5480</v>
      </c>
      <c r="D76" s="173" t="s">
        <v>599</v>
      </c>
    </row>
    <row r="77" spans="1:4" s="151" customFormat="1">
      <c r="A77" s="199" t="s">
        <v>600</v>
      </c>
      <c r="B77" s="172">
        <v>3172</v>
      </c>
      <c r="C77" s="173">
        <v>6335</v>
      </c>
      <c r="D77" s="173"/>
    </row>
    <row r="78" spans="1:4" s="151" customFormat="1" ht="28.5" customHeight="1">
      <c r="A78" s="199" t="s">
        <v>602</v>
      </c>
      <c r="B78" s="172">
        <v>3174</v>
      </c>
      <c r="C78" s="173">
        <v>6335</v>
      </c>
      <c r="D78" s="173"/>
    </row>
    <row r="79" spans="1:4" s="151" customFormat="1">
      <c r="A79" s="206" t="s">
        <v>604</v>
      </c>
      <c r="B79" s="172">
        <v>3218</v>
      </c>
      <c r="C79" s="173">
        <v>665</v>
      </c>
      <c r="D79" s="173" t="s">
        <v>2028</v>
      </c>
    </row>
    <row r="80" spans="1:4" s="151" customFormat="1">
      <c r="A80" s="199" t="s">
        <v>606</v>
      </c>
      <c r="B80" s="172">
        <v>2881</v>
      </c>
      <c r="C80" s="173">
        <v>6335</v>
      </c>
      <c r="D80" s="173"/>
    </row>
    <row r="81" spans="1:4" s="151" customFormat="1" ht="18.75" customHeight="1">
      <c r="A81" s="199" t="s">
        <v>608</v>
      </c>
      <c r="B81" s="172">
        <v>3179</v>
      </c>
      <c r="C81" s="173">
        <v>3845</v>
      </c>
      <c r="D81" s="173" t="s">
        <v>611</v>
      </c>
    </row>
    <row r="82" spans="1:4" s="151" customFormat="1">
      <c r="A82" s="199" t="s">
        <v>219</v>
      </c>
      <c r="B82" s="172">
        <v>2693</v>
      </c>
      <c r="C82" s="173">
        <v>6335</v>
      </c>
      <c r="D82" s="173"/>
    </row>
    <row r="83" spans="1:4" s="151" customFormat="1">
      <c r="A83" s="199" t="s">
        <v>215</v>
      </c>
      <c r="B83" s="172">
        <v>2852</v>
      </c>
      <c r="C83" s="173">
        <v>6355</v>
      </c>
      <c r="D83" s="173"/>
    </row>
    <row r="84" spans="1:4" s="151" customFormat="1">
      <c r="A84" s="199" t="s">
        <v>613</v>
      </c>
      <c r="B84" s="172">
        <v>2936</v>
      </c>
      <c r="C84" s="173">
        <v>6335</v>
      </c>
      <c r="D84" s="173"/>
    </row>
    <row r="85" spans="1:4" s="151" customFormat="1">
      <c r="A85" s="199" t="s">
        <v>616</v>
      </c>
      <c r="B85" s="172">
        <v>3421</v>
      </c>
      <c r="C85" s="173">
        <v>3000</v>
      </c>
      <c r="D85" s="173" t="s">
        <v>2029</v>
      </c>
    </row>
    <row r="86" spans="1:4" s="151" customFormat="1">
      <c r="A86" s="199" t="s">
        <v>619</v>
      </c>
      <c r="B86" s="172">
        <v>2934</v>
      </c>
      <c r="C86" s="173">
        <v>6335</v>
      </c>
      <c r="D86" s="173"/>
    </row>
    <row r="87" spans="1:4" s="151" customFormat="1">
      <c r="A87" s="199" t="s">
        <v>622</v>
      </c>
      <c r="B87" s="172">
        <v>3189</v>
      </c>
      <c r="C87" s="173">
        <v>6335</v>
      </c>
      <c r="D87" s="173"/>
    </row>
    <row r="88" spans="1:4" s="151" customFormat="1">
      <c r="A88" s="517" t="s">
        <v>624</v>
      </c>
      <c r="B88" s="172">
        <v>2982</v>
      </c>
      <c r="C88" s="173">
        <v>6335</v>
      </c>
      <c r="D88" s="173"/>
    </row>
    <row r="89" spans="1:4" s="151" customFormat="1">
      <c r="A89" s="199"/>
      <c r="B89" s="172"/>
      <c r="C89" s="173"/>
      <c r="D89" s="173"/>
    </row>
    <row r="90" spans="1:4" s="151" customFormat="1">
      <c r="A90" s="199"/>
      <c r="B90" s="172"/>
      <c r="C90" s="173"/>
      <c r="D90" s="173"/>
    </row>
    <row r="91" spans="1:4" s="151" customFormat="1">
      <c r="A91" s="134" t="s">
        <v>585</v>
      </c>
      <c r="B91" s="172"/>
      <c r="C91" s="173"/>
      <c r="D91" s="173"/>
    </row>
    <row r="92" spans="1:4" s="151" customFormat="1">
      <c r="A92" s="199" t="s">
        <v>628</v>
      </c>
      <c r="B92" s="172"/>
      <c r="C92" s="173"/>
      <c r="D92" s="173"/>
    </row>
    <row r="93" spans="1:4" s="151" customFormat="1">
      <c r="A93" s="199" t="s">
        <v>211</v>
      </c>
      <c r="B93" s="172">
        <v>2851</v>
      </c>
      <c r="C93" s="173">
        <v>6355</v>
      </c>
      <c r="D93" s="173"/>
    </row>
    <row r="94" spans="1:4" s="151" customFormat="1">
      <c r="A94" s="199" t="s">
        <v>214</v>
      </c>
      <c r="B94" s="172">
        <v>2726</v>
      </c>
      <c r="C94" s="173">
        <v>6335</v>
      </c>
      <c r="D94" s="173"/>
    </row>
    <row r="95" spans="1:4" s="151" customFormat="1">
      <c r="A95" s="199" t="s">
        <v>631</v>
      </c>
      <c r="B95" s="172"/>
      <c r="C95" s="173"/>
      <c r="D95" s="173"/>
    </row>
    <row r="96" spans="1:4" s="151" customFormat="1">
      <c r="A96" s="199" t="s">
        <v>633</v>
      </c>
      <c r="B96" s="172">
        <v>3231</v>
      </c>
      <c r="C96" s="173">
        <v>6335</v>
      </c>
      <c r="D96" s="173"/>
    </row>
    <row r="97" spans="1:4" s="151" customFormat="1">
      <c r="A97" s="199" t="s">
        <v>220</v>
      </c>
      <c r="B97" s="172">
        <v>2651</v>
      </c>
      <c r="C97" s="173">
        <v>6335</v>
      </c>
      <c r="D97" s="173"/>
    </row>
    <row r="98" spans="1:4" s="151" customFormat="1">
      <c r="A98" s="206" t="s">
        <v>635</v>
      </c>
      <c r="B98" s="172"/>
      <c r="C98" s="173"/>
      <c r="D98" s="173"/>
    </row>
    <row r="99" spans="1:4" s="151" customFormat="1">
      <c r="A99" s="199" t="s">
        <v>212</v>
      </c>
      <c r="B99" s="172">
        <v>2685</v>
      </c>
      <c r="C99" s="173">
        <v>6335</v>
      </c>
      <c r="D99" s="173" t="s">
        <v>213</v>
      </c>
    </row>
    <row r="100" spans="1:4" s="151" customFormat="1">
      <c r="A100" s="199" t="s">
        <v>639</v>
      </c>
      <c r="B100" s="172">
        <v>2882</v>
      </c>
      <c r="C100" s="173">
        <v>6335</v>
      </c>
      <c r="D100" s="173"/>
    </row>
    <row r="101" spans="1:4" s="151" customFormat="1">
      <c r="A101" s="199" t="s">
        <v>641</v>
      </c>
      <c r="B101" s="172">
        <v>3066</v>
      </c>
      <c r="C101" s="173">
        <v>3200</v>
      </c>
      <c r="D101" s="173" t="s">
        <v>2030</v>
      </c>
    </row>
    <row r="102" spans="1:4" s="151" customFormat="1">
      <c r="A102" s="199" t="s">
        <v>218</v>
      </c>
      <c r="B102" s="172">
        <v>2694</v>
      </c>
      <c r="C102" s="173">
        <v>6335</v>
      </c>
      <c r="D102" s="173"/>
    </row>
    <row r="103" spans="1:4" s="151" customFormat="1">
      <c r="A103" s="199" t="s">
        <v>645</v>
      </c>
      <c r="B103" s="172">
        <v>2930</v>
      </c>
      <c r="C103" s="173">
        <v>6335</v>
      </c>
      <c r="D103" s="173"/>
    </row>
    <row r="104" spans="1:4" s="151" customFormat="1">
      <c r="A104" s="199" t="s">
        <v>647</v>
      </c>
      <c r="B104" s="172"/>
      <c r="C104" s="173"/>
      <c r="D104" s="173"/>
    </row>
    <row r="105" spans="1:4" s="151" customFormat="1">
      <c r="A105" s="243" t="s">
        <v>649</v>
      </c>
      <c r="B105" s="172">
        <v>3424</v>
      </c>
      <c r="C105" s="173">
        <v>6335</v>
      </c>
      <c r="D105" s="173"/>
    </row>
    <row r="106" spans="1:4" s="151" customFormat="1">
      <c r="A106" s="199" t="s">
        <v>652</v>
      </c>
      <c r="B106" s="172">
        <v>2925</v>
      </c>
      <c r="C106" s="173">
        <v>715</v>
      </c>
      <c r="D106" s="173" t="s">
        <v>2031</v>
      </c>
    </row>
    <row r="107" spans="1:4" s="151" customFormat="1">
      <c r="A107" s="199" t="s">
        <v>216</v>
      </c>
      <c r="B107" s="172">
        <v>2839</v>
      </c>
      <c r="C107" s="173">
        <v>6335</v>
      </c>
      <c r="D107" s="173"/>
    </row>
    <row r="108" spans="1:4" s="151" customFormat="1">
      <c r="A108" s="199" t="s">
        <v>217</v>
      </c>
      <c r="B108" s="172">
        <v>2737</v>
      </c>
      <c r="C108" s="173">
        <v>6335</v>
      </c>
      <c r="D108" s="173"/>
    </row>
    <row r="109" spans="1:4" s="151" customFormat="1">
      <c r="A109" s="199" t="s">
        <v>655</v>
      </c>
      <c r="B109" s="172">
        <v>3167</v>
      </c>
      <c r="C109" s="173">
        <v>6335</v>
      </c>
      <c r="D109" s="173"/>
    </row>
    <row r="112" spans="1:4" s="151" customFormat="1">
      <c r="A112" s="133" t="s">
        <v>173</v>
      </c>
      <c r="B112" s="240"/>
      <c r="C112" s="241"/>
      <c r="D112" s="241"/>
    </row>
    <row r="113" spans="1:4" s="151" customFormat="1">
      <c r="A113" s="253" t="s">
        <v>657</v>
      </c>
      <c r="B113" s="172">
        <v>2913</v>
      </c>
      <c r="C113" s="173">
        <v>6335</v>
      </c>
      <c r="D113" s="173"/>
    </row>
    <row r="114" spans="1:4" s="151" customFormat="1">
      <c r="A114" s="253" t="s">
        <v>222</v>
      </c>
      <c r="B114" s="172">
        <v>2674</v>
      </c>
      <c r="C114" s="173">
        <v>6335</v>
      </c>
      <c r="D114" s="173"/>
    </row>
    <row r="115" spans="1:4" s="151" customFormat="1">
      <c r="A115" s="253" t="s">
        <v>662</v>
      </c>
      <c r="B115" s="172">
        <v>3426</v>
      </c>
      <c r="C115" s="173">
        <v>6335</v>
      </c>
      <c r="D115" s="173"/>
    </row>
    <row r="116" spans="1:4" s="151" customFormat="1">
      <c r="A116" s="253" t="s">
        <v>665</v>
      </c>
      <c r="B116" s="259" t="s">
        <v>667</v>
      </c>
      <c r="C116" s="173">
        <f>4335+2000</f>
        <v>6335</v>
      </c>
      <c r="D116" s="260"/>
    </row>
    <row r="117" spans="1:4" s="151" customFormat="1">
      <c r="A117" s="253" t="s">
        <v>668</v>
      </c>
      <c r="B117" s="172">
        <v>3033</v>
      </c>
      <c r="C117" s="173">
        <v>6335</v>
      </c>
      <c r="D117" s="173"/>
    </row>
    <row r="118" spans="1:4" s="151" customFormat="1">
      <c r="A118" s="253" t="s">
        <v>2032</v>
      </c>
      <c r="B118" s="172">
        <v>2885</v>
      </c>
      <c r="C118" s="173">
        <v>6335</v>
      </c>
      <c r="D118" s="173" t="s">
        <v>672</v>
      </c>
    </row>
    <row r="119" spans="1:4" s="151" customFormat="1">
      <c r="A119" s="253" t="s">
        <v>229</v>
      </c>
      <c r="B119" s="259">
        <v>2705</v>
      </c>
      <c r="C119" s="173">
        <v>6335</v>
      </c>
      <c r="D119" s="260"/>
    </row>
    <row r="120" spans="1:4" s="151" customFormat="1">
      <c r="A120" s="253" t="s">
        <v>675</v>
      </c>
      <c r="B120" s="172">
        <v>3077</v>
      </c>
      <c r="C120" s="173">
        <v>6335</v>
      </c>
      <c r="D120" s="173"/>
    </row>
    <row r="121" spans="1:4" s="151" customFormat="1">
      <c r="A121" s="253" t="s">
        <v>223</v>
      </c>
      <c r="B121" s="172">
        <v>2688</v>
      </c>
      <c r="C121" s="173">
        <f>2000+500+1400</f>
        <v>3900</v>
      </c>
      <c r="D121" s="173" t="s">
        <v>679</v>
      </c>
    </row>
    <row r="122" spans="1:4" s="151" customFormat="1">
      <c r="A122" s="253" t="s">
        <v>225</v>
      </c>
      <c r="B122" s="172">
        <v>2801</v>
      </c>
      <c r="C122" s="173">
        <v>6335</v>
      </c>
      <c r="D122" s="173"/>
    </row>
    <row r="123" spans="1:4" s="151" customFormat="1">
      <c r="A123" s="253" t="s">
        <v>681</v>
      </c>
      <c r="B123" s="172">
        <v>3048</v>
      </c>
      <c r="C123" s="173">
        <v>6335</v>
      </c>
      <c r="D123" s="173" t="s">
        <v>683</v>
      </c>
    </row>
    <row r="124" spans="1:4" s="151" customFormat="1">
      <c r="A124" s="253" t="s">
        <v>684</v>
      </c>
      <c r="B124" s="259">
        <v>2912</v>
      </c>
      <c r="C124" s="173">
        <v>6335</v>
      </c>
      <c r="D124" s="260"/>
    </row>
    <row r="125" spans="1:4" s="151" customFormat="1">
      <c r="A125" s="253" t="s">
        <v>686</v>
      </c>
      <c r="B125" s="172">
        <v>3049</v>
      </c>
      <c r="C125" s="173">
        <v>6335</v>
      </c>
      <c r="D125" s="173"/>
    </row>
    <row r="126" spans="1:4" s="151" customFormat="1">
      <c r="A126" s="253" t="s">
        <v>227</v>
      </c>
      <c r="B126" s="172">
        <v>2834</v>
      </c>
      <c r="C126" s="173">
        <v>4435</v>
      </c>
      <c r="D126" s="173"/>
    </row>
    <row r="127" spans="1:4" s="151" customFormat="1">
      <c r="A127" s="262" t="s">
        <v>690</v>
      </c>
      <c r="B127" s="172"/>
      <c r="C127" s="173"/>
      <c r="D127" s="173"/>
    </row>
    <row r="128" spans="1:4" s="151" customFormat="1">
      <c r="A128" s="254" t="s">
        <v>694</v>
      </c>
      <c r="B128" s="172" t="s">
        <v>696</v>
      </c>
      <c r="C128" s="173">
        <f>6000+335</f>
        <v>6335</v>
      </c>
      <c r="D128" s="173"/>
    </row>
    <row r="129" spans="1:4" s="151" customFormat="1">
      <c r="A129" s="254" t="s">
        <v>697</v>
      </c>
      <c r="B129" s="172"/>
      <c r="C129" s="173"/>
      <c r="D129" s="173"/>
    </row>
    <row r="130" spans="1:4" s="151" customFormat="1">
      <c r="A130" s="254" t="s">
        <v>699</v>
      </c>
      <c r="B130" s="172"/>
      <c r="C130" s="173"/>
      <c r="D130" s="173"/>
    </row>
    <row r="131" spans="1:4" s="151" customFormat="1">
      <c r="A131" s="254" t="s">
        <v>701</v>
      </c>
      <c r="B131" s="172">
        <v>3160</v>
      </c>
      <c r="C131" s="173">
        <v>6335</v>
      </c>
      <c r="D131" s="173"/>
    </row>
    <row r="132" spans="1:4" s="151" customFormat="1">
      <c r="A132" s="254" t="s">
        <v>704</v>
      </c>
      <c r="B132" s="172">
        <v>3217</v>
      </c>
      <c r="C132" s="173">
        <v>6335</v>
      </c>
      <c r="D132" s="173"/>
    </row>
    <row r="133" spans="1:4" s="151" customFormat="1">
      <c r="A133" s="254" t="s">
        <v>706</v>
      </c>
      <c r="B133" s="172">
        <v>2935</v>
      </c>
      <c r="C133" s="173">
        <v>6335</v>
      </c>
      <c r="D133" s="173"/>
    </row>
    <row r="134" spans="1:4" s="151" customFormat="1">
      <c r="A134" s="254"/>
      <c r="B134" s="259"/>
      <c r="C134" s="173"/>
      <c r="D134" s="260"/>
    </row>
    <row r="135" spans="1:4" s="151" customFormat="1">
      <c r="A135" s="254"/>
      <c r="B135" s="259"/>
      <c r="C135" s="173"/>
      <c r="D135" s="260"/>
    </row>
    <row r="136" spans="1:4" s="151" customFormat="1">
      <c r="A136" s="254"/>
      <c r="B136" s="259"/>
      <c r="C136" s="173"/>
      <c r="D136" s="260"/>
    </row>
    <row r="137" spans="1:4" s="151" customFormat="1">
      <c r="A137" s="254" t="s">
        <v>226</v>
      </c>
      <c r="B137" s="172">
        <v>2635</v>
      </c>
      <c r="C137" s="173">
        <v>6335</v>
      </c>
      <c r="D137" s="173"/>
    </row>
    <row r="138" spans="1:4" s="151" customFormat="1">
      <c r="A138" s="254" t="s">
        <v>709</v>
      </c>
      <c r="B138" s="172"/>
      <c r="C138" s="173"/>
      <c r="D138" s="173"/>
    </row>
    <row r="139" spans="1:4" s="151" customFormat="1">
      <c r="A139" s="254" t="s">
        <v>712</v>
      </c>
      <c r="B139" s="172" t="s">
        <v>714</v>
      </c>
      <c r="C139" s="173">
        <f>810+5525</f>
        <v>6335</v>
      </c>
      <c r="D139" s="173"/>
    </row>
    <row r="140" spans="1:4" s="151" customFormat="1">
      <c r="A140" s="254" t="s">
        <v>715</v>
      </c>
      <c r="B140" s="172">
        <v>2941</v>
      </c>
      <c r="C140" s="173">
        <v>6335</v>
      </c>
      <c r="D140" s="173"/>
    </row>
    <row r="141" spans="1:4" s="151" customFormat="1">
      <c r="A141" s="254" t="s">
        <v>718</v>
      </c>
      <c r="B141" s="172">
        <v>3205</v>
      </c>
      <c r="C141" s="173">
        <v>6335</v>
      </c>
      <c r="D141" s="173"/>
    </row>
    <row r="142" spans="1:4" s="151" customFormat="1">
      <c r="A142" s="254" t="s">
        <v>720</v>
      </c>
      <c r="B142" s="172">
        <v>3218</v>
      </c>
      <c r="C142" s="173">
        <v>6335</v>
      </c>
      <c r="D142" s="173"/>
    </row>
    <row r="143" spans="1:4" s="151" customFormat="1">
      <c r="A143" s="254" t="s">
        <v>723</v>
      </c>
      <c r="B143" s="172">
        <v>2945</v>
      </c>
      <c r="C143" s="173">
        <v>6335</v>
      </c>
      <c r="D143" s="173"/>
    </row>
    <row r="144" spans="1:4" s="151" customFormat="1" ht="21.75" customHeight="1">
      <c r="A144" s="254" t="s">
        <v>725</v>
      </c>
      <c r="B144" s="172"/>
      <c r="C144" s="173"/>
      <c r="D144" s="173"/>
    </row>
    <row r="145" spans="1:4" s="151" customFormat="1" ht="15" customHeight="1">
      <c r="A145" s="254" t="s">
        <v>728</v>
      </c>
      <c r="B145" s="165" t="s">
        <v>730</v>
      </c>
      <c r="C145" s="173">
        <f>4215+2000+120</f>
        <v>6335</v>
      </c>
      <c r="D145" s="173"/>
    </row>
    <row r="146" spans="1:4" s="151" customFormat="1" ht="20.25" customHeight="1">
      <c r="A146" s="254" t="s">
        <v>731</v>
      </c>
      <c r="B146" s="172"/>
      <c r="C146" s="173"/>
      <c r="D146" s="173"/>
    </row>
    <row r="147" spans="1:4" s="151" customFormat="1">
      <c r="A147" s="254" t="s">
        <v>735</v>
      </c>
      <c r="B147" s="172">
        <v>2947</v>
      </c>
      <c r="C147" s="173">
        <v>6335</v>
      </c>
      <c r="D147" s="173"/>
    </row>
    <row r="148" spans="1:4" s="151" customFormat="1">
      <c r="A148" s="262" t="s">
        <v>738</v>
      </c>
      <c r="B148" s="172"/>
      <c r="C148" s="173"/>
      <c r="D148" s="173"/>
    </row>
    <row r="149" spans="1:4" s="151" customFormat="1" ht="15.75" customHeight="1">
      <c r="A149" s="262" t="s">
        <v>740</v>
      </c>
      <c r="B149" s="172"/>
      <c r="C149" s="173"/>
      <c r="D149" s="173"/>
    </row>
    <row r="150" spans="1:4" s="151" customFormat="1">
      <c r="A150" s="254" t="s">
        <v>742</v>
      </c>
      <c r="B150" s="172">
        <v>2767</v>
      </c>
      <c r="C150" s="173">
        <v>6335</v>
      </c>
      <c r="D150" s="173"/>
    </row>
    <row r="151" spans="1:4" s="151" customFormat="1">
      <c r="A151" s="263" t="s">
        <v>228</v>
      </c>
      <c r="B151" s="172">
        <v>2763</v>
      </c>
      <c r="C151" s="173">
        <v>6335</v>
      </c>
      <c r="D151" s="173"/>
    </row>
    <row r="152" spans="1:4" s="151" customFormat="1">
      <c r="A152" s="263" t="s">
        <v>747</v>
      </c>
      <c r="B152" s="172"/>
      <c r="C152" s="173"/>
      <c r="D152" s="173"/>
    </row>
    <row r="153" spans="1:4" s="151" customFormat="1">
      <c r="A153" s="263" t="s">
        <v>750</v>
      </c>
      <c r="B153" s="172">
        <v>3413</v>
      </c>
      <c r="C153" s="173">
        <v>6335</v>
      </c>
      <c r="D153" s="173"/>
    </row>
    <row r="154" spans="1:4" s="151" customFormat="1">
      <c r="A154" s="263" t="s">
        <v>752</v>
      </c>
      <c r="B154" s="172">
        <v>3065</v>
      </c>
      <c r="C154" s="173">
        <v>6335</v>
      </c>
      <c r="D154" s="173" t="s">
        <v>754</v>
      </c>
    </row>
    <row r="155" spans="1:4" s="151" customFormat="1">
      <c r="A155" s="263" t="s">
        <v>755</v>
      </c>
      <c r="B155" s="172">
        <v>2964</v>
      </c>
      <c r="C155" s="173">
        <v>6335</v>
      </c>
      <c r="D155" s="173"/>
    </row>
    <row r="156" spans="1:4" s="151" customFormat="1">
      <c r="A156" s="263" t="s">
        <v>758</v>
      </c>
      <c r="B156" s="172">
        <v>3064</v>
      </c>
      <c r="C156" s="173">
        <v>6335</v>
      </c>
      <c r="D156" s="173"/>
    </row>
    <row r="157" spans="1:4" s="151" customFormat="1">
      <c r="A157" s="263" t="s">
        <v>760</v>
      </c>
      <c r="B157" s="172">
        <v>3158</v>
      </c>
      <c r="C157" s="173">
        <v>6335</v>
      </c>
      <c r="D157" s="173"/>
    </row>
    <row r="158" spans="1:4" s="151" customFormat="1">
      <c r="A158" s="263"/>
      <c r="B158" s="259"/>
      <c r="C158" s="173"/>
      <c r="D158" s="260"/>
    </row>
    <row r="159" spans="1:4" s="151" customFormat="1">
      <c r="A159" s="263"/>
      <c r="B159" s="259"/>
      <c r="C159" s="173"/>
      <c r="D159" s="260"/>
    </row>
    <row r="160" spans="1:4" s="151" customFormat="1">
      <c r="A160" s="134"/>
      <c r="B160" s="259"/>
      <c r="C160" s="260"/>
      <c r="D160" s="260"/>
    </row>
    <row r="161" spans="1:988" s="151" customFormat="1">
      <c r="A161" s="187" t="s">
        <v>762</v>
      </c>
      <c r="B161" s="240"/>
      <c r="C161" s="241"/>
      <c r="D161" s="241"/>
    </row>
    <row r="162" spans="1:988" s="151" customFormat="1">
      <c r="A162" s="273" t="s">
        <v>763</v>
      </c>
      <c r="B162" s="172">
        <v>3416</v>
      </c>
      <c r="C162" s="173">
        <v>6213</v>
      </c>
      <c r="D162" s="173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</row>
    <row r="163" spans="1:988" s="151" customFormat="1">
      <c r="A163" s="273" t="s">
        <v>240</v>
      </c>
      <c r="B163" s="172">
        <v>2853</v>
      </c>
      <c r="C163" s="173">
        <v>6213</v>
      </c>
      <c r="D163" s="173"/>
      <c r="AKZ163"/>
    </row>
    <row r="164" spans="1:988">
      <c r="A164" s="273" t="s">
        <v>767</v>
      </c>
      <c r="B164" s="172">
        <v>3414</v>
      </c>
      <c r="C164" s="173">
        <v>6213</v>
      </c>
      <c r="D164" s="173"/>
      <c r="AKZ164" s="151"/>
    </row>
    <row r="165" spans="1:988" s="151" customFormat="1">
      <c r="A165" s="278" t="s">
        <v>769</v>
      </c>
      <c r="B165" s="172"/>
      <c r="C165" s="173"/>
      <c r="D165" s="173"/>
    </row>
    <row r="166" spans="1:988" s="151" customFormat="1">
      <c r="A166" s="278" t="s">
        <v>771</v>
      </c>
      <c r="B166" s="172">
        <v>2991</v>
      </c>
      <c r="C166" s="173">
        <v>6213</v>
      </c>
      <c r="D166" s="173"/>
    </row>
    <row r="167" spans="1:988" s="151" customFormat="1">
      <c r="A167" s="278" t="s">
        <v>773</v>
      </c>
      <c r="B167" s="172">
        <v>3159</v>
      </c>
      <c r="C167" s="173">
        <v>6213</v>
      </c>
      <c r="D167" s="173"/>
    </row>
    <row r="168" spans="1:988" s="151" customFormat="1">
      <c r="A168" s="273" t="s">
        <v>241</v>
      </c>
      <c r="B168" s="172">
        <v>2850</v>
      </c>
      <c r="C168" s="173">
        <v>6213</v>
      </c>
      <c r="D168" s="173"/>
    </row>
    <row r="169" spans="1:988" s="151" customFormat="1">
      <c r="A169" s="278" t="s">
        <v>776</v>
      </c>
      <c r="B169" s="172">
        <v>3015</v>
      </c>
      <c r="C169" s="173">
        <v>6213</v>
      </c>
      <c r="D169" s="173"/>
    </row>
    <row r="170" spans="1:988" s="151" customFormat="1">
      <c r="A170" s="278" t="s">
        <v>242</v>
      </c>
      <c r="B170" s="172">
        <v>2784</v>
      </c>
      <c r="C170" s="173">
        <v>6213</v>
      </c>
      <c r="D170" s="173"/>
    </row>
    <row r="171" spans="1:988" s="151" customFormat="1">
      <c r="A171" s="278" t="s">
        <v>779</v>
      </c>
      <c r="B171" s="172">
        <v>2954</v>
      </c>
      <c r="C171" s="173">
        <v>6213</v>
      </c>
      <c r="D171" s="173"/>
    </row>
    <row r="172" spans="1:988" s="151" customFormat="1">
      <c r="A172" s="273" t="s">
        <v>781</v>
      </c>
      <c r="B172" s="172">
        <v>3210</v>
      </c>
      <c r="C172" s="173">
        <v>2000</v>
      </c>
      <c r="D172" s="173" t="s">
        <v>2033</v>
      </c>
    </row>
    <row r="173" spans="1:988" s="151" customFormat="1">
      <c r="A173" s="278" t="s">
        <v>247</v>
      </c>
      <c r="B173" s="172">
        <v>2679</v>
      </c>
      <c r="C173" s="173">
        <v>6213</v>
      </c>
      <c r="D173" s="173"/>
    </row>
    <row r="174" spans="1:988" s="151" customFormat="1">
      <c r="A174" s="278" t="s">
        <v>243</v>
      </c>
      <c r="B174" s="172">
        <v>2798</v>
      </c>
      <c r="C174" s="173">
        <v>5948</v>
      </c>
      <c r="D174" s="173" t="s">
        <v>244</v>
      </c>
    </row>
    <row r="175" spans="1:988" s="151" customFormat="1">
      <c r="A175" s="278" t="s">
        <v>789</v>
      </c>
      <c r="B175" s="172">
        <v>2887</v>
      </c>
      <c r="C175" s="173">
        <v>6213</v>
      </c>
      <c r="D175" s="173"/>
    </row>
    <row r="176" spans="1:988" s="151" customFormat="1">
      <c r="A176" s="278" t="s">
        <v>245</v>
      </c>
      <c r="B176" s="172">
        <v>2848</v>
      </c>
      <c r="C176" s="173">
        <v>6213</v>
      </c>
      <c r="D176" s="173"/>
    </row>
    <row r="177" spans="1:4" s="151" customFormat="1">
      <c r="A177" s="273" t="s">
        <v>793</v>
      </c>
      <c r="B177" s="172">
        <v>3044</v>
      </c>
      <c r="C177" s="173">
        <v>5285</v>
      </c>
      <c r="D177" s="173"/>
    </row>
    <row r="178" spans="1:4" s="151" customFormat="1">
      <c r="A178" s="278" t="s">
        <v>795</v>
      </c>
      <c r="B178" s="172">
        <v>2992</v>
      </c>
      <c r="C178" s="173">
        <v>6213</v>
      </c>
      <c r="D178" s="173"/>
    </row>
    <row r="179" spans="1:4" s="151" customFormat="1">
      <c r="A179" s="442" t="s">
        <v>797</v>
      </c>
      <c r="B179" s="172"/>
      <c r="C179" s="173"/>
      <c r="D179" s="173"/>
    </row>
    <row r="180" spans="1:4" s="151" customFormat="1">
      <c r="A180" s="273" t="s">
        <v>801</v>
      </c>
      <c r="B180" s="172">
        <v>3003</v>
      </c>
      <c r="C180" s="173">
        <v>6213</v>
      </c>
      <c r="D180" s="173"/>
    </row>
    <row r="181" spans="1:4" s="151" customFormat="1">
      <c r="A181" s="518" t="s">
        <v>804</v>
      </c>
      <c r="B181" s="219"/>
      <c r="C181" s="220"/>
      <c r="D181" s="220"/>
    </row>
    <row r="182" spans="1:4" s="151" customFormat="1">
      <c r="A182" s="273" t="s">
        <v>246</v>
      </c>
      <c r="B182" s="219">
        <v>2805</v>
      </c>
      <c r="C182" s="220">
        <v>6213</v>
      </c>
      <c r="D182" s="220"/>
    </row>
    <row r="183" spans="1:4" s="151" customFormat="1">
      <c r="A183" s="273" t="s">
        <v>807</v>
      </c>
      <c r="B183" s="172"/>
      <c r="C183" s="173"/>
      <c r="D183" s="173"/>
    </row>
    <row r="184" spans="1:4" s="151" customFormat="1">
      <c r="A184" s="273" t="s">
        <v>239</v>
      </c>
      <c r="B184" s="172">
        <v>2876</v>
      </c>
      <c r="C184" s="173">
        <v>6213</v>
      </c>
      <c r="D184" s="173"/>
    </row>
    <row r="185" spans="1:4" s="151" customFormat="1">
      <c r="A185" s="278"/>
      <c r="B185" s="172"/>
      <c r="C185" s="173"/>
      <c r="D185" s="173"/>
    </row>
    <row r="186" spans="1:4" s="151" customFormat="1">
      <c r="A186" s="278"/>
      <c r="B186" s="172"/>
      <c r="C186" s="173"/>
      <c r="D186" s="173"/>
    </row>
    <row r="187" spans="1:4" s="151" customFormat="1">
      <c r="A187" s="187" t="s">
        <v>810</v>
      </c>
      <c r="B187" s="172"/>
      <c r="C187" s="173"/>
      <c r="D187" s="173"/>
    </row>
    <row r="188" spans="1:4" s="151" customFormat="1">
      <c r="A188" s="273" t="s">
        <v>811</v>
      </c>
      <c r="B188" s="172">
        <v>3086</v>
      </c>
      <c r="C188" s="173">
        <v>6213</v>
      </c>
      <c r="D188" s="173"/>
    </row>
    <row r="189" spans="1:4" s="151" customFormat="1">
      <c r="A189" s="273" t="s">
        <v>814</v>
      </c>
      <c r="B189" s="172">
        <v>3243</v>
      </c>
      <c r="C189" s="173">
        <v>3000</v>
      </c>
      <c r="D189" s="173" t="s">
        <v>951</v>
      </c>
    </row>
    <row r="190" spans="1:4" s="151" customFormat="1">
      <c r="A190" s="273" t="s">
        <v>230</v>
      </c>
      <c r="B190" s="172" t="s">
        <v>2034</v>
      </c>
      <c r="C190" s="173">
        <f>213+4000</f>
        <v>4213</v>
      </c>
      <c r="D190" s="173" t="s">
        <v>2035</v>
      </c>
    </row>
    <row r="191" spans="1:4" s="151" customFormat="1">
      <c r="A191" s="278" t="s">
        <v>818</v>
      </c>
      <c r="B191" s="172">
        <v>3427</v>
      </c>
      <c r="C191" s="173">
        <v>6213</v>
      </c>
      <c r="D191" s="173"/>
    </row>
    <row r="192" spans="1:4" s="151" customFormat="1">
      <c r="A192" s="278" t="s">
        <v>821</v>
      </c>
      <c r="B192" s="172">
        <v>2890</v>
      </c>
      <c r="C192" s="173">
        <v>6213</v>
      </c>
      <c r="D192" s="173"/>
    </row>
    <row r="193" spans="1:4" s="151" customFormat="1">
      <c r="A193" s="278" t="s">
        <v>823</v>
      </c>
      <c r="B193" s="172"/>
      <c r="C193" s="173"/>
      <c r="D193" s="173"/>
    </row>
    <row r="194" spans="1:4" s="151" customFormat="1">
      <c r="A194" s="278" t="s">
        <v>826</v>
      </c>
      <c r="B194" s="172">
        <v>3239</v>
      </c>
      <c r="C194" s="173">
        <v>2000</v>
      </c>
      <c r="D194" s="173" t="s">
        <v>827</v>
      </c>
    </row>
    <row r="195" spans="1:4" s="151" customFormat="1">
      <c r="A195" s="278" t="s">
        <v>828</v>
      </c>
      <c r="B195" s="172" t="s">
        <v>488</v>
      </c>
      <c r="C195" s="173">
        <v>1</v>
      </c>
      <c r="D195" s="173" t="s">
        <v>830</v>
      </c>
    </row>
    <row r="196" spans="1:4" s="151" customFormat="1">
      <c r="A196" s="273" t="s">
        <v>831</v>
      </c>
      <c r="B196" s="172">
        <v>3414</v>
      </c>
      <c r="C196" s="173">
        <v>6213</v>
      </c>
      <c r="D196" s="173"/>
    </row>
    <row r="197" spans="1:4" s="151" customFormat="1">
      <c r="A197" s="278" t="s">
        <v>833</v>
      </c>
      <c r="B197" s="172"/>
      <c r="C197" s="173"/>
      <c r="D197" s="173"/>
    </row>
    <row r="198" spans="1:4" s="151" customFormat="1">
      <c r="A198" s="283" t="s">
        <v>836</v>
      </c>
      <c r="B198" s="172">
        <v>2944</v>
      </c>
      <c r="C198" s="173">
        <v>6213</v>
      </c>
      <c r="D198" s="173"/>
    </row>
    <row r="199" spans="1:4" s="151" customFormat="1">
      <c r="A199" s="273" t="s">
        <v>232</v>
      </c>
      <c r="B199" s="172">
        <v>2752</v>
      </c>
      <c r="C199" s="173">
        <v>6335</v>
      </c>
      <c r="D199" s="173" t="s">
        <v>233</v>
      </c>
    </row>
    <row r="200" spans="1:4" s="151" customFormat="1">
      <c r="A200" s="273" t="s">
        <v>840</v>
      </c>
      <c r="B200" s="219">
        <v>2983</v>
      </c>
      <c r="C200" s="220">
        <v>6213</v>
      </c>
      <c r="D200" s="220"/>
    </row>
    <row r="201" spans="1:4" s="151" customFormat="1">
      <c r="A201" s="273" t="s">
        <v>842</v>
      </c>
      <c r="B201" s="219">
        <v>3043</v>
      </c>
      <c r="C201" s="220">
        <v>3500</v>
      </c>
      <c r="D201" s="220" t="s">
        <v>845</v>
      </c>
    </row>
    <row r="202" spans="1:4" s="151" customFormat="1">
      <c r="A202" s="273" t="s">
        <v>234</v>
      </c>
      <c r="B202" s="219" t="s">
        <v>235</v>
      </c>
      <c r="C202" s="220">
        <f>3115+3098</f>
        <v>6213</v>
      </c>
      <c r="D202" s="220"/>
    </row>
    <row r="203" spans="1:4" s="151" customFormat="1" ht="17.25" customHeight="1">
      <c r="A203" s="273" t="s">
        <v>236</v>
      </c>
      <c r="B203" s="219">
        <v>2873</v>
      </c>
      <c r="C203" s="220">
        <v>6213</v>
      </c>
      <c r="D203" s="220"/>
    </row>
    <row r="204" spans="1:4" s="151" customFormat="1">
      <c r="A204" s="273" t="s">
        <v>849</v>
      </c>
      <c r="B204" s="219">
        <v>2940</v>
      </c>
      <c r="C204" s="220">
        <v>6213</v>
      </c>
      <c r="D204" s="220"/>
    </row>
    <row r="205" spans="1:4" s="151" customFormat="1">
      <c r="A205" s="273" t="s">
        <v>852</v>
      </c>
      <c r="B205" s="219">
        <v>3438</v>
      </c>
      <c r="C205" s="220">
        <v>1030</v>
      </c>
      <c r="D205" s="220" t="s">
        <v>2036</v>
      </c>
    </row>
    <row r="206" spans="1:4" s="151" customFormat="1">
      <c r="A206" s="273" t="s">
        <v>237</v>
      </c>
      <c r="B206" s="219">
        <v>2808</v>
      </c>
      <c r="C206" s="220">
        <v>1600</v>
      </c>
      <c r="D206" s="220" t="s">
        <v>238</v>
      </c>
    </row>
    <row r="207" spans="1:4" s="151" customFormat="1">
      <c r="A207" s="278" t="s">
        <v>858</v>
      </c>
      <c r="B207" s="219">
        <v>3051</v>
      </c>
      <c r="C207" s="220">
        <v>6213</v>
      </c>
      <c r="D207" s="220"/>
    </row>
    <row r="208" spans="1:4" s="151" customFormat="1">
      <c r="A208" s="273" t="s">
        <v>861</v>
      </c>
      <c r="B208" s="219">
        <v>3418</v>
      </c>
      <c r="C208" s="220">
        <v>6213</v>
      </c>
      <c r="D208" s="220"/>
    </row>
    <row r="209" spans="1:987" s="151" customFormat="1">
      <c r="A209" s="273" t="s">
        <v>863</v>
      </c>
      <c r="B209" s="219">
        <v>3036</v>
      </c>
      <c r="C209" s="220">
        <v>6213</v>
      </c>
      <c r="D209" s="220"/>
    </row>
    <row r="210" spans="1:987" s="151" customFormat="1">
      <c r="A210" s="278"/>
      <c r="B210" s="219"/>
      <c r="C210" s="220"/>
      <c r="D210" s="220"/>
    </row>
    <row r="211" spans="1:987" s="151" customFormat="1">
      <c r="A211" s="278"/>
      <c r="B211" s="219"/>
      <c r="C211" s="220"/>
      <c r="D211" s="220"/>
    </row>
    <row r="212" spans="1:987" s="151" customFormat="1">
      <c r="A212" s="274"/>
      <c r="B212" s="229"/>
      <c r="C212" s="230"/>
      <c r="D212" s="230"/>
    </row>
    <row r="213" spans="1:987" s="151" customFormat="1">
      <c r="A213" s="296"/>
      <c r="B213" s="229"/>
      <c r="C213" s="230"/>
      <c r="D213" s="230"/>
    </row>
    <row r="214" spans="1:987">
      <c r="B214" s="229"/>
      <c r="C214" s="230"/>
      <c r="D214" s="230"/>
    </row>
    <row r="215" spans="1:987">
      <c r="B215" s="229"/>
      <c r="C215" s="230"/>
      <c r="D215" s="230"/>
    </row>
    <row r="216" spans="1:987" s="151" customFormat="1">
      <c r="A216" s="134" t="s">
        <v>865</v>
      </c>
      <c r="B216" s="240"/>
      <c r="C216" s="241"/>
      <c r="D216" s="241"/>
    </row>
    <row r="217" spans="1:987">
      <c r="A217" s="293" t="s">
        <v>866</v>
      </c>
      <c r="B217" s="305">
        <v>3000</v>
      </c>
      <c r="C217" s="306">
        <v>4268</v>
      </c>
      <c r="D217" s="306" t="s">
        <v>868</v>
      </c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</row>
    <row r="218" spans="1:987">
      <c r="A218" s="4" t="s">
        <v>869</v>
      </c>
      <c r="B218" s="305">
        <v>2984</v>
      </c>
      <c r="C218" s="306">
        <v>6213</v>
      </c>
      <c r="D218" s="306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</row>
    <row r="219" spans="1:987">
      <c r="A219" s="293" t="s">
        <v>252</v>
      </c>
      <c r="B219" s="305">
        <v>2739</v>
      </c>
      <c r="C219" s="306">
        <v>6213</v>
      </c>
      <c r="D219" s="306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</row>
    <row r="220" spans="1:987">
      <c r="A220" s="293" t="s">
        <v>253</v>
      </c>
      <c r="B220" s="305">
        <v>2785</v>
      </c>
      <c r="C220" s="306">
        <v>6213</v>
      </c>
      <c r="D220" s="306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</row>
    <row r="221" spans="1:987">
      <c r="A221" s="293" t="s">
        <v>254</v>
      </c>
      <c r="B221" s="305">
        <v>2757</v>
      </c>
      <c r="C221" s="306">
        <v>6213</v>
      </c>
      <c r="D221" s="306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</row>
    <row r="222" spans="1:987">
      <c r="A222" s="293" t="s">
        <v>875</v>
      </c>
      <c r="B222" s="305">
        <v>3020</v>
      </c>
      <c r="C222" s="306">
        <v>6213</v>
      </c>
      <c r="D222" s="306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</row>
    <row r="223" spans="1:987">
      <c r="A223" s="282" t="s">
        <v>877</v>
      </c>
      <c r="B223" s="324" t="s">
        <v>2037</v>
      </c>
      <c r="C223" s="306"/>
      <c r="D223" s="306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</row>
    <row r="224" spans="1:987">
      <c r="A224" s="293" t="s">
        <v>255</v>
      </c>
      <c r="B224" s="305">
        <v>2629</v>
      </c>
      <c r="C224" s="306">
        <v>6213</v>
      </c>
      <c r="D224" s="306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</row>
    <row r="225" spans="1:987">
      <c r="A225" s="293" t="s">
        <v>250</v>
      </c>
      <c r="B225" s="305">
        <v>2815</v>
      </c>
      <c r="C225" s="306">
        <v>6213</v>
      </c>
      <c r="D225" s="306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</row>
    <row r="226" spans="1:987" ht="15.75" customHeight="1">
      <c r="A226" s="293" t="s">
        <v>882</v>
      </c>
      <c r="B226" s="305">
        <v>2964</v>
      </c>
      <c r="C226" s="306">
        <v>6213</v>
      </c>
      <c r="D226" s="30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</row>
    <row r="227" spans="1:987">
      <c r="A227" s="293" t="s">
        <v>884</v>
      </c>
      <c r="B227" s="305">
        <v>3057</v>
      </c>
      <c r="C227" s="306">
        <v>6213</v>
      </c>
      <c r="D227" s="306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</row>
    <row r="228" spans="1:987">
      <c r="A228" s="4" t="s">
        <v>256</v>
      </c>
      <c r="B228" s="305">
        <v>2746</v>
      </c>
      <c r="C228" s="306">
        <v>6213</v>
      </c>
      <c r="D228" s="306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</row>
    <row r="229" spans="1:987">
      <c r="A229" s="282" t="s">
        <v>888</v>
      </c>
      <c r="B229" s="305">
        <v>2911</v>
      </c>
      <c r="C229" s="306">
        <v>6213</v>
      </c>
      <c r="D229" s="306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</row>
    <row r="230" spans="1:987">
      <c r="A230" s="293" t="s">
        <v>257</v>
      </c>
      <c r="B230" s="305">
        <v>2792</v>
      </c>
      <c r="C230" s="306">
        <v>6213</v>
      </c>
      <c r="D230" s="306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</row>
    <row r="231" spans="1:987">
      <c r="A231" s="293" t="s">
        <v>893</v>
      </c>
      <c r="B231" s="305" t="s">
        <v>2038</v>
      </c>
      <c r="C231" s="306"/>
      <c r="D231" s="306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</row>
    <row r="232" spans="1:987">
      <c r="A232" s="293" t="s">
        <v>258</v>
      </c>
      <c r="B232" s="305">
        <v>2849</v>
      </c>
      <c r="C232" s="306">
        <v>6213</v>
      </c>
      <c r="D232" s="306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</row>
    <row r="233" spans="1:987">
      <c r="A233" s="293" t="s">
        <v>898</v>
      </c>
      <c r="B233" s="305">
        <v>3060</v>
      </c>
      <c r="C233" s="306">
        <v>6213</v>
      </c>
      <c r="D233" s="306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</row>
    <row r="234" spans="1:987">
      <c r="A234" s="4" t="s">
        <v>900</v>
      </c>
      <c r="B234" s="305">
        <v>2958</v>
      </c>
      <c r="C234" s="306">
        <v>6213</v>
      </c>
      <c r="D234" s="306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</row>
    <row r="235" spans="1:987">
      <c r="A235" s="293" t="s">
        <v>903</v>
      </c>
      <c r="B235" s="305">
        <v>2952</v>
      </c>
      <c r="C235" s="306">
        <v>6213</v>
      </c>
      <c r="D235" s="306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</row>
    <row r="236" spans="1:987">
      <c r="A236" s="293" t="s">
        <v>259</v>
      </c>
      <c r="B236" s="305">
        <v>2622</v>
      </c>
      <c r="C236" s="306">
        <v>6213</v>
      </c>
      <c r="D236" s="30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</row>
    <row r="237" spans="1:987">
      <c r="A237" s="293" t="s">
        <v>907</v>
      </c>
      <c r="B237" s="305">
        <v>2933</v>
      </c>
      <c r="C237" s="306">
        <v>6213</v>
      </c>
      <c r="D237" s="306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</row>
    <row r="238" spans="1:987">
      <c r="A238" s="293"/>
      <c r="B238" s="305"/>
      <c r="C238" s="306"/>
      <c r="D238" s="306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</row>
    <row r="239" spans="1:987">
      <c r="A239" s="293"/>
      <c r="B239" s="305"/>
      <c r="C239" s="306"/>
      <c r="D239" s="306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</row>
    <row r="240" spans="1:987">
      <c r="A240" s="293"/>
      <c r="B240" s="305"/>
      <c r="C240" s="306"/>
      <c r="D240" s="306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</row>
    <row r="241" spans="1:987">
      <c r="A241" s="134" t="s">
        <v>909</v>
      </c>
      <c r="B241" s="305"/>
      <c r="C241" s="306"/>
      <c r="D241" s="306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</row>
    <row r="242" spans="1:987">
      <c r="A242" s="293" t="s">
        <v>910</v>
      </c>
      <c r="B242" s="305">
        <v>3206</v>
      </c>
      <c r="C242" s="306">
        <v>6213</v>
      </c>
      <c r="D242" s="306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</row>
    <row r="243" spans="1:987">
      <c r="A243" s="282" t="s">
        <v>912</v>
      </c>
      <c r="B243" s="305">
        <v>3247</v>
      </c>
      <c r="C243" s="306">
        <v>6213</v>
      </c>
      <c r="D243" s="306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</row>
    <row r="244" spans="1:987">
      <c r="A244" s="282" t="s">
        <v>915</v>
      </c>
      <c r="B244" s="305">
        <v>3021</v>
      </c>
      <c r="C244" s="306">
        <v>6213</v>
      </c>
      <c r="D244" s="306" t="s">
        <v>919</v>
      </c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</row>
    <row r="245" spans="1:987">
      <c r="A245" s="293" t="s">
        <v>920</v>
      </c>
      <c r="B245" s="305" t="s">
        <v>922</v>
      </c>
      <c r="C245" s="306">
        <f>98+6115</f>
        <v>6213</v>
      </c>
      <c r="D245" s="306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</row>
    <row r="246" spans="1:987">
      <c r="A246" s="293" t="s">
        <v>923</v>
      </c>
      <c r="B246" s="305">
        <v>3075</v>
      </c>
      <c r="C246" s="306">
        <v>6213</v>
      </c>
      <c r="D246" s="30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</row>
    <row r="247" spans="1:987">
      <c r="A247" s="293" t="s">
        <v>926</v>
      </c>
      <c r="B247" s="305">
        <v>3425</v>
      </c>
      <c r="C247" s="306">
        <v>6213</v>
      </c>
      <c r="D247" s="306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</row>
    <row r="248" spans="1:987">
      <c r="A248" s="293" t="s">
        <v>928</v>
      </c>
      <c r="B248" s="305">
        <v>3240</v>
      </c>
      <c r="C248" s="306">
        <v>6213</v>
      </c>
      <c r="D248" s="306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</row>
    <row r="249" spans="1:987">
      <c r="A249" s="282" t="s">
        <v>930</v>
      </c>
      <c r="B249" s="305">
        <v>3046</v>
      </c>
      <c r="C249" s="306">
        <v>6213</v>
      </c>
      <c r="D249" s="306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</row>
    <row r="250" spans="1:987">
      <c r="A250" s="293" t="s">
        <v>932</v>
      </c>
      <c r="B250" s="305">
        <v>3015</v>
      </c>
      <c r="C250" s="306">
        <v>6213</v>
      </c>
      <c r="D250" s="306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</row>
    <row r="251" spans="1:987">
      <c r="A251" s="293" t="s">
        <v>934</v>
      </c>
      <c r="B251" s="305">
        <v>3074</v>
      </c>
      <c r="C251" s="306">
        <v>6213</v>
      </c>
      <c r="D251" s="306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</row>
    <row r="252" spans="1:987">
      <c r="A252" s="293" t="s">
        <v>936</v>
      </c>
      <c r="B252" s="305"/>
      <c r="C252" s="306"/>
      <c r="D252" s="306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</row>
    <row r="253" spans="1:987">
      <c r="A253" s="293" t="s">
        <v>938</v>
      </c>
      <c r="B253" s="305">
        <v>2923</v>
      </c>
      <c r="C253" s="306">
        <v>6213</v>
      </c>
      <c r="D253" s="306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</row>
    <row r="254" spans="1:987">
      <c r="A254" s="293" t="s">
        <v>248</v>
      </c>
      <c r="B254" s="305">
        <v>2817</v>
      </c>
      <c r="C254" s="306">
        <v>6213</v>
      </c>
      <c r="D254" s="306" t="s">
        <v>941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</row>
    <row r="255" spans="1:987">
      <c r="A255" s="4" t="s">
        <v>249</v>
      </c>
      <c r="B255" s="305">
        <v>2651</v>
      </c>
      <c r="C255" s="306">
        <v>6213</v>
      </c>
      <c r="D255" s="306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</row>
    <row r="256" spans="1:987">
      <c r="A256" s="293" t="s">
        <v>251</v>
      </c>
      <c r="B256" s="305">
        <v>2832</v>
      </c>
      <c r="C256" s="306">
        <v>6213</v>
      </c>
      <c r="D256" s="30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</row>
    <row r="257" spans="1:987">
      <c r="A257" s="293" t="s">
        <v>944</v>
      </c>
      <c r="B257" s="305">
        <v>3085</v>
      </c>
      <c r="C257" s="306">
        <v>6213</v>
      </c>
      <c r="D257" s="306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</row>
    <row r="258" spans="1:987">
      <c r="A258" s="4" t="s">
        <v>946</v>
      </c>
      <c r="B258" s="305">
        <v>3191</v>
      </c>
      <c r="C258" s="306">
        <v>6213</v>
      </c>
      <c r="D258" s="306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</row>
    <row r="259" spans="1:987">
      <c r="A259" s="4" t="s">
        <v>948</v>
      </c>
      <c r="B259" s="305">
        <v>3245</v>
      </c>
      <c r="C259" s="306">
        <v>3000</v>
      </c>
      <c r="D259" s="306" t="s">
        <v>951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</row>
    <row r="260" spans="1:987">
      <c r="A260" s="335" t="s">
        <v>953</v>
      </c>
      <c r="B260" s="305"/>
      <c r="C260" s="306"/>
      <c r="D260" s="306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</row>
    <row r="261" spans="1:987">
      <c r="A261" s="282" t="s">
        <v>955</v>
      </c>
      <c r="B261" s="305">
        <v>3420</v>
      </c>
      <c r="C261" s="306">
        <v>6213</v>
      </c>
      <c r="D261" s="306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</row>
    <row r="262" spans="1:987">
      <c r="A262" s="293" t="s">
        <v>957</v>
      </c>
      <c r="B262" s="305">
        <v>3433</v>
      </c>
      <c r="C262" s="306">
        <v>6213</v>
      </c>
      <c r="D262" s="306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</row>
    <row r="263" spans="1:987">
      <c r="A263" s="293" t="s">
        <v>959</v>
      </c>
      <c r="B263" s="305">
        <v>3096</v>
      </c>
      <c r="C263" s="306">
        <v>6213</v>
      </c>
      <c r="D263" s="306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</row>
    <row r="264" spans="1:987">
      <c r="A264" s="4"/>
      <c r="B264" s="305"/>
      <c r="C264" s="306"/>
      <c r="D264" s="306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</row>
    <row r="265" spans="1:987">
      <c r="A265" s="282"/>
      <c r="B265" s="329"/>
      <c r="C265" s="330"/>
      <c r="D265" s="330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</row>
    <row r="266" spans="1:987">
      <c r="A266" s="282"/>
      <c r="B266" s="259"/>
      <c r="C266" s="260"/>
      <c r="D266" s="260"/>
    </row>
    <row r="267" spans="1:987" s="151" customFormat="1">
      <c r="A267" s="134" t="s">
        <v>176</v>
      </c>
      <c r="B267" s="240"/>
      <c r="C267" s="241"/>
      <c r="D267" s="241"/>
    </row>
    <row r="268" spans="1:987">
      <c r="A268" s="335" t="s">
        <v>962</v>
      </c>
      <c r="B268" s="305">
        <v>3194</v>
      </c>
      <c r="C268" s="306">
        <v>6213</v>
      </c>
      <c r="D268" s="306" t="s">
        <v>964</v>
      </c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</row>
    <row r="269" spans="1:987">
      <c r="A269" s="293" t="s">
        <v>965</v>
      </c>
      <c r="B269" s="305">
        <v>2937</v>
      </c>
      <c r="C269" s="306">
        <v>6213</v>
      </c>
      <c r="D269" s="306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</row>
    <row r="270" spans="1:987">
      <c r="A270" s="282" t="s">
        <v>967</v>
      </c>
      <c r="B270" s="305">
        <v>2924</v>
      </c>
      <c r="C270" s="306">
        <v>6213</v>
      </c>
      <c r="D270" s="306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</row>
    <row r="271" spans="1:987">
      <c r="A271" s="293" t="s">
        <v>260</v>
      </c>
      <c r="B271" s="305">
        <v>2658</v>
      </c>
      <c r="C271" s="306">
        <v>6213</v>
      </c>
      <c r="D271" s="306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</row>
    <row r="272" spans="1:987">
      <c r="A272" s="293" t="s">
        <v>970</v>
      </c>
      <c r="B272" s="305">
        <v>2960</v>
      </c>
      <c r="C272" s="306">
        <v>6213</v>
      </c>
      <c r="D272" s="306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</row>
    <row r="273" spans="1:987">
      <c r="A273" s="293" t="s">
        <v>973</v>
      </c>
      <c r="B273" s="305">
        <v>3047</v>
      </c>
      <c r="C273" s="306">
        <v>6213</v>
      </c>
      <c r="D273" s="306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</row>
    <row r="274" spans="1:987">
      <c r="A274" s="293" t="s">
        <v>975</v>
      </c>
      <c r="B274" s="305">
        <v>3177</v>
      </c>
      <c r="C274" s="306">
        <v>6213</v>
      </c>
      <c r="D274" s="306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</row>
    <row r="275" spans="1:987">
      <c r="A275" s="282" t="s">
        <v>262</v>
      </c>
      <c r="B275" s="305">
        <v>2641</v>
      </c>
      <c r="C275" s="306">
        <v>6213</v>
      </c>
      <c r="D275" s="306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</row>
    <row r="276" spans="1:987">
      <c r="A276" s="282" t="s">
        <v>979</v>
      </c>
      <c r="B276" s="305"/>
      <c r="C276" s="306"/>
      <c r="D276" s="30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</row>
    <row r="277" spans="1:987" ht="14.25" customHeight="1">
      <c r="A277" s="293" t="s">
        <v>984</v>
      </c>
      <c r="B277" s="305">
        <v>2894</v>
      </c>
      <c r="C277" s="306">
        <v>6213</v>
      </c>
      <c r="D277" s="306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</row>
    <row r="278" spans="1:987">
      <c r="A278" s="282" t="s">
        <v>987</v>
      </c>
      <c r="B278" s="305">
        <v>3176</v>
      </c>
      <c r="C278" s="306">
        <v>6213</v>
      </c>
      <c r="D278" s="306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</row>
    <row r="279" spans="1:987">
      <c r="A279" s="282" t="s">
        <v>990</v>
      </c>
      <c r="B279" s="305">
        <v>3419</v>
      </c>
      <c r="C279" s="306">
        <v>6213</v>
      </c>
      <c r="D279" s="306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</row>
    <row r="280" spans="1:987">
      <c r="A280" s="293" t="s">
        <v>993</v>
      </c>
      <c r="B280" s="305">
        <v>2966</v>
      </c>
      <c r="C280" s="306">
        <v>6213</v>
      </c>
      <c r="D280" s="306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</row>
    <row r="281" spans="1:987">
      <c r="A281" s="4" t="s">
        <v>995</v>
      </c>
      <c r="B281" s="305">
        <v>2955</v>
      </c>
      <c r="C281" s="306">
        <v>6213</v>
      </c>
      <c r="D281" s="306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</row>
    <row r="282" spans="1:987">
      <c r="A282" s="293" t="s">
        <v>997</v>
      </c>
      <c r="B282" s="305">
        <v>2886</v>
      </c>
      <c r="C282" s="306">
        <v>6213</v>
      </c>
      <c r="D282" s="306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</row>
    <row r="283" spans="1:987">
      <c r="A283" s="293" t="s">
        <v>999</v>
      </c>
      <c r="B283" s="305"/>
      <c r="C283" s="306"/>
      <c r="D283" s="306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</row>
    <row r="284" spans="1:987">
      <c r="A284" s="293" t="s">
        <v>1002</v>
      </c>
      <c r="B284" s="305">
        <v>2975</v>
      </c>
      <c r="C284" s="306">
        <v>6213</v>
      </c>
      <c r="D284" s="306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</row>
    <row r="285" spans="1:987">
      <c r="A285" s="282" t="s">
        <v>1005</v>
      </c>
      <c r="B285" s="305">
        <v>2988</v>
      </c>
      <c r="C285" s="306">
        <v>6213</v>
      </c>
      <c r="D285" s="306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</row>
    <row r="286" spans="1:987">
      <c r="A286" s="293" t="s">
        <v>267</v>
      </c>
      <c r="B286" s="305">
        <v>2663</v>
      </c>
      <c r="C286" s="306">
        <v>6213</v>
      </c>
      <c r="D286" s="30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</row>
    <row r="287" spans="1:987">
      <c r="A287" s="293"/>
      <c r="B287" s="305"/>
      <c r="C287" s="306"/>
      <c r="D287" s="306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</row>
    <row r="288" spans="1:987">
      <c r="A288" s="293"/>
      <c r="B288" s="305"/>
      <c r="C288" s="306"/>
      <c r="D288" s="306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</row>
    <row r="289" spans="1:987">
      <c r="A289" s="293"/>
      <c r="B289" s="305"/>
      <c r="C289" s="306"/>
      <c r="D289" s="306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</row>
    <row r="290" spans="1:987">
      <c r="A290" s="293" t="s">
        <v>1010</v>
      </c>
      <c r="B290" s="305"/>
      <c r="C290" s="306"/>
      <c r="D290" s="306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</row>
    <row r="291" spans="1:987">
      <c r="A291" s="293" t="s">
        <v>261</v>
      </c>
      <c r="B291" s="305">
        <v>2623</v>
      </c>
      <c r="C291" s="306">
        <v>6213</v>
      </c>
      <c r="D291" s="306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</row>
    <row r="292" spans="1:987">
      <c r="A292" s="293" t="s">
        <v>1013</v>
      </c>
      <c r="B292" s="305"/>
      <c r="C292" s="306"/>
      <c r="D292" s="306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</row>
    <row r="293" spans="1:987">
      <c r="A293" s="293" t="s">
        <v>268</v>
      </c>
      <c r="B293" s="305">
        <v>2738</v>
      </c>
      <c r="C293" s="306">
        <v>6213</v>
      </c>
      <c r="D293" s="306" t="s">
        <v>265</v>
      </c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</row>
    <row r="294" spans="1:987">
      <c r="A294" s="293" t="s">
        <v>1017</v>
      </c>
      <c r="B294" s="305">
        <v>3091</v>
      </c>
      <c r="C294" s="306">
        <v>6213</v>
      </c>
      <c r="D294" s="306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</row>
    <row r="295" spans="1:987">
      <c r="A295" s="293" t="s">
        <v>1019</v>
      </c>
      <c r="B295" s="305">
        <v>3042</v>
      </c>
      <c r="C295" s="306">
        <v>6213</v>
      </c>
      <c r="D295" s="306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</row>
    <row r="296" spans="1:987">
      <c r="A296" s="293" t="s">
        <v>263</v>
      </c>
      <c r="B296" s="305">
        <v>2700</v>
      </c>
      <c r="C296" s="306">
        <v>6213</v>
      </c>
      <c r="D296" s="30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</row>
    <row r="297" spans="1:987">
      <c r="A297" s="282" t="s">
        <v>1023</v>
      </c>
      <c r="B297" s="305">
        <v>2959</v>
      </c>
      <c r="C297" s="306">
        <v>6213</v>
      </c>
      <c r="D297" s="306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</row>
    <row r="298" spans="1:987">
      <c r="A298" s="282" t="s">
        <v>1025</v>
      </c>
      <c r="B298" s="305">
        <v>3076</v>
      </c>
      <c r="C298" s="306">
        <v>6213</v>
      </c>
      <c r="D298" s="306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</row>
    <row r="299" spans="1:987">
      <c r="A299" s="293" t="s">
        <v>1027</v>
      </c>
      <c r="B299" s="305"/>
      <c r="C299" s="306"/>
      <c r="D299" s="344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</row>
    <row r="300" spans="1:987">
      <c r="A300" s="293" t="s">
        <v>1029</v>
      </c>
      <c r="B300" s="305">
        <v>3081</v>
      </c>
      <c r="C300" s="306">
        <v>6213</v>
      </c>
      <c r="D300" s="306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</row>
    <row r="301" spans="1:987">
      <c r="A301" s="282" t="s">
        <v>1031</v>
      </c>
      <c r="B301" s="305"/>
      <c r="C301" s="306"/>
      <c r="D301" s="306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</row>
    <row r="302" spans="1:987">
      <c r="A302" s="293" t="s">
        <v>1034</v>
      </c>
      <c r="B302" s="305">
        <v>2907</v>
      </c>
      <c r="C302" s="306">
        <v>6213</v>
      </c>
      <c r="D302" s="306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</row>
    <row r="303" spans="1:987">
      <c r="A303" s="282" t="s">
        <v>264</v>
      </c>
      <c r="B303" s="305">
        <v>2742</v>
      </c>
      <c r="C303" s="306">
        <v>6213</v>
      </c>
      <c r="D303" s="306" t="s">
        <v>265</v>
      </c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</row>
    <row r="304" spans="1:987">
      <c r="A304" s="293" t="s">
        <v>1037</v>
      </c>
      <c r="B304" s="305"/>
      <c r="C304" s="306"/>
      <c r="D304" s="306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</row>
    <row r="305" spans="1:987">
      <c r="A305" s="293" t="s">
        <v>266</v>
      </c>
      <c r="B305" s="305">
        <v>2845</v>
      </c>
      <c r="C305" s="306">
        <v>6213</v>
      </c>
      <c r="D305" s="306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</row>
    <row r="306" spans="1:987">
      <c r="A306" s="293" t="s">
        <v>1041</v>
      </c>
      <c r="B306" s="305">
        <v>3077</v>
      </c>
      <c r="C306" s="306">
        <v>6213</v>
      </c>
      <c r="D306" s="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</row>
    <row r="307" spans="1:987">
      <c r="A307" s="282" t="s">
        <v>1044</v>
      </c>
      <c r="B307" s="305" t="s">
        <v>488</v>
      </c>
      <c r="C307" s="306"/>
      <c r="D307" s="306" t="s">
        <v>1046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</row>
    <row r="308" spans="1:987">
      <c r="A308" s="293" t="s">
        <v>1047</v>
      </c>
      <c r="B308" s="305">
        <v>3088</v>
      </c>
      <c r="C308" s="306">
        <v>6213</v>
      </c>
      <c r="D308" s="306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</row>
    <row r="309" spans="1:987">
      <c r="A309" s="293" t="s">
        <v>1049</v>
      </c>
      <c r="B309" s="349">
        <v>3166</v>
      </c>
      <c r="C309" s="344">
        <v>3000</v>
      </c>
      <c r="D309" s="344" t="s">
        <v>1051</v>
      </c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</row>
    <row r="310" spans="1:987">
      <c r="A310" s="293" t="s">
        <v>1052</v>
      </c>
      <c r="B310" s="349">
        <v>2918</v>
      </c>
      <c r="C310" s="344">
        <v>6213</v>
      </c>
      <c r="D310" s="344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</row>
    <row r="311" spans="1:987">
      <c r="A311" s="356"/>
      <c r="B311" s="349"/>
      <c r="C311" s="344"/>
      <c r="D311" s="344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</row>
    <row r="312" spans="1:987">
      <c r="A312" s="356"/>
      <c r="B312" s="349"/>
      <c r="C312" s="344"/>
      <c r="D312" s="344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</row>
    <row r="313" spans="1:987">
      <c r="B313" s="229"/>
      <c r="C313" s="230"/>
      <c r="D313" s="230"/>
    </row>
    <row r="314" spans="1:987" s="151" customFormat="1">
      <c r="A314" s="134" t="s">
        <v>1054</v>
      </c>
      <c r="B314" s="240"/>
      <c r="C314" s="241"/>
      <c r="D314" s="241"/>
    </row>
    <row r="315" spans="1:987">
      <c r="A315" s="293" t="s">
        <v>1055</v>
      </c>
      <c r="B315" s="305">
        <v>3187</v>
      </c>
      <c r="C315" s="306">
        <v>5285</v>
      </c>
      <c r="D315" s="306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</row>
    <row r="316" spans="1:987">
      <c r="A316" s="293" t="s">
        <v>270</v>
      </c>
      <c r="B316" s="305">
        <v>2778</v>
      </c>
      <c r="C316" s="306">
        <v>5285</v>
      </c>
      <c r="D316" s="30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</row>
    <row r="317" spans="1:987">
      <c r="A317" s="293" t="s">
        <v>271</v>
      </c>
      <c r="B317" s="305">
        <v>2792</v>
      </c>
      <c r="C317" s="306">
        <v>5285</v>
      </c>
      <c r="D317" s="306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</row>
    <row r="318" spans="1:987">
      <c r="A318" s="293" t="s">
        <v>1060</v>
      </c>
      <c r="B318" s="305" t="s">
        <v>1062</v>
      </c>
      <c r="C318" s="306">
        <f>715+4000</f>
        <v>4715</v>
      </c>
      <c r="D318" s="306" t="s">
        <v>1063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</row>
    <row r="319" spans="1:987">
      <c r="A319" s="293" t="s">
        <v>1064</v>
      </c>
      <c r="B319" s="305">
        <v>3069</v>
      </c>
      <c r="C319" s="306">
        <v>5285</v>
      </c>
      <c r="D319" s="306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</row>
    <row r="320" spans="1:987">
      <c r="A320" s="293" t="s">
        <v>1067</v>
      </c>
      <c r="B320" s="305">
        <v>3010</v>
      </c>
      <c r="C320" s="306">
        <v>4000</v>
      </c>
      <c r="D320" s="306" t="s">
        <v>2039</v>
      </c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</row>
    <row r="321" spans="1:987">
      <c r="A321" s="282" t="s">
        <v>273</v>
      </c>
      <c r="B321" s="305">
        <v>2769</v>
      </c>
      <c r="C321" s="306">
        <v>5285</v>
      </c>
      <c r="D321" s="306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</row>
    <row r="322" spans="1:987">
      <c r="A322" s="357" t="s">
        <v>1073</v>
      </c>
      <c r="B322" s="305">
        <v>3051</v>
      </c>
      <c r="C322" s="306">
        <v>5285</v>
      </c>
      <c r="D322" s="306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</row>
    <row r="323" spans="1:987">
      <c r="A323" s="357" t="s">
        <v>274</v>
      </c>
      <c r="B323" s="305">
        <v>2785</v>
      </c>
      <c r="C323" s="306">
        <v>5285</v>
      </c>
      <c r="D323" s="306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</row>
    <row r="324" spans="1:987">
      <c r="A324" s="352" t="s">
        <v>1076</v>
      </c>
      <c r="B324" s="305">
        <v>3053</v>
      </c>
      <c r="C324" s="306">
        <v>5285</v>
      </c>
      <c r="D324" s="306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</row>
    <row r="325" spans="1:987">
      <c r="A325" s="254" t="s">
        <v>1079</v>
      </c>
      <c r="B325" s="305">
        <v>3222</v>
      </c>
      <c r="C325" s="306">
        <v>2500</v>
      </c>
      <c r="D325" s="306" t="s">
        <v>277</v>
      </c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</row>
    <row r="326" spans="1:987">
      <c r="A326" s="357" t="s">
        <v>1082</v>
      </c>
      <c r="B326" s="305">
        <v>2990</v>
      </c>
      <c r="C326" s="306">
        <v>5285</v>
      </c>
      <c r="D326" s="30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</row>
    <row r="327" spans="1:987">
      <c r="A327" s="357" t="s">
        <v>1085</v>
      </c>
      <c r="B327" s="305">
        <v>3408</v>
      </c>
      <c r="C327" s="306">
        <v>5285</v>
      </c>
      <c r="D327" s="306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</row>
    <row r="328" spans="1:987">
      <c r="A328" s="254" t="s">
        <v>275</v>
      </c>
      <c r="B328" s="305">
        <v>2837</v>
      </c>
      <c r="C328" s="306">
        <v>5285</v>
      </c>
      <c r="D328" s="306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</row>
    <row r="329" spans="1:987">
      <c r="A329" s="293" t="s">
        <v>1088</v>
      </c>
      <c r="B329" s="329"/>
      <c r="C329" s="330"/>
      <c r="D329" s="330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</row>
    <row r="330" spans="1:987">
      <c r="A330" s="282" t="s">
        <v>1090</v>
      </c>
      <c r="B330" s="305">
        <v>2947</v>
      </c>
      <c r="C330" s="306">
        <v>5285</v>
      </c>
      <c r="D330" s="306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</row>
    <row r="331" spans="1:987">
      <c r="A331" s="293" t="s">
        <v>1093</v>
      </c>
      <c r="B331" s="305">
        <v>2927</v>
      </c>
      <c r="C331" s="306">
        <v>5285</v>
      </c>
      <c r="D331" s="306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</row>
    <row r="332" spans="1:987">
      <c r="A332" s="293" t="s">
        <v>1096</v>
      </c>
      <c r="B332" s="305">
        <v>3223</v>
      </c>
      <c r="C332" s="306">
        <v>5285</v>
      </c>
      <c r="D332" s="306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</row>
    <row r="333" spans="1:987">
      <c r="A333" s="282" t="s">
        <v>1098</v>
      </c>
      <c r="B333" s="305">
        <v>2985</v>
      </c>
      <c r="C333" s="306">
        <v>5285</v>
      </c>
      <c r="D333" s="306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</row>
    <row r="334" spans="1:987">
      <c r="A334" s="293"/>
      <c r="B334" s="329"/>
      <c r="C334" s="330"/>
      <c r="D334" s="330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</row>
    <row r="335" spans="1:987">
      <c r="A335" s="293"/>
      <c r="B335" s="329"/>
      <c r="C335" s="330"/>
      <c r="D335" s="330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</row>
    <row r="336" spans="1:987">
      <c r="A336" s="134" t="s">
        <v>1101</v>
      </c>
      <c r="B336" s="329"/>
      <c r="C336" s="330"/>
      <c r="D336" s="330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</row>
    <row r="337" spans="1:987">
      <c r="A337" s="282" t="s">
        <v>1102</v>
      </c>
      <c r="B337" s="305">
        <v>3009</v>
      </c>
      <c r="C337" s="306">
        <v>5285</v>
      </c>
      <c r="D337" s="306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</row>
    <row r="338" spans="1:987">
      <c r="A338" s="293" t="s">
        <v>1105</v>
      </c>
      <c r="B338" s="305">
        <v>3034</v>
      </c>
      <c r="C338" s="306">
        <v>5285</v>
      </c>
      <c r="D338" s="306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</row>
    <row r="339" spans="1:987">
      <c r="A339" s="282" t="s">
        <v>1107</v>
      </c>
      <c r="B339" s="305">
        <v>2983</v>
      </c>
      <c r="C339" s="306">
        <v>5285</v>
      </c>
      <c r="D339" s="306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</row>
    <row r="340" spans="1:987">
      <c r="A340" s="421" t="s">
        <v>1111</v>
      </c>
      <c r="B340" s="305">
        <v>3046</v>
      </c>
      <c r="C340" s="306">
        <v>5285</v>
      </c>
      <c r="D340" s="306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</row>
    <row r="341" spans="1:987">
      <c r="A341" s="421" t="s">
        <v>276</v>
      </c>
      <c r="B341" s="305" t="s">
        <v>1115</v>
      </c>
      <c r="C341" s="306">
        <f>2500+2780</f>
        <v>5280</v>
      </c>
      <c r="D341" s="306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</row>
    <row r="342" spans="1:987">
      <c r="A342" s="357" t="s">
        <v>279</v>
      </c>
      <c r="B342" s="305">
        <v>2723</v>
      </c>
      <c r="C342" s="306">
        <v>5285</v>
      </c>
      <c r="D342" s="306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</row>
    <row r="343" spans="1:987">
      <c r="A343" s="357" t="s">
        <v>1117</v>
      </c>
      <c r="B343" s="305"/>
      <c r="C343" s="306"/>
      <c r="D343" s="306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</row>
    <row r="344" spans="1:987" ht="15.75" customHeight="1">
      <c r="A344" s="357" t="s">
        <v>1119</v>
      </c>
      <c r="B344" s="329" t="s">
        <v>488</v>
      </c>
      <c r="C344" s="330"/>
      <c r="D344" s="330" t="s">
        <v>2040</v>
      </c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</row>
    <row r="345" spans="1:987">
      <c r="A345" s="357" t="s">
        <v>1122</v>
      </c>
      <c r="B345" s="305">
        <v>2970</v>
      </c>
      <c r="C345" s="306">
        <v>5285</v>
      </c>
      <c r="D345" s="306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</row>
    <row r="346" spans="1:987">
      <c r="A346" s="509" t="s">
        <v>272</v>
      </c>
      <c r="B346" s="305">
        <v>2673</v>
      </c>
      <c r="C346" s="306">
        <v>5285</v>
      </c>
      <c r="D346" s="30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</row>
    <row r="347" spans="1:987">
      <c r="A347" s="293" t="s">
        <v>280</v>
      </c>
      <c r="B347" s="305">
        <v>2866</v>
      </c>
      <c r="C347" s="306">
        <v>5285</v>
      </c>
      <c r="D347" s="306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</row>
    <row r="348" spans="1:987">
      <c r="A348" s="293" t="s">
        <v>1126</v>
      </c>
      <c r="B348" s="305">
        <v>2953</v>
      </c>
      <c r="C348" s="306">
        <v>5285</v>
      </c>
      <c r="D348" s="306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</row>
    <row r="349" spans="1:987">
      <c r="A349" s="4" t="s">
        <v>1128</v>
      </c>
      <c r="B349" s="305">
        <v>3407</v>
      </c>
      <c r="C349" s="306">
        <v>2700</v>
      </c>
      <c r="D349" s="306" t="s">
        <v>2041</v>
      </c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</row>
    <row r="350" spans="1:987">
      <c r="A350" s="293" t="s">
        <v>1131</v>
      </c>
      <c r="B350" s="305">
        <v>2888</v>
      </c>
      <c r="C350" s="306">
        <v>5285</v>
      </c>
      <c r="D350" s="306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</row>
    <row r="351" spans="1:987">
      <c r="A351" s="293" t="s">
        <v>1133</v>
      </c>
      <c r="B351" s="305">
        <v>3237</v>
      </c>
      <c r="C351" s="306"/>
      <c r="D351" s="306" t="s">
        <v>1135</v>
      </c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</row>
    <row r="352" spans="1:987">
      <c r="A352" s="293" t="s">
        <v>281</v>
      </c>
      <c r="B352" s="305">
        <v>2818</v>
      </c>
      <c r="C352" s="306">
        <v>5285</v>
      </c>
      <c r="D352" s="306" t="s">
        <v>1137</v>
      </c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</row>
    <row r="353" spans="1:987">
      <c r="A353" s="293" t="s">
        <v>1138</v>
      </c>
      <c r="B353" s="305">
        <v>2883</v>
      </c>
      <c r="C353" s="306">
        <v>5285</v>
      </c>
      <c r="D353" s="306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</row>
    <row r="354" spans="1:987">
      <c r="A354" s="293" t="s">
        <v>1140</v>
      </c>
      <c r="B354" s="305">
        <v>3099</v>
      </c>
      <c r="C354" s="306">
        <v>5285</v>
      </c>
      <c r="D354" s="306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</row>
    <row r="355" spans="1:987">
      <c r="A355" s="282" t="s">
        <v>1142</v>
      </c>
      <c r="B355" s="305">
        <v>3006</v>
      </c>
      <c r="C355" s="306">
        <v>5285</v>
      </c>
      <c r="D355" s="306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</row>
    <row r="356" spans="1:987">
      <c r="A356" s="293" t="s">
        <v>1144</v>
      </c>
      <c r="B356" s="305">
        <v>3041</v>
      </c>
      <c r="C356" s="306">
        <v>5285</v>
      </c>
      <c r="D356" s="30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</row>
    <row r="357" spans="1:987">
      <c r="A357" s="293"/>
      <c r="B357" s="329"/>
      <c r="C357" s="330"/>
      <c r="D357" s="330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</row>
    <row r="358" spans="1:987">
      <c r="A358" s="293"/>
      <c r="B358" s="329"/>
      <c r="C358" s="330"/>
      <c r="D358" s="330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</row>
    <row r="359" spans="1:987" s="151" customFormat="1">
      <c r="A359" s="187" t="s">
        <v>1147</v>
      </c>
      <c r="B359" s="146"/>
      <c r="C359" s="147"/>
      <c r="D359" s="147"/>
    </row>
    <row r="360" spans="1:987">
      <c r="A360" s="293" t="s">
        <v>1148</v>
      </c>
      <c r="B360" s="305">
        <v>2944</v>
      </c>
      <c r="C360" s="306">
        <v>5285</v>
      </c>
      <c r="D360" s="306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</row>
    <row r="361" spans="1:987">
      <c r="A361" s="293" t="s">
        <v>1150</v>
      </c>
      <c r="B361" s="305">
        <v>3093</v>
      </c>
      <c r="C361" s="306">
        <v>5285</v>
      </c>
      <c r="D361" s="306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</row>
    <row r="362" spans="1:987">
      <c r="A362" s="293" t="s">
        <v>1152</v>
      </c>
      <c r="B362" s="305">
        <v>3422</v>
      </c>
      <c r="C362" s="306">
        <v>5285</v>
      </c>
      <c r="D362" s="306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</row>
    <row r="363" spans="1:987">
      <c r="A363" s="293" t="s">
        <v>1154</v>
      </c>
      <c r="B363" s="305">
        <v>3228</v>
      </c>
      <c r="C363" s="306">
        <v>4200</v>
      </c>
      <c r="D363" s="306" t="s">
        <v>2042</v>
      </c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</row>
    <row r="364" spans="1:987">
      <c r="A364" s="293" t="s">
        <v>1157</v>
      </c>
      <c r="B364" s="305"/>
      <c r="C364" s="306"/>
      <c r="D364" s="306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</row>
    <row r="365" spans="1:987">
      <c r="A365" s="293" t="s">
        <v>1159</v>
      </c>
      <c r="B365" s="305">
        <v>2925</v>
      </c>
      <c r="C365" s="306">
        <v>5285</v>
      </c>
      <c r="D365" s="306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</row>
    <row r="366" spans="1:987">
      <c r="A366" s="293" t="s">
        <v>283</v>
      </c>
      <c r="B366" s="305">
        <v>2815</v>
      </c>
      <c r="C366" s="306">
        <v>5285</v>
      </c>
      <c r="D366" s="30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</row>
    <row r="367" spans="1:987">
      <c r="A367" s="293" t="s">
        <v>284</v>
      </c>
      <c r="B367" s="305">
        <v>2783</v>
      </c>
      <c r="C367" s="306">
        <v>5285</v>
      </c>
      <c r="D367" s="306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</row>
    <row r="368" spans="1:987">
      <c r="A368" s="293" t="s">
        <v>1163</v>
      </c>
      <c r="B368" s="305">
        <v>3073</v>
      </c>
      <c r="C368" s="306">
        <v>5285</v>
      </c>
      <c r="D368" s="306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</row>
    <row r="369" spans="1:987">
      <c r="A369" s="293" t="s">
        <v>1165</v>
      </c>
      <c r="B369" s="305"/>
      <c r="C369" s="306"/>
      <c r="D369" s="306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</row>
    <row r="370" spans="1:987">
      <c r="A370" s="293" t="s">
        <v>285</v>
      </c>
      <c r="B370" s="305">
        <v>2729</v>
      </c>
      <c r="C370" s="306">
        <v>5285</v>
      </c>
      <c r="D370" s="306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</row>
    <row r="371" spans="1:987">
      <c r="A371" s="4" t="s">
        <v>287</v>
      </c>
      <c r="B371" s="305">
        <v>2746</v>
      </c>
      <c r="C371" s="306">
        <v>5285</v>
      </c>
      <c r="D371" s="306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</row>
    <row r="372" spans="1:987">
      <c r="A372" s="293" t="s">
        <v>288</v>
      </c>
      <c r="B372" s="305">
        <v>2690</v>
      </c>
      <c r="C372" s="306">
        <v>5285</v>
      </c>
      <c r="D372" s="306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</row>
    <row r="373" spans="1:987">
      <c r="A373" s="293" t="s">
        <v>1171</v>
      </c>
      <c r="B373" s="305">
        <v>3072</v>
      </c>
      <c r="C373" s="306">
        <v>5285</v>
      </c>
      <c r="D373" s="306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</row>
    <row r="374" spans="1:987">
      <c r="A374" s="293" t="s">
        <v>1173</v>
      </c>
      <c r="B374" s="305"/>
      <c r="C374" s="306"/>
      <c r="D374" s="306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</row>
    <row r="375" spans="1:987">
      <c r="A375" s="293" t="s">
        <v>1177</v>
      </c>
      <c r="B375" s="305">
        <v>3092</v>
      </c>
      <c r="C375" s="306">
        <v>5285</v>
      </c>
      <c r="D375" s="306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</row>
    <row r="376" spans="1:987">
      <c r="A376" s="293" t="s">
        <v>1180</v>
      </c>
      <c r="B376" s="305"/>
      <c r="C376" s="306"/>
      <c r="D376" s="306" t="s">
        <v>1182</v>
      </c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</row>
    <row r="377" spans="1:987">
      <c r="A377" s="293" t="s">
        <v>1183</v>
      </c>
      <c r="B377" s="305">
        <v>2984</v>
      </c>
      <c r="C377" s="306">
        <v>5285</v>
      </c>
      <c r="D377" s="306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</row>
    <row r="378" spans="1:987">
      <c r="A378" s="293"/>
      <c r="B378" s="305"/>
      <c r="C378" s="306"/>
      <c r="D378" s="306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</row>
    <row r="379" spans="1:987">
      <c r="A379" s="293"/>
      <c r="B379" s="305"/>
      <c r="C379" s="306"/>
      <c r="D379" s="306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</row>
    <row r="380" spans="1:987">
      <c r="A380" s="187" t="s">
        <v>1187</v>
      </c>
      <c r="B380" s="305"/>
      <c r="C380" s="306"/>
      <c r="D380" s="306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</row>
    <row r="381" spans="1:987">
      <c r="A381" s="293" t="s">
        <v>1188</v>
      </c>
      <c r="B381" s="305"/>
      <c r="C381" s="306"/>
      <c r="D381" s="306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</row>
    <row r="382" spans="1:987">
      <c r="A382" s="293" t="s">
        <v>1190</v>
      </c>
      <c r="B382" s="305"/>
      <c r="C382" s="306"/>
      <c r="D382" s="306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</row>
    <row r="383" spans="1:987">
      <c r="A383" s="293" t="s">
        <v>289</v>
      </c>
      <c r="B383" s="305">
        <v>2871</v>
      </c>
      <c r="C383" s="306">
        <v>5285</v>
      </c>
      <c r="D383" s="306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</row>
    <row r="384" spans="1:987">
      <c r="A384" s="293" t="s">
        <v>1193</v>
      </c>
      <c r="B384" s="305">
        <v>3088</v>
      </c>
      <c r="C384" s="306">
        <v>5285</v>
      </c>
      <c r="D384" s="306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</row>
    <row r="385" spans="1:987">
      <c r="A385" s="293" t="s">
        <v>1195</v>
      </c>
      <c r="B385" s="305">
        <v>2924</v>
      </c>
      <c r="C385" s="306">
        <v>5285</v>
      </c>
      <c r="D385" s="306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</row>
    <row r="386" spans="1:987">
      <c r="A386" s="293" t="s">
        <v>1197</v>
      </c>
      <c r="B386" s="305">
        <v>3063</v>
      </c>
      <c r="C386" s="306">
        <v>5285</v>
      </c>
      <c r="D386" s="30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</row>
    <row r="387" spans="1:987">
      <c r="A387" s="293" t="s">
        <v>1199</v>
      </c>
      <c r="B387" s="305">
        <v>3428</v>
      </c>
      <c r="C387" s="306">
        <v>5285</v>
      </c>
      <c r="D387" s="306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</row>
    <row r="388" spans="1:987">
      <c r="A388" s="293" t="s">
        <v>1202</v>
      </c>
      <c r="B388" s="305"/>
      <c r="C388" s="306"/>
      <c r="D388" s="306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</row>
    <row r="389" spans="1:987">
      <c r="A389" s="311" t="s">
        <v>1206</v>
      </c>
      <c r="B389" s="305">
        <v>3020</v>
      </c>
      <c r="C389" s="306">
        <v>5285</v>
      </c>
      <c r="D389" s="306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</row>
    <row r="390" spans="1:987">
      <c r="A390" s="4" t="s">
        <v>1208</v>
      </c>
      <c r="B390" s="305"/>
      <c r="C390" s="306"/>
      <c r="D390" s="306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</row>
    <row r="391" spans="1:987">
      <c r="A391" s="293" t="s">
        <v>1210</v>
      </c>
      <c r="B391" s="305"/>
      <c r="C391" s="306"/>
      <c r="D391" s="306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</row>
    <row r="392" spans="1:987">
      <c r="A392" s="293" t="s">
        <v>290</v>
      </c>
      <c r="B392" s="305">
        <v>2799</v>
      </c>
      <c r="C392" s="306">
        <v>5285</v>
      </c>
      <c r="D392" s="306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</row>
    <row r="393" spans="1:987">
      <c r="A393" s="293" t="s">
        <v>1213</v>
      </c>
      <c r="B393" s="305">
        <v>2951</v>
      </c>
      <c r="C393" s="306">
        <v>5285</v>
      </c>
      <c r="D393" s="306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</row>
    <row r="394" spans="1:987">
      <c r="A394" s="293" t="s">
        <v>1215</v>
      </c>
      <c r="B394" s="305">
        <v>3056</v>
      </c>
      <c r="C394" s="306">
        <v>5295</v>
      </c>
      <c r="D394" s="306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</row>
    <row r="395" spans="1:987" ht="15.75" customHeight="1">
      <c r="A395" s="327" t="s">
        <v>1217</v>
      </c>
      <c r="B395" s="305">
        <v>2942</v>
      </c>
      <c r="C395" s="306">
        <v>5285</v>
      </c>
      <c r="D395" s="306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</row>
    <row r="396" spans="1:987">
      <c r="A396" s="335" t="s">
        <v>1219</v>
      </c>
      <c r="B396" s="305">
        <v>3216</v>
      </c>
      <c r="C396" s="306">
        <v>5285</v>
      </c>
      <c r="D396" s="30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</row>
    <row r="397" spans="1:987">
      <c r="A397" s="335" t="s">
        <v>1221</v>
      </c>
      <c r="B397" s="305">
        <v>3201</v>
      </c>
      <c r="C397" s="306">
        <v>5285</v>
      </c>
      <c r="D397" s="306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</row>
    <row r="398" spans="1:987">
      <c r="A398" s="327" t="s">
        <v>1223</v>
      </c>
      <c r="B398" s="305">
        <v>3427</v>
      </c>
      <c r="C398" s="306">
        <v>5285</v>
      </c>
      <c r="D398" s="306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</row>
    <row r="399" spans="1:987">
      <c r="A399" s="293" t="s">
        <v>1226</v>
      </c>
      <c r="B399" s="305">
        <v>3203</v>
      </c>
      <c r="C399" s="306">
        <v>5285</v>
      </c>
      <c r="D399" s="306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</row>
    <row r="400" spans="1:987">
      <c r="A400" s="293" t="s">
        <v>1228</v>
      </c>
      <c r="B400" s="305">
        <v>3420</v>
      </c>
      <c r="C400" s="306">
        <v>5285</v>
      </c>
      <c r="D400" s="306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</row>
    <row r="401" spans="1:987">
      <c r="A401" s="282"/>
      <c r="B401" s="305"/>
      <c r="C401" s="306"/>
      <c r="D401" s="306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</row>
    <row r="402" spans="1:987">
      <c r="B402" s="259"/>
      <c r="C402" s="260"/>
      <c r="D402" s="260"/>
    </row>
    <row r="403" spans="1:987" s="151" customFormat="1">
      <c r="A403" s="134" t="s">
        <v>291</v>
      </c>
      <c r="B403" s="240"/>
      <c r="C403" s="241"/>
      <c r="D403" s="241"/>
    </row>
    <row r="404" spans="1:987">
      <c r="A404" s="293" t="s">
        <v>1232</v>
      </c>
      <c r="B404" s="305">
        <v>3052</v>
      </c>
      <c r="C404" s="306">
        <v>5295</v>
      </c>
      <c r="D404" s="306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</row>
    <row r="405" spans="1:987">
      <c r="A405" s="293" t="s">
        <v>1234</v>
      </c>
      <c r="B405" s="305"/>
      <c r="C405" s="306"/>
      <c r="D405" s="306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</row>
    <row r="406" spans="1:987">
      <c r="A406" s="293" t="s">
        <v>1238</v>
      </c>
      <c r="B406" s="305">
        <v>3182</v>
      </c>
      <c r="C406" s="306">
        <v>5030</v>
      </c>
      <c r="D406" s="306" t="s">
        <v>1240</v>
      </c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</row>
    <row r="407" spans="1:987">
      <c r="A407" s="293" t="s">
        <v>1241</v>
      </c>
      <c r="B407" s="305">
        <v>3403</v>
      </c>
      <c r="C407" s="306">
        <v>5295</v>
      </c>
      <c r="D407" s="306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</row>
    <row r="408" spans="1:987">
      <c r="A408" s="263" t="s">
        <v>1243</v>
      </c>
      <c r="B408" s="305">
        <v>2973</v>
      </c>
      <c r="C408" s="306">
        <v>5295</v>
      </c>
      <c r="D408" s="306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</row>
    <row r="409" spans="1:987">
      <c r="A409" s="282" t="s">
        <v>1245</v>
      </c>
      <c r="B409" s="305"/>
      <c r="C409" s="306"/>
      <c r="D409" s="306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</row>
    <row r="410" spans="1:987">
      <c r="A410" s="387" t="s">
        <v>1247</v>
      </c>
      <c r="B410" s="305">
        <v>3204</v>
      </c>
      <c r="C410" s="306">
        <v>5285</v>
      </c>
      <c r="D410" s="306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</row>
    <row r="411" spans="1:987">
      <c r="A411" s="293" t="s">
        <v>1249</v>
      </c>
      <c r="B411" s="305">
        <v>3194</v>
      </c>
      <c r="C411" s="306">
        <v>5295</v>
      </c>
      <c r="D411" s="306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</row>
    <row r="412" spans="1:987">
      <c r="A412" s="293" t="s">
        <v>1251</v>
      </c>
      <c r="B412" s="305" t="s">
        <v>488</v>
      </c>
      <c r="C412" s="306"/>
      <c r="D412" s="306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</row>
    <row r="413" spans="1:987">
      <c r="A413" s="293" t="s">
        <v>1253</v>
      </c>
      <c r="B413" s="305"/>
      <c r="C413" s="306"/>
      <c r="D413" s="306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</row>
    <row r="414" spans="1:987">
      <c r="A414" s="293" t="s">
        <v>1256</v>
      </c>
      <c r="B414" s="305">
        <v>3084</v>
      </c>
      <c r="C414" s="306">
        <v>5295</v>
      </c>
      <c r="D414" s="306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</row>
    <row r="415" spans="1:987">
      <c r="A415" s="293" t="s">
        <v>1259</v>
      </c>
      <c r="B415" s="305">
        <v>3006</v>
      </c>
      <c r="C415" s="306">
        <v>5295</v>
      </c>
      <c r="D415" s="306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</row>
    <row r="416" spans="1:987">
      <c r="A416" s="293" t="s">
        <v>292</v>
      </c>
      <c r="B416" s="305">
        <v>2871</v>
      </c>
      <c r="C416" s="306">
        <v>5015</v>
      </c>
      <c r="D416" s="306" t="s">
        <v>293</v>
      </c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</row>
    <row r="417" spans="1:987">
      <c r="A417" s="282" t="s">
        <v>295</v>
      </c>
      <c r="B417" s="305">
        <v>2846</v>
      </c>
      <c r="C417" s="306">
        <v>5295</v>
      </c>
      <c r="D417" s="306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</row>
    <row r="418" spans="1:987">
      <c r="A418" s="293" t="s">
        <v>1264</v>
      </c>
      <c r="B418" s="305">
        <v>3008</v>
      </c>
      <c r="C418" s="306">
        <v>5295</v>
      </c>
      <c r="D418" s="306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</row>
    <row r="419" spans="1:987">
      <c r="A419" s="387" t="s">
        <v>1266</v>
      </c>
      <c r="B419" s="305">
        <v>3005</v>
      </c>
      <c r="C419" s="306">
        <v>5295</v>
      </c>
      <c r="D419" s="306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</row>
    <row r="420" spans="1:987">
      <c r="A420" s="293" t="s">
        <v>1268</v>
      </c>
      <c r="B420" s="305">
        <v>3233</v>
      </c>
      <c r="C420" s="306">
        <v>5295</v>
      </c>
      <c r="D420" s="306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</row>
    <row r="421" spans="1:987">
      <c r="A421" s="282" t="s">
        <v>1271</v>
      </c>
      <c r="B421" s="305"/>
      <c r="C421" s="306"/>
      <c r="D421" s="306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</row>
    <row r="422" spans="1:987">
      <c r="A422" s="293" t="s">
        <v>1273</v>
      </c>
      <c r="B422" s="305">
        <v>3007</v>
      </c>
      <c r="C422" s="306">
        <v>5295</v>
      </c>
      <c r="D422" s="306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</row>
    <row r="423" spans="1:987">
      <c r="A423" s="293" t="s">
        <v>1276</v>
      </c>
      <c r="B423" s="305">
        <v>2945</v>
      </c>
      <c r="C423" s="306">
        <v>5295</v>
      </c>
      <c r="D423" s="306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</row>
    <row r="424" spans="1:987">
      <c r="A424" s="293" t="s">
        <v>1278</v>
      </c>
      <c r="B424" s="305"/>
      <c r="C424" s="306"/>
      <c r="D424" s="306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</row>
    <row r="425" spans="1:987">
      <c r="A425" s="282" t="s">
        <v>1281</v>
      </c>
      <c r="B425" s="305">
        <v>2968</v>
      </c>
      <c r="C425" s="306">
        <v>5295</v>
      </c>
      <c r="D425" s="306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</row>
    <row r="426" spans="1:987">
      <c r="A426" s="293" t="s">
        <v>294</v>
      </c>
      <c r="B426" s="305">
        <v>2673</v>
      </c>
      <c r="C426" s="306">
        <v>5295</v>
      </c>
      <c r="D426" s="30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</row>
    <row r="427" spans="1:987">
      <c r="A427" s="293" t="s">
        <v>296</v>
      </c>
      <c r="B427" s="305">
        <v>2823</v>
      </c>
      <c r="C427" s="306">
        <v>5295</v>
      </c>
      <c r="D427" s="306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</row>
    <row r="428" spans="1:987">
      <c r="A428" s="282" t="s">
        <v>1287</v>
      </c>
      <c r="B428" s="349">
        <v>2968</v>
      </c>
      <c r="C428" s="344">
        <v>5295</v>
      </c>
      <c r="D428" s="344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</row>
    <row r="429" spans="1:987">
      <c r="A429" s="293" t="s">
        <v>1289</v>
      </c>
      <c r="B429" s="305">
        <v>3420</v>
      </c>
      <c r="C429" s="306">
        <v>5295</v>
      </c>
      <c r="D429" s="306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</row>
    <row r="430" spans="1:987">
      <c r="A430" s="293" t="s">
        <v>1291</v>
      </c>
      <c r="B430" s="305">
        <v>3055</v>
      </c>
      <c r="C430" s="306">
        <v>5295</v>
      </c>
      <c r="D430" s="306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</row>
    <row r="431" spans="1:987">
      <c r="A431" s="352" t="s">
        <v>1293</v>
      </c>
      <c r="B431" s="349"/>
      <c r="C431" s="344"/>
      <c r="D431" s="344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</row>
    <row r="432" spans="1:987">
      <c r="A432" s="293" t="s">
        <v>297</v>
      </c>
      <c r="B432" s="305">
        <v>2673</v>
      </c>
      <c r="C432" s="306">
        <v>5295</v>
      </c>
      <c r="D432" s="306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</row>
    <row r="433" spans="1:987">
      <c r="A433" s="352"/>
      <c r="B433" s="349"/>
      <c r="C433" s="344"/>
      <c r="D433" s="344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</row>
    <row r="434" spans="1:987">
      <c r="A434" s="282"/>
      <c r="B434" s="329"/>
      <c r="C434" s="330"/>
      <c r="D434" s="330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</row>
    <row r="435" spans="1:987">
      <c r="B435" s="329"/>
      <c r="C435" s="330"/>
      <c r="D435" s="330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</row>
    <row r="436" spans="1:987" s="151" customFormat="1">
      <c r="A436" s="133" t="s">
        <v>298</v>
      </c>
      <c r="B436" s="240"/>
      <c r="C436" s="241"/>
      <c r="D436" s="241"/>
    </row>
    <row r="437" spans="1:987">
      <c r="A437" s="352" t="s">
        <v>299</v>
      </c>
      <c r="B437" s="349">
        <v>2868</v>
      </c>
      <c r="C437" s="344">
        <v>3355</v>
      </c>
      <c r="D437" s="344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</row>
    <row r="438" spans="1:987" ht="15.75" customHeight="1">
      <c r="A438" s="356" t="s">
        <v>1301</v>
      </c>
      <c r="B438" s="349"/>
      <c r="C438" s="344"/>
      <c r="D438" s="344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</row>
    <row r="439" spans="1:987">
      <c r="A439" s="421" t="s">
        <v>300</v>
      </c>
      <c r="B439" s="349">
        <v>2709</v>
      </c>
      <c r="C439" s="344">
        <v>3355</v>
      </c>
      <c r="D439" s="344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</row>
    <row r="440" spans="1:987">
      <c r="A440" s="421" t="s">
        <v>301</v>
      </c>
      <c r="B440" s="349">
        <v>2752</v>
      </c>
      <c r="C440" s="344">
        <v>3355</v>
      </c>
      <c r="D440" s="344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</row>
    <row r="441" spans="1:987" ht="18" customHeight="1">
      <c r="A441" s="352" t="s">
        <v>1305</v>
      </c>
      <c r="B441" s="349"/>
      <c r="C441" s="344"/>
      <c r="D441" s="344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</row>
    <row r="442" spans="1:987">
      <c r="A442" s="421" t="s">
        <v>302</v>
      </c>
      <c r="B442" s="349">
        <v>2704</v>
      </c>
      <c r="C442" s="344">
        <v>3355</v>
      </c>
      <c r="D442" s="344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</row>
    <row r="443" spans="1:987">
      <c r="A443" s="421" t="s">
        <v>308</v>
      </c>
      <c r="B443" s="219">
        <v>2679</v>
      </c>
      <c r="C443" s="220">
        <v>3355</v>
      </c>
      <c r="D443" s="220"/>
    </row>
    <row r="444" spans="1:987">
      <c r="A444" s="357" t="s">
        <v>1309</v>
      </c>
      <c r="B444" s="349">
        <v>3226</v>
      </c>
      <c r="C444" s="344">
        <v>700</v>
      </c>
      <c r="D444" s="344" t="s">
        <v>1311</v>
      </c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</row>
    <row r="445" spans="1:987">
      <c r="A445" s="421" t="s">
        <v>1312</v>
      </c>
      <c r="B445" s="349">
        <v>2892</v>
      </c>
      <c r="C445" s="344">
        <v>3355</v>
      </c>
      <c r="D445" s="344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</row>
    <row r="446" spans="1:987">
      <c r="A446" s="352" t="s">
        <v>1315</v>
      </c>
      <c r="B446" s="349">
        <v>3084</v>
      </c>
      <c r="C446" s="344">
        <v>3355</v>
      </c>
      <c r="D446" s="344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</row>
    <row r="447" spans="1:987">
      <c r="A447" s="352" t="s">
        <v>1317</v>
      </c>
      <c r="B447" s="349">
        <v>2986</v>
      </c>
      <c r="C447" s="344">
        <v>3355</v>
      </c>
      <c r="D447" s="344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</row>
    <row r="448" spans="1:987">
      <c r="A448" s="352" t="s">
        <v>1319</v>
      </c>
      <c r="B448" s="349"/>
      <c r="C448" s="344"/>
      <c r="D448" s="344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</row>
    <row r="449" spans="1:987">
      <c r="A449" s="352" t="s">
        <v>1322</v>
      </c>
      <c r="B449" s="349">
        <v>2894</v>
      </c>
      <c r="C449" s="344">
        <v>3355</v>
      </c>
      <c r="D449" s="344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</row>
    <row r="450" spans="1:987">
      <c r="A450" s="352" t="s">
        <v>1324</v>
      </c>
      <c r="B450" s="349"/>
      <c r="C450" s="344"/>
      <c r="D450" s="344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</row>
    <row r="451" spans="1:987">
      <c r="A451" s="352" t="s">
        <v>304</v>
      </c>
      <c r="B451" s="349">
        <v>2873</v>
      </c>
      <c r="C451" s="344">
        <v>3355</v>
      </c>
      <c r="D451" s="344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</row>
    <row r="452" spans="1:987">
      <c r="A452" s="352" t="s">
        <v>1328</v>
      </c>
      <c r="B452" s="349">
        <v>3187</v>
      </c>
      <c r="C452" s="344">
        <v>3355</v>
      </c>
      <c r="D452" s="344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</row>
    <row r="453" spans="1:987">
      <c r="A453" s="352" t="s">
        <v>1330</v>
      </c>
      <c r="B453" s="349">
        <v>2945</v>
      </c>
      <c r="C453" s="344">
        <v>3355</v>
      </c>
      <c r="D453" s="344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</row>
    <row r="454" spans="1:987">
      <c r="A454" s="421" t="s">
        <v>309</v>
      </c>
      <c r="B454" s="349">
        <v>2735</v>
      </c>
      <c r="C454" s="344">
        <v>3355</v>
      </c>
      <c r="D454" s="34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</row>
    <row r="455" spans="1:987">
      <c r="A455" s="293" t="s">
        <v>1333</v>
      </c>
      <c r="B455" s="305">
        <v>2932</v>
      </c>
      <c r="C455" s="306">
        <v>3355</v>
      </c>
      <c r="D455" s="306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</row>
    <row r="456" spans="1:987">
      <c r="A456" s="293" t="s">
        <v>1336</v>
      </c>
      <c r="B456" s="349">
        <v>2932</v>
      </c>
      <c r="C456" s="344">
        <v>3355</v>
      </c>
      <c r="D456" s="344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</row>
    <row r="457" spans="1:987">
      <c r="A457" s="513" t="s">
        <v>305</v>
      </c>
      <c r="B457" s="390">
        <v>2803</v>
      </c>
      <c r="C457" s="391">
        <f>3315+40</f>
        <v>3355</v>
      </c>
      <c r="D457" s="391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</row>
    <row r="458" spans="1:987">
      <c r="A458" s="293" t="s">
        <v>1339</v>
      </c>
      <c r="B458" s="305">
        <v>2888</v>
      </c>
      <c r="C458" s="306">
        <v>3355</v>
      </c>
      <c r="D458" s="306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</row>
    <row r="459" spans="1:987">
      <c r="A459" s="512" t="s">
        <v>306</v>
      </c>
      <c r="B459" s="399">
        <v>2765</v>
      </c>
      <c r="C459" s="400">
        <v>3355</v>
      </c>
      <c r="D459" s="400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</row>
    <row r="460" spans="1:987">
      <c r="A460" s="512" t="s">
        <v>1342</v>
      </c>
      <c r="B460" s="399">
        <v>3437</v>
      </c>
      <c r="C460" s="400">
        <v>2000</v>
      </c>
      <c r="D460" s="400" t="s">
        <v>2043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</row>
    <row r="461" spans="1:987">
      <c r="A461" s="352" t="s">
        <v>1344</v>
      </c>
      <c r="B461" s="349"/>
      <c r="C461" s="344"/>
      <c r="D461" s="344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</row>
    <row r="462" spans="1:987">
      <c r="A462" s="352" t="s">
        <v>1346</v>
      </c>
      <c r="B462" s="399">
        <v>2976</v>
      </c>
      <c r="C462" s="400">
        <v>1980</v>
      </c>
      <c r="D462" s="400" t="s">
        <v>1348</v>
      </c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</row>
    <row r="463" spans="1:987">
      <c r="A463" s="352" t="s">
        <v>307</v>
      </c>
      <c r="B463" s="399">
        <v>2859</v>
      </c>
      <c r="C463" s="400">
        <v>3355</v>
      </c>
      <c r="D463" s="400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</row>
    <row r="464" spans="1:987">
      <c r="A464" s="293"/>
      <c r="B464" s="399"/>
      <c r="C464" s="400"/>
      <c r="D464" s="400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</row>
    <row r="465" spans="1:987">
      <c r="A465" s="293"/>
      <c r="B465" s="399"/>
      <c r="C465" s="400"/>
      <c r="D465" s="400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</row>
    <row r="466" spans="1:987">
      <c r="A466" s="264"/>
      <c r="B466" s="399"/>
      <c r="C466" s="400"/>
      <c r="D466" s="400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</row>
    <row r="467" spans="1:987">
      <c r="A467" s="263"/>
      <c r="B467" s="409"/>
      <c r="C467" s="410"/>
      <c r="D467" s="410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</row>
    <row r="468" spans="1:987">
      <c r="A468" s="263"/>
      <c r="B468" s="409"/>
      <c r="C468" s="410"/>
      <c r="D468" s="410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</row>
    <row r="469" spans="1:987">
      <c r="B469" s="229"/>
      <c r="C469" s="230"/>
      <c r="D469" s="230"/>
    </row>
    <row r="470" spans="1:987">
      <c r="B470" s="229"/>
      <c r="C470" s="230"/>
      <c r="D470" s="230"/>
    </row>
    <row r="471" spans="1:987" s="151" customFormat="1">
      <c r="A471" s="133" t="s">
        <v>310</v>
      </c>
      <c r="B471" s="240"/>
      <c r="C471" s="241"/>
      <c r="D471" s="241"/>
    </row>
    <row r="472" spans="1:987">
      <c r="A472" s="282" t="s">
        <v>342</v>
      </c>
      <c r="B472" s="305" t="s">
        <v>488</v>
      </c>
      <c r="C472" s="306"/>
      <c r="D472" s="306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</row>
    <row r="473" spans="1:987">
      <c r="A473" s="282" t="s">
        <v>343</v>
      </c>
      <c r="B473" s="305"/>
      <c r="C473" s="306"/>
      <c r="D473" s="306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</row>
    <row r="474" spans="1:987">
      <c r="A474" s="293" t="s">
        <v>311</v>
      </c>
      <c r="B474" s="305">
        <v>2799</v>
      </c>
      <c r="C474" s="306">
        <v>1902</v>
      </c>
      <c r="D474" s="306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</row>
    <row r="475" spans="1:987">
      <c r="A475" s="282" t="s">
        <v>346</v>
      </c>
      <c r="B475" s="305">
        <v>3083</v>
      </c>
      <c r="C475" s="306">
        <v>1902</v>
      </c>
      <c r="D475" s="306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</row>
    <row r="476" spans="1:987">
      <c r="A476" s="282" t="s">
        <v>312</v>
      </c>
      <c r="B476" s="329">
        <v>2681</v>
      </c>
      <c r="C476" s="306">
        <v>1902</v>
      </c>
      <c r="D476" s="30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</row>
    <row r="477" spans="1:987">
      <c r="A477" s="282" t="s">
        <v>349</v>
      </c>
      <c r="B477" s="305">
        <v>3155</v>
      </c>
      <c r="C477" s="306">
        <v>1902</v>
      </c>
      <c r="D477" s="306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</row>
    <row r="478" spans="1:987" ht="15.75" customHeight="1">
      <c r="A478" s="282" t="s">
        <v>351</v>
      </c>
      <c r="B478" s="305"/>
      <c r="C478" s="306"/>
      <c r="D478" s="306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</row>
    <row r="479" spans="1:987">
      <c r="A479" s="293" t="s">
        <v>353</v>
      </c>
      <c r="B479" s="305"/>
      <c r="C479" s="306"/>
      <c r="D479" s="306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</row>
    <row r="480" spans="1:987">
      <c r="A480" s="282" t="s">
        <v>354</v>
      </c>
      <c r="B480" s="305">
        <v>3409</v>
      </c>
      <c r="C480" s="306">
        <v>1902</v>
      </c>
      <c r="D480" s="306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</row>
    <row r="481" spans="1:987">
      <c r="A481" s="293" t="s">
        <v>356</v>
      </c>
      <c r="B481" s="305">
        <v>3070</v>
      </c>
      <c r="C481" s="306">
        <v>1902</v>
      </c>
      <c r="D481" s="306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</row>
    <row r="482" spans="1:987">
      <c r="A482" s="282" t="s">
        <v>358</v>
      </c>
      <c r="B482" s="305"/>
      <c r="C482" s="306"/>
      <c r="D482" s="306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</row>
    <row r="483" spans="1:987">
      <c r="A483" s="282" t="s">
        <v>360</v>
      </c>
      <c r="B483" s="305">
        <v>2892</v>
      </c>
      <c r="C483" s="306">
        <v>1902</v>
      </c>
      <c r="D483" s="306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</row>
    <row r="484" spans="1:987">
      <c r="A484" s="293" t="s">
        <v>362</v>
      </c>
      <c r="B484" s="305"/>
      <c r="C484" s="306"/>
      <c r="D484" s="306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</row>
    <row r="485" spans="1:987">
      <c r="A485" s="282" t="s">
        <v>364</v>
      </c>
      <c r="B485" s="305">
        <v>2907</v>
      </c>
      <c r="C485" s="306">
        <v>1902</v>
      </c>
      <c r="D485" s="306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</row>
    <row r="486" spans="1:987">
      <c r="A486" s="293" t="s">
        <v>365</v>
      </c>
      <c r="B486" s="305"/>
      <c r="C486" s="306"/>
      <c r="D486" s="30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</row>
    <row r="487" spans="1:987">
      <c r="A487" s="293" t="s">
        <v>366</v>
      </c>
      <c r="B487" s="305">
        <v>2998</v>
      </c>
      <c r="C487" s="306">
        <v>1902</v>
      </c>
      <c r="D487" s="306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</row>
    <row r="488" spans="1:987">
      <c r="A488" s="293" t="s">
        <v>368</v>
      </c>
      <c r="B488" s="305">
        <v>3058</v>
      </c>
      <c r="C488" s="306">
        <v>1902</v>
      </c>
      <c r="D488" s="306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</row>
    <row r="489" spans="1:987">
      <c r="A489" s="282" t="s">
        <v>370</v>
      </c>
      <c r="B489" s="305">
        <v>3002</v>
      </c>
      <c r="C489" s="306">
        <v>1902</v>
      </c>
      <c r="D489" s="306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</row>
    <row r="490" spans="1:987">
      <c r="A490" s="293" t="s">
        <v>371</v>
      </c>
      <c r="B490" s="305"/>
      <c r="C490" s="306"/>
      <c r="D490" s="306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</row>
    <row r="491" spans="1:987">
      <c r="A491" s="293" t="s">
        <v>373</v>
      </c>
      <c r="B491" s="305">
        <v>3011</v>
      </c>
      <c r="C491" s="306">
        <v>1902</v>
      </c>
      <c r="D491" s="306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</row>
    <row r="492" spans="1:987">
      <c r="A492" s="293" t="s">
        <v>375</v>
      </c>
      <c r="B492" s="305">
        <v>2916</v>
      </c>
      <c r="C492" s="306">
        <v>1902</v>
      </c>
      <c r="D492" s="306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</row>
    <row r="493" spans="1:987">
      <c r="A493" s="293" t="s">
        <v>376</v>
      </c>
      <c r="B493" s="305"/>
      <c r="C493" s="306"/>
      <c r="D493" s="306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</row>
    <row r="494" spans="1:987">
      <c r="A494" s="282" t="s">
        <v>377</v>
      </c>
      <c r="B494" s="305"/>
      <c r="C494" s="306"/>
      <c r="D494" s="306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</row>
    <row r="495" spans="1:987">
      <c r="A495" s="293" t="s">
        <v>379</v>
      </c>
      <c r="B495" s="305"/>
      <c r="C495" s="306"/>
      <c r="D495" s="306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</row>
    <row r="496" spans="1:987">
      <c r="A496" s="293" t="s">
        <v>380</v>
      </c>
      <c r="B496" s="305" t="s">
        <v>488</v>
      </c>
      <c r="C496" s="306"/>
      <c r="D496" s="30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</row>
    <row r="497" spans="1:987">
      <c r="A497" s="282"/>
      <c r="B497" s="329"/>
      <c r="C497" s="330"/>
      <c r="D497" s="330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</row>
    <row r="498" spans="1:987">
      <c r="A498" s="282"/>
      <c r="B498" s="329"/>
      <c r="C498" s="330"/>
      <c r="D498" s="330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</row>
    <row r="499" spans="1:987">
      <c r="A499" s="282" t="s">
        <v>1383</v>
      </c>
      <c r="B499" s="259"/>
      <c r="C499" s="260"/>
      <c r="D499" s="260"/>
    </row>
    <row r="500" spans="1:987">
      <c r="A500" s="414" t="s">
        <v>313</v>
      </c>
      <c r="B500" s="240"/>
      <c r="C500" s="241"/>
      <c r="D500" s="241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</row>
    <row r="501" spans="1:987">
      <c r="A501" s="169" t="s">
        <v>1384</v>
      </c>
      <c r="B501" s="165">
        <v>2961</v>
      </c>
      <c r="C501" s="166">
        <v>2500</v>
      </c>
      <c r="D501" s="166" t="s">
        <v>2044</v>
      </c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</row>
    <row r="502" spans="1:987">
      <c r="A502" s="169" t="s">
        <v>320</v>
      </c>
      <c r="B502" s="165">
        <v>2807</v>
      </c>
      <c r="C502" s="166">
        <v>4080</v>
      </c>
      <c r="D502" s="166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</row>
    <row r="503" spans="1:987">
      <c r="A503" s="293" t="s">
        <v>315</v>
      </c>
      <c r="B503" s="305">
        <v>2865</v>
      </c>
      <c r="C503" s="306">
        <v>4080</v>
      </c>
      <c r="D503" s="306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</row>
    <row r="504" spans="1:987">
      <c r="A504" s="169" t="s">
        <v>314</v>
      </c>
      <c r="B504" s="165">
        <v>2781</v>
      </c>
      <c r="C504" s="166">
        <v>4080</v>
      </c>
      <c r="D504" s="166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</row>
    <row r="505" spans="1:987">
      <c r="A505" s="169" t="s">
        <v>1392</v>
      </c>
      <c r="B505" s="165">
        <v>3035</v>
      </c>
      <c r="C505" s="166">
        <v>4080</v>
      </c>
      <c r="D505" s="166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</row>
    <row r="506" spans="1:987">
      <c r="A506" s="169" t="s">
        <v>1394</v>
      </c>
      <c r="B506" s="165">
        <v>3208</v>
      </c>
      <c r="C506" s="166">
        <v>4080</v>
      </c>
      <c r="D506" s="16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</row>
    <row r="507" spans="1:987">
      <c r="A507" s="169" t="s">
        <v>1396</v>
      </c>
      <c r="B507" s="165">
        <v>3094</v>
      </c>
      <c r="C507" s="166">
        <v>4080</v>
      </c>
      <c r="D507" s="166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</row>
    <row r="508" spans="1:987">
      <c r="A508" s="169" t="s">
        <v>1398</v>
      </c>
      <c r="B508" s="165">
        <v>3406</v>
      </c>
      <c r="C508" s="166">
        <v>4080</v>
      </c>
      <c r="D508" s="166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</row>
    <row r="509" spans="1:987">
      <c r="A509" s="293" t="s">
        <v>316</v>
      </c>
      <c r="B509" s="305">
        <v>2780</v>
      </c>
      <c r="C509" s="306">
        <v>4080</v>
      </c>
      <c r="D509" s="306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</row>
    <row r="510" spans="1:987">
      <c r="A510" s="169" t="s">
        <v>1402</v>
      </c>
      <c r="B510" s="165">
        <v>2963</v>
      </c>
      <c r="C510" s="166">
        <v>4080</v>
      </c>
      <c r="D510" s="166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</row>
    <row r="511" spans="1:987">
      <c r="A511" s="169" t="s">
        <v>317</v>
      </c>
      <c r="B511" s="165">
        <v>2788</v>
      </c>
      <c r="C511" s="166">
        <v>4080</v>
      </c>
      <c r="D511" s="166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</row>
    <row r="512" spans="1:987">
      <c r="A512" s="169" t="s">
        <v>1405</v>
      </c>
      <c r="B512" s="165">
        <v>2969</v>
      </c>
      <c r="C512" s="166">
        <v>4080</v>
      </c>
      <c r="D512" s="166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</row>
    <row r="513" spans="1:987">
      <c r="A513" s="169" t="s">
        <v>1409</v>
      </c>
      <c r="B513" s="165">
        <v>2908</v>
      </c>
      <c r="C513" s="166">
        <v>4080</v>
      </c>
      <c r="D513" s="166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/>
      <c r="ACQ513"/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/>
      <c r="AFE513"/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/>
      <c r="AHS513"/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/>
      <c r="AKG513"/>
      <c r="AKH513"/>
      <c r="AKI513"/>
      <c r="AKJ513"/>
      <c r="AKK513"/>
      <c r="AKL513"/>
      <c r="AKM513"/>
      <c r="AKN513"/>
      <c r="AKO513"/>
      <c r="AKP513"/>
      <c r="AKQ513"/>
      <c r="AKR513"/>
      <c r="AKS513"/>
      <c r="AKT513"/>
      <c r="AKU513"/>
      <c r="AKV513"/>
      <c r="AKW513"/>
      <c r="AKX513"/>
      <c r="AKY513"/>
    </row>
    <row r="514" spans="1:987">
      <c r="A514" s="169" t="s">
        <v>1411</v>
      </c>
      <c r="B514" s="165">
        <v>2928</v>
      </c>
      <c r="C514" s="166">
        <v>4015</v>
      </c>
      <c r="D514" s="166" t="s">
        <v>1413</v>
      </c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</row>
    <row r="515" spans="1:987">
      <c r="A515" s="169" t="s">
        <v>321</v>
      </c>
      <c r="B515" s="165">
        <v>2875</v>
      </c>
      <c r="C515" s="166">
        <v>4080</v>
      </c>
      <c r="D515" s="166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</row>
    <row r="516" spans="1:987">
      <c r="A516" s="169" t="s">
        <v>1415</v>
      </c>
      <c r="B516" s="165">
        <v>2857</v>
      </c>
      <c r="C516" s="166">
        <v>4080</v>
      </c>
      <c r="D516" s="16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</row>
    <row r="517" spans="1:987">
      <c r="A517" s="169" t="s">
        <v>1417</v>
      </c>
      <c r="B517" s="165">
        <v>3183</v>
      </c>
      <c r="C517" s="166">
        <v>4080</v>
      </c>
      <c r="D517" s="166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</row>
    <row r="518" spans="1:987">
      <c r="A518" s="169" t="s">
        <v>1419</v>
      </c>
      <c r="B518" s="165">
        <v>2893</v>
      </c>
      <c r="C518" s="166">
        <v>4080</v>
      </c>
      <c r="D518" s="166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</row>
    <row r="519" spans="1:987">
      <c r="A519" s="169" t="s">
        <v>318</v>
      </c>
      <c r="B519" s="165" t="s">
        <v>319</v>
      </c>
      <c r="C519" s="166">
        <f>2500+1550</f>
        <v>4050</v>
      </c>
      <c r="D519" s="166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</row>
    <row r="520" spans="1:987">
      <c r="A520" s="169"/>
      <c r="B520" s="165"/>
      <c r="C520" s="166"/>
      <c r="D520" s="166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</row>
    <row r="521" spans="1:987">
      <c r="A521" s="169"/>
      <c r="B521" s="165"/>
      <c r="C521" s="166"/>
      <c r="D521" s="166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</row>
    <row r="522" spans="1:987">
      <c r="A522" s="178"/>
      <c r="B522" s="146"/>
      <c r="C522" s="147"/>
      <c r="D522" s="147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/>
      <c r="ADK522"/>
      <c r="ADL522"/>
      <c r="ADM522"/>
      <c r="ADN522"/>
      <c r="ADO522"/>
      <c r="ADP522"/>
      <c r="ADQ522"/>
      <c r="ADR522"/>
      <c r="ADS522"/>
      <c r="ADT522"/>
      <c r="ADU522"/>
      <c r="ADV522"/>
      <c r="ADW522"/>
      <c r="ADX522"/>
      <c r="ADY522"/>
      <c r="ADZ522"/>
      <c r="AEA522"/>
      <c r="AEB522"/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/>
      <c r="AEU522"/>
      <c r="AEV522"/>
      <c r="AEW522"/>
      <c r="AEX522"/>
      <c r="AEY522"/>
      <c r="AEZ522"/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/>
      <c r="AJE522"/>
      <c r="AJF522"/>
      <c r="AJG522"/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/>
      <c r="AJZ522"/>
      <c r="AKA522"/>
      <c r="AKB522"/>
      <c r="AKC522"/>
      <c r="AKD522"/>
      <c r="AKE522"/>
      <c r="AKF522"/>
      <c r="AKG522"/>
      <c r="AKH522"/>
      <c r="AKI522"/>
      <c r="AKJ522"/>
      <c r="AKK522"/>
      <c r="AKL522"/>
      <c r="AKM522"/>
      <c r="AKN522"/>
      <c r="AKO522"/>
      <c r="AKP522"/>
      <c r="AKQ522"/>
      <c r="AKR522"/>
      <c r="AKS522"/>
      <c r="AKT522"/>
      <c r="AKU522"/>
      <c r="AKV522"/>
      <c r="AKW522"/>
      <c r="AKX522"/>
      <c r="AKY522"/>
    </row>
    <row r="523" spans="1:987">
      <c r="A523" s="414" t="s">
        <v>323</v>
      </c>
      <c r="B523" s="240"/>
      <c r="C523" s="241"/>
      <c r="D523" s="241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</row>
    <row r="524" spans="1:987">
      <c r="A524" s="169" t="s">
        <v>1422</v>
      </c>
      <c r="B524" s="165">
        <v>3071</v>
      </c>
      <c r="C524" s="166">
        <v>4080</v>
      </c>
      <c r="D524" s="166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</row>
    <row r="525" spans="1:987">
      <c r="A525" s="169" t="s">
        <v>1426</v>
      </c>
      <c r="B525" s="146"/>
      <c r="C525" s="147"/>
      <c r="D525" s="147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</row>
    <row r="526" spans="1:987">
      <c r="A526" s="293" t="s">
        <v>325</v>
      </c>
      <c r="B526" s="165">
        <v>2630</v>
      </c>
      <c r="C526" s="166">
        <v>4080</v>
      </c>
      <c r="D526" s="16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  <c r="ZY526"/>
      <c r="ZZ526"/>
      <c r="AAA526"/>
      <c r="AAB526"/>
      <c r="AAC526"/>
      <c r="AAD526"/>
      <c r="AAE526"/>
      <c r="AAF526"/>
      <c r="AAG526"/>
      <c r="AAH526"/>
      <c r="AAI526"/>
      <c r="AAJ526"/>
      <c r="AAK526"/>
      <c r="AAL526"/>
      <c r="AAM526"/>
      <c r="AAN526"/>
      <c r="AAO526"/>
      <c r="AAP526"/>
      <c r="AAQ526"/>
      <c r="AAR526"/>
      <c r="AAS526"/>
      <c r="AAT526"/>
      <c r="AAU526"/>
      <c r="AAV526"/>
      <c r="AAW526"/>
      <c r="AAX526"/>
      <c r="AAY526"/>
      <c r="AAZ526"/>
      <c r="ABA526"/>
      <c r="ABB526"/>
      <c r="ABC526"/>
      <c r="ABD526"/>
      <c r="ABE526"/>
      <c r="ABF526"/>
      <c r="ABG526"/>
      <c r="ABH526"/>
      <c r="ABI526"/>
      <c r="ABJ526"/>
      <c r="ABK526"/>
      <c r="ABL526"/>
      <c r="ABM526"/>
      <c r="ABN526"/>
      <c r="ABO526"/>
      <c r="ABP526"/>
      <c r="ABQ526"/>
      <c r="ABR526"/>
      <c r="ABS526"/>
      <c r="ABT526"/>
      <c r="ABU526"/>
      <c r="ABV526"/>
      <c r="ABW526"/>
      <c r="ABX526"/>
      <c r="ABY526"/>
      <c r="ABZ526"/>
      <c r="ACA526"/>
      <c r="ACB526"/>
      <c r="ACC526"/>
      <c r="ACD526"/>
      <c r="ACE526"/>
      <c r="ACF526"/>
      <c r="ACG526"/>
      <c r="ACH526"/>
      <c r="ACI526"/>
      <c r="ACJ526"/>
      <c r="ACK526"/>
      <c r="ACL526"/>
      <c r="ACM526"/>
      <c r="ACN526"/>
      <c r="ACO526"/>
      <c r="ACP526"/>
      <c r="ACQ526"/>
      <c r="ACR526"/>
      <c r="ACS526"/>
      <c r="ACT526"/>
      <c r="ACU526"/>
      <c r="ACV526"/>
      <c r="ACW526"/>
      <c r="ACX526"/>
      <c r="ACY526"/>
      <c r="ACZ526"/>
      <c r="ADA526"/>
      <c r="ADB526"/>
      <c r="ADC526"/>
      <c r="ADD526"/>
      <c r="ADE526"/>
      <c r="ADF526"/>
      <c r="ADG526"/>
      <c r="ADH526"/>
      <c r="ADI526"/>
      <c r="ADJ526"/>
      <c r="ADK526"/>
      <c r="ADL526"/>
      <c r="ADM526"/>
      <c r="ADN526"/>
      <c r="ADO526"/>
      <c r="ADP526"/>
      <c r="ADQ526"/>
      <c r="ADR526"/>
      <c r="ADS526"/>
      <c r="ADT526"/>
      <c r="ADU526"/>
      <c r="ADV526"/>
      <c r="ADW526"/>
      <c r="ADX526"/>
      <c r="ADY526"/>
      <c r="ADZ526"/>
      <c r="AEA526"/>
      <c r="AEB526"/>
      <c r="AEC526"/>
      <c r="AED526"/>
      <c r="AEE526"/>
      <c r="AEF526"/>
      <c r="AEG526"/>
      <c r="AEH526"/>
      <c r="AEI526"/>
      <c r="AEJ526"/>
      <c r="AEK526"/>
      <c r="AEL526"/>
      <c r="AEM526"/>
      <c r="AEN526"/>
      <c r="AEO526"/>
      <c r="AEP526"/>
      <c r="AEQ526"/>
      <c r="AER526"/>
      <c r="AES526"/>
      <c r="AET526"/>
      <c r="AEU526"/>
      <c r="AEV526"/>
      <c r="AEW526"/>
      <c r="AEX526"/>
      <c r="AEY526"/>
      <c r="AEZ526"/>
      <c r="AFA526"/>
      <c r="AFB526"/>
      <c r="AFC526"/>
      <c r="AFD526"/>
      <c r="AFE526"/>
      <c r="AFF526"/>
      <c r="AFG526"/>
      <c r="AFH526"/>
      <c r="AFI526"/>
      <c r="AFJ526"/>
      <c r="AFK526"/>
      <c r="AFL526"/>
      <c r="AFM526"/>
      <c r="AFN526"/>
      <c r="AFO526"/>
      <c r="AFP526"/>
      <c r="AFQ526"/>
      <c r="AFR526"/>
      <c r="AFS526"/>
      <c r="AFT526"/>
      <c r="AFU526"/>
      <c r="AFV526"/>
      <c r="AFW526"/>
      <c r="AFX526"/>
      <c r="AFY526"/>
      <c r="AFZ526"/>
      <c r="AGA526"/>
      <c r="AGB526"/>
      <c r="AGC526"/>
      <c r="AGD526"/>
      <c r="AGE526"/>
      <c r="AGF526"/>
      <c r="AGG526"/>
      <c r="AGH526"/>
      <c r="AGI526"/>
      <c r="AGJ526"/>
      <c r="AGK526"/>
      <c r="AGL526"/>
      <c r="AGM526"/>
      <c r="AGN526"/>
      <c r="AGO526"/>
      <c r="AGP526"/>
      <c r="AGQ526"/>
      <c r="AGR526"/>
      <c r="AGS526"/>
      <c r="AGT526"/>
      <c r="AGU526"/>
      <c r="AGV526"/>
      <c r="AGW526"/>
      <c r="AGX526"/>
      <c r="AGY526"/>
      <c r="AGZ526"/>
      <c r="AHA526"/>
      <c r="AHB526"/>
      <c r="AHC526"/>
      <c r="AHD526"/>
      <c r="AHE526"/>
      <c r="AHF526"/>
      <c r="AHG526"/>
      <c r="AHH526"/>
      <c r="AHI526"/>
      <c r="AHJ526"/>
      <c r="AHK526"/>
      <c r="AHL526"/>
      <c r="AHM526"/>
      <c r="AHN526"/>
      <c r="AHO526"/>
      <c r="AHP526"/>
      <c r="AHQ526"/>
      <c r="AHR526"/>
      <c r="AHS526"/>
      <c r="AHT526"/>
      <c r="AHU526"/>
      <c r="AHV526"/>
      <c r="AHW526"/>
      <c r="AHX526"/>
      <c r="AHY526"/>
      <c r="AHZ526"/>
      <c r="AIA526"/>
      <c r="AIB526"/>
      <c r="AIC526"/>
      <c r="AID526"/>
      <c r="AIE526"/>
      <c r="AIF526"/>
      <c r="AIG526"/>
      <c r="AIH526"/>
      <c r="AII526"/>
      <c r="AIJ526"/>
      <c r="AIK526"/>
      <c r="AIL526"/>
      <c r="AIM526"/>
      <c r="AIN526"/>
      <c r="AIO526"/>
      <c r="AIP526"/>
      <c r="AIQ526"/>
      <c r="AIR526"/>
      <c r="AIS526"/>
      <c r="AIT526"/>
      <c r="AIU526"/>
      <c r="AIV526"/>
      <c r="AIW526"/>
      <c r="AIX526"/>
      <c r="AIY526"/>
      <c r="AIZ526"/>
      <c r="AJA526"/>
      <c r="AJB526"/>
      <c r="AJC526"/>
      <c r="AJD526"/>
      <c r="AJE526"/>
      <c r="AJF526"/>
      <c r="AJG526"/>
      <c r="AJH526"/>
      <c r="AJI526"/>
      <c r="AJJ526"/>
      <c r="AJK526"/>
      <c r="AJL526"/>
      <c r="AJM526"/>
      <c r="AJN526"/>
      <c r="AJO526"/>
      <c r="AJP526"/>
      <c r="AJQ526"/>
      <c r="AJR526"/>
      <c r="AJS526"/>
      <c r="AJT526"/>
      <c r="AJU526"/>
      <c r="AJV526"/>
      <c r="AJW526"/>
      <c r="AJX526"/>
      <c r="AJY526"/>
      <c r="AJZ526"/>
      <c r="AKA526"/>
      <c r="AKB526"/>
      <c r="AKC526"/>
      <c r="AKD526"/>
      <c r="AKE526"/>
      <c r="AKF526"/>
      <c r="AKG526"/>
      <c r="AKH526"/>
      <c r="AKI526"/>
      <c r="AKJ526"/>
      <c r="AKK526"/>
      <c r="AKL526"/>
      <c r="AKM526"/>
      <c r="AKN526"/>
      <c r="AKO526"/>
      <c r="AKP526"/>
      <c r="AKQ526"/>
      <c r="AKR526"/>
      <c r="AKS526"/>
      <c r="AKT526"/>
      <c r="AKU526"/>
      <c r="AKV526"/>
      <c r="AKW526"/>
      <c r="AKX526"/>
      <c r="AKY526"/>
    </row>
    <row r="527" spans="1:987">
      <c r="A527" s="293" t="s">
        <v>1429</v>
      </c>
      <c r="B527" s="305"/>
      <c r="C527" s="306"/>
      <c r="D527" s="306" t="s">
        <v>1431</v>
      </c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/>
      <c r="AIP527"/>
      <c r="AIQ527"/>
      <c r="AIR527"/>
      <c r="AIS527"/>
      <c r="AIT527"/>
      <c r="AIU527"/>
      <c r="AIV527"/>
      <c r="AIW527"/>
      <c r="AIX527"/>
      <c r="AIY527"/>
      <c r="AIZ527"/>
      <c r="AJA527"/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/>
      <c r="AJZ527"/>
      <c r="AKA527"/>
      <c r="AKB527"/>
      <c r="AKC527"/>
      <c r="AKD527"/>
      <c r="AKE527"/>
      <c r="AKF527"/>
      <c r="AKG527"/>
      <c r="AKH527"/>
      <c r="AKI527"/>
      <c r="AKJ527"/>
      <c r="AKK527"/>
      <c r="AKL527"/>
      <c r="AKM527"/>
      <c r="AKN527"/>
      <c r="AKO527"/>
      <c r="AKP527"/>
      <c r="AKQ527"/>
      <c r="AKR527"/>
      <c r="AKS527"/>
      <c r="AKT527"/>
      <c r="AKU527"/>
      <c r="AKV527"/>
      <c r="AKW527"/>
      <c r="AKX527"/>
      <c r="AKY527"/>
    </row>
    <row r="528" spans="1:987">
      <c r="A528" s="293" t="s">
        <v>1432</v>
      </c>
      <c r="B528" s="305">
        <v>3087</v>
      </c>
      <c r="C528" s="306">
        <v>4080</v>
      </c>
      <c r="D528" s="306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  <c r="ZW528"/>
      <c r="ZX528"/>
      <c r="ZY528"/>
      <c r="ZZ528"/>
      <c r="AAA528"/>
      <c r="AAB528"/>
      <c r="AAC528"/>
      <c r="AAD528"/>
      <c r="AAE528"/>
      <c r="AAF528"/>
      <c r="AAG528"/>
      <c r="AAH528"/>
      <c r="AAI528"/>
      <c r="AAJ528"/>
      <c r="AAK528"/>
      <c r="AAL528"/>
      <c r="AAM528"/>
      <c r="AAN528"/>
      <c r="AAO528"/>
      <c r="AAP528"/>
      <c r="AAQ528"/>
      <c r="AAR528"/>
      <c r="AAS528"/>
      <c r="AAT528"/>
      <c r="AAU528"/>
      <c r="AAV528"/>
      <c r="AAW528"/>
      <c r="AAX528"/>
      <c r="AAY528"/>
      <c r="AAZ528"/>
      <c r="ABA528"/>
      <c r="ABB528"/>
      <c r="ABC528"/>
      <c r="ABD528"/>
      <c r="ABE528"/>
      <c r="ABF528"/>
      <c r="ABG528"/>
      <c r="ABH528"/>
      <c r="ABI528"/>
      <c r="ABJ528"/>
      <c r="ABK528"/>
      <c r="ABL528"/>
      <c r="ABM528"/>
      <c r="ABN528"/>
      <c r="ABO528"/>
      <c r="ABP528"/>
      <c r="ABQ528"/>
      <c r="ABR528"/>
      <c r="ABS528"/>
      <c r="ABT528"/>
      <c r="ABU528"/>
      <c r="ABV528"/>
      <c r="ABW528"/>
      <c r="ABX528"/>
      <c r="ABY528"/>
      <c r="ABZ528"/>
      <c r="ACA528"/>
      <c r="ACB528"/>
      <c r="ACC528"/>
      <c r="ACD528"/>
      <c r="ACE528"/>
      <c r="ACF528"/>
      <c r="ACG528"/>
      <c r="ACH528"/>
      <c r="ACI528"/>
      <c r="ACJ528"/>
      <c r="ACK528"/>
      <c r="ACL528"/>
      <c r="ACM528"/>
      <c r="ACN528"/>
      <c r="ACO528"/>
      <c r="ACP528"/>
      <c r="ACQ528"/>
      <c r="ACR528"/>
      <c r="ACS528"/>
      <c r="ACT528"/>
      <c r="ACU528"/>
      <c r="ACV528"/>
      <c r="ACW528"/>
      <c r="ACX528"/>
      <c r="ACY528"/>
      <c r="ACZ528"/>
      <c r="ADA528"/>
      <c r="ADB528"/>
      <c r="ADC528"/>
      <c r="ADD528"/>
      <c r="ADE528"/>
      <c r="ADF528"/>
      <c r="ADG528"/>
      <c r="ADH528"/>
      <c r="ADI528"/>
      <c r="ADJ528"/>
      <c r="ADK528"/>
      <c r="ADL528"/>
      <c r="ADM528"/>
      <c r="ADN528"/>
      <c r="ADO528"/>
      <c r="ADP528"/>
      <c r="ADQ528"/>
      <c r="ADR528"/>
      <c r="ADS528"/>
      <c r="ADT528"/>
      <c r="ADU528"/>
      <c r="ADV528"/>
      <c r="ADW528"/>
      <c r="ADX528"/>
      <c r="ADY528"/>
      <c r="ADZ528"/>
      <c r="AEA528"/>
      <c r="AEB528"/>
      <c r="AEC528"/>
      <c r="AED528"/>
      <c r="AEE528"/>
      <c r="AEF528"/>
      <c r="AEG528"/>
      <c r="AEH528"/>
      <c r="AEI528"/>
      <c r="AEJ528"/>
      <c r="AEK528"/>
      <c r="AEL528"/>
      <c r="AEM528"/>
      <c r="AEN528"/>
      <c r="AEO528"/>
      <c r="AEP528"/>
      <c r="AEQ528"/>
      <c r="AER528"/>
      <c r="AES528"/>
      <c r="AET528"/>
      <c r="AEU528"/>
      <c r="AEV528"/>
      <c r="AEW528"/>
      <c r="AEX528"/>
      <c r="AEY528"/>
      <c r="AEZ528"/>
      <c r="AFA528"/>
      <c r="AFB528"/>
      <c r="AFC528"/>
      <c r="AFD528"/>
      <c r="AFE528"/>
      <c r="AFF528"/>
      <c r="AFG528"/>
      <c r="AFH528"/>
      <c r="AFI528"/>
      <c r="AFJ528"/>
      <c r="AFK528"/>
      <c r="AFL528"/>
      <c r="AFM528"/>
      <c r="AFN528"/>
      <c r="AFO528"/>
      <c r="AFP528"/>
      <c r="AFQ528"/>
      <c r="AFR528"/>
      <c r="AFS528"/>
      <c r="AFT528"/>
      <c r="AFU528"/>
      <c r="AFV528"/>
      <c r="AFW528"/>
      <c r="AFX528"/>
      <c r="AFY528"/>
      <c r="AFZ528"/>
      <c r="AGA528"/>
      <c r="AGB528"/>
      <c r="AGC528"/>
      <c r="AGD528"/>
      <c r="AGE528"/>
      <c r="AGF528"/>
      <c r="AGG528"/>
      <c r="AGH528"/>
      <c r="AGI528"/>
      <c r="AGJ528"/>
      <c r="AGK528"/>
      <c r="AGL528"/>
      <c r="AGM528"/>
      <c r="AGN528"/>
      <c r="AGO528"/>
      <c r="AGP528"/>
      <c r="AGQ528"/>
      <c r="AGR528"/>
      <c r="AGS528"/>
      <c r="AGT528"/>
      <c r="AGU528"/>
      <c r="AGV528"/>
      <c r="AGW528"/>
      <c r="AGX528"/>
      <c r="AGY528"/>
      <c r="AGZ528"/>
      <c r="AHA528"/>
      <c r="AHB528"/>
      <c r="AHC528"/>
      <c r="AHD528"/>
      <c r="AHE528"/>
      <c r="AHF528"/>
      <c r="AHG528"/>
      <c r="AHH528"/>
      <c r="AHI528"/>
      <c r="AHJ528"/>
      <c r="AHK528"/>
      <c r="AHL528"/>
      <c r="AHM528"/>
      <c r="AHN528"/>
      <c r="AHO528"/>
      <c r="AHP528"/>
      <c r="AHQ528"/>
      <c r="AHR528"/>
      <c r="AHS528"/>
      <c r="AHT528"/>
      <c r="AHU528"/>
      <c r="AHV528"/>
      <c r="AHW528"/>
      <c r="AHX528"/>
      <c r="AHY528"/>
      <c r="AHZ528"/>
      <c r="AIA528"/>
      <c r="AIB528"/>
      <c r="AIC528"/>
      <c r="AID528"/>
      <c r="AIE528"/>
      <c r="AIF528"/>
      <c r="AIG528"/>
      <c r="AIH528"/>
      <c r="AII528"/>
      <c r="AIJ528"/>
      <c r="AIK528"/>
      <c r="AIL528"/>
      <c r="AIM528"/>
      <c r="AIN528"/>
      <c r="AIO528"/>
      <c r="AIP528"/>
      <c r="AIQ528"/>
      <c r="AIR528"/>
      <c r="AIS528"/>
      <c r="AIT528"/>
      <c r="AIU528"/>
      <c r="AIV528"/>
      <c r="AIW528"/>
      <c r="AIX528"/>
      <c r="AIY528"/>
      <c r="AIZ528"/>
      <c r="AJA528"/>
      <c r="AJB528"/>
      <c r="AJC528"/>
      <c r="AJD528"/>
      <c r="AJE528"/>
      <c r="AJF528"/>
      <c r="AJG528"/>
      <c r="AJH528"/>
      <c r="AJI528"/>
      <c r="AJJ528"/>
      <c r="AJK528"/>
      <c r="AJL528"/>
      <c r="AJM528"/>
      <c r="AJN528"/>
      <c r="AJO528"/>
      <c r="AJP528"/>
      <c r="AJQ528"/>
      <c r="AJR528"/>
      <c r="AJS528"/>
      <c r="AJT528"/>
      <c r="AJU528"/>
      <c r="AJV528"/>
      <c r="AJW528"/>
      <c r="AJX528"/>
      <c r="AJY528"/>
      <c r="AJZ528"/>
      <c r="AKA528"/>
      <c r="AKB528"/>
      <c r="AKC528"/>
      <c r="AKD528"/>
      <c r="AKE528"/>
      <c r="AKF528"/>
      <c r="AKG528"/>
      <c r="AKH528"/>
      <c r="AKI528"/>
      <c r="AKJ528"/>
      <c r="AKK528"/>
      <c r="AKL528"/>
      <c r="AKM528"/>
      <c r="AKN528"/>
      <c r="AKO528"/>
      <c r="AKP528"/>
      <c r="AKQ528"/>
      <c r="AKR528"/>
      <c r="AKS528"/>
      <c r="AKT528"/>
      <c r="AKU528"/>
      <c r="AKV528"/>
      <c r="AKW528"/>
      <c r="AKX528"/>
      <c r="AKY528"/>
    </row>
    <row r="529" spans="1:987">
      <c r="A529" s="169" t="s">
        <v>1434</v>
      </c>
      <c r="B529" s="165">
        <v>2910</v>
      </c>
      <c r="C529" s="166">
        <v>4080</v>
      </c>
      <c r="D529" s="166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/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/>
      <c r="ABO529"/>
      <c r="ABP529"/>
      <c r="ABQ529"/>
      <c r="ABR529"/>
      <c r="ABS529"/>
      <c r="ABT529"/>
      <c r="ABU529"/>
      <c r="ABV529"/>
      <c r="ABW529"/>
      <c r="ABX529"/>
      <c r="ABY529"/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/>
      <c r="ACY529"/>
      <c r="ACZ529"/>
      <c r="ADA529"/>
      <c r="ADB529"/>
      <c r="ADC529"/>
      <c r="ADD529"/>
      <c r="ADE529"/>
      <c r="ADF529"/>
      <c r="ADG529"/>
      <c r="ADH529"/>
      <c r="ADI529"/>
      <c r="ADJ529"/>
      <c r="ADK529"/>
      <c r="ADL529"/>
      <c r="ADM529"/>
      <c r="ADN529"/>
      <c r="ADO529"/>
      <c r="ADP529"/>
      <c r="ADQ529"/>
      <c r="ADR529"/>
      <c r="ADS529"/>
      <c r="ADT529"/>
      <c r="ADU529"/>
      <c r="ADV529"/>
      <c r="ADW529"/>
      <c r="ADX529"/>
      <c r="ADY529"/>
      <c r="ADZ529"/>
      <c r="AEA529"/>
      <c r="AEB529"/>
      <c r="AEC529"/>
      <c r="AED529"/>
      <c r="AEE529"/>
      <c r="AEF529"/>
      <c r="AEG529"/>
      <c r="AEH529"/>
      <c r="AEI529"/>
      <c r="AEJ529"/>
      <c r="AEK529"/>
      <c r="AEL529"/>
      <c r="AEM529"/>
      <c r="AEN529"/>
      <c r="AEO529"/>
      <c r="AEP529"/>
      <c r="AEQ529"/>
      <c r="AER529"/>
      <c r="AES529"/>
      <c r="AET529"/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/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/>
      <c r="AIM529"/>
      <c r="AIN529"/>
      <c r="AIO529"/>
      <c r="AIP529"/>
      <c r="AIQ529"/>
      <c r="AIR529"/>
      <c r="AIS529"/>
      <c r="AIT529"/>
      <c r="AIU529"/>
      <c r="AIV529"/>
      <c r="AIW529"/>
      <c r="AIX529"/>
      <c r="AIY529"/>
      <c r="AIZ529"/>
      <c r="AJA529"/>
      <c r="AJB529"/>
      <c r="AJC529"/>
      <c r="AJD529"/>
      <c r="AJE529"/>
      <c r="AJF529"/>
      <c r="AJG529"/>
      <c r="AJH529"/>
      <c r="AJI529"/>
      <c r="AJJ529"/>
      <c r="AJK529"/>
      <c r="AJL529"/>
      <c r="AJM529"/>
      <c r="AJN529"/>
      <c r="AJO529"/>
      <c r="AJP529"/>
      <c r="AJQ529"/>
      <c r="AJR529"/>
      <c r="AJS529"/>
      <c r="AJT529"/>
      <c r="AJU529"/>
      <c r="AJV529"/>
      <c r="AJW529"/>
      <c r="AJX529"/>
      <c r="AJY529"/>
      <c r="AJZ529"/>
      <c r="AKA529"/>
      <c r="AKB529"/>
      <c r="AKC529"/>
      <c r="AKD529"/>
      <c r="AKE529"/>
      <c r="AKF529"/>
      <c r="AKG529"/>
      <c r="AKH529"/>
      <c r="AKI529"/>
      <c r="AKJ529"/>
      <c r="AKK529"/>
      <c r="AKL529"/>
      <c r="AKM529"/>
      <c r="AKN529"/>
      <c r="AKO529"/>
      <c r="AKP529"/>
      <c r="AKQ529"/>
      <c r="AKR529"/>
      <c r="AKS529"/>
      <c r="AKT529"/>
      <c r="AKU529"/>
      <c r="AKV529"/>
      <c r="AKW529"/>
      <c r="AKX529"/>
      <c r="AKY529"/>
    </row>
    <row r="530" spans="1:987">
      <c r="A530" s="169" t="s">
        <v>324</v>
      </c>
      <c r="B530" s="165">
        <v>2779</v>
      </c>
      <c r="C530" s="166">
        <v>4080</v>
      </c>
      <c r="D530" s="166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/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/>
      <c r="AJN530"/>
      <c r="AJO530"/>
      <c r="AJP530"/>
      <c r="AJQ530"/>
      <c r="AJR530"/>
      <c r="AJS530"/>
      <c r="AJT530"/>
      <c r="AJU530"/>
      <c r="AJV530"/>
      <c r="AJW530"/>
      <c r="AJX530"/>
      <c r="AJY530"/>
      <c r="AJZ530"/>
      <c r="AKA530"/>
      <c r="AKB530"/>
      <c r="AKC530"/>
      <c r="AKD530"/>
      <c r="AKE530"/>
      <c r="AKF530"/>
      <c r="AKG530"/>
      <c r="AKH530"/>
      <c r="AKI530"/>
      <c r="AKJ530"/>
      <c r="AKK530"/>
      <c r="AKL530"/>
      <c r="AKM530"/>
      <c r="AKN530"/>
      <c r="AKO530"/>
      <c r="AKP530"/>
      <c r="AKQ530"/>
      <c r="AKR530"/>
      <c r="AKS530"/>
      <c r="AKT530"/>
      <c r="AKU530"/>
      <c r="AKV530"/>
      <c r="AKW530"/>
      <c r="AKX530"/>
      <c r="AKY530"/>
    </row>
    <row r="531" spans="1:987">
      <c r="A531" s="169" t="s">
        <v>1438</v>
      </c>
      <c r="B531" s="165">
        <v>3215</v>
      </c>
      <c r="C531" s="166">
        <v>4080</v>
      </c>
      <c r="D531" s="166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  <c r="ZW531"/>
      <c r="ZX531"/>
      <c r="ZY531"/>
      <c r="ZZ531"/>
      <c r="AAA531"/>
      <c r="AAB531"/>
      <c r="AAC531"/>
      <c r="AAD531"/>
      <c r="AAE531"/>
      <c r="AAF531"/>
      <c r="AAG531"/>
      <c r="AAH531"/>
      <c r="AAI531"/>
      <c r="AAJ531"/>
      <c r="AAK531"/>
      <c r="AAL531"/>
      <c r="AAM531"/>
      <c r="AAN531"/>
      <c r="AAO531"/>
      <c r="AAP531"/>
      <c r="AAQ531"/>
      <c r="AAR531"/>
      <c r="AAS531"/>
      <c r="AAT531"/>
      <c r="AAU531"/>
      <c r="AAV531"/>
      <c r="AAW531"/>
      <c r="AAX531"/>
      <c r="AAY531"/>
      <c r="AAZ531"/>
      <c r="ABA531"/>
      <c r="ABB531"/>
      <c r="ABC531"/>
      <c r="ABD531"/>
      <c r="ABE531"/>
      <c r="ABF531"/>
      <c r="ABG531"/>
      <c r="ABH531"/>
      <c r="ABI531"/>
      <c r="ABJ531"/>
      <c r="ABK531"/>
      <c r="ABL531"/>
      <c r="ABM531"/>
      <c r="ABN531"/>
      <c r="ABO531"/>
      <c r="ABP531"/>
      <c r="ABQ531"/>
      <c r="ABR531"/>
      <c r="ABS531"/>
      <c r="ABT531"/>
      <c r="ABU531"/>
      <c r="ABV531"/>
      <c r="ABW531"/>
      <c r="ABX531"/>
      <c r="ABY531"/>
      <c r="ABZ531"/>
      <c r="ACA531"/>
      <c r="ACB531"/>
      <c r="ACC531"/>
      <c r="ACD531"/>
      <c r="ACE531"/>
      <c r="ACF531"/>
      <c r="ACG531"/>
      <c r="ACH531"/>
      <c r="ACI531"/>
      <c r="ACJ531"/>
      <c r="ACK531"/>
      <c r="ACL531"/>
      <c r="ACM531"/>
      <c r="ACN531"/>
      <c r="ACO531"/>
      <c r="ACP531"/>
      <c r="ACQ531"/>
      <c r="ACR531"/>
      <c r="ACS531"/>
      <c r="ACT531"/>
      <c r="ACU531"/>
      <c r="ACV531"/>
      <c r="ACW531"/>
      <c r="ACX531"/>
      <c r="ACY531"/>
      <c r="ACZ531"/>
      <c r="ADA531"/>
      <c r="ADB531"/>
      <c r="ADC531"/>
      <c r="ADD531"/>
      <c r="ADE531"/>
      <c r="ADF531"/>
      <c r="ADG531"/>
      <c r="ADH531"/>
      <c r="ADI531"/>
      <c r="ADJ531"/>
      <c r="ADK531"/>
      <c r="ADL531"/>
      <c r="ADM531"/>
      <c r="ADN531"/>
      <c r="ADO531"/>
      <c r="ADP531"/>
      <c r="ADQ531"/>
      <c r="ADR531"/>
      <c r="ADS531"/>
      <c r="ADT531"/>
      <c r="ADU531"/>
      <c r="ADV531"/>
      <c r="ADW531"/>
      <c r="ADX531"/>
      <c r="ADY531"/>
      <c r="ADZ531"/>
      <c r="AEA531"/>
      <c r="AEB531"/>
      <c r="AEC531"/>
      <c r="AED531"/>
      <c r="AEE531"/>
      <c r="AEF531"/>
      <c r="AEG531"/>
      <c r="AEH531"/>
      <c r="AEI531"/>
      <c r="AEJ531"/>
      <c r="AEK531"/>
      <c r="AEL531"/>
      <c r="AEM531"/>
      <c r="AEN531"/>
      <c r="AEO531"/>
      <c r="AEP531"/>
      <c r="AEQ531"/>
      <c r="AER531"/>
      <c r="AES531"/>
      <c r="AET531"/>
      <c r="AEU531"/>
      <c r="AEV531"/>
      <c r="AEW531"/>
      <c r="AEX531"/>
      <c r="AEY531"/>
      <c r="AEZ531"/>
      <c r="AFA531"/>
      <c r="AFB531"/>
      <c r="AFC531"/>
      <c r="AFD531"/>
      <c r="AFE531"/>
      <c r="AFF531"/>
      <c r="AFG531"/>
      <c r="AFH531"/>
      <c r="AFI531"/>
      <c r="AFJ531"/>
      <c r="AFK531"/>
      <c r="AFL531"/>
      <c r="AFM531"/>
      <c r="AFN531"/>
      <c r="AFO531"/>
      <c r="AFP531"/>
      <c r="AFQ531"/>
      <c r="AFR531"/>
      <c r="AFS531"/>
      <c r="AFT531"/>
      <c r="AFU531"/>
      <c r="AFV531"/>
      <c r="AFW531"/>
      <c r="AFX531"/>
      <c r="AFY531"/>
      <c r="AFZ531"/>
      <c r="AGA531"/>
      <c r="AGB531"/>
      <c r="AGC531"/>
      <c r="AGD531"/>
      <c r="AGE531"/>
      <c r="AGF531"/>
      <c r="AGG531"/>
      <c r="AGH531"/>
      <c r="AGI531"/>
      <c r="AGJ531"/>
      <c r="AGK531"/>
      <c r="AGL531"/>
      <c r="AGM531"/>
      <c r="AGN531"/>
      <c r="AGO531"/>
      <c r="AGP531"/>
      <c r="AGQ531"/>
      <c r="AGR531"/>
      <c r="AGS531"/>
      <c r="AGT531"/>
      <c r="AGU531"/>
      <c r="AGV531"/>
      <c r="AGW531"/>
      <c r="AGX531"/>
      <c r="AGY531"/>
      <c r="AGZ531"/>
      <c r="AHA531"/>
      <c r="AHB531"/>
      <c r="AHC531"/>
      <c r="AHD531"/>
      <c r="AHE531"/>
      <c r="AHF531"/>
      <c r="AHG531"/>
      <c r="AHH531"/>
      <c r="AHI531"/>
      <c r="AHJ531"/>
      <c r="AHK531"/>
      <c r="AHL531"/>
      <c r="AHM531"/>
      <c r="AHN531"/>
      <c r="AHO531"/>
      <c r="AHP531"/>
      <c r="AHQ531"/>
      <c r="AHR531"/>
      <c r="AHS531"/>
      <c r="AHT531"/>
      <c r="AHU531"/>
      <c r="AHV531"/>
      <c r="AHW531"/>
      <c r="AHX531"/>
      <c r="AHY531"/>
      <c r="AHZ531"/>
      <c r="AIA531"/>
      <c r="AIB531"/>
      <c r="AIC531"/>
      <c r="AID531"/>
      <c r="AIE531"/>
      <c r="AIF531"/>
      <c r="AIG531"/>
      <c r="AIH531"/>
      <c r="AII531"/>
      <c r="AIJ531"/>
      <c r="AIK531"/>
      <c r="AIL531"/>
      <c r="AIM531"/>
      <c r="AIN531"/>
      <c r="AIO531"/>
      <c r="AIP531"/>
      <c r="AIQ531"/>
      <c r="AIR531"/>
      <c r="AIS531"/>
      <c r="AIT531"/>
      <c r="AIU531"/>
      <c r="AIV531"/>
      <c r="AIW531"/>
      <c r="AIX531"/>
      <c r="AIY531"/>
      <c r="AIZ531"/>
      <c r="AJA531"/>
      <c r="AJB531"/>
      <c r="AJC531"/>
      <c r="AJD531"/>
      <c r="AJE531"/>
      <c r="AJF531"/>
      <c r="AJG531"/>
      <c r="AJH531"/>
      <c r="AJI531"/>
      <c r="AJJ531"/>
      <c r="AJK531"/>
      <c r="AJL531"/>
      <c r="AJM531"/>
      <c r="AJN531"/>
      <c r="AJO531"/>
      <c r="AJP531"/>
      <c r="AJQ531"/>
      <c r="AJR531"/>
      <c r="AJS531"/>
      <c r="AJT531"/>
      <c r="AJU531"/>
      <c r="AJV531"/>
      <c r="AJW531"/>
      <c r="AJX531"/>
      <c r="AJY531"/>
      <c r="AJZ531"/>
      <c r="AKA531"/>
      <c r="AKB531"/>
      <c r="AKC531"/>
      <c r="AKD531"/>
      <c r="AKE531"/>
      <c r="AKF531"/>
      <c r="AKG531"/>
      <c r="AKH531"/>
      <c r="AKI531"/>
      <c r="AKJ531"/>
      <c r="AKK531"/>
      <c r="AKL531"/>
      <c r="AKM531"/>
      <c r="AKN531"/>
      <c r="AKO531"/>
      <c r="AKP531"/>
      <c r="AKQ531"/>
      <c r="AKR531"/>
      <c r="AKS531"/>
      <c r="AKT531"/>
      <c r="AKU531"/>
      <c r="AKV531"/>
      <c r="AKW531"/>
      <c r="AKX531"/>
      <c r="AKY531"/>
    </row>
    <row r="532" spans="1:987">
      <c r="A532" s="169" t="s">
        <v>1440</v>
      </c>
      <c r="B532" s="165"/>
      <c r="C532" s="166"/>
      <c r="D532" s="166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  <c r="AKX532"/>
      <c r="AKY532"/>
    </row>
    <row r="533" spans="1:987" ht="30">
      <c r="A533" s="169" t="s">
        <v>1444</v>
      </c>
      <c r="B533" s="165">
        <v>2903</v>
      </c>
      <c r="C533" s="166">
        <v>4008</v>
      </c>
      <c r="D533" s="166" t="s">
        <v>2045</v>
      </c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  <c r="ZW533"/>
      <c r="ZX533"/>
      <c r="ZY533"/>
      <c r="ZZ533"/>
      <c r="AAA533"/>
      <c r="AAB533"/>
      <c r="AAC533"/>
      <c r="AAD533"/>
      <c r="AAE533"/>
      <c r="AAF533"/>
      <c r="AAG533"/>
      <c r="AAH533"/>
      <c r="AAI533"/>
      <c r="AAJ533"/>
      <c r="AAK533"/>
      <c r="AAL533"/>
      <c r="AAM533"/>
      <c r="AAN533"/>
      <c r="AAO533"/>
      <c r="AAP533"/>
      <c r="AAQ533"/>
      <c r="AAR533"/>
      <c r="AAS533"/>
      <c r="AAT533"/>
      <c r="AAU533"/>
      <c r="AAV533"/>
      <c r="AAW533"/>
      <c r="AAX533"/>
      <c r="AAY533"/>
      <c r="AAZ533"/>
      <c r="ABA533"/>
      <c r="ABB533"/>
      <c r="ABC533"/>
      <c r="ABD533"/>
      <c r="ABE533"/>
      <c r="ABF533"/>
      <c r="ABG533"/>
      <c r="ABH533"/>
      <c r="ABI533"/>
      <c r="ABJ533"/>
      <c r="ABK533"/>
      <c r="ABL533"/>
      <c r="ABM533"/>
      <c r="ABN533"/>
      <c r="ABO533"/>
      <c r="ABP533"/>
      <c r="ABQ533"/>
      <c r="ABR533"/>
      <c r="ABS533"/>
      <c r="ABT533"/>
      <c r="ABU533"/>
      <c r="ABV533"/>
      <c r="ABW533"/>
      <c r="ABX533"/>
      <c r="ABY533"/>
      <c r="ABZ533"/>
      <c r="ACA533"/>
      <c r="ACB533"/>
      <c r="ACC533"/>
      <c r="ACD533"/>
      <c r="ACE533"/>
      <c r="ACF533"/>
      <c r="ACG533"/>
      <c r="ACH533"/>
      <c r="ACI533"/>
      <c r="ACJ533"/>
      <c r="ACK533"/>
      <c r="ACL533"/>
      <c r="ACM533"/>
      <c r="ACN533"/>
      <c r="ACO533"/>
      <c r="ACP533"/>
      <c r="ACQ533"/>
      <c r="ACR533"/>
      <c r="ACS533"/>
      <c r="ACT533"/>
      <c r="ACU533"/>
      <c r="ACV533"/>
      <c r="ACW533"/>
      <c r="ACX533"/>
      <c r="ACY533"/>
      <c r="ACZ533"/>
      <c r="ADA533"/>
      <c r="ADB533"/>
      <c r="ADC533"/>
      <c r="ADD533"/>
      <c r="ADE533"/>
      <c r="ADF533"/>
      <c r="ADG533"/>
      <c r="ADH533"/>
      <c r="ADI533"/>
      <c r="ADJ533"/>
      <c r="ADK533"/>
      <c r="ADL533"/>
      <c r="ADM533"/>
      <c r="ADN533"/>
      <c r="ADO533"/>
      <c r="ADP533"/>
      <c r="ADQ533"/>
      <c r="ADR533"/>
      <c r="ADS533"/>
      <c r="ADT533"/>
      <c r="ADU533"/>
      <c r="ADV533"/>
      <c r="ADW533"/>
      <c r="ADX533"/>
      <c r="ADY533"/>
      <c r="ADZ533"/>
      <c r="AEA533"/>
      <c r="AEB533"/>
      <c r="AEC533"/>
      <c r="AED533"/>
      <c r="AEE533"/>
      <c r="AEF533"/>
      <c r="AEG533"/>
      <c r="AEH533"/>
      <c r="AEI533"/>
      <c r="AEJ533"/>
      <c r="AEK533"/>
      <c r="AEL533"/>
      <c r="AEM533"/>
      <c r="AEN533"/>
      <c r="AEO533"/>
      <c r="AEP533"/>
      <c r="AEQ533"/>
      <c r="AER533"/>
      <c r="AES533"/>
      <c r="AET533"/>
      <c r="AEU533"/>
      <c r="AEV533"/>
      <c r="AEW533"/>
      <c r="AEX533"/>
      <c r="AEY533"/>
      <c r="AEZ533"/>
      <c r="AFA533"/>
      <c r="AFB533"/>
      <c r="AFC533"/>
      <c r="AFD533"/>
      <c r="AFE533"/>
      <c r="AFF533"/>
      <c r="AFG533"/>
      <c r="AFH533"/>
      <c r="AFI533"/>
      <c r="AFJ533"/>
      <c r="AFK533"/>
      <c r="AFL533"/>
      <c r="AFM533"/>
      <c r="AFN533"/>
      <c r="AFO533"/>
      <c r="AFP533"/>
      <c r="AFQ533"/>
      <c r="AFR533"/>
      <c r="AFS533"/>
      <c r="AFT533"/>
      <c r="AFU533"/>
      <c r="AFV533"/>
      <c r="AFW533"/>
      <c r="AFX533"/>
      <c r="AFY533"/>
      <c r="AFZ533"/>
      <c r="AGA533"/>
      <c r="AGB533"/>
      <c r="AGC533"/>
      <c r="AGD533"/>
      <c r="AGE533"/>
      <c r="AGF533"/>
      <c r="AGG533"/>
      <c r="AGH533"/>
      <c r="AGI533"/>
      <c r="AGJ533"/>
      <c r="AGK533"/>
      <c r="AGL533"/>
      <c r="AGM533"/>
      <c r="AGN533"/>
      <c r="AGO533"/>
      <c r="AGP533"/>
      <c r="AGQ533"/>
      <c r="AGR533"/>
      <c r="AGS533"/>
      <c r="AGT533"/>
      <c r="AGU533"/>
      <c r="AGV533"/>
      <c r="AGW533"/>
      <c r="AGX533"/>
      <c r="AGY533"/>
      <c r="AGZ533"/>
      <c r="AHA533"/>
      <c r="AHB533"/>
      <c r="AHC533"/>
      <c r="AHD533"/>
      <c r="AHE533"/>
      <c r="AHF533"/>
      <c r="AHG533"/>
      <c r="AHH533"/>
      <c r="AHI533"/>
      <c r="AHJ533"/>
      <c r="AHK533"/>
      <c r="AHL533"/>
      <c r="AHM533"/>
      <c r="AHN533"/>
      <c r="AHO533"/>
      <c r="AHP533"/>
      <c r="AHQ533"/>
      <c r="AHR533"/>
      <c r="AHS533"/>
      <c r="AHT533"/>
      <c r="AHU533"/>
      <c r="AHV533"/>
      <c r="AHW533"/>
      <c r="AHX533"/>
      <c r="AHY533"/>
      <c r="AHZ533"/>
      <c r="AIA533"/>
      <c r="AIB533"/>
      <c r="AIC533"/>
      <c r="AID533"/>
      <c r="AIE533"/>
      <c r="AIF533"/>
      <c r="AIG533"/>
      <c r="AIH533"/>
      <c r="AII533"/>
      <c r="AIJ533"/>
      <c r="AIK533"/>
      <c r="AIL533"/>
      <c r="AIM533"/>
      <c r="AIN533"/>
      <c r="AIO533"/>
      <c r="AIP533"/>
      <c r="AIQ533"/>
      <c r="AIR533"/>
      <c r="AIS533"/>
      <c r="AIT533"/>
      <c r="AIU533"/>
      <c r="AIV533"/>
      <c r="AIW533"/>
      <c r="AIX533"/>
      <c r="AIY533"/>
      <c r="AIZ533"/>
      <c r="AJA533"/>
      <c r="AJB533"/>
      <c r="AJC533"/>
      <c r="AJD533"/>
      <c r="AJE533"/>
      <c r="AJF533"/>
      <c r="AJG533"/>
      <c r="AJH533"/>
      <c r="AJI533"/>
      <c r="AJJ533"/>
      <c r="AJK533"/>
      <c r="AJL533"/>
      <c r="AJM533"/>
      <c r="AJN533"/>
      <c r="AJO533"/>
      <c r="AJP533"/>
      <c r="AJQ533"/>
      <c r="AJR533"/>
      <c r="AJS533"/>
      <c r="AJT533"/>
      <c r="AJU533"/>
      <c r="AJV533"/>
      <c r="AJW533"/>
      <c r="AJX533"/>
      <c r="AJY533"/>
      <c r="AJZ533"/>
      <c r="AKA533"/>
      <c r="AKB533"/>
      <c r="AKC533"/>
      <c r="AKD533"/>
      <c r="AKE533"/>
      <c r="AKF533"/>
      <c r="AKG533"/>
      <c r="AKH533"/>
      <c r="AKI533"/>
      <c r="AKJ533"/>
      <c r="AKK533"/>
      <c r="AKL533"/>
      <c r="AKM533"/>
      <c r="AKN533"/>
      <c r="AKO533"/>
      <c r="AKP533"/>
      <c r="AKQ533"/>
      <c r="AKR533"/>
      <c r="AKS533"/>
      <c r="AKT533"/>
      <c r="AKU533"/>
      <c r="AKV533"/>
      <c r="AKW533"/>
      <c r="AKX533"/>
      <c r="AKY533"/>
    </row>
    <row r="534" spans="1:987">
      <c r="A534" s="169" t="s">
        <v>1446</v>
      </c>
      <c r="B534" s="165">
        <v>3008</v>
      </c>
      <c r="C534" s="166">
        <v>4080</v>
      </c>
      <c r="D534" s="166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/>
      <c r="ADK534"/>
      <c r="ADL534"/>
      <c r="ADM534"/>
      <c r="ADN534"/>
      <c r="ADO534"/>
      <c r="ADP534"/>
      <c r="ADQ534"/>
      <c r="ADR534"/>
      <c r="ADS534"/>
      <c r="ADT534"/>
      <c r="ADU534"/>
      <c r="ADV534"/>
      <c r="ADW534"/>
      <c r="ADX534"/>
      <c r="ADY534"/>
      <c r="ADZ534"/>
      <c r="AEA534"/>
      <c r="AEB534"/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/>
      <c r="AEU534"/>
      <c r="AEV534"/>
      <c r="AEW534"/>
      <c r="AEX534"/>
      <c r="AEY534"/>
      <c r="AEZ534"/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/>
      <c r="AJE534"/>
      <c r="AJF534"/>
      <c r="AJG534"/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/>
      <c r="AJZ534"/>
      <c r="AKA534"/>
      <c r="AKB534"/>
      <c r="AKC534"/>
      <c r="AKD534"/>
      <c r="AKE534"/>
      <c r="AKF534"/>
      <c r="AKG534"/>
      <c r="AKH534"/>
      <c r="AKI534"/>
      <c r="AKJ534"/>
      <c r="AKK534"/>
      <c r="AKL534"/>
      <c r="AKM534"/>
      <c r="AKN534"/>
      <c r="AKO534"/>
      <c r="AKP534"/>
      <c r="AKQ534"/>
      <c r="AKR534"/>
      <c r="AKS534"/>
      <c r="AKT534"/>
      <c r="AKU534"/>
      <c r="AKV534"/>
      <c r="AKW534"/>
      <c r="AKX534"/>
      <c r="AKY534"/>
    </row>
    <row r="535" spans="1:987">
      <c r="A535" s="169" t="s">
        <v>1449</v>
      </c>
      <c r="B535" s="165">
        <v>3163</v>
      </c>
      <c r="C535" s="166">
        <v>4080</v>
      </c>
      <c r="D535" s="166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  <c r="ZY535"/>
      <c r="ZZ535"/>
      <c r="AAA535"/>
      <c r="AAB535"/>
      <c r="AAC535"/>
      <c r="AAD535"/>
      <c r="AAE535"/>
      <c r="AAF535"/>
      <c r="AAG535"/>
      <c r="AAH535"/>
      <c r="AAI535"/>
      <c r="AAJ535"/>
      <c r="AAK535"/>
      <c r="AAL535"/>
      <c r="AAM535"/>
      <c r="AAN535"/>
      <c r="AAO535"/>
      <c r="AAP535"/>
      <c r="AAQ535"/>
      <c r="AAR535"/>
      <c r="AAS535"/>
      <c r="AAT535"/>
      <c r="AAU535"/>
      <c r="AAV535"/>
      <c r="AAW535"/>
      <c r="AAX535"/>
      <c r="AAY535"/>
      <c r="AAZ535"/>
      <c r="ABA535"/>
      <c r="ABB535"/>
      <c r="ABC535"/>
      <c r="ABD535"/>
      <c r="ABE535"/>
      <c r="ABF535"/>
      <c r="ABG535"/>
      <c r="ABH535"/>
      <c r="ABI535"/>
      <c r="ABJ535"/>
      <c r="ABK535"/>
      <c r="ABL535"/>
      <c r="ABM535"/>
      <c r="ABN535"/>
      <c r="ABO535"/>
      <c r="ABP535"/>
      <c r="ABQ535"/>
      <c r="ABR535"/>
      <c r="ABS535"/>
      <c r="ABT535"/>
      <c r="ABU535"/>
      <c r="ABV535"/>
      <c r="ABW535"/>
      <c r="ABX535"/>
      <c r="ABY535"/>
      <c r="ABZ535"/>
      <c r="ACA535"/>
      <c r="ACB535"/>
      <c r="ACC535"/>
      <c r="ACD535"/>
      <c r="ACE535"/>
      <c r="ACF535"/>
      <c r="ACG535"/>
      <c r="ACH535"/>
      <c r="ACI535"/>
      <c r="ACJ535"/>
      <c r="ACK535"/>
      <c r="ACL535"/>
      <c r="ACM535"/>
      <c r="ACN535"/>
      <c r="ACO535"/>
      <c r="ACP535"/>
      <c r="ACQ535"/>
      <c r="ACR535"/>
      <c r="ACS535"/>
      <c r="ACT535"/>
      <c r="ACU535"/>
      <c r="ACV535"/>
      <c r="ACW535"/>
      <c r="ACX535"/>
      <c r="ACY535"/>
      <c r="ACZ535"/>
      <c r="ADA535"/>
      <c r="ADB535"/>
      <c r="ADC535"/>
      <c r="ADD535"/>
      <c r="ADE535"/>
      <c r="ADF535"/>
      <c r="ADG535"/>
      <c r="ADH535"/>
      <c r="ADI535"/>
      <c r="ADJ535"/>
      <c r="ADK535"/>
      <c r="ADL535"/>
      <c r="ADM535"/>
      <c r="ADN535"/>
      <c r="ADO535"/>
      <c r="ADP535"/>
      <c r="ADQ535"/>
      <c r="ADR535"/>
      <c r="ADS535"/>
      <c r="ADT535"/>
      <c r="ADU535"/>
      <c r="ADV535"/>
      <c r="ADW535"/>
      <c r="ADX535"/>
      <c r="ADY535"/>
      <c r="ADZ535"/>
      <c r="AEA535"/>
      <c r="AEB535"/>
      <c r="AEC535"/>
      <c r="AED535"/>
      <c r="AEE535"/>
      <c r="AEF535"/>
      <c r="AEG535"/>
      <c r="AEH535"/>
      <c r="AEI535"/>
      <c r="AEJ535"/>
      <c r="AEK535"/>
      <c r="AEL535"/>
      <c r="AEM535"/>
      <c r="AEN535"/>
      <c r="AEO535"/>
      <c r="AEP535"/>
      <c r="AEQ535"/>
      <c r="AER535"/>
      <c r="AES535"/>
      <c r="AET535"/>
      <c r="AEU535"/>
      <c r="AEV535"/>
      <c r="AEW535"/>
      <c r="AEX535"/>
      <c r="AEY535"/>
      <c r="AEZ535"/>
      <c r="AFA535"/>
      <c r="AFB535"/>
      <c r="AFC535"/>
      <c r="AFD535"/>
      <c r="AFE535"/>
      <c r="AFF535"/>
      <c r="AFG535"/>
      <c r="AFH535"/>
      <c r="AFI535"/>
      <c r="AFJ535"/>
      <c r="AFK535"/>
      <c r="AFL535"/>
      <c r="AFM535"/>
      <c r="AFN535"/>
      <c r="AFO535"/>
      <c r="AFP535"/>
      <c r="AFQ535"/>
      <c r="AFR535"/>
      <c r="AFS535"/>
      <c r="AFT535"/>
      <c r="AFU535"/>
      <c r="AFV535"/>
      <c r="AFW535"/>
      <c r="AFX535"/>
      <c r="AFY535"/>
      <c r="AFZ535"/>
      <c r="AGA535"/>
      <c r="AGB535"/>
      <c r="AGC535"/>
      <c r="AGD535"/>
      <c r="AGE535"/>
      <c r="AGF535"/>
      <c r="AGG535"/>
      <c r="AGH535"/>
      <c r="AGI535"/>
      <c r="AGJ535"/>
      <c r="AGK535"/>
      <c r="AGL535"/>
      <c r="AGM535"/>
      <c r="AGN535"/>
      <c r="AGO535"/>
      <c r="AGP535"/>
      <c r="AGQ535"/>
      <c r="AGR535"/>
      <c r="AGS535"/>
      <c r="AGT535"/>
      <c r="AGU535"/>
      <c r="AGV535"/>
      <c r="AGW535"/>
      <c r="AGX535"/>
      <c r="AGY535"/>
      <c r="AGZ535"/>
      <c r="AHA535"/>
      <c r="AHB535"/>
      <c r="AHC535"/>
      <c r="AHD535"/>
      <c r="AHE535"/>
      <c r="AHF535"/>
      <c r="AHG535"/>
      <c r="AHH535"/>
      <c r="AHI535"/>
      <c r="AHJ535"/>
      <c r="AHK535"/>
      <c r="AHL535"/>
      <c r="AHM535"/>
      <c r="AHN535"/>
      <c r="AHO535"/>
      <c r="AHP535"/>
      <c r="AHQ535"/>
      <c r="AHR535"/>
      <c r="AHS535"/>
      <c r="AHT535"/>
      <c r="AHU535"/>
      <c r="AHV535"/>
      <c r="AHW535"/>
      <c r="AHX535"/>
      <c r="AHY535"/>
      <c r="AHZ535"/>
      <c r="AIA535"/>
      <c r="AIB535"/>
      <c r="AIC535"/>
      <c r="AID535"/>
      <c r="AIE535"/>
      <c r="AIF535"/>
      <c r="AIG535"/>
      <c r="AIH535"/>
      <c r="AII535"/>
      <c r="AIJ535"/>
      <c r="AIK535"/>
      <c r="AIL535"/>
      <c r="AIM535"/>
      <c r="AIN535"/>
      <c r="AIO535"/>
      <c r="AIP535"/>
      <c r="AIQ535"/>
      <c r="AIR535"/>
      <c r="AIS535"/>
      <c r="AIT535"/>
      <c r="AIU535"/>
      <c r="AIV535"/>
      <c r="AIW535"/>
      <c r="AIX535"/>
      <c r="AIY535"/>
      <c r="AIZ535"/>
      <c r="AJA535"/>
      <c r="AJB535"/>
      <c r="AJC535"/>
      <c r="AJD535"/>
      <c r="AJE535"/>
      <c r="AJF535"/>
      <c r="AJG535"/>
      <c r="AJH535"/>
      <c r="AJI535"/>
      <c r="AJJ535"/>
      <c r="AJK535"/>
      <c r="AJL535"/>
      <c r="AJM535"/>
      <c r="AJN535"/>
      <c r="AJO535"/>
      <c r="AJP535"/>
      <c r="AJQ535"/>
      <c r="AJR535"/>
      <c r="AJS535"/>
      <c r="AJT535"/>
      <c r="AJU535"/>
      <c r="AJV535"/>
      <c r="AJW535"/>
      <c r="AJX535"/>
      <c r="AJY535"/>
      <c r="AJZ535"/>
      <c r="AKA535"/>
      <c r="AKB535"/>
      <c r="AKC535"/>
      <c r="AKD535"/>
      <c r="AKE535"/>
      <c r="AKF535"/>
      <c r="AKG535"/>
      <c r="AKH535"/>
      <c r="AKI535"/>
      <c r="AKJ535"/>
      <c r="AKK535"/>
      <c r="AKL535"/>
      <c r="AKM535"/>
      <c r="AKN535"/>
      <c r="AKO535"/>
      <c r="AKP535"/>
      <c r="AKQ535"/>
      <c r="AKR535"/>
      <c r="AKS535"/>
      <c r="AKT535"/>
      <c r="AKU535"/>
      <c r="AKV535"/>
      <c r="AKW535"/>
      <c r="AKX535"/>
      <c r="AKY535"/>
    </row>
    <row r="536" spans="1:987">
      <c r="A536" s="178"/>
      <c r="B536" s="146"/>
      <c r="C536" s="147"/>
      <c r="D536" s="147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  <c r="AKX536"/>
      <c r="AKY536"/>
    </row>
    <row r="537" spans="1:987">
      <c r="A537" s="178"/>
      <c r="B537" s="146"/>
      <c r="C537" s="147"/>
      <c r="D537" s="14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  <c r="ABE537"/>
      <c r="ABF537"/>
      <c r="ABG537"/>
      <c r="ABH537"/>
      <c r="ABI537"/>
      <c r="ABJ537"/>
      <c r="ABK537"/>
      <c r="ABL537"/>
      <c r="ABM537"/>
      <c r="ABN537"/>
      <c r="ABO537"/>
      <c r="ABP537"/>
      <c r="ABQ537"/>
      <c r="ABR537"/>
      <c r="ABS537"/>
      <c r="ABT537"/>
      <c r="ABU537"/>
      <c r="ABV537"/>
      <c r="ABW537"/>
      <c r="ABX537"/>
      <c r="ABY537"/>
      <c r="ABZ537"/>
      <c r="ACA537"/>
      <c r="ACB537"/>
      <c r="ACC537"/>
      <c r="ACD537"/>
      <c r="ACE537"/>
      <c r="ACF537"/>
      <c r="ACG537"/>
      <c r="ACH537"/>
      <c r="ACI537"/>
      <c r="ACJ537"/>
      <c r="ACK537"/>
      <c r="ACL537"/>
      <c r="ACM537"/>
      <c r="ACN537"/>
      <c r="ACO537"/>
      <c r="ACP537"/>
      <c r="ACQ537"/>
      <c r="ACR537"/>
      <c r="ACS537"/>
      <c r="ACT537"/>
      <c r="ACU537"/>
      <c r="ACV537"/>
      <c r="ACW537"/>
      <c r="ACX537"/>
      <c r="ACY537"/>
      <c r="ACZ537"/>
      <c r="ADA537"/>
      <c r="ADB537"/>
      <c r="ADC537"/>
      <c r="ADD537"/>
      <c r="ADE537"/>
      <c r="ADF537"/>
      <c r="ADG537"/>
      <c r="ADH537"/>
      <c r="ADI537"/>
      <c r="ADJ537"/>
      <c r="ADK537"/>
      <c r="ADL537"/>
      <c r="ADM537"/>
      <c r="ADN537"/>
      <c r="ADO537"/>
      <c r="ADP537"/>
      <c r="ADQ537"/>
      <c r="ADR537"/>
      <c r="ADS537"/>
      <c r="ADT537"/>
      <c r="ADU537"/>
      <c r="ADV537"/>
      <c r="ADW537"/>
      <c r="ADX537"/>
      <c r="ADY537"/>
      <c r="ADZ537"/>
      <c r="AEA537"/>
      <c r="AEB537"/>
      <c r="AEC537"/>
      <c r="AED537"/>
      <c r="AEE537"/>
      <c r="AEF537"/>
      <c r="AEG537"/>
      <c r="AEH537"/>
      <c r="AEI537"/>
      <c r="AEJ537"/>
      <c r="AEK537"/>
      <c r="AEL537"/>
      <c r="AEM537"/>
      <c r="AEN537"/>
      <c r="AEO537"/>
      <c r="AEP537"/>
      <c r="AEQ537"/>
      <c r="AER537"/>
      <c r="AES537"/>
      <c r="AET537"/>
      <c r="AEU537"/>
      <c r="AEV537"/>
      <c r="AEW537"/>
      <c r="AEX537"/>
      <c r="AEY537"/>
      <c r="AEZ537"/>
      <c r="AFA537"/>
      <c r="AFB537"/>
      <c r="AFC537"/>
      <c r="AFD537"/>
      <c r="AFE537"/>
      <c r="AFF537"/>
      <c r="AFG537"/>
      <c r="AFH537"/>
      <c r="AFI537"/>
      <c r="AFJ537"/>
      <c r="AFK537"/>
      <c r="AFL537"/>
      <c r="AFM537"/>
      <c r="AFN537"/>
      <c r="AFO537"/>
      <c r="AFP537"/>
      <c r="AFQ537"/>
      <c r="AFR537"/>
      <c r="AFS537"/>
      <c r="AFT537"/>
      <c r="AFU537"/>
      <c r="AFV537"/>
      <c r="AFW537"/>
      <c r="AFX537"/>
      <c r="AFY537"/>
      <c r="AFZ537"/>
      <c r="AGA537"/>
      <c r="AGB537"/>
      <c r="AGC537"/>
      <c r="AGD537"/>
      <c r="AGE537"/>
      <c r="AGF537"/>
      <c r="AGG537"/>
      <c r="AGH537"/>
      <c r="AGI537"/>
      <c r="AGJ537"/>
      <c r="AGK537"/>
      <c r="AGL537"/>
      <c r="AGM537"/>
      <c r="AGN537"/>
      <c r="AGO537"/>
      <c r="AGP537"/>
      <c r="AGQ537"/>
      <c r="AGR537"/>
      <c r="AGS537"/>
      <c r="AGT537"/>
      <c r="AGU537"/>
      <c r="AGV537"/>
      <c r="AGW537"/>
      <c r="AGX537"/>
      <c r="AGY537"/>
      <c r="AGZ537"/>
      <c r="AHA537"/>
      <c r="AHB537"/>
      <c r="AHC537"/>
      <c r="AHD537"/>
      <c r="AHE537"/>
      <c r="AHF537"/>
      <c r="AHG537"/>
      <c r="AHH537"/>
      <c r="AHI537"/>
      <c r="AHJ537"/>
      <c r="AHK537"/>
      <c r="AHL537"/>
      <c r="AHM537"/>
      <c r="AHN537"/>
      <c r="AHO537"/>
      <c r="AHP537"/>
      <c r="AHQ537"/>
      <c r="AHR537"/>
      <c r="AHS537"/>
      <c r="AHT537"/>
      <c r="AHU537"/>
      <c r="AHV537"/>
      <c r="AHW537"/>
      <c r="AHX537"/>
      <c r="AHY537"/>
      <c r="AHZ537"/>
      <c r="AIA537"/>
      <c r="AIB537"/>
      <c r="AIC537"/>
      <c r="AID537"/>
      <c r="AIE537"/>
      <c r="AIF537"/>
      <c r="AIG537"/>
      <c r="AIH537"/>
      <c r="AII537"/>
      <c r="AIJ537"/>
      <c r="AIK537"/>
      <c r="AIL537"/>
      <c r="AIM537"/>
      <c r="AIN537"/>
      <c r="AIO537"/>
      <c r="AIP537"/>
      <c r="AIQ537"/>
      <c r="AIR537"/>
      <c r="AIS537"/>
      <c r="AIT537"/>
      <c r="AIU537"/>
      <c r="AIV537"/>
      <c r="AIW537"/>
      <c r="AIX537"/>
      <c r="AIY537"/>
      <c r="AIZ537"/>
      <c r="AJA537"/>
      <c r="AJB537"/>
      <c r="AJC537"/>
      <c r="AJD537"/>
      <c r="AJE537"/>
      <c r="AJF537"/>
      <c r="AJG537"/>
      <c r="AJH537"/>
      <c r="AJI537"/>
      <c r="AJJ537"/>
      <c r="AJK537"/>
      <c r="AJL537"/>
      <c r="AJM537"/>
      <c r="AJN537"/>
      <c r="AJO537"/>
      <c r="AJP537"/>
      <c r="AJQ537"/>
      <c r="AJR537"/>
      <c r="AJS537"/>
      <c r="AJT537"/>
      <c r="AJU537"/>
      <c r="AJV537"/>
      <c r="AJW537"/>
      <c r="AJX537"/>
      <c r="AJY537"/>
      <c r="AJZ537"/>
      <c r="AKA537"/>
      <c r="AKB537"/>
      <c r="AKC537"/>
      <c r="AKD537"/>
      <c r="AKE537"/>
      <c r="AKF537"/>
      <c r="AKG537"/>
      <c r="AKH537"/>
      <c r="AKI537"/>
      <c r="AKJ537"/>
      <c r="AKK537"/>
      <c r="AKL537"/>
      <c r="AKM537"/>
      <c r="AKN537"/>
      <c r="AKO537"/>
      <c r="AKP537"/>
      <c r="AKQ537"/>
      <c r="AKR537"/>
      <c r="AKS537"/>
      <c r="AKT537"/>
      <c r="AKU537"/>
      <c r="AKV537"/>
      <c r="AKW537"/>
      <c r="AKX537"/>
      <c r="AKY537"/>
    </row>
    <row r="538" spans="1:987">
      <c r="A538" s="178"/>
      <c r="B538" s="146"/>
      <c r="C538" s="147"/>
      <c r="D538" s="147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  <c r="ZW538"/>
      <c r="ZX538"/>
      <c r="ZY538"/>
      <c r="ZZ538"/>
      <c r="AAA538"/>
      <c r="AAB538"/>
      <c r="AAC538"/>
      <c r="AAD538"/>
      <c r="AAE538"/>
      <c r="AAF538"/>
      <c r="AAG538"/>
      <c r="AAH538"/>
      <c r="AAI538"/>
      <c r="AAJ538"/>
      <c r="AAK538"/>
      <c r="AAL538"/>
      <c r="AAM538"/>
      <c r="AAN538"/>
      <c r="AAO538"/>
      <c r="AAP538"/>
      <c r="AAQ538"/>
      <c r="AAR538"/>
      <c r="AAS538"/>
      <c r="AAT538"/>
      <c r="AAU538"/>
      <c r="AAV538"/>
      <c r="AAW538"/>
      <c r="AAX538"/>
      <c r="AAY538"/>
      <c r="AAZ538"/>
      <c r="ABA538"/>
      <c r="ABB538"/>
      <c r="ABC538"/>
      <c r="ABD538"/>
      <c r="ABE538"/>
      <c r="ABF538"/>
      <c r="ABG538"/>
      <c r="ABH538"/>
      <c r="ABI538"/>
      <c r="ABJ538"/>
      <c r="ABK538"/>
      <c r="ABL538"/>
      <c r="ABM538"/>
      <c r="ABN538"/>
      <c r="ABO538"/>
      <c r="ABP538"/>
      <c r="ABQ538"/>
      <c r="ABR538"/>
      <c r="ABS538"/>
      <c r="ABT538"/>
      <c r="ABU538"/>
      <c r="ABV538"/>
      <c r="ABW538"/>
      <c r="ABX538"/>
      <c r="ABY538"/>
      <c r="ABZ538"/>
      <c r="ACA538"/>
      <c r="ACB538"/>
      <c r="ACC538"/>
      <c r="ACD538"/>
      <c r="ACE538"/>
      <c r="ACF538"/>
      <c r="ACG538"/>
      <c r="ACH538"/>
      <c r="ACI538"/>
      <c r="ACJ538"/>
      <c r="ACK538"/>
      <c r="ACL538"/>
      <c r="ACM538"/>
      <c r="ACN538"/>
      <c r="ACO538"/>
      <c r="ACP538"/>
      <c r="ACQ538"/>
      <c r="ACR538"/>
      <c r="ACS538"/>
      <c r="ACT538"/>
      <c r="ACU538"/>
      <c r="ACV538"/>
      <c r="ACW538"/>
      <c r="ACX538"/>
      <c r="ACY538"/>
      <c r="ACZ538"/>
      <c r="ADA538"/>
      <c r="ADB538"/>
      <c r="ADC538"/>
      <c r="ADD538"/>
      <c r="ADE538"/>
      <c r="ADF538"/>
      <c r="ADG538"/>
      <c r="ADH538"/>
      <c r="ADI538"/>
      <c r="ADJ538"/>
      <c r="ADK538"/>
      <c r="ADL538"/>
      <c r="ADM538"/>
      <c r="ADN538"/>
      <c r="ADO538"/>
      <c r="ADP538"/>
      <c r="ADQ538"/>
      <c r="ADR538"/>
      <c r="ADS538"/>
      <c r="ADT538"/>
      <c r="ADU538"/>
      <c r="ADV538"/>
      <c r="ADW538"/>
      <c r="ADX538"/>
      <c r="ADY538"/>
      <c r="ADZ538"/>
      <c r="AEA538"/>
      <c r="AEB538"/>
      <c r="AEC538"/>
      <c r="AED538"/>
      <c r="AEE538"/>
      <c r="AEF538"/>
      <c r="AEG538"/>
      <c r="AEH538"/>
      <c r="AEI538"/>
      <c r="AEJ538"/>
      <c r="AEK538"/>
      <c r="AEL538"/>
      <c r="AEM538"/>
      <c r="AEN538"/>
      <c r="AEO538"/>
      <c r="AEP538"/>
      <c r="AEQ538"/>
      <c r="AER538"/>
      <c r="AES538"/>
      <c r="AET538"/>
      <c r="AEU538"/>
      <c r="AEV538"/>
      <c r="AEW538"/>
      <c r="AEX538"/>
      <c r="AEY538"/>
      <c r="AEZ538"/>
      <c r="AFA538"/>
      <c r="AFB538"/>
      <c r="AFC538"/>
      <c r="AFD538"/>
      <c r="AFE538"/>
      <c r="AFF538"/>
      <c r="AFG538"/>
      <c r="AFH538"/>
      <c r="AFI538"/>
      <c r="AFJ538"/>
      <c r="AFK538"/>
      <c r="AFL538"/>
      <c r="AFM538"/>
      <c r="AFN538"/>
      <c r="AFO538"/>
      <c r="AFP538"/>
      <c r="AFQ538"/>
      <c r="AFR538"/>
      <c r="AFS538"/>
      <c r="AFT538"/>
      <c r="AFU538"/>
      <c r="AFV538"/>
      <c r="AFW538"/>
      <c r="AFX538"/>
      <c r="AFY538"/>
      <c r="AFZ538"/>
      <c r="AGA538"/>
      <c r="AGB538"/>
      <c r="AGC538"/>
      <c r="AGD538"/>
      <c r="AGE538"/>
      <c r="AGF538"/>
      <c r="AGG538"/>
      <c r="AGH538"/>
      <c r="AGI538"/>
      <c r="AGJ538"/>
      <c r="AGK538"/>
      <c r="AGL538"/>
      <c r="AGM538"/>
      <c r="AGN538"/>
      <c r="AGO538"/>
      <c r="AGP538"/>
      <c r="AGQ538"/>
      <c r="AGR538"/>
      <c r="AGS538"/>
      <c r="AGT538"/>
      <c r="AGU538"/>
      <c r="AGV538"/>
      <c r="AGW538"/>
      <c r="AGX538"/>
      <c r="AGY538"/>
      <c r="AGZ538"/>
      <c r="AHA538"/>
      <c r="AHB538"/>
      <c r="AHC538"/>
      <c r="AHD538"/>
      <c r="AHE538"/>
      <c r="AHF538"/>
      <c r="AHG538"/>
      <c r="AHH538"/>
      <c r="AHI538"/>
      <c r="AHJ538"/>
      <c r="AHK538"/>
      <c r="AHL538"/>
      <c r="AHM538"/>
      <c r="AHN538"/>
      <c r="AHO538"/>
      <c r="AHP538"/>
      <c r="AHQ538"/>
      <c r="AHR538"/>
      <c r="AHS538"/>
      <c r="AHT538"/>
      <c r="AHU538"/>
      <c r="AHV538"/>
      <c r="AHW538"/>
      <c r="AHX538"/>
      <c r="AHY538"/>
      <c r="AHZ538"/>
      <c r="AIA538"/>
      <c r="AIB538"/>
      <c r="AIC538"/>
      <c r="AID538"/>
      <c r="AIE538"/>
      <c r="AIF538"/>
      <c r="AIG538"/>
      <c r="AIH538"/>
      <c r="AII538"/>
      <c r="AIJ538"/>
      <c r="AIK538"/>
      <c r="AIL538"/>
      <c r="AIM538"/>
      <c r="AIN538"/>
      <c r="AIO538"/>
      <c r="AIP538"/>
      <c r="AIQ538"/>
      <c r="AIR538"/>
      <c r="AIS538"/>
      <c r="AIT538"/>
      <c r="AIU538"/>
      <c r="AIV538"/>
      <c r="AIW538"/>
      <c r="AIX538"/>
      <c r="AIY538"/>
      <c r="AIZ538"/>
      <c r="AJA538"/>
      <c r="AJB538"/>
      <c r="AJC538"/>
      <c r="AJD538"/>
      <c r="AJE538"/>
      <c r="AJF538"/>
      <c r="AJG538"/>
      <c r="AJH538"/>
      <c r="AJI538"/>
      <c r="AJJ538"/>
      <c r="AJK538"/>
      <c r="AJL538"/>
      <c r="AJM538"/>
      <c r="AJN538"/>
      <c r="AJO538"/>
      <c r="AJP538"/>
      <c r="AJQ538"/>
      <c r="AJR538"/>
      <c r="AJS538"/>
      <c r="AJT538"/>
      <c r="AJU538"/>
      <c r="AJV538"/>
      <c r="AJW538"/>
      <c r="AJX538"/>
      <c r="AJY538"/>
      <c r="AJZ538"/>
      <c r="AKA538"/>
      <c r="AKB538"/>
      <c r="AKC538"/>
      <c r="AKD538"/>
      <c r="AKE538"/>
      <c r="AKF538"/>
      <c r="AKG538"/>
      <c r="AKH538"/>
      <c r="AKI538"/>
      <c r="AKJ538"/>
      <c r="AKK538"/>
      <c r="AKL538"/>
      <c r="AKM538"/>
      <c r="AKN538"/>
      <c r="AKO538"/>
      <c r="AKP538"/>
      <c r="AKQ538"/>
      <c r="AKR538"/>
      <c r="AKS538"/>
      <c r="AKT538"/>
      <c r="AKU538"/>
      <c r="AKV538"/>
      <c r="AKW538"/>
      <c r="AKX538"/>
      <c r="AKY538"/>
    </row>
    <row r="539" spans="1:987">
      <c r="A539" s="178"/>
      <c r="B539" s="146"/>
      <c r="C539" s="147"/>
      <c r="D539" s="147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  <c r="ZY539"/>
      <c r="ZZ539"/>
      <c r="AAA539"/>
      <c r="AAB539"/>
      <c r="AAC539"/>
      <c r="AAD539"/>
      <c r="AAE539"/>
      <c r="AAF539"/>
      <c r="AAG539"/>
      <c r="AAH539"/>
      <c r="AAI539"/>
      <c r="AAJ539"/>
      <c r="AAK539"/>
      <c r="AAL539"/>
      <c r="AAM539"/>
      <c r="AAN539"/>
      <c r="AAO539"/>
      <c r="AAP539"/>
      <c r="AAQ539"/>
      <c r="AAR539"/>
      <c r="AAS539"/>
      <c r="AAT539"/>
      <c r="AAU539"/>
      <c r="AAV539"/>
      <c r="AAW539"/>
      <c r="AAX539"/>
      <c r="AAY539"/>
      <c r="AAZ539"/>
      <c r="ABA539"/>
      <c r="ABB539"/>
      <c r="ABC539"/>
      <c r="ABD539"/>
      <c r="ABE539"/>
      <c r="ABF539"/>
      <c r="ABG539"/>
      <c r="ABH539"/>
      <c r="ABI539"/>
      <c r="ABJ539"/>
      <c r="ABK539"/>
      <c r="ABL539"/>
      <c r="ABM539"/>
      <c r="ABN539"/>
      <c r="ABO539"/>
      <c r="ABP539"/>
      <c r="ABQ539"/>
      <c r="ABR539"/>
      <c r="ABS539"/>
      <c r="ABT539"/>
      <c r="ABU539"/>
      <c r="ABV539"/>
      <c r="ABW539"/>
      <c r="ABX539"/>
      <c r="ABY539"/>
      <c r="ABZ539"/>
      <c r="ACA539"/>
      <c r="ACB539"/>
      <c r="ACC539"/>
      <c r="ACD539"/>
      <c r="ACE539"/>
      <c r="ACF539"/>
      <c r="ACG539"/>
      <c r="ACH539"/>
      <c r="ACI539"/>
      <c r="ACJ539"/>
      <c r="ACK539"/>
      <c r="ACL539"/>
      <c r="ACM539"/>
      <c r="ACN539"/>
      <c r="ACO539"/>
      <c r="ACP539"/>
      <c r="ACQ539"/>
      <c r="ACR539"/>
      <c r="ACS539"/>
      <c r="ACT539"/>
      <c r="ACU539"/>
      <c r="ACV539"/>
      <c r="ACW539"/>
      <c r="ACX539"/>
      <c r="ACY539"/>
      <c r="ACZ539"/>
      <c r="ADA539"/>
      <c r="ADB539"/>
      <c r="ADC539"/>
      <c r="ADD539"/>
      <c r="ADE539"/>
      <c r="ADF539"/>
      <c r="ADG539"/>
      <c r="ADH539"/>
      <c r="ADI539"/>
      <c r="ADJ539"/>
      <c r="ADK539"/>
      <c r="ADL539"/>
      <c r="ADM539"/>
      <c r="ADN539"/>
      <c r="ADO539"/>
      <c r="ADP539"/>
      <c r="ADQ539"/>
      <c r="ADR539"/>
      <c r="ADS539"/>
      <c r="ADT539"/>
      <c r="ADU539"/>
      <c r="ADV539"/>
      <c r="ADW539"/>
      <c r="ADX539"/>
      <c r="ADY539"/>
      <c r="ADZ539"/>
      <c r="AEA539"/>
      <c r="AEB539"/>
      <c r="AEC539"/>
      <c r="AED539"/>
      <c r="AEE539"/>
      <c r="AEF539"/>
      <c r="AEG539"/>
      <c r="AEH539"/>
      <c r="AEI539"/>
      <c r="AEJ539"/>
      <c r="AEK539"/>
      <c r="AEL539"/>
      <c r="AEM539"/>
      <c r="AEN539"/>
      <c r="AEO539"/>
      <c r="AEP539"/>
      <c r="AEQ539"/>
      <c r="AER539"/>
      <c r="AES539"/>
      <c r="AET539"/>
      <c r="AEU539"/>
      <c r="AEV539"/>
      <c r="AEW539"/>
      <c r="AEX539"/>
      <c r="AEY539"/>
      <c r="AEZ539"/>
      <c r="AFA539"/>
      <c r="AFB539"/>
      <c r="AFC539"/>
      <c r="AFD539"/>
      <c r="AFE539"/>
      <c r="AFF539"/>
      <c r="AFG539"/>
      <c r="AFH539"/>
      <c r="AFI539"/>
      <c r="AFJ539"/>
      <c r="AFK539"/>
      <c r="AFL539"/>
      <c r="AFM539"/>
      <c r="AFN539"/>
      <c r="AFO539"/>
      <c r="AFP539"/>
      <c r="AFQ539"/>
      <c r="AFR539"/>
      <c r="AFS539"/>
      <c r="AFT539"/>
      <c r="AFU539"/>
      <c r="AFV539"/>
      <c r="AFW539"/>
      <c r="AFX539"/>
      <c r="AFY539"/>
      <c r="AFZ539"/>
      <c r="AGA539"/>
      <c r="AGB539"/>
      <c r="AGC539"/>
      <c r="AGD539"/>
      <c r="AGE539"/>
      <c r="AGF539"/>
      <c r="AGG539"/>
      <c r="AGH539"/>
      <c r="AGI539"/>
      <c r="AGJ539"/>
      <c r="AGK539"/>
      <c r="AGL539"/>
      <c r="AGM539"/>
      <c r="AGN539"/>
      <c r="AGO539"/>
      <c r="AGP539"/>
      <c r="AGQ539"/>
      <c r="AGR539"/>
      <c r="AGS539"/>
      <c r="AGT539"/>
      <c r="AGU539"/>
      <c r="AGV539"/>
      <c r="AGW539"/>
      <c r="AGX539"/>
      <c r="AGY539"/>
      <c r="AGZ539"/>
      <c r="AHA539"/>
      <c r="AHB539"/>
      <c r="AHC539"/>
      <c r="AHD539"/>
      <c r="AHE539"/>
      <c r="AHF539"/>
      <c r="AHG539"/>
      <c r="AHH539"/>
      <c r="AHI539"/>
      <c r="AHJ539"/>
      <c r="AHK539"/>
      <c r="AHL539"/>
      <c r="AHM539"/>
      <c r="AHN539"/>
      <c r="AHO539"/>
      <c r="AHP539"/>
      <c r="AHQ539"/>
      <c r="AHR539"/>
      <c r="AHS539"/>
      <c r="AHT539"/>
      <c r="AHU539"/>
      <c r="AHV539"/>
      <c r="AHW539"/>
      <c r="AHX539"/>
      <c r="AHY539"/>
      <c r="AHZ539"/>
      <c r="AIA539"/>
      <c r="AIB539"/>
      <c r="AIC539"/>
      <c r="AID539"/>
      <c r="AIE539"/>
      <c r="AIF539"/>
      <c r="AIG539"/>
      <c r="AIH539"/>
      <c r="AII539"/>
      <c r="AIJ539"/>
      <c r="AIK539"/>
      <c r="AIL539"/>
      <c r="AIM539"/>
      <c r="AIN539"/>
      <c r="AIO539"/>
      <c r="AIP539"/>
      <c r="AIQ539"/>
      <c r="AIR539"/>
      <c r="AIS539"/>
      <c r="AIT539"/>
      <c r="AIU539"/>
      <c r="AIV539"/>
      <c r="AIW539"/>
      <c r="AIX539"/>
      <c r="AIY539"/>
      <c r="AIZ539"/>
      <c r="AJA539"/>
      <c r="AJB539"/>
      <c r="AJC539"/>
      <c r="AJD539"/>
      <c r="AJE539"/>
      <c r="AJF539"/>
      <c r="AJG539"/>
      <c r="AJH539"/>
      <c r="AJI539"/>
      <c r="AJJ539"/>
      <c r="AJK539"/>
      <c r="AJL539"/>
      <c r="AJM539"/>
      <c r="AJN539"/>
      <c r="AJO539"/>
      <c r="AJP539"/>
      <c r="AJQ539"/>
      <c r="AJR539"/>
      <c r="AJS539"/>
      <c r="AJT539"/>
      <c r="AJU539"/>
      <c r="AJV539"/>
      <c r="AJW539"/>
      <c r="AJX539"/>
      <c r="AJY539"/>
      <c r="AJZ539"/>
      <c r="AKA539"/>
      <c r="AKB539"/>
      <c r="AKC539"/>
      <c r="AKD539"/>
      <c r="AKE539"/>
      <c r="AKF539"/>
      <c r="AKG539"/>
      <c r="AKH539"/>
      <c r="AKI539"/>
      <c r="AKJ539"/>
      <c r="AKK539"/>
      <c r="AKL539"/>
      <c r="AKM539"/>
      <c r="AKN539"/>
      <c r="AKO539"/>
      <c r="AKP539"/>
      <c r="AKQ539"/>
      <c r="AKR539"/>
      <c r="AKS539"/>
      <c r="AKT539"/>
      <c r="AKU539"/>
      <c r="AKV539"/>
      <c r="AKW539"/>
      <c r="AKX539"/>
      <c r="AKY539"/>
    </row>
    <row r="540" spans="1:987">
      <c r="A540" s="178"/>
      <c r="B540" s="146"/>
      <c r="C540" s="147"/>
      <c r="D540" s="147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  <c r="ZW540"/>
      <c r="ZX540"/>
      <c r="ZY540"/>
      <c r="ZZ540"/>
      <c r="AAA540"/>
      <c r="AAB540"/>
      <c r="AAC540"/>
      <c r="AAD540"/>
      <c r="AAE540"/>
      <c r="AAF540"/>
      <c r="AAG540"/>
      <c r="AAH540"/>
      <c r="AAI540"/>
      <c r="AAJ540"/>
      <c r="AAK540"/>
      <c r="AAL540"/>
      <c r="AAM540"/>
      <c r="AAN540"/>
      <c r="AAO540"/>
      <c r="AAP540"/>
      <c r="AAQ540"/>
      <c r="AAR540"/>
      <c r="AAS540"/>
      <c r="AAT540"/>
      <c r="AAU540"/>
      <c r="AAV540"/>
      <c r="AAW540"/>
      <c r="AAX540"/>
      <c r="AAY540"/>
      <c r="AAZ540"/>
      <c r="ABA540"/>
      <c r="ABB540"/>
      <c r="ABC540"/>
      <c r="ABD540"/>
      <c r="ABE540"/>
      <c r="ABF540"/>
      <c r="ABG540"/>
      <c r="ABH540"/>
      <c r="ABI540"/>
      <c r="ABJ540"/>
      <c r="ABK540"/>
      <c r="ABL540"/>
      <c r="ABM540"/>
      <c r="ABN540"/>
      <c r="ABO540"/>
      <c r="ABP540"/>
      <c r="ABQ540"/>
      <c r="ABR540"/>
      <c r="ABS540"/>
      <c r="ABT540"/>
      <c r="ABU540"/>
      <c r="ABV540"/>
      <c r="ABW540"/>
      <c r="ABX540"/>
      <c r="ABY540"/>
      <c r="ABZ540"/>
      <c r="ACA540"/>
      <c r="ACB540"/>
      <c r="ACC540"/>
      <c r="ACD540"/>
      <c r="ACE540"/>
      <c r="ACF540"/>
      <c r="ACG540"/>
      <c r="ACH540"/>
      <c r="ACI540"/>
      <c r="ACJ540"/>
      <c r="ACK540"/>
      <c r="ACL540"/>
      <c r="ACM540"/>
      <c r="ACN540"/>
      <c r="ACO540"/>
      <c r="ACP540"/>
      <c r="ACQ540"/>
      <c r="ACR540"/>
      <c r="ACS540"/>
      <c r="ACT540"/>
      <c r="ACU540"/>
      <c r="ACV540"/>
      <c r="ACW540"/>
      <c r="ACX540"/>
      <c r="ACY540"/>
      <c r="ACZ540"/>
      <c r="ADA540"/>
      <c r="ADB540"/>
      <c r="ADC540"/>
      <c r="ADD540"/>
      <c r="ADE540"/>
      <c r="ADF540"/>
      <c r="ADG540"/>
      <c r="ADH540"/>
      <c r="ADI540"/>
      <c r="ADJ540"/>
      <c r="ADK540"/>
      <c r="ADL540"/>
      <c r="ADM540"/>
      <c r="ADN540"/>
      <c r="ADO540"/>
      <c r="ADP540"/>
      <c r="ADQ540"/>
      <c r="ADR540"/>
      <c r="ADS540"/>
      <c r="ADT540"/>
      <c r="ADU540"/>
      <c r="ADV540"/>
      <c r="ADW540"/>
      <c r="ADX540"/>
      <c r="ADY540"/>
      <c r="ADZ540"/>
      <c r="AEA540"/>
      <c r="AEB540"/>
      <c r="AEC540"/>
      <c r="AED540"/>
      <c r="AEE540"/>
      <c r="AEF540"/>
      <c r="AEG540"/>
      <c r="AEH540"/>
      <c r="AEI540"/>
      <c r="AEJ540"/>
      <c r="AEK540"/>
      <c r="AEL540"/>
      <c r="AEM540"/>
      <c r="AEN540"/>
      <c r="AEO540"/>
      <c r="AEP540"/>
      <c r="AEQ540"/>
      <c r="AER540"/>
      <c r="AES540"/>
      <c r="AET540"/>
      <c r="AEU540"/>
      <c r="AEV540"/>
      <c r="AEW540"/>
      <c r="AEX540"/>
      <c r="AEY540"/>
      <c r="AEZ540"/>
      <c r="AFA540"/>
      <c r="AFB540"/>
      <c r="AFC540"/>
      <c r="AFD540"/>
      <c r="AFE540"/>
      <c r="AFF540"/>
      <c r="AFG540"/>
      <c r="AFH540"/>
      <c r="AFI540"/>
      <c r="AFJ540"/>
      <c r="AFK540"/>
      <c r="AFL540"/>
      <c r="AFM540"/>
      <c r="AFN540"/>
      <c r="AFO540"/>
      <c r="AFP540"/>
      <c r="AFQ540"/>
      <c r="AFR540"/>
      <c r="AFS540"/>
      <c r="AFT540"/>
      <c r="AFU540"/>
      <c r="AFV540"/>
      <c r="AFW540"/>
      <c r="AFX540"/>
      <c r="AFY540"/>
      <c r="AFZ540"/>
      <c r="AGA540"/>
      <c r="AGB540"/>
      <c r="AGC540"/>
      <c r="AGD540"/>
      <c r="AGE540"/>
      <c r="AGF540"/>
      <c r="AGG540"/>
      <c r="AGH540"/>
      <c r="AGI540"/>
      <c r="AGJ540"/>
      <c r="AGK540"/>
      <c r="AGL540"/>
      <c r="AGM540"/>
      <c r="AGN540"/>
      <c r="AGO540"/>
      <c r="AGP540"/>
      <c r="AGQ540"/>
      <c r="AGR540"/>
      <c r="AGS540"/>
      <c r="AGT540"/>
      <c r="AGU540"/>
      <c r="AGV540"/>
      <c r="AGW540"/>
      <c r="AGX540"/>
      <c r="AGY540"/>
      <c r="AGZ540"/>
      <c r="AHA540"/>
      <c r="AHB540"/>
      <c r="AHC540"/>
      <c r="AHD540"/>
      <c r="AHE540"/>
      <c r="AHF540"/>
      <c r="AHG540"/>
      <c r="AHH540"/>
      <c r="AHI540"/>
      <c r="AHJ540"/>
      <c r="AHK540"/>
      <c r="AHL540"/>
      <c r="AHM540"/>
      <c r="AHN540"/>
      <c r="AHO540"/>
      <c r="AHP540"/>
      <c r="AHQ540"/>
      <c r="AHR540"/>
      <c r="AHS540"/>
      <c r="AHT540"/>
      <c r="AHU540"/>
      <c r="AHV540"/>
      <c r="AHW540"/>
      <c r="AHX540"/>
      <c r="AHY540"/>
      <c r="AHZ540"/>
      <c r="AIA540"/>
      <c r="AIB540"/>
      <c r="AIC540"/>
      <c r="AID540"/>
      <c r="AIE540"/>
      <c r="AIF540"/>
      <c r="AIG540"/>
      <c r="AIH540"/>
      <c r="AII540"/>
      <c r="AIJ540"/>
      <c r="AIK540"/>
      <c r="AIL540"/>
      <c r="AIM540"/>
      <c r="AIN540"/>
      <c r="AIO540"/>
      <c r="AIP540"/>
      <c r="AIQ540"/>
      <c r="AIR540"/>
      <c r="AIS540"/>
      <c r="AIT540"/>
      <c r="AIU540"/>
      <c r="AIV540"/>
      <c r="AIW540"/>
      <c r="AIX540"/>
      <c r="AIY540"/>
      <c r="AIZ540"/>
      <c r="AJA540"/>
      <c r="AJB540"/>
      <c r="AJC540"/>
      <c r="AJD540"/>
      <c r="AJE540"/>
      <c r="AJF540"/>
      <c r="AJG540"/>
      <c r="AJH540"/>
      <c r="AJI540"/>
      <c r="AJJ540"/>
      <c r="AJK540"/>
      <c r="AJL540"/>
      <c r="AJM540"/>
      <c r="AJN540"/>
      <c r="AJO540"/>
      <c r="AJP540"/>
      <c r="AJQ540"/>
      <c r="AJR540"/>
      <c r="AJS540"/>
      <c r="AJT540"/>
      <c r="AJU540"/>
      <c r="AJV540"/>
      <c r="AJW540"/>
      <c r="AJX540"/>
      <c r="AJY540"/>
      <c r="AJZ540"/>
      <c r="AKA540"/>
      <c r="AKB540"/>
      <c r="AKC540"/>
      <c r="AKD540"/>
      <c r="AKE540"/>
      <c r="AKF540"/>
      <c r="AKG540"/>
      <c r="AKH540"/>
      <c r="AKI540"/>
      <c r="AKJ540"/>
      <c r="AKK540"/>
      <c r="AKL540"/>
      <c r="AKM540"/>
      <c r="AKN540"/>
      <c r="AKO540"/>
      <c r="AKP540"/>
      <c r="AKQ540"/>
      <c r="AKR540"/>
      <c r="AKS540"/>
      <c r="AKT540"/>
      <c r="AKU540"/>
      <c r="AKV540"/>
      <c r="AKW540"/>
      <c r="AKX540"/>
      <c r="AKY540"/>
    </row>
    <row r="541" spans="1:987">
      <c r="A541" s="153" t="s">
        <v>326</v>
      </c>
      <c r="B541" s="240"/>
      <c r="C541" s="241"/>
      <c r="D541" s="2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  <c r="ZW541"/>
      <c r="ZX541"/>
      <c r="ZY541"/>
      <c r="ZZ541"/>
      <c r="AAA541"/>
      <c r="AAB541"/>
      <c r="AAC541"/>
      <c r="AAD541"/>
      <c r="AAE541"/>
      <c r="AAF541"/>
      <c r="AAG541"/>
      <c r="AAH541"/>
      <c r="AAI541"/>
      <c r="AAJ541"/>
      <c r="AAK541"/>
      <c r="AAL541"/>
      <c r="AAM541"/>
      <c r="AAN541"/>
      <c r="AAO541"/>
      <c r="AAP541"/>
      <c r="AAQ541"/>
      <c r="AAR541"/>
      <c r="AAS541"/>
      <c r="AAT541"/>
      <c r="AAU541"/>
      <c r="AAV541"/>
      <c r="AAW541"/>
      <c r="AAX541"/>
      <c r="AAY541"/>
      <c r="AAZ541"/>
      <c r="ABA541"/>
      <c r="ABB541"/>
      <c r="ABC541"/>
      <c r="ABD541"/>
      <c r="ABE541"/>
      <c r="ABF541"/>
      <c r="ABG541"/>
      <c r="ABH541"/>
      <c r="ABI541"/>
      <c r="ABJ541"/>
      <c r="ABK541"/>
      <c r="ABL541"/>
      <c r="ABM541"/>
      <c r="ABN541"/>
      <c r="ABO541"/>
      <c r="ABP541"/>
      <c r="ABQ541"/>
      <c r="ABR541"/>
      <c r="ABS541"/>
      <c r="ABT541"/>
      <c r="ABU541"/>
      <c r="ABV541"/>
      <c r="ABW541"/>
      <c r="ABX541"/>
      <c r="ABY541"/>
      <c r="ABZ541"/>
      <c r="ACA541"/>
      <c r="ACB541"/>
      <c r="ACC541"/>
      <c r="ACD541"/>
      <c r="ACE541"/>
      <c r="ACF541"/>
      <c r="ACG541"/>
      <c r="ACH541"/>
      <c r="ACI541"/>
      <c r="ACJ541"/>
      <c r="ACK541"/>
      <c r="ACL541"/>
      <c r="ACM541"/>
      <c r="ACN541"/>
      <c r="ACO541"/>
      <c r="ACP541"/>
      <c r="ACQ541"/>
      <c r="ACR541"/>
      <c r="ACS541"/>
      <c r="ACT541"/>
      <c r="ACU541"/>
      <c r="ACV541"/>
      <c r="ACW541"/>
      <c r="ACX541"/>
      <c r="ACY541"/>
      <c r="ACZ541"/>
      <c r="ADA541"/>
      <c r="ADB541"/>
      <c r="ADC541"/>
      <c r="ADD541"/>
      <c r="ADE541"/>
      <c r="ADF541"/>
      <c r="ADG541"/>
      <c r="ADH541"/>
      <c r="ADI541"/>
      <c r="ADJ541"/>
      <c r="ADK541"/>
      <c r="ADL541"/>
      <c r="ADM541"/>
      <c r="ADN541"/>
      <c r="ADO541"/>
      <c r="ADP541"/>
      <c r="ADQ541"/>
      <c r="ADR541"/>
      <c r="ADS541"/>
      <c r="ADT541"/>
      <c r="ADU541"/>
      <c r="ADV541"/>
      <c r="ADW541"/>
      <c r="ADX541"/>
      <c r="ADY541"/>
      <c r="ADZ541"/>
      <c r="AEA541"/>
      <c r="AEB541"/>
      <c r="AEC541"/>
      <c r="AED541"/>
      <c r="AEE541"/>
      <c r="AEF541"/>
      <c r="AEG541"/>
      <c r="AEH541"/>
      <c r="AEI541"/>
      <c r="AEJ541"/>
      <c r="AEK541"/>
      <c r="AEL541"/>
      <c r="AEM541"/>
      <c r="AEN541"/>
      <c r="AEO541"/>
      <c r="AEP541"/>
      <c r="AEQ541"/>
      <c r="AER541"/>
      <c r="AES541"/>
      <c r="AET541"/>
      <c r="AEU541"/>
      <c r="AEV541"/>
      <c r="AEW541"/>
      <c r="AEX541"/>
      <c r="AEY541"/>
      <c r="AEZ541"/>
      <c r="AFA541"/>
      <c r="AFB541"/>
      <c r="AFC541"/>
      <c r="AFD541"/>
      <c r="AFE541"/>
      <c r="AFF541"/>
      <c r="AFG541"/>
      <c r="AFH541"/>
      <c r="AFI541"/>
      <c r="AFJ541"/>
      <c r="AFK541"/>
      <c r="AFL541"/>
      <c r="AFM541"/>
      <c r="AFN541"/>
      <c r="AFO541"/>
      <c r="AFP541"/>
      <c r="AFQ541"/>
      <c r="AFR541"/>
      <c r="AFS541"/>
      <c r="AFT541"/>
      <c r="AFU541"/>
      <c r="AFV541"/>
      <c r="AFW541"/>
      <c r="AFX541"/>
      <c r="AFY541"/>
      <c r="AFZ541"/>
      <c r="AGA541"/>
      <c r="AGB541"/>
      <c r="AGC541"/>
      <c r="AGD541"/>
      <c r="AGE541"/>
      <c r="AGF541"/>
      <c r="AGG541"/>
      <c r="AGH541"/>
      <c r="AGI541"/>
      <c r="AGJ541"/>
      <c r="AGK541"/>
      <c r="AGL541"/>
      <c r="AGM541"/>
      <c r="AGN541"/>
      <c r="AGO541"/>
      <c r="AGP541"/>
      <c r="AGQ541"/>
      <c r="AGR541"/>
      <c r="AGS541"/>
      <c r="AGT541"/>
      <c r="AGU541"/>
      <c r="AGV541"/>
      <c r="AGW541"/>
      <c r="AGX541"/>
      <c r="AGY541"/>
      <c r="AGZ541"/>
      <c r="AHA541"/>
      <c r="AHB541"/>
      <c r="AHC541"/>
      <c r="AHD541"/>
      <c r="AHE541"/>
      <c r="AHF541"/>
      <c r="AHG541"/>
      <c r="AHH541"/>
      <c r="AHI541"/>
      <c r="AHJ541"/>
      <c r="AHK541"/>
      <c r="AHL541"/>
      <c r="AHM541"/>
      <c r="AHN541"/>
      <c r="AHO541"/>
      <c r="AHP541"/>
      <c r="AHQ541"/>
      <c r="AHR541"/>
      <c r="AHS541"/>
      <c r="AHT541"/>
      <c r="AHU541"/>
      <c r="AHV541"/>
      <c r="AHW541"/>
      <c r="AHX541"/>
      <c r="AHY541"/>
      <c r="AHZ541"/>
      <c r="AIA541"/>
      <c r="AIB541"/>
      <c r="AIC541"/>
      <c r="AID541"/>
      <c r="AIE541"/>
      <c r="AIF541"/>
      <c r="AIG541"/>
      <c r="AIH541"/>
      <c r="AII541"/>
      <c r="AIJ541"/>
      <c r="AIK541"/>
      <c r="AIL541"/>
      <c r="AIM541"/>
      <c r="AIN541"/>
      <c r="AIO541"/>
      <c r="AIP541"/>
      <c r="AIQ541"/>
      <c r="AIR541"/>
      <c r="AIS541"/>
      <c r="AIT541"/>
      <c r="AIU541"/>
      <c r="AIV541"/>
      <c r="AIW541"/>
      <c r="AIX541"/>
      <c r="AIY541"/>
      <c r="AIZ541"/>
      <c r="AJA541"/>
      <c r="AJB541"/>
      <c r="AJC541"/>
      <c r="AJD541"/>
      <c r="AJE541"/>
      <c r="AJF541"/>
      <c r="AJG541"/>
      <c r="AJH541"/>
      <c r="AJI541"/>
      <c r="AJJ541"/>
      <c r="AJK541"/>
      <c r="AJL541"/>
      <c r="AJM541"/>
      <c r="AJN541"/>
      <c r="AJO541"/>
      <c r="AJP541"/>
      <c r="AJQ541"/>
      <c r="AJR541"/>
      <c r="AJS541"/>
      <c r="AJT541"/>
      <c r="AJU541"/>
      <c r="AJV541"/>
      <c r="AJW541"/>
      <c r="AJX541"/>
      <c r="AJY541"/>
      <c r="AJZ541"/>
      <c r="AKA541"/>
      <c r="AKB541"/>
      <c r="AKC541"/>
      <c r="AKD541"/>
      <c r="AKE541"/>
      <c r="AKF541"/>
      <c r="AKG541"/>
      <c r="AKH541"/>
      <c r="AKI541"/>
      <c r="AKJ541"/>
      <c r="AKK541"/>
      <c r="AKL541"/>
      <c r="AKM541"/>
      <c r="AKN541"/>
      <c r="AKO541"/>
      <c r="AKP541"/>
      <c r="AKQ541"/>
      <c r="AKR541"/>
      <c r="AKS541"/>
      <c r="AKT541"/>
      <c r="AKU541"/>
      <c r="AKV541"/>
      <c r="AKW541"/>
      <c r="AKX541"/>
      <c r="AKY541"/>
    </row>
    <row r="542" spans="1:987">
      <c r="A542" s="178"/>
      <c r="B542" s="165"/>
      <c r="C542" s="166"/>
      <c r="D542" s="166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  <c r="ZY542"/>
      <c r="ZZ542"/>
      <c r="AAA542"/>
      <c r="AAB542"/>
      <c r="AAC542"/>
      <c r="AAD542"/>
      <c r="AAE542"/>
      <c r="AAF542"/>
      <c r="AAG542"/>
      <c r="AAH542"/>
      <c r="AAI542"/>
      <c r="AAJ542"/>
      <c r="AAK542"/>
      <c r="AAL542"/>
      <c r="AAM542"/>
      <c r="AAN542"/>
      <c r="AAO542"/>
      <c r="AAP542"/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  <c r="ABE542"/>
      <c r="ABF542"/>
      <c r="ABG542"/>
      <c r="ABH542"/>
      <c r="ABI542"/>
      <c r="ABJ542"/>
      <c r="ABK542"/>
      <c r="ABL542"/>
      <c r="ABM542"/>
      <c r="ABN542"/>
      <c r="ABO542"/>
      <c r="ABP542"/>
      <c r="ABQ542"/>
      <c r="ABR542"/>
      <c r="ABS542"/>
      <c r="ABT542"/>
      <c r="ABU542"/>
      <c r="ABV542"/>
      <c r="ABW542"/>
      <c r="ABX542"/>
      <c r="ABY542"/>
      <c r="ABZ542"/>
      <c r="ACA542"/>
      <c r="ACB542"/>
      <c r="ACC542"/>
      <c r="ACD542"/>
      <c r="ACE542"/>
      <c r="ACF542"/>
      <c r="ACG542"/>
      <c r="ACH542"/>
      <c r="ACI542"/>
      <c r="ACJ542"/>
      <c r="ACK542"/>
      <c r="ACL542"/>
      <c r="ACM542"/>
      <c r="ACN542"/>
      <c r="ACO542"/>
      <c r="ACP542"/>
      <c r="ACQ542"/>
      <c r="ACR542"/>
      <c r="ACS542"/>
      <c r="ACT542"/>
      <c r="ACU542"/>
      <c r="ACV542"/>
      <c r="ACW542"/>
      <c r="ACX542"/>
      <c r="ACY542"/>
      <c r="ACZ542"/>
      <c r="ADA542"/>
      <c r="ADB542"/>
      <c r="ADC542"/>
      <c r="ADD542"/>
      <c r="ADE542"/>
      <c r="ADF542"/>
      <c r="ADG542"/>
      <c r="ADH542"/>
      <c r="ADI542"/>
      <c r="ADJ542"/>
      <c r="ADK542"/>
      <c r="ADL542"/>
      <c r="ADM542"/>
      <c r="ADN542"/>
      <c r="ADO542"/>
      <c r="ADP542"/>
      <c r="ADQ542"/>
      <c r="ADR542"/>
      <c r="ADS542"/>
      <c r="ADT542"/>
      <c r="ADU542"/>
      <c r="ADV542"/>
      <c r="ADW542"/>
      <c r="ADX542"/>
      <c r="ADY542"/>
      <c r="ADZ542"/>
      <c r="AEA542"/>
      <c r="AEB542"/>
      <c r="AEC542"/>
      <c r="AED542"/>
      <c r="AEE542"/>
      <c r="AEF542"/>
      <c r="AEG542"/>
      <c r="AEH542"/>
      <c r="AEI542"/>
      <c r="AEJ542"/>
      <c r="AEK542"/>
      <c r="AEL542"/>
      <c r="AEM542"/>
      <c r="AEN542"/>
      <c r="AEO542"/>
      <c r="AEP542"/>
      <c r="AEQ542"/>
      <c r="AER542"/>
      <c r="AES542"/>
      <c r="AET542"/>
      <c r="AEU542"/>
      <c r="AEV542"/>
      <c r="AEW542"/>
      <c r="AEX542"/>
      <c r="AEY542"/>
      <c r="AEZ542"/>
      <c r="AFA542"/>
      <c r="AFB542"/>
      <c r="AFC542"/>
      <c r="AFD542"/>
      <c r="AFE542"/>
      <c r="AFF542"/>
      <c r="AFG542"/>
      <c r="AFH542"/>
      <c r="AFI542"/>
      <c r="AFJ542"/>
      <c r="AFK542"/>
      <c r="AFL542"/>
      <c r="AFM542"/>
      <c r="AFN542"/>
      <c r="AFO542"/>
      <c r="AFP542"/>
      <c r="AFQ542"/>
      <c r="AFR542"/>
      <c r="AFS542"/>
      <c r="AFT542"/>
      <c r="AFU542"/>
      <c r="AFV542"/>
      <c r="AFW542"/>
      <c r="AFX542"/>
      <c r="AFY542"/>
      <c r="AFZ542"/>
      <c r="AGA542"/>
      <c r="AGB542"/>
      <c r="AGC542"/>
      <c r="AGD542"/>
      <c r="AGE542"/>
      <c r="AGF542"/>
      <c r="AGG542"/>
      <c r="AGH542"/>
      <c r="AGI542"/>
      <c r="AGJ542"/>
      <c r="AGK542"/>
      <c r="AGL542"/>
      <c r="AGM542"/>
      <c r="AGN542"/>
      <c r="AGO542"/>
      <c r="AGP542"/>
      <c r="AGQ542"/>
      <c r="AGR542"/>
      <c r="AGS542"/>
      <c r="AGT542"/>
      <c r="AGU542"/>
      <c r="AGV542"/>
      <c r="AGW542"/>
      <c r="AGX542"/>
      <c r="AGY542"/>
      <c r="AGZ542"/>
      <c r="AHA542"/>
      <c r="AHB542"/>
      <c r="AHC542"/>
      <c r="AHD542"/>
      <c r="AHE542"/>
      <c r="AHF542"/>
      <c r="AHG542"/>
      <c r="AHH542"/>
      <c r="AHI542"/>
      <c r="AHJ542"/>
      <c r="AHK542"/>
      <c r="AHL542"/>
      <c r="AHM542"/>
      <c r="AHN542"/>
      <c r="AHO542"/>
      <c r="AHP542"/>
      <c r="AHQ542"/>
      <c r="AHR542"/>
      <c r="AHS542"/>
      <c r="AHT542"/>
      <c r="AHU542"/>
      <c r="AHV542"/>
      <c r="AHW542"/>
      <c r="AHX542"/>
      <c r="AHY542"/>
      <c r="AHZ542"/>
      <c r="AIA542"/>
      <c r="AIB542"/>
      <c r="AIC542"/>
      <c r="AID542"/>
      <c r="AIE542"/>
      <c r="AIF542"/>
      <c r="AIG542"/>
      <c r="AIH542"/>
      <c r="AII542"/>
      <c r="AIJ542"/>
      <c r="AIK542"/>
      <c r="AIL542"/>
      <c r="AIM542"/>
      <c r="AIN542"/>
      <c r="AIO542"/>
      <c r="AIP542"/>
      <c r="AIQ542"/>
      <c r="AIR542"/>
      <c r="AIS542"/>
      <c r="AIT542"/>
      <c r="AIU542"/>
      <c r="AIV542"/>
      <c r="AIW542"/>
      <c r="AIX542"/>
      <c r="AIY542"/>
      <c r="AIZ542"/>
      <c r="AJA542"/>
      <c r="AJB542"/>
      <c r="AJC542"/>
      <c r="AJD542"/>
      <c r="AJE542"/>
      <c r="AJF542"/>
      <c r="AJG542"/>
      <c r="AJH542"/>
      <c r="AJI542"/>
      <c r="AJJ542"/>
      <c r="AJK542"/>
      <c r="AJL542"/>
      <c r="AJM542"/>
      <c r="AJN542"/>
      <c r="AJO542"/>
      <c r="AJP542"/>
      <c r="AJQ542"/>
      <c r="AJR542"/>
      <c r="AJS542"/>
      <c r="AJT542"/>
      <c r="AJU542"/>
      <c r="AJV542"/>
      <c r="AJW542"/>
      <c r="AJX542"/>
      <c r="AJY542"/>
      <c r="AJZ542"/>
      <c r="AKA542"/>
      <c r="AKB542"/>
      <c r="AKC542"/>
      <c r="AKD542"/>
      <c r="AKE542"/>
      <c r="AKF542"/>
      <c r="AKG542"/>
      <c r="AKH542"/>
      <c r="AKI542"/>
      <c r="AKJ542"/>
      <c r="AKK542"/>
      <c r="AKL542"/>
      <c r="AKM542"/>
      <c r="AKN542"/>
      <c r="AKO542"/>
      <c r="AKP542"/>
      <c r="AKQ542"/>
      <c r="AKR542"/>
      <c r="AKS542"/>
      <c r="AKT542"/>
      <c r="AKU542"/>
      <c r="AKV542"/>
      <c r="AKW542"/>
      <c r="AKX542"/>
      <c r="AKY542"/>
    </row>
    <row r="543" spans="1:987">
      <c r="A543" s="421" t="s">
        <v>1451</v>
      </c>
      <c r="B543" s="305">
        <v>2994</v>
      </c>
      <c r="C543" s="306">
        <v>4090</v>
      </c>
      <c r="D543" s="306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  <c r="ZW543"/>
      <c r="ZX543"/>
      <c r="ZY543"/>
      <c r="ZZ543"/>
      <c r="AAA543"/>
      <c r="AAB543"/>
      <c r="AAC543"/>
      <c r="AAD543"/>
      <c r="AAE543"/>
      <c r="AAF543"/>
      <c r="AAG543"/>
      <c r="AAH543"/>
      <c r="AAI543"/>
      <c r="AAJ543"/>
      <c r="AAK543"/>
      <c r="AAL543"/>
      <c r="AAM543"/>
      <c r="AAN543"/>
      <c r="AAO543"/>
      <c r="AAP543"/>
      <c r="AAQ543"/>
      <c r="AAR543"/>
      <c r="AAS543"/>
      <c r="AAT543"/>
      <c r="AAU543"/>
      <c r="AAV543"/>
      <c r="AAW543"/>
      <c r="AAX543"/>
      <c r="AAY543"/>
      <c r="AAZ543"/>
      <c r="ABA543"/>
      <c r="ABB543"/>
      <c r="ABC543"/>
      <c r="ABD543"/>
      <c r="ABE543"/>
      <c r="ABF543"/>
      <c r="ABG543"/>
      <c r="ABH543"/>
      <c r="ABI543"/>
      <c r="ABJ543"/>
      <c r="ABK543"/>
      <c r="ABL543"/>
      <c r="ABM543"/>
      <c r="ABN543"/>
      <c r="ABO543"/>
      <c r="ABP543"/>
      <c r="ABQ543"/>
      <c r="ABR543"/>
      <c r="ABS543"/>
      <c r="ABT543"/>
      <c r="ABU543"/>
      <c r="ABV543"/>
      <c r="ABW543"/>
      <c r="ABX543"/>
      <c r="ABY543"/>
      <c r="ABZ543"/>
      <c r="ACA543"/>
      <c r="ACB543"/>
      <c r="ACC543"/>
      <c r="ACD543"/>
      <c r="ACE543"/>
      <c r="ACF543"/>
      <c r="ACG543"/>
      <c r="ACH543"/>
      <c r="ACI543"/>
      <c r="ACJ543"/>
      <c r="ACK543"/>
      <c r="ACL543"/>
      <c r="ACM543"/>
      <c r="ACN543"/>
      <c r="ACO543"/>
      <c r="ACP543"/>
      <c r="ACQ543"/>
      <c r="ACR543"/>
      <c r="ACS543"/>
      <c r="ACT543"/>
      <c r="ACU543"/>
      <c r="ACV543"/>
      <c r="ACW543"/>
      <c r="ACX543"/>
      <c r="ACY543"/>
      <c r="ACZ543"/>
      <c r="ADA543"/>
      <c r="ADB543"/>
      <c r="ADC543"/>
      <c r="ADD543"/>
      <c r="ADE543"/>
      <c r="ADF543"/>
      <c r="ADG543"/>
      <c r="ADH543"/>
      <c r="ADI543"/>
      <c r="ADJ543"/>
      <c r="ADK543"/>
      <c r="ADL543"/>
      <c r="ADM543"/>
      <c r="ADN543"/>
      <c r="ADO543"/>
      <c r="ADP543"/>
      <c r="ADQ543"/>
      <c r="ADR543"/>
      <c r="ADS543"/>
      <c r="ADT543"/>
      <c r="ADU543"/>
      <c r="ADV543"/>
      <c r="ADW543"/>
      <c r="ADX543"/>
      <c r="ADY543"/>
      <c r="ADZ543"/>
      <c r="AEA543"/>
      <c r="AEB543"/>
      <c r="AEC543"/>
      <c r="AED543"/>
      <c r="AEE543"/>
      <c r="AEF543"/>
      <c r="AEG543"/>
      <c r="AEH543"/>
      <c r="AEI543"/>
      <c r="AEJ543"/>
      <c r="AEK543"/>
      <c r="AEL543"/>
      <c r="AEM543"/>
      <c r="AEN543"/>
      <c r="AEO543"/>
      <c r="AEP543"/>
      <c r="AEQ543"/>
      <c r="AER543"/>
      <c r="AES543"/>
      <c r="AET543"/>
      <c r="AEU543"/>
      <c r="AEV543"/>
      <c r="AEW543"/>
      <c r="AEX543"/>
      <c r="AEY543"/>
      <c r="AEZ543"/>
      <c r="AFA543"/>
      <c r="AFB543"/>
      <c r="AFC543"/>
      <c r="AFD543"/>
      <c r="AFE543"/>
      <c r="AFF543"/>
      <c r="AFG543"/>
      <c r="AFH543"/>
      <c r="AFI543"/>
      <c r="AFJ543"/>
      <c r="AFK543"/>
      <c r="AFL543"/>
      <c r="AFM543"/>
      <c r="AFN543"/>
      <c r="AFO543"/>
      <c r="AFP543"/>
      <c r="AFQ543"/>
      <c r="AFR543"/>
      <c r="AFS543"/>
      <c r="AFT543"/>
      <c r="AFU543"/>
      <c r="AFV543"/>
      <c r="AFW543"/>
      <c r="AFX543"/>
      <c r="AFY543"/>
      <c r="AFZ543"/>
      <c r="AGA543"/>
      <c r="AGB543"/>
      <c r="AGC543"/>
      <c r="AGD543"/>
      <c r="AGE543"/>
      <c r="AGF543"/>
      <c r="AGG543"/>
      <c r="AGH543"/>
      <c r="AGI543"/>
      <c r="AGJ543"/>
      <c r="AGK543"/>
      <c r="AGL543"/>
      <c r="AGM543"/>
      <c r="AGN543"/>
      <c r="AGO543"/>
      <c r="AGP543"/>
      <c r="AGQ543"/>
      <c r="AGR543"/>
      <c r="AGS543"/>
      <c r="AGT543"/>
      <c r="AGU543"/>
      <c r="AGV543"/>
      <c r="AGW543"/>
      <c r="AGX543"/>
      <c r="AGY543"/>
      <c r="AGZ543"/>
      <c r="AHA543"/>
      <c r="AHB543"/>
      <c r="AHC543"/>
      <c r="AHD543"/>
      <c r="AHE543"/>
      <c r="AHF543"/>
      <c r="AHG543"/>
      <c r="AHH543"/>
      <c r="AHI543"/>
      <c r="AHJ543"/>
      <c r="AHK543"/>
      <c r="AHL543"/>
      <c r="AHM543"/>
      <c r="AHN543"/>
      <c r="AHO543"/>
      <c r="AHP543"/>
      <c r="AHQ543"/>
      <c r="AHR543"/>
      <c r="AHS543"/>
      <c r="AHT543"/>
      <c r="AHU543"/>
      <c r="AHV543"/>
      <c r="AHW543"/>
      <c r="AHX543"/>
      <c r="AHY543"/>
      <c r="AHZ543"/>
      <c r="AIA543"/>
      <c r="AIB543"/>
      <c r="AIC543"/>
      <c r="AID543"/>
      <c r="AIE543"/>
      <c r="AIF543"/>
      <c r="AIG543"/>
      <c r="AIH543"/>
      <c r="AII543"/>
      <c r="AIJ543"/>
      <c r="AIK543"/>
      <c r="AIL543"/>
      <c r="AIM543"/>
      <c r="AIN543"/>
      <c r="AIO543"/>
      <c r="AIP543"/>
      <c r="AIQ543"/>
      <c r="AIR543"/>
      <c r="AIS543"/>
      <c r="AIT543"/>
      <c r="AIU543"/>
      <c r="AIV543"/>
      <c r="AIW543"/>
      <c r="AIX543"/>
      <c r="AIY543"/>
      <c r="AIZ543"/>
      <c r="AJA543"/>
      <c r="AJB543"/>
      <c r="AJC543"/>
      <c r="AJD543"/>
      <c r="AJE543"/>
      <c r="AJF543"/>
      <c r="AJG543"/>
      <c r="AJH543"/>
      <c r="AJI543"/>
      <c r="AJJ543"/>
      <c r="AJK543"/>
      <c r="AJL543"/>
      <c r="AJM543"/>
      <c r="AJN543"/>
      <c r="AJO543"/>
      <c r="AJP543"/>
      <c r="AJQ543"/>
      <c r="AJR543"/>
      <c r="AJS543"/>
      <c r="AJT543"/>
      <c r="AJU543"/>
      <c r="AJV543"/>
      <c r="AJW543"/>
      <c r="AJX543"/>
      <c r="AJY543"/>
      <c r="AJZ543"/>
      <c r="AKA543"/>
      <c r="AKB543"/>
      <c r="AKC543"/>
      <c r="AKD543"/>
      <c r="AKE543"/>
      <c r="AKF543"/>
      <c r="AKG543"/>
      <c r="AKH543"/>
      <c r="AKI543"/>
      <c r="AKJ543"/>
      <c r="AKK543"/>
      <c r="AKL543"/>
      <c r="AKM543"/>
      <c r="AKN543"/>
      <c r="AKO543"/>
      <c r="AKP543"/>
      <c r="AKQ543"/>
      <c r="AKR543"/>
      <c r="AKS543"/>
      <c r="AKT543"/>
      <c r="AKU543"/>
      <c r="AKV543"/>
      <c r="AKW543"/>
      <c r="AKX543"/>
      <c r="AKY543"/>
    </row>
    <row r="544" spans="1:987">
      <c r="A544" s="421" t="s">
        <v>1452</v>
      </c>
      <c r="B544" s="305">
        <v>3156</v>
      </c>
      <c r="C544" s="306">
        <v>4090</v>
      </c>
      <c r="D544" s="306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  <c r="ZY544"/>
      <c r="ZZ544"/>
      <c r="AAA544"/>
      <c r="AAB544"/>
      <c r="AAC544"/>
      <c r="AAD544"/>
      <c r="AAE544"/>
      <c r="AAF544"/>
      <c r="AAG544"/>
      <c r="AAH544"/>
      <c r="AAI544"/>
      <c r="AAJ544"/>
      <c r="AAK544"/>
      <c r="AAL544"/>
      <c r="AAM544"/>
      <c r="AAN544"/>
      <c r="AAO544"/>
      <c r="AAP544"/>
      <c r="AAQ544"/>
      <c r="AAR544"/>
      <c r="AAS544"/>
      <c r="AAT544"/>
      <c r="AAU544"/>
      <c r="AAV544"/>
      <c r="AAW544"/>
      <c r="AAX544"/>
      <c r="AAY544"/>
      <c r="AAZ544"/>
      <c r="ABA544"/>
      <c r="ABB544"/>
      <c r="ABC544"/>
      <c r="ABD544"/>
      <c r="ABE544"/>
      <c r="ABF544"/>
      <c r="ABG544"/>
      <c r="ABH544"/>
      <c r="ABI544"/>
      <c r="ABJ544"/>
      <c r="ABK544"/>
      <c r="ABL544"/>
      <c r="ABM544"/>
      <c r="ABN544"/>
      <c r="ABO544"/>
      <c r="ABP544"/>
      <c r="ABQ544"/>
      <c r="ABR544"/>
      <c r="ABS544"/>
      <c r="ABT544"/>
      <c r="ABU544"/>
      <c r="ABV544"/>
      <c r="ABW544"/>
      <c r="ABX544"/>
      <c r="ABY544"/>
      <c r="ABZ544"/>
      <c r="ACA544"/>
      <c r="ACB544"/>
      <c r="ACC544"/>
      <c r="ACD544"/>
      <c r="ACE544"/>
      <c r="ACF544"/>
      <c r="ACG544"/>
      <c r="ACH544"/>
      <c r="ACI544"/>
      <c r="ACJ544"/>
      <c r="ACK544"/>
      <c r="ACL544"/>
      <c r="ACM544"/>
      <c r="ACN544"/>
      <c r="ACO544"/>
      <c r="ACP544"/>
      <c r="ACQ544"/>
      <c r="ACR544"/>
      <c r="ACS544"/>
      <c r="ACT544"/>
      <c r="ACU544"/>
      <c r="ACV544"/>
      <c r="ACW544"/>
      <c r="ACX544"/>
      <c r="ACY544"/>
      <c r="ACZ544"/>
      <c r="ADA544"/>
      <c r="ADB544"/>
      <c r="ADC544"/>
      <c r="ADD544"/>
      <c r="ADE544"/>
      <c r="ADF544"/>
      <c r="ADG544"/>
      <c r="ADH544"/>
      <c r="ADI544"/>
      <c r="ADJ544"/>
      <c r="ADK544"/>
      <c r="ADL544"/>
      <c r="ADM544"/>
      <c r="ADN544"/>
      <c r="ADO544"/>
      <c r="ADP544"/>
      <c r="ADQ544"/>
      <c r="ADR544"/>
      <c r="ADS544"/>
      <c r="ADT544"/>
      <c r="ADU544"/>
      <c r="ADV544"/>
      <c r="ADW544"/>
      <c r="ADX544"/>
      <c r="ADY544"/>
      <c r="ADZ544"/>
      <c r="AEA544"/>
      <c r="AEB544"/>
      <c r="AEC544"/>
      <c r="AED544"/>
      <c r="AEE544"/>
      <c r="AEF544"/>
      <c r="AEG544"/>
      <c r="AEH544"/>
      <c r="AEI544"/>
      <c r="AEJ544"/>
      <c r="AEK544"/>
      <c r="AEL544"/>
      <c r="AEM544"/>
      <c r="AEN544"/>
      <c r="AEO544"/>
      <c r="AEP544"/>
      <c r="AEQ544"/>
      <c r="AER544"/>
      <c r="AES544"/>
      <c r="AET544"/>
      <c r="AEU544"/>
      <c r="AEV544"/>
      <c r="AEW544"/>
      <c r="AEX544"/>
      <c r="AEY544"/>
      <c r="AEZ544"/>
      <c r="AFA544"/>
      <c r="AFB544"/>
      <c r="AFC544"/>
      <c r="AFD544"/>
      <c r="AFE544"/>
      <c r="AFF544"/>
      <c r="AFG544"/>
      <c r="AFH544"/>
      <c r="AFI544"/>
      <c r="AFJ544"/>
      <c r="AFK544"/>
      <c r="AFL544"/>
      <c r="AFM544"/>
      <c r="AFN544"/>
      <c r="AFO544"/>
      <c r="AFP544"/>
      <c r="AFQ544"/>
      <c r="AFR544"/>
      <c r="AFS544"/>
      <c r="AFT544"/>
      <c r="AFU544"/>
      <c r="AFV544"/>
      <c r="AFW544"/>
      <c r="AFX544"/>
      <c r="AFY544"/>
      <c r="AFZ544"/>
      <c r="AGA544"/>
      <c r="AGB544"/>
      <c r="AGC544"/>
      <c r="AGD544"/>
      <c r="AGE544"/>
      <c r="AGF544"/>
      <c r="AGG544"/>
      <c r="AGH544"/>
      <c r="AGI544"/>
      <c r="AGJ544"/>
      <c r="AGK544"/>
      <c r="AGL544"/>
      <c r="AGM544"/>
      <c r="AGN544"/>
      <c r="AGO544"/>
      <c r="AGP544"/>
      <c r="AGQ544"/>
      <c r="AGR544"/>
      <c r="AGS544"/>
      <c r="AGT544"/>
      <c r="AGU544"/>
      <c r="AGV544"/>
      <c r="AGW544"/>
      <c r="AGX544"/>
      <c r="AGY544"/>
      <c r="AGZ544"/>
      <c r="AHA544"/>
      <c r="AHB544"/>
      <c r="AHC544"/>
      <c r="AHD544"/>
      <c r="AHE544"/>
      <c r="AHF544"/>
      <c r="AHG544"/>
      <c r="AHH544"/>
      <c r="AHI544"/>
      <c r="AHJ544"/>
      <c r="AHK544"/>
      <c r="AHL544"/>
      <c r="AHM544"/>
      <c r="AHN544"/>
      <c r="AHO544"/>
      <c r="AHP544"/>
      <c r="AHQ544"/>
      <c r="AHR544"/>
      <c r="AHS544"/>
      <c r="AHT544"/>
      <c r="AHU544"/>
      <c r="AHV544"/>
      <c r="AHW544"/>
      <c r="AHX544"/>
      <c r="AHY544"/>
      <c r="AHZ544"/>
      <c r="AIA544"/>
      <c r="AIB544"/>
      <c r="AIC544"/>
      <c r="AID544"/>
      <c r="AIE544"/>
      <c r="AIF544"/>
      <c r="AIG544"/>
      <c r="AIH544"/>
      <c r="AII544"/>
      <c r="AIJ544"/>
      <c r="AIK544"/>
      <c r="AIL544"/>
      <c r="AIM544"/>
      <c r="AIN544"/>
      <c r="AIO544"/>
      <c r="AIP544"/>
      <c r="AIQ544"/>
      <c r="AIR544"/>
      <c r="AIS544"/>
      <c r="AIT544"/>
      <c r="AIU544"/>
      <c r="AIV544"/>
      <c r="AIW544"/>
      <c r="AIX544"/>
      <c r="AIY544"/>
      <c r="AIZ544"/>
      <c r="AJA544"/>
      <c r="AJB544"/>
      <c r="AJC544"/>
      <c r="AJD544"/>
      <c r="AJE544"/>
      <c r="AJF544"/>
      <c r="AJG544"/>
      <c r="AJH544"/>
      <c r="AJI544"/>
      <c r="AJJ544"/>
      <c r="AJK544"/>
      <c r="AJL544"/>
      <c r="AJM544"/>
      <c r="AJN544"/>
      <c r="AJO544"/>
      <c r="AJP544"/>
      <c r="AJQ544"/>
      <c r="AJR544"/>
      <c r="AJS544"/>
      <c r="AJT544"/>
      <c r="AJU544"/>
      <c r="AJV544"/>
      <c r="AJW544"/>
      <c r="AJX544"/>
      <c r="AJY544"/>
      <c r="AJZ544"/>
      <c r="AKA544"/>
      <c r="AKB544"/>
      <c r="AKC544"/>
      <c r="AKD544"/>
      <c r="AKE544"/>
      <c r="AKF544"/>
      <c r="AKG544"/>
      <c r="AKH544"/>
      <c r="AKI544"/>
      <c r="AKJ544"/>
      <c r="AKK544"/>
      <c r="AKL544"/>
      <c r="AKM544"/>
      <c r="AKN544"/>
      <c r="AKO544"/>
      <c r="AKP544"/>
      <c r="AKQ544"/>
      <c r="AKR544"/>
      <c r="AKS544"/>
      <c r="AKT544"/>
      <c r="AKU544"/>
      <c r="AKV544"/>
      <c r="AKW544"/>
      <c r="AKX544"/>
      <c r="AKY544"/>
    </row>
    <row r="545" spans="1:987">
      <c r="A545" s="421" t="s">
        <v>1455</v>
      </c>
      <c r="B545" s="305">
        <v>2901</v>
      </c>
      <c r="C545" s="306">
        <v>4090</v>
      </c>
      <c r="D545" s="306" t="s">
        <v>1458</v>
      </c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  <c r="ZW545"/>
      <c r="ZX545"/>
      <c r="ZY545"/>
      <c r="ZZ545"/>
      <c r="AAA545"/>
      <c r="AAB545"/>
      <c r="AAC545"/>
      <c r="AAD545"/>
      <c r="AAE545"/>
      <c r="AAF545"/>
      <c r="AAG545"/>
      <c r="AAH545"/>
      <c r="AAI545"/>
      <c r="AAJ545"/>
      <c r="AAK545"/>
      <c r="AAL545"/>
      <c r="AAM545"/>
      <c r="AAN545"/>
      <c r="AAO545"/>
      <c r="AAP545"/>
      <c r="AAQ545"/>
      <c r="AAR545"/>
      <c r="AAS545"/>
      <c r="AAT545"/>
      <c r="AAU545"/>
      <c r="AAV545"/>
      <c r="AAW545"/>
      <c r="AAX545"/>
      <c r="AAY545"/>
      <c r="AAZ545"/>
      <c r="ABA545"/>
      <c r="ABB545"/>
      <c r="ABC545"/>
      <c r="ABD545"/>
      <c r="ABE545"/>
      <c r="ABF545"/>
      <c r="ABG545"/>
      <c r="ABH545"/>
      <c r="ABI545"/>
      <c r="ABJ545"/>
      <c r="ABK545"/>
      <c r="ABL545"/>
      <c r="ABM545"/>
      <c r="ABN545"/>
      <c r="ABO545"/>
      <c r="ABP545"/>
      <c r="ABQ545"/>
      <c r="ABR545"/>
      <c r="ABS545"/>
      <c r="ABT545"/>
      <c r="ABU545"/>
      <c r="ABV545"/>
      <c r="ABW545"/>
      <c r="ABX545"/>
      <c r="ABY545"/>
      <c r="ABZ545"/>
      <c r="ACA545"/>
      <c r="ACB545"/>
      <c r="ACC545"/>
      <c r="ACD545"/>
      <c r="ACE545"/>
      <c r="ACF545"/>
      <c r="ACG545"/>
      <c r="ACH545"/>
      <c r="ACI545"/>
      <c r="ACJ545"/>
      <c r="ACK545"/>
      <c r="ACL545"/>
      <c r="ACM545"/>
      <c r="ACN545"/>
      <c r="ACO545"/>
      <c r="ACP545"/>
      <c r="ACQ545"/>
      <c r="ACR545"/>
      <c r="ACS545"/>
      <c r="ACT545"/>
      <c r="ACU545"/>
      <c r="ACV545"/>
      <c r="ACW545"/>
      <c r="ACX545"/>
      <c r="ACY545"/>
      <c r="ACZ545"/>
      <c r="ADA545"/>
      <c r="ADB545"/>
      <c r="ADC545"/>
      <c r="ADD545"/>
      <c r="ADE545"/>
      <c r="ADF545"/>
      <c r="ADG545"/>
      <c r="ADH545"/>
      <c r="ADI545"/>
      <c r="ADJ545"/>
      <c r="ADK545"/>
      <c r="ADL545"/>
      <c r="ADM545"/>
      <c r="ADN545"/>
      <c r="ADO545"/>
      <c r="ADP545"/>
      <c r="ADQ545"/>
      <c r="ADR545"/>
      <c r="ADS545"/>
      <c r="ADT545"/>
      <c r="ADU545"/>
      <c r="ADV545"/>
      <c r="ADW545"/>
      <c r="ADX545"/>
      <c r="ADY545"/>
      <c r="ADZ545"/>
      <c r="AEA545"/>
      <c r="AEB545"/>
      <c r="AEC545"/>
      <c r="AED545"/>
      <c r="AEE545"/>
      <c r="AEF545"/>
      <c r="AEG545"/>
      <c r="AEH545"/>
      <c r="AEI545"/>
      <c r="AEJ545"/>
      <c r="AEK545"/>
      <c r="AEL545"/>
      <c r="AEM545"/>
      <c r="AEN545"/>
      <c r="AEO545"/>
      <c r="AEP545"/>
      <c r="AEQ545"/>
      <c r="AER545"/>
      <c r="AES545"/>
      <c r="AET545"/>
      <c r="AEU545"/>
      <c r="AEV545"/>
      <c r="AEW545"/>
      <c r="AEX545"/>
      <c r="AEY545"/>
      <c r="AEZ545"/>
      <c r="AFA545"/>
      <c r="AFB545"/>
      <c r="AFC545"/>
      <c r="AFD545"/>
      <c r="AFE545"/>
      <c r="AFF545"/>
      <c r="AFG545"/>
      <c r="AFH545"/>
      <c r="AFI545"/>
      <c r="AFJ545"/>
      <c r="AFK545"/>
      <c r="AFL545"/>
      <c r="AFM545"/>
      <c r="AFN545"/>
      <c r="AFO545"/>
      <c r="AFP545"/>
      <c r="AFQ545"/>
      <c r="AFR545"/>
      <c r="AFS545"/>
      <c r="AFT545"/>
      <c r="AFU545"/>
      <c r="AFV545"/>
      <c r="AFW545"/>
      <c r="AFX545"/>
      <c r="AFY545"/>
      <c r="AFZ545"/>
      <c r="AGA545"/>
      <c r="AGB545"/>
      <c r="AGC545"/>
      <c r="AGD545"/>
      <c r="AGE545"/>
      <c r="AGF545"/>
      <c r="AGG545"/>
      <c r="AGH545"/>
      <c r="AGI545"/>
      <c r="AGJ545"/>
      <c r="AGK545"/>
      <c r="AGL545"/>
      <c r="AGM545"/>
      <c r="AGN545"/>
      <c r="AGO545"/>
      <c r="AGP545"/>
      <c r="AGQ545"/>
      <c r="AGR545"/>
      <c r="AGS545"/>
      <c r="AGT545"/>
      <c r="AGU545"/>
      <c r="AGV545"/>
      <c r="AGW545"/>
      <c r="AGX545"/>
      <c r="AGY545"/>
      <c r="AGZ545"/>
      <c r="AHA545"/>
      <c r="AHB545"/>
      <c r="AHC545"/>
      <c r="AHD545"/>
      <c r="AHE545"/>
      <c r="AHF545"/>
      <c r="AHG545"/>
      <c r="AHH545"/>
      <c r="AHI545"/>
      <c r="AHJ545"/>
      <c r="AHK545"/>
      <c r="AHL545"/>
      <c r="AHM545"/>
      <c r="AHN545"/>
      <c r="AHO545"/>
      <c r="AHP545"/>
      <c r="AHQ545"/>
      <c r="AHR545"/>
      <c r="AHS545"/>
      <c r="AHT545"/>
      <c r="AHU545"/>
      <c r="AHV545"/>
      <c r="AHW545"/>
      <c r="AHX545"/>
      <c r="AHY545"/>
      <c r="AHZ545"/>
      <c r="AIA545"/>
      <c r="AIB545"/>
      <c r="AIC545"/>
      <c r="AID545"/>
      <c r="AIE545"/>
      <c r="AIF545"/>
      <c r="AIG545"/>
      <c r="AIH545"/>
      <c r="AII545"/>
      <c r="AIJ545"/>
      <c r="AIK545"/>
      <c r="AIL545"/>
      <c r="AIM545"/>
      <c r="AIN545"/>
      <c r="AIO545"/>
      <c r="AIP545"/>
      <c r="AIQ545"/>
      <c r="AIR545"/>
      <c r="AIS545"/>
      <c r="AIT545"/>
      <c r="AIU545"/>
      <c r="AIV545"/>
      <c r="AIW545"/>
      <c r="AIX545"/>
      <c r="AIY545"/>
      <c r="AIZ545"/>
      <c r="AJA545"/>
      <c r="AJB545"/>
      <c r="AJC545"/>
      <c r="AJD545"/>
      <c r="AJE545"/>
      <c r="AJF545"/>
      <c r="AJG545"/>
      <c r="AJH545"/>
      <c r="AJI545"/>
      <c r="AJJ545"/>
      <c r="AJK545"/>
      <c r="AJL545"/>
      <c r="AJM545"/>
      <c r="AJN545"/>
      <c r="AJO545"/>
      <c r="AJP545"/>
      <c r="AJQ545"/>
      <c r="AJR545"/>
      <c r="AJS545"/>
      <c r="AJT545"/>
      <c r="AJU545"/>
      <c r="AJV545"/>
      <c r="AJW545"/>
      <c r="AJX545"/>
      <c r="AJY545"/>
      <c r="AJZ545"/>
      <c r="AKA545"/>
      <c r="AKB545"/>
      <c r="AKC545"/>
      <c r="AKD545"/>
      <c r="AKE545"/>
      <c r="AKF545"/>
      <c r="AKG545"/>
      <c r="AKH545"/>
      <c r="AKI545"/>
      <c r="AKJ545"/>
      <c r="AKK545"/>
      <c r="AKL545"/>
      <c r="AKM545"/>
      <c r="AKN545"/>
      <c r="AKO545"/>
      <c r="AKP545"/>
      <c r="AKQ545"/>
      <c r="AKR545"/>
      <c r="AKS545"/>
      <c r="AKT545"/>
      <c r="AKU545"/>
      <c r="AKV545"/>
      <c r="AKW545"/>
      <c r="AKX545"/>
      <c r="AKY545"/>
    </row>
    <row r="546" spans="1:987">
      <c r="A546" s="421" t="s">
        <v>1459</v>
      </c>
      <c r="B546" s="305">
        <v>3224</v>
      </c>
      <c r="C546" s="306">
        <v>4090</v>
      </c>
      <c r="D546" s="30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  <c r="ZW546"/>
      <c r="ZX546"/>
      <c r="ZY546"/>
      <c r="ZZ546"/>
      <c r="AAA546"/>
      <c r="AAB546"/>
      <c r="AAC546"/>
      <c r="AAD546"/>
      <c r="AAE546"/>
      <c r="AAF546"/>
      <c r="AAG546"/>
      <c r="AAH546"/>
      <c r="AAI546"/>
      <c r="AAJ546"/>
      <c r="AAK546"/>
      <c r="AAL546"/>
      <c r="AAM546"/>
      <c r="AAN546"/>
      <c r="AAO546"/>
      <c r="AAP546"/>
      <c r="AAQ546"/>
      <c r="AAR546"/>
      <c r="AAS546"/>
      <c r="AAT546"/>
      <c r="AAU546"/>
      <c r="AAV546"/>
      <c r="AAW546"/>
      <c r="AAX546"/>
      <c r="AAY546"/>
      <c r="AAZ546"/>
      <c r="ABA546"/>
      <c r="ABB546"/>
      <c r="ABC546"/>
      <c r="ABD546"/>
      <c r="ABE546"/>
      <c r="ABF546"/>
      <c r="ABG546"/>
      <c r="ABH546"/>
      <c r="ABI546"/>
      <c r="ABJ546"/>
      <c r="ABK546"/>
      <c r="ABL546"/>
      <c r="ABM546"/>
      <c r="ABN546"/>
      <c r="ABO546"/>
      <c r="ABP546"/>
      <c r="ABQ546"/>
      <c r="ABR546"/>
      <c r="ABS546"/>
      <c r="ABT546"/>
      <c r="ABU546"/>
      <c r="ABV546"/>
      <c r="ABW546"/>
      <c r="ABX546"/>
      <c r="ABY546"/>
      <c r="ABZ546"/>
      <c r="ACA546"/>
      <c r="ACB546"/>
      <c r="ACC546"/>
      <c r="ACD546"/>
      <c r="ACE546"/>
      <c r="ACF546"/>
      <c r="ACG546"/>
      <c r="ACH546"/>
      <c r="ACI546"/>
      <c r="ACJ546"/>
      <c r="ACK546"/>
      <c r="ACL546"/>
      <c r="ACM546"/>
      <c r="ACN546"/>
      <c r="ACO546"/>
      <c r="ACP546"/>
      <c r="ACQ546"/>
      <c r="ACR546"/>
      <c r="ACS546"/>
      <c r="ACT546"/>
      <c r="ACU546"/>
      <c r="ACV546"/>
      <c r="ACW546"/>
      <c r="ACX546"/>
      <c r="ACY546"/>
      <c r="ACZ546"/>
      <c r="ADA546"/>
      <c r="ADB546"/>
      <c r="ADC546"/>
      <c r="ADD546"/>
      <c r="ADE546"/>
      <c r="ADF546"/>
      <c r="ADG546"/>
      <c r="ADH546"/>
      <c r="ADI546"/>
      <c r="ADJ546"/>
      <c r="ADK546"/>
      <c r="ADL546"/>
      <c r="ADM546"/>
      <c r="ADN546"/>
      <c r="ADO546"/>
      <c r="ADP546"/>
      <c r="ADQ546"/>
      <c r="ADR546"/>
      <c r="ADS546"/>
      <c r="ADT546"/>
      <c r="ADU546"/>
      <c r="ADV546"/>
      <c r="ADW546"/>
      <c r="ADX546"/>
      <c r="ADY546"/>
      <c r="ADZ546"/>
      <c r="AEA546"/>
      <c r="AEB546"/>
      <c r="AEC546"/>
      <c r="AED546"/>
      <c r="AEE546"/>
      <c r="AEF546"/>
      <c r="AEG546"/>
      <c r="AEH546"/>
      <c r="AEI546"/>
      <c r="AEJ546"/>
      <c r="AEK546"/>
      <c r="AEL546"/>
      <c r="AEM546"/>
      <c r="AEN546"/>
      <c r="AEO546"/>
      <c r="AEP546"/>
      <c r="AEQ546"/>
      <c r="AER546"/>
      <c r="AES546"/>
      <c r="AET546"/>
      <c r="AEU546"/>
      <c r="AEV546"/>
      <c r="AEW546"/>
      <c r="AEX546"/>
      <c r="AEY546"/>
      <c r="AEZ546"/>
      <c r="AFA546"/>
      <c r="AFB546"/>
      <c r="AFC546"/>
      <c r="AFD546"/>
      <c r="AFE546"/>
      <c r="AFF546"/>
      <c r="AFG546"/>
      <c r="AFH546"/>
      <c r="AFI546"/>
      <c r="AFJ546"/>
      <c r="AFK546"/>
      <c r="AFL546"/>
      <c r="AFM546"/>
      <c r="AFN546"/>
      <c r="AFO546"/>
      <c r="AFP546"/>
      <c r="AFQ546"/>
      <c r="AFR546"/>
      <c r="AFS546"/>
      <c r="AFT546"/>
      <c r="AFU546"/>
      <c r="AFV546"/>
      <c r="AFW546"/>
      <c r="AFX546"/>
      <c r="AFY546"/>
      <c r="AFZ546"/>
      <c r="AGA546"/>
      <c r="AGB546"/>
      <c r="AGC546"/>
      <c r="AGD546"/>
      <c r="AGE546"/>
      <c r="AGF546"/>
      <c r="AGG546"/>
      <c r="AGH546"/>
      <c r="AGI546"/>
      <c r="AGJ546"/>
      <c r="AGK546"/>
      <c r="AGL546"/>
      <c r="AGM546"/>
      <c r="AGN546"/>
      <c r="AGO546"/>
      <c r="AGP546"/>
      <c r="AGQ546"/>
      <c r="AGR546"/>
      <c r="AGS546"/>
      <c r="AGT546"/>
      <c r="AGU546"/>
      <c r="AGV546"/>
      <c r="AGW546"/>
      <c r="AGX546"/>
      <c r="AGY546"/>
      <c r="AGZ546"/>
      <c r="AHA546"/>
      <c r="AHB546"/>
      <c r="AHC546"/>
      <c r="AHD546"/>
      <c r="AHE546"/>
      <c r="AHF546"/>
      <c r="AHG546"/>
      <c r="AHH546"/>
      <c r="AHI546"/>
      <c r="AHJ546"/>
      <c r="AHK546"/>
      <c r="AHL546"/>
      <c r="AHM546"/>
      <c r="AHN546"/>
      <c r="AHO546"/>
      <c r="AHP546"/>
      <c r="AHQ546"/>
      <c r="AHR546"/>
      <c r="AHS546"/>
      <c r="AHT546"/>
      <c r="AHU546"/>
      <c r="AHV546"/>
      <c r="AHW546"/>
      <c r="AHX546"/>
      <c r="AHY546"/>
      <c r="AHZ546"/>
      <c r="AIA546"/>
      <c r="AIB546"/>
      <c r="AIC546"/>
      <c r="AID546"/>
      <c r="AIE546"/>
      <c r="AIF546"/>
      <c r="AIG546"/>
      <c r="AIH546"/>
      <c r="AII546"/>
      <c r="AIJ546"/>
      <c r="AIK546"/>
      <c r="AIL546"/>
      <c r="AIM546"/>
      <c r="AIN546"/>
      <c r="AIO546"/>
      <c r="AIP546"/>
      <c r="AIQ546"/>
      <c r="AIR546"/>
      <c r="AIS546"/>
      <c r="AIT546"/>
      <c r="AIU546"/>
      <c r="AIV546"/>
      <c r="AIW546"/>
      <c r="AIX546"/>
      <c r="AIY546"/>
      <c r="AIZ546"/>
      <c r="AJA546"/>
      <c r="AJB546"/>
      <c r="AJC546"/>
      <c r="AJD546"/>
      <c r="AJE546"/>
      <c r="AJF546"/>
      <c r="AJG546"/>
      <c r="AJH546"/>
      <c r="AJI546"/>
      <c r="AJJ546"/>
      <c r="AJK546"/>
      <c r="AJL546"/>
      <c r="AJM546"/>
      <c r="AJN546"/>
      <c r="AJO546"/>
      <c r="AJP546"/>
      <c r="AJQ546"/>
      <c r="AJR546"/>
      <c r="AJS546"/>
      <c r="AJT546"/>
      <c r="AJU546"/>
      <c r="AJV546"/>
      <c r="AJW546"/>
      <c r="AJX546"/>
      <c r="AJY546"/>
      <c r="AJZ546"/>
      <c r="AKA546"/>
      <c r="AKB546"/>
      <c r="AKC546"/>
      <c r="AKD546"/>
      <c r="AKE546"/>
      <c r="AKF546"/>
      <c r="AKG546"/>
      <c r="AKH546"/>
      <c r="AKI546"/>
      <c r="AKJ546"/>
      <c r="AKK546"/>
      <c r="AKL546"/>
      <c r="AKM546"/>
      <c r="AKN546"/>
      <c r="AKO546"/>
      <c r="AKP546"/>
      <c r="AKQ546"/>
      <c r="AKR546"/>
      <c r="AKS546"/>
      <c r="AKT546"/>
      <c r="AKU546"/>
      <c r="AKV546"/>
      <c r="AKW546"/>
      <c r="AKX546"/>
      <c r="AKY546"/>
    </row>
    <row r="547" spans="1:987">
      <c r="A547" s="421" t="s">
        <v>1461</v>
      </c>
      <c r="B547" s="305">
        <v>2908</v>
      </c>
      <c r="C547" s="306">
        <v>4090</v>
      </c>
      <c r="D547" s="306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  <c r="ZW547"/>
      <c r="ZX547"/>
      <c r="ZY547"/>
      <c r="ZZ547"/>
      <c r="AAA547"/>
      <c r="AAB547"/>
      <c r="AAC547"/>
      <c r="AAD547"/>
      <c r="AAE547"/>
      <c r="AAF547"/>
      <c r="AAG547"/>
      <c r="AAH547"/>
      <c r="AAI547"/>
      <c r="AAJ547"/>
      <c r="AAK547"/>
      <c r="AAL547"/>
      <c r="AAM547"/>
      <c r="AAN547"/>
      <c r="AAO547"/>
      <c r="AAP547"/>
      <c r="AAQ547"/>
      <c r="AAR547"/>
      <c r="AAS547"/>
      <c r="AAT547"/>
      <c r="AAU547"/>
      <c r="AAV547"/>
      <c r="AAW547"/>
      <c r="AAX547"/>
      <c r="AAY547"/>
      <c r="AAZ547"/>
      <c r="ABA547"/>
      <c r="ABB547"/>
      <c r="ABC547"/>
      <c r="ABD547"/>
      <c r="ABE547"/>
      <c r="ABF547"/>
      <c r="ABG547"/>
      <c r="ABH547"/>
      <c r="ABI547"/>
      <c r="ABJ547"/>
      <c r="ABK547"/>
      <c r="ABL547"/>
      <c r="ABM547"/>
      <c r="ABN547"/>
      <c r="ABO547"/>
      <c r="ABP547"/>
      <c r="ABQ547"/>
      <c r="ABR547"/>
      <c r="ABS547"/>
      <c r="ABT547"/>
      <c r="ABU547"/>
      <c r="ABV547"/>
      <c r="ABW547"/>
      <c r="ABX547"/>
      <c r="ABY547"/>
      <c r="ABZ547"/>
      <c r="ACA547"/>
      <c r="ACB547"/>
      <c r="ACC547"/>
      <c r="ACD547"/>
      <c r="ACE547"/>
      <c r="ACF547"/>
      <c r="ACG547"/>
      <c r="ACH547"/>
      <c r="ACI547"/>
      <c r="ACJ547"/>
      <c r="ACK547"/>
      <c r="ACL547"/>
      <c r="ACM547"/>
      <c r="ACN547"/>
      <c r="ACO547"/>
      <c r="ACP547"/>
      <c r="ACQ547"/>
      <c r="ACR547"/>
      <c r="ACS547"/>
      <c r="ACT547"/>
      <c r="ACU547"/>
      <c r="ACV547"/>
      <c r="ACW547"/>
      <c r="ACX547"/>
      <c r="ACY547"/>
      <c r="ACZ547"/>
      <c r="ADA547"/>
      <c r="ADB547"/>
      <c r="ADC547"/>
      <c r="ADD547"/>
      <c r="ADE547"/>
      <c r="ADF547"/>
      <c r="ADG547"/>
      <c r="ADH547"/>
      <c r="ADI547"/>
      <c r="ADJ547"/>
      <c r="ADK547"/>
      <c r="ADL547"/>
      <c r="ADM547"/>
      <c r="ADN547"/>
      <c r="ADO547"/>
      <c r="ADP547"/>
      <c r="ADQ547"/>
      <c r="ADR547"/>
      <c r="ADS547"/>
      <c r="ADT547"/>
      <c r="ADU547"/>
      <c r="ADV547"/>
      <c r="ADW547"/>
      <c r="ADX547"/>
      <c r="ADY547"/>
      <c r="ADZ547"/>
      <c r="AEA547"/>
      <c r="AEB547"/>
      <c r="AEC547"/>
      <c r="AED547"/>
      <c r="AEE547"/>
      <c r="AEF547"/>
      <c r="AEG547"/>
      <c r="AEH547"/>
      <c r="AEI547"/>
      <c r="AEJ547"/>
      <c r="AEK547"/>
      <c r="AEL547"/>
      <c r="AEM547"/>
      <c r="AEN547"/>
      <c r="AEO547"/>
      <c r="AEP547"/>
      <c r="AEQ547"/>
      <c r="AER547"/>
      <c r="AES547"/>
      <c r="AET547"/>
      <c r="AEU547"/>
      <c r="AEV547"/>
      <c r="AEW547"/>
      <c r="AEX547"/>
      <c r="AEY547"/>
      <c r="AEZ547"/>
      <c r="AFA547"/>
      <c r="AFB547"/>
      <c r="AFC547"/>
      <c r="AFD547"/>
      <c r="AFE547"/>
      <c r="AFF547"/>
      <c r="AFG547"/>
      <c r="AFH547"/>
      <c r="AFI547"/>
      <c r="AFJ547"/>
      <c r="AFK547"/>
      <c r="AFL547"/>
      <c r="AFM547"/>
      <c r="AFN547"/>
      <c r="AFO547"/>
      <c r="AFP547"/>
      <c r="AFQ547"/>
      <c r="AFR547"/>
      <c r="AFS547"/>
      <c r="AFT547"/>
      <c r="AFU547"/>
      <c r="AFV547"/>
      <c r="AFW547"/>
      <c r="AFX547"/>
      <c r="AFY547"/>
      <c r="AFZ547"/>
      <c r="AGA547"/>
      <c r="AGB547"/>
      <c r="AGC547"/>
      <c r="AGD547"/>
      <c r="AGE547"/>
      <c r="AGF547"/>
      <c r="AGG547"/>
      <c r="AGH547"/>
      <c r="AGI547"/>
      <c r="AGJ547"/>
      <c r="AGK547"/>
      <c r="AGL547"/>
      <c r="AGM547"/>
      <c r="AGN547"/>
      <c r="AGO547"/>
      <c r="AGP547"/>
      <c r="AGQ547"/>
      <c r="AGR547"/>
      <c r="AGS547"/>
      <c r="AGT547"/>
      <c r="AGU547"/>
      <c r="AGV547"/>
      <c r="AGW547"/>
      <c r="AGX547"/>
      <c r="AGY547"/>
      <c r="AGZ547"/>
      <c r="AHA547"/>
      <c r="AHB547"/>
      <c r="AHC547"/>
      <c r="AHD547"/>
      <c r="AHE547"/>
      <c r="AHF547"/>
      <c r="AHG547"/>
      <c r="AHH547"/>
      <c r="AHI547"/>
      <c r="AHJ547"/>
      <c r="AHK547"/>
      <c r="AHL547"/>
      <c r="AHM547"/>
      <c r="AHN547"/>
      <c r="AHO547"/>
      <c r="AHP547"/>
      <c r="AHQ547"/>
      <c r="AHR547"/>
      <c r="AHS547"/>
      <c r="AHT547"/>
      <c r="AHU547"/>
      <c r="AHV547"/>
      <c r="AHW547"/>
      <c r="AHX547"/>
      <c r="AHY547"/>
      <c r="AHZ547"/>
      <c r="AIA547"/>
      <c r="AIB547"/>
      <c r="AIC547"/>
      <c r="AID547"/>
      <c r="AIE547"/>
      <c r="AIF547"/>
      <c r="AIG547"/>
      <c r="AIH547"/>
      <c r="AII547"/>
      <c r="AIJ547"/>
      <c r="AIK547"/>
      <c r="AIL547"/>
      <c r="AIM547"/>
      <c r="AIN547"/>
      <c r="AIO547"/>
      <c r="AIP547"/>
      <c r="AIQ547"/>
      <c r="AIR547"/>
      <c r="AIS547"/>
      <c r="AIT547"/>
      <c r="AIU547"/>
      <c r="AIV547"/>
      <c r="AIW547"/>
      <c r="AIX547"/>
      <c r="AIY547"/>
      <c r="AIZ547"/>
      <c r="AJA547"/>
      <c r="AJB547"/>
      <c r="AJC547"/>
      <c r="AJD547"/>
      <c r="AJE547"/>
      <c r="AJF547"/>
      <c r="AJG547"/>
      <c r="AJH547"/>
      <c r="AJI547"/>
      <c r="AJJ547"/>
      <c r="AJK547"/>
      <c r="AJL547"/>
      <c r="AJM547"/>
      <c r="AJN547"/>
      <c r="AJO547"/>
      <c r="AJP547"/>
      <c r="AJQ547"/>
      <c r="AJR547"/>
      <c r="AJS547"/>
      <c r="AJT547"/>
      <c r="AJU547"/>
      <c r="AJV547"/>
      <c r="AJW547"/>
      <c r="AJX547"/>
      <c r="AJY547"/>
      <c r="AJZ547"/>
      <c r="AKA547"/>
      <c r="AKB547"/>
      <c r="AKC547"/>
      <c r="AKD547"/>
      <c r="AKE547"/>
      <c r="AKF547"/>
      <c r="AKG547"/>
      <c r="AKH547"/>
      <c r="AKI547"/>
      <c r="AKJ547"/>
      <c r="AKK547"/>
      <c r="AKL547"/>
      <c r="AKM547"/>
      <c r="AKN547"/>
      <c r="AKO547"/>
      <c r="AKP547"/>
      <c r="AKQ547"/>
      <c r="AKR547"/>
      <c r="AKS547"/>
      <c r="AKT547"/>
      <c r="AKU547"/>
      <c r="AKV547"/>
      <c r="AKW547"/>
      <c r="AKX547"/>
      <c r="AKY547"/>
    </row>
    <row r="548" spans="1:987">
      <c r="A548" s="421" t="s">
        <v>1463</v>
      </c>
      <c r="B548" s="305"/>
      <c r="C548" s="306"/>
      <c r="D548" s="306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/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/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/>
      <c r="AGN548"/>
      <c r="AGO548"/>
      <c r="AGP548"/>
      <c r="AGQ548"/>
      <c r="AGR548"/>
      <c r="AGS548"/>
      <c r="AGT548"/>
      <c r="AGU548"/>
      <c r="AGV548"/>
      <c r="AGW548"/>
      <c r="AGX548"/>
      <c r="AGY548"/>
      <c r="AGZ548"/>
      <c r="AHA548"/>
      <c r="AHB548"/>
      <c r="AHC548"/>
      <c r="AHD548"/>
      <c r="AHE548"/>
      <c r="AHF548"/>
      <c r="AHG548"/>
      <c r="AHH548"/>
      <c r="AHI548"/>
      <c r="AHJ548"/>
      <c r="AHK548"/>
      <c r="AHL548"/>
      <c r="AHM548"/>
      <c r="AHN548"/>
      <c r="AHO548"/>
      <c r="AHP548"/>
      <c r="AHQ548"/>
      <c r="AHR548"/>
      <c r="AHS548"/>
      <c r="AHT548"/>
      <c r="AHU548"/>
      <c r="AHV548"/>
      <c r="AHW548"/>
      <c r="AHX548"/>
      <c r="AHY548"/>
      <c r="AHZ548"/>
      <c r="AIA548"/>
      <c r="AIB548"/>
      <c r="AIC548"/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/>
      <c r="AJQ548"/>
      <c r="AJR548"/>
      <c r="AJS548"/>
      <c r="AJT548"/>
      <c r="AJU548"/>
      <c r="AJV548"/>
      <c r="AJW548"/>
      <c r="AJX548"/>
      <c r="AJY548"/>
      <c r="AJZ548"/>
      <c r="AKA548"/>
      <c r="AKB548"/>
      <c r="AKC548"/>
      <c r="AKD548"/>
      <c r="AKE548"/>
      <c r="AKF548"/>
      <c r="AKG548"/>
      <c r="AKH548"/>
      <c r="AKI548"/>
      <c r="AKJ548"/>
      <c r="AKK548"/>
      <c r="AKL548"/>
      <c r="AKM548"/>
      <c r="AKN548"/>
      <c r="AKO548"/>
      <c r="AKP548"/>
      <c r="AKQ548"/>
      <c r="AKR548"/>
      <c r="AKS548"/>
      <c r="AKT548"/>
      <c r="AKU548"/>
      <c r="AKV548"/>
      <c r="AKW548"/>
      <c r="AKX548"/>
      <c r="AKY548"/>
    </row>
    <row r="549" spans="1:987">
      <c r="A549" s="421" t="s">
        <v>1466</v>
      </c>
      <c r="B549" s="305"/>
      <c r="C549" s="306"/>
      <c r="D549" s="306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  <c r="ZU549"/>
      <c r="ZV549"/>
      <c r="ZW549"/>
      <c r="ZX549"/>
      <c r="ZY549"/>
      <c r="ZZ549"/>
      <c r="AAA549"/>
      <c r="AAB549"/>
      <c r="AAC549"/>
      <c r="AAD549"/>
      <c r="AAE549"/>
      <c r="AAF549"/>
      <c r="AAG549"/>
      <c r="AAH549"/>
      <c r="AAI549"/>
      <c r="AAJ549"/>
      <c r="AAK549"/>
      <c r="AAL549"/>
      <c r="AAM549"/>
      <c r="AAN549"/>
      <c r="AAO549"/>
      <c r="AAP549"/>
      <c r="AAQ549"/>
      <c r="AAR549"/>
      <c r="AAS549"/>
      <c r="AAT549"/>
      <c r="AAU549"/>
      <c r="AAV549"/>
      <c r="AAW549"/>
      <c r="AAX549"/>
      <c r="AAY549"/>
      <c r="AAZ549"/>
      <c r="ABA549"/>
      <c r="ABB549"/>
      <c r="ABC549"/>
      <c r="ABD549"/>
      <c r="ABE549"/>
      <c r="ABF549"/>
      <c r="ABG549"/>
      <c r="ABH549"/>
      <c r="ABI549"/>
      <c r="ABJ549"/>
      <c r="ABK549"/>
      <c r="ABL549"/>
      <c r="ABM549"/>
      <c r="ABN549"/>
      <c r="ABO549"/>
      <c r="ABP549"/>
      <c r="ABQ549"/>
      <c r="ABR549"/>
      <c r="ABS549"/>
      <c r="ABT549"/>
      <c r="ABU549"/>
      <c r="ABV549"/>
      <c r="ABW549"/>
      <c r="ABX549"/>
      <c r="ABY549"/>
      <c r="ABZ549"/>
      <c r="ACA549"/>
      <c r="ACB549"/>
      <c r="ACC549"/>
      <c r="ACD549"/>
      <c r="ACE549"/>
      <c r="ACF549"/>
      <c r="ACG549"/>
      <c r="ACH549"/>
      <c r="ACI549"/>
      <c r="ACJ549"/>
      <c r="ACK549"/>
      <c r="ACL549"/>
      <c r="ACM549"/>
      <c r="ACN549"/>
      <c r="ACO549"/>
      <c r="ACP549"/>
      <c r="ACQ549"/>
      <c r="ACR549"/>
      <c r="ACS549"/>
      <c r="ACT549"/>
      <c r="ACU549"/>
      <c r="ACV549"/>
      <c r="ACW549"/>
      <c r="ACX549"/>
      <c r="ACY549"/>
      <c r="ACZ549"/>
      <c r="ADA549"/>
      <c r="ADB549"/>
      <c r="ADC549"/>
      <c r="ADD549"/>
      <c r="ADE549"/>
      <c r="ADF549"/>
      <c r="ADG549"/>
      <c r="ADH549"/>
      <c r="ADI549"/>
      <c r="ADJ549"/>
      <c r="ADK549"/>
      <c r="ADL549"/>
      <c r="ADM549"/>
      <c r="ADN549"/>
      <c r="ADO549"/>
      <c r="ADP549"/>
      <c r="ADQ549"/>
      <c r="ADR549"/>
      <c r="ADS549"/>
      <c r="ADT549"/>
      <c r="ADU549"/>
      <c r="ADV549"/>
      <c r="ADW549"/>
      <c r="ADX549"/>
      <c r="ADY549"/>
      <c r="ADZ549"/>
      <c r="AEA549"/>
      <c r="AEB549"/>
      <c r="AEC549"/>
      <c r="AED549"/>
      <c r="AEE549"/>
      <c r="AEF549"/>
      <c r="AEG549"/>
      <c r="AEH549"/>
      <c r="AEI549"/>
      <c r="AEJ549"/>
      <c r="AEK549"/>
      <c r="AEL549"/>
      <c r="AEM549"/>
      <c r="AEN549"/>
      <c r="AEO549"/>
      <c r="AEP549"/>
      <c r="AEQ549"/>
      <c r="AER549"/>
      <c r="AES549"/>
      <c r="AET549"/>
      <c r="AEU549"/>
      <c r="AEV549"/>
      <c r="AEW549"/>
      <c r="AEX549"/>
      <c r="AEY549"/>
      <c r="AEZ549"/>
      <c r="AFA549"/>
      <c r="AFB549"/>
      <c r="AFC549"/>
      <c r="AFD549"/>
      <c r="AFE549"/>
      <c r="AFF549"/>
      <c r="AFG549"/>
      <c r="AFH549"/>
      <c r="AFI549"/>
      <c r="AFJ549"/>
      <c r="AFK549"/>
      <c r="AFL549"/>
      <c r="AFM549"/>
      <c r="AFN549"/>
      <c r="AFO549"/>
      <c r="AFP549"/>
      <c r="AFQ549"/>
      <c r="AFR549"/>
      <c r="AFS549"/>
      <c r="AFT549"/>
      <c r="AFU549"/>
      <c r="AFV549"/>
      <c r="AFW549"/>
      <c r="AFX549"/>
      <c r="AFY549"/>
      <c r="AFZ549"/>
      <c r="AGA549"/>
      <c r="AGB549"/>
      <c r="AGC549"/>
      <c r="AGD549"/>
      <c r="AGE549"/>
      <c r="AGF549"/>
      <c r="AGG549"/>
      <c r="AGH549"/>
      <c r="AGI549"/>
      <c r="AGJ549"/>
      <c r="AGK549"/>
      <c r="AGL549"/>
      <c r="AGM549"/>
      <c r="AGN549"/>
      <c r="AGO549"/>
      <c r="AGP549"/>
      <c r="AGQ549"/>
      <c r="AGR549"/>
      <c r="AGS549"/>
      <c r="AGT549"/>
      <c r="AGU549"/>
      <c r="AGV549"/>
      <c r="AGW549"/>
      <c r="AGX549"/>
      <c r="AGY549"/>
      <c r="AGZ549"/>
      <c r="AHA549"/>
      <c r="AHB549"/>
      <c r="AHC549"/>
      <c r="AHD549"/>
      <c r="AHE549"/>
      <c r="AHF549"/>
      <c r="AHG549"/>
      <c r="AHH549"/>
      <c r="AHI549"/>
      <c r="AHJ549"/>
      <c r="AHK549"/>
      <c r="AHL549"/>
      <c r="AHM549"/>
      <c r="AHN549"/>
      <c r="AHO549"/>
      <c r="AHP549"/>
      <c r="AHQ549"/>
      <c r="AHR549"/>
      <c r="AHS549"/>
      <c r="AHT549"/>
      <c r="AHU549"/>
      <c r="AHV549"/>
      <c r="AHW549"/>
      <c r="AHX549"/>
      <c r="AHY549"/>
      <c r="AHZ549"/>
      <c r="AIA549"/>
      <c r="AIB549"/>
      <c r="AIC549"/>
      <c r="AID549"/>
      <c r="AIE549"/>
      <c r="AIF549"/>
      <c r="AIG549"/>
      <c r="AIH549"/>
      <c r="AII549"/>
      <c r="AIJ549"/>
      <c r="AIK549"/>
      <c r="AIL549"/>
      <c r="AIM549"/>
      <c r="AIN549"/>
      <c r="AIO549"/>
      <c r="AIP549"/>
      <c r="AIQ549"/>
      <c r="AIR549"/>
      <c r="AIS549"/>
      <c r="AIT549"/>
      <c r="AIU549"/>
      <c r="AIV549"/>
      <c r="AIW549"/>
      <c r="AIX549"/>
      <c r="AIY549"/>
      <c r="AIZ549"/>
      <c r="AJA549"/>
      <c r="AJB549"/>
      <c r="AJC549"/>
      <c r="AJD549"/>
      <c r="AJE549"/>
      <c r="AJF549"/>
      <c r="AJG549"/>
      <c r="AJH549"/>
      <c r="AJI549"/>
      <c r="AJJ549"/>
      <c r="AJK549"/>
      <c r="AJL549"/>
      <c r="AJM549"/>
      <c r="AJN549"/>
      <c r="AJO549"/>
      <c r="AJP549"/>
      <c r="AJQ549"/>
      <c r="AJR549"/>
      <c r="AJS549"/>
      <c r="AJT549"/>
      <c r="AJU549"/>
      <c r="AJV549"/>
      <c r="AJW549"/>
      <c r="AJX549"/>
      <c r="AJY549"/>
      <c r="AJZ549"/>
      <c r="AKA549"/>
      <c r="AKB549"/>
      <c r="AKC549"/>
      <c r="AKD549"/>
      <c r="AKE549"/>
      <c r="AKF549"/>
      <c r="AKG549"/>
      <c r="AKH549"/>
      <c r="AKI549"/>
      <c r="AKJ549"/>
      <c r="AKK549"/>
      <c r="AKL549"/>
      <c r="AKM549"/>
      <c r="AKN549"/>
      <c r="AKO549"/>
      <c r="AKP549"/>
      <c r="AKQ549"/>
      <c r="AKR549"/>
      <c r="AKS549"/>
      <c r="AKT549"/>
      <c r="AKU549"/>
      <c r="AKV549"/>
      <c r="AKW549"/>
      <c r="AKX549"/>
      <c r="AKY549"/>
    </row>
    <row r="550" spans="1:987">
      <c r="A550" s="421" t="s">
        <v>1468</v>
      </c>
      <c r="B550" s="329">
        <v>3241</v>
      </c>
      <c r="C550" s="306">
        <v>4090</v>
      </c>
      <c r="D550" s="33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  <c r="ZW550"/>
      <c r="ZX550"/>
      <c r="ZY550"/>
      <c r="ZZ550"/>
      <c r="AAA550"/>
      <c r="AAB550"/>
      <c r="AAC550"/>
      <c r="AAD550"/>
      <c r="AAE550"/>
      <c r="AAF550"/>
      <c r="AAG550"/>
      <c r="AAH550"/>
      <c r="AAI550"/>
      <c r="AAJ550"/>
      <c r="AAK550"/>
      <c r="AAL550"/>
      <c r="AAM550"/>
      <c r="AAN550"/>
      <c r="AAO550"/>
      <c r="AAP550"/>
      <c r="AAQ550"/>
      <c r="AAR550"/>
      <c r="AAS550"/>
      <c r="AAT550"/>
      <c r="AAU550"/>
      <c r="AAV550"/>
      <c r="AAW550"/>
      <c r="AAX550"/>
      <c r="AAY550"/>
      <c r="AAZ550"/>
      <c r="ABA550"/>
      <c r="ABB550"/>
      <c r="ABC550"/>
      <c r="ABD550"/>
      <c r="ABE550"/>
      <c r="ABF550"/>
      <c r="ABG550"/>
      <c r="ABH550"/>
      <c r="ABI550"/>
      <c r="ABJ550"/>
      <c r="ABK550"/>
      <c r="ABL550"/>
      <c r="ABM550"/>
      <c r="ABN550"/>
      <c r="ABO550"/>
      <c r="ABP550"/>
      <c r="ABQ550"/>
      <c r="ABR550"/>
      <c r="ABS550"/>
      <c r="ABT550"/>
      <c r="ABU550"/>
      <c r="ABV550"/>
      <c r="ABW550"/>
      <c r="ABX550"/>
      <c r="ABY550"/>
      <c r="ABZ550"/>
      <c r="ACA550"/>
      <c r="ACB550"/>
      <c r="ACC550"/>
      <c r="ACD550"/>
      <c r="ACE550"/>
      <c r="ACF550"/>
      <c r="ACG550"/>
      <c r="ACH550"/>
      <c r="ACI550"/>
      <c r="ACJ550"/>
      <c r="ACK550"/>
      <c r="ACL550"/>
      <c r="ACM550"/>
      <c r="ACN550"/>
      <c r="ACO550"/>
      <c r="ACP550"/>
      <c r="ACQ550"/>
      <c r="ACR550"/>
      <c r="ACS550"/>
      <c r="ACT550"/>
      <c r="ACU550"/>
      <c r="ACV550"/>
      <c r="ACW550"/>
      <c r="ACX550"/>
      <c r="ACY550"/>
      <c r="ACZ550"/>
      <c r="ADA550"/>
      <c r="ADB550"/>
      <c r="ADC550"/>
      <c r="ADD550"/>
      <c r="ADE550"/>
      <c r="ADF550"/>
      <c r="ADG550"/>
      <c r="ADH550"/>
      <c r="ADI550"/>
      <c r="ADJ550"/>
      <c r="ADK550"/>
      <c r="ADL550"/>
      <c r="ADM550"/>
      <c r="ADN550"/>
      <c r="ADO550"/>
      <c r="ADP550"/>
      <c r="ADQ550"/>
      <c r="ADR550"/>
      <c r="ADS550"/>
      <c r="ADT550"/>
      <c r="ADU550"/>
      <c r="ADV550"/>
      <c r="ADW550"/>
      <c r="ADX550"/>
      <c r="ADY550"/>
      <c r="ADZ550"/>
      <c r="AEA550"/>
      <c r="AEB550"/>
      <c r="AEC550"/>
      <c r="AED550"/>
      <c r="AEE550"/>
      <c r="AEF550"/>
      <c r="AEG550"/>
      <c r="AEH550"/>
      <c r="AEI550"/>
      <c r="AEJ550"/>
      <c r="AEK550"/>
      <c r="AEL550"/>
      <c r="AEM550"/>
      <c r="AEN550"/>
      <c r="AEO550"/>
      <c r="AEP550"/>
      <c r="AEQ550"/>
      <c r="AER550"/>
      <c r="AES550"/>
      <c r="AET550"/>
      <c r="AEU550"/>
      <c r="AEV550"/>
      <c r="AEW550"/>
      <c r="AEX550"/>
      <c r="AEY550"/>
      <c r="AEZ550"/>
      <c r="AFA550"/>
      <c r="AFB550"/>
      <c r="AFC550"/>
      <c r="AFD550"/>
      <c r="AFE550"/>
      <c r="AFF550"/>
      <c r="AFG550"/>
      <c r="AFH550"/>
      <c r="AFI550"/>
      <c r="AFJ550"/>
      <c r="AFK550"/>
      <c r="AFL550"/>
      <c r="AFM550"/>
      <c r="AFN550"/>
      <c r="AFO550"/>
      <c r="AFP550"/>
      <c r="AFQ550"/>
      <c r="AFR550"/>
      <c r="AFS550"/>
      <c r="AFT550"/>
      <c r="AFU550"/>
      <c r="AFV550"/>
      <c r="AFW550"/>
      <c r="AFX550"/>
      <c r="AFY550"/>
      <c r="AFZ550"/>
      <c r="AGA550"/>
      <c r="AGB550"/>
      <c r="AGC550"/>
      <c r="AGD550"/>
      <c r="AGE550"/>
      <c r="AGF550"/>
      <c r="AGG550"/>
      <c r="AGH550"/>
      <c r="AGI550"/>
      <c r="AGJ550"/>
      <c r="AGK550"/>
      <c r="AGL550"/>
      <c r="AGM550"/>
      <c r="AGN550"/>
      <c r="AGO550"/>
      <c r="AGP550"/>
      <c r="AGQ550"/>
      <c r="AGR550"/>
      <c r="AGS550"/>
      <c r="AGT550"/>
      <c r="AGU550"/>
      <c r="AGV550"/>
      <c r="AGW550"/>
      <c r="AGX550"/>
      <c r="AGY550"/>
      <c r="AGZ550"/>
      <c r="AHA550"/>
      <c r="AHB550"/>
      <c r="AHC550"/>
      <c r="AHD550"/>
      <c r="AHE550"/>
      <c r="AHF550"/>
      <c r="AHG550"/>
      <c r="AHH550"/>
      <c r="AHI550"/>
      <c r="AHJ550"/>
      <c r="AHK550"/>
      <c r="AHL550"/>
      <c r="AHM550"/>
      <c r="AHN550"/>
      <c r="AHO550"/>
      <c r="AHP550"/>
      <c r="AHQ550"/>
      <c r="AHR550"/>
      <c r="AHS550"/>
      <c r="AHT550"/>
      <c r="AHU550"/>
      <c r="AHV550"/>
      <c r="AHW550"/>
      <c r="AHX550"/>
      <c r="AHY550"/>
      <c r="AHZ550"/>
      <c r="AIA550"/>
      <c r="AIB550"/>
      <c r="AIC550"/>
      <c r="AID550"/>
      <c r="AIE550"/>
      <c r="AIF550"/>
      <c r="AIG550"/>
      <c r="AIH550"/>
      <c r="AII550"/>
      <c r="AIJ550"/>
      <c r="AIK550"/>
      <c r="AIL550"/>
      <c r="AIM550"/>
      <c r="AIN550"/>
      <c r="AIO550"/>
      <c r="AIP550"/>
      <c r="AIQ550"/>
      <c r="AIR550"/>
      <c r="AIS550"/>
      <c r="AIT550"/>
      <c r="AIU550"/>
      <c r="AIV550"/>
      <c r="AIW550"/>
      <c r="AIX550"/>
      <c r="AIY550"/>
      <c r="AIZ550"/>
      <c r="AJA550"/>
      <c r="AJB550"/>
      <c r="AJC550"/>
      <c r="AJD550"/>
      <c r="AJE550"/>
      <c r="AJF550"/>
      <c r="AJG550"/>
      <c r="AJH550"/>
      <c r="AJI550"/>
      <c r="AJJ550"/>
      <c r="AJK550"/>
      <c r="AJL550"/>
      <c r="AJM550"/>
      <c r="AJN550"/>
      <c r="AJO550"/>
      <c r="AJP550"/>
      <c r="AJQ550"/>
      <c r="AJR550"/>
      <c r="AJS550"/>
      <c r="AJT550"/>
      <c r="AJU550"/>
      <c r="AJV550"/>
      <c r="AJW550"/>
      <c r="AJX550"/>
      <c r="AJY550"/>
      <c r="AJZ550"/>
      <c r="AKA550"/>
      <c r="AKB550"/>
      <c r="AKC550"/>
      <c r="AKD550"/>
      <c r="AKE550"/>
      <c r="AKF550"/>
      <c r="AKG550"/>
      <c r="AKH550"/>
      <c r="AKI550"/>
      <c r="AKJ550"/>
      <c r="AKK550"/>
      <c r="AKL550"/>
      <c r="AKM550"/>
      <c r="AKN550"/>
      <c r="AKO550"/>
      <c r="AKP550"/>
      <c r="AKQ550"/>
      <c r="AKR550"/>
      <c r="AKS550"/>
      <c r="AKT550"/>
      <c r="AKU550"/>
      <c r="AKV550"/>
      <c r="AKW550"/>
      <c r="AKX550"/>
      <c r="AKY550"/>
    </row>
    <row r="551" spans="1:987">
      <c r="A551" s="421" t="s">
        <v>1470</v>
      </c>
      <c r="B551" s="305">
        <v>2996</v>
      </c>
      <c r="C551" s="306">
        <v>3825</v>
      </c>
      <c r="D551" s="306" t="s">
        <v>1472</v>
      </c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  <c r="ZW551"/>
      <c r="ZX551"/>
      <c r="ZY551"/>
      <c r="ZZ551"/>
      <c r="AAA551"/>
      <c r="AAB551"/>
      <c r="AAC551"/>
      <c r="AAD551"/>
      <c r="AAE551"/>
      <c r="AAF551"/>
      <c r="AAG551"/>
      <c r="AAH551"/>
      <c r="AAI551"/>
      <c r="AAJ551"/>
      <c r="AAK551"/>
      <c r="AAL551"/>
      <c r="AAM551"/>
      <c r="AAN551"/>
      <c r="AAO551"/>
      <c r="AAP551"/>
      <c r="AAQ551"/>
      <c r="AAR551"/>
      <c r="AAS551"/>
      <c r="AAT551"/>
      <c r="AAU551"/>
      <c r="AAV551"/>
      <c r="AAW551"/>
      <c r="AAX551"/>
      <c r="AAY551"/>
      <c r="AAZ551"/>
      <c r="ABA551"/>
      <c r="ABB551"/>
      <c r="ABC551"/>
      <c r="ABD551"/>
      <c r="ABE551"/>
      <c r="ABF551"/>
      <c r="ABG551"/>
      <c r="ABH551"/>
      <c r="ABI551"/>
      <c r="ABJ551"/>
      <c r="ABK551"/>
      <c r="ABL551"/>
      <c r="ABM551"/>
      <c r="ABN551"/>
      <c r="ABO551"/>
      <c r="ABP551"/>
      <c r="ABQ551"/>
      <c r="ABR551"/>
      <c r="ABS551"/>
      <c r="ABT551"/>
      <c r="ABU551"/>
      <c r="ABV551"/>
      <c r="ABW551"/>
      <c r="ABX551"/>
      <c r="ABY551"/>
      <c r="ABZ551"/>
      <c r="ACA551"/>
      <c r="ACB551"/>
      <c r="ACC551"/>
      <c r="ACD551"/>
      <c r="ACE551"/>
      <c r="ACF551"/>
      <c r="ACG551"/>
      <c r="ACH551"/>
      <c r="ACI551"/>
      <c r="ACJ551"/>
      <c r="ACK551"/>
      <c r="ACL551"/>
      <c r="ACM551"/>
      <c r="ACN551"/>
      <c r="ACO551"/>
      <c r="ACP551"/>
      <c r="ACQ551"/>
      <c r="ACR551"/>
      <c r="ACS551"/>
      <c r="ACT551"/>
      <c r="ACU551"/>
      <c r="ACV551"/>
      <c r="ACW551"/>
      <c r="ACX551"/>
      <c r="ACY551"/>
      <c r="ACZ551"/>
      <c r="ADA551"/>
      <c r="ADB551"/>
      <c r="ADC551"/>
      <c r="ADD551"/>
      <c r="ADE551"/>
      <c r="ADF551"/>
      <c r="ADG551"/>
      <c r="ADH551"/>
      <c r="ADI551"/>
      <c r="ADJ551"/>
      <c r="ADK551"/>
      <c r="ADL551"/>
      <c r="ADM551"/>
      <c r="ADN551"/>
      <c r="ADO551"/>
      <c r="ADP551"/>
      <c r="ADQ551"/>
      <c r="ADR551"/>
      <c r="ADS551"/>
      <c r="ADT551"/>
      <c r="ADU551"/>
      <c r="ADV551"/>
      <c r="ADW551"/>
      <c r="ADX551"/>
      <c r="ADY551"/>
      <c r="ADZ551"/>
      <c r="AEA551"/>
      <c r="AEB551"/>
      <c r="AEC551"/>
      <c r="AED551"/>
      <c r="AEE551"/>
      <c r="AEF551"/>
      <c r="AEG551"/>
      <c r="AEH551"/>
      <c r="AEI551"/>
      <c r="AEJ551"/>
      <c r="AEK551"/>
      <c r="AEL551"/>
      <c r="AEM551"/>
      <c r="AEN551"/>
      <c r="AEO551"/>
      <c r="AEP551"/>
      <c r="AEQ551"/>
      <c r="AER551"/>
      <c r="AES551"/>
      <c r="AET551"/>
      <c r="AEU551"/>
      <c r="AEV551"/>
      <c r="AEW551"/>
      <c r="AEX551"/>
      <c r="AEY551"/>
      <c r="AEZ551"/>
      <c r="AFA551"/>
      <c r="AFB551"/>
      <c r="AFC551"/>
      <c r="AFD551"/>
      <c r="AFE551"/>
      <c r="AFF551"/>
      <c r="AFG551"/>
      <c r="AFH551"/>
      <c r="AFI551"/>
      <c r="AFJ551"/>
      <c r="AFK551"/>
      <c r="AFL551"/>
      <c r="AFM551"/>
      <c r="AFN551"/>
      <c r="AFO551"/>
      <c r="AFP551"/>
      <c r="AFQ551"/>
      <c r="AFR551"/>
      <c r="AFS551"/>
      <c r="AFT551"/>
      <c r="AFU551"/>
      <c r="AFV551"/>
      <c r="AFW551"/>
      <c r="AFX551"/>
      <c r="AFY551"/>
      <c r="AFZ551"/>
      <c r="AGA551"/>
      <c r="AGB551"/>
      <c r="AGC551"/>
      <c r="AGD551"/>
      <c r="AGE551"/>
      <c r="AGF551"/>
      <c r="AGG551"/>
      <c r="AGH551"/>
      <c r="AGI551"/>
      <c r="AGJ551"/>
      <c r="AGK551"/>
      <c r="AGL551"/>
      <c r="AGM551"/>
      <c r="AGN551"/>
      <c r="AGO551"/>
      <c r="AGP551"/>
      <c r="AGQ551"/>
      <c r="AGR551"/>
      <c r="AGS551"/>
      <c r="AGT551"/>
      <c r="AGU551"/>
      <c r="AGV551"/>
      <c r="AGW551"/>
      <c r="AGX551"/>
      <c r="AGY551"/>
      <c r="AGZ551"/>
      <c r="AHA551"/>
      <c r="AHB551"/>
      <c r="AHC551"/>
      <c r="AHD551"/>
      <c r="AHE551"/>
      <c r="AHF551"/>
      <c r="AHG551"/>
      <c r="AHH551"/>
      <c r="AHI551"/>
      <c r="AHJ551"/>
      <c r="AHK551"/>
      <c r="AHL551"/>
      <c r="AHM551"/>
      <c r="AHN551"/>
      <c r="AHO551"/>
      <c r="AHP551"/>
      <c r="AHQ551"/>
      <c r="AHR551"/>
      <c r="AHS551"/>
      <c r="AHT551"/>
      <c r="AHU551"/>
      <c r="AHV551"/>
      <c r="AHW551"/>
      <c r="AHX551"/>
      <c r="AHY551"/>
      <c r="AHZ551"/>
      <c r="AIA551"/>
      <c r="AIB551"/>
      <c r="AIC551"/>
      <c r="AID551"/>
      <c r="AIE551"/>
      <c r="AIF551"/>
      <c r="AIG551"/>
      <c r="AIH551"/>
      <c r="AII551"/>
      <c r="AIJ551"/>
      <c r="AIK551"/>
      <c r="AIL551"/>
      <c r="AIM551"/>
      <c r="AIN551"/>
      <c r="AIO551"/>
      <c r="AIP551"/>
      <c r="AIQ551"/>
      <c r="AIR551"/>
      <c r="AIS551"/>
      <c r="AIT551"/>
      <c r="AIU551"/>
      <c r="AIV551"/>
      <c r="AIW551"/>
      <c r="AIX551"/>
      <c r="AIY551"/>
      <c r="AIZ551"/>
      <c r="AJA551"/>
      <c r="AJB551"/>
      <c r="AJC551"/>
      <c r="AJD551"/>
      <c r="AJE551"/>
      <c r="AJF551"/>
      <c r="AJG551"/>
      <c r="AJH551"/>
      <c r="AJI551"/>
      <c r="AJJ551"/>
      <c r="AJK551"/>
      <c r="AJL551"/>
      <c r="AJM551"/>
      <c r="AJN551"/>
      <c r="AJO551"/>
      <c r="AJP551"/>
      <c r="AJQ551"/>
      <c r="AJR551"/>
      <c r="AJS551"/>
      <c r="AJT551"/>
      <c r="AJU551"/>
      <c r="AJV551"/>
      <c r="AJW551"/>
      <c r="AJX551"/>
      <c r="AJY551"/>
      <c r="AJZ551"/>
      <c r="AKA551"/>
      <c r="AKB551"/>
      <c r="AKC551"/>
      <c r="AKD551"/>
      <c r="AKE551"/>
      <c r="AKF551"/>
      <c r="AKG551"/>
      <c r="AKH551"/>
      <c r="AKI551"/>
      <c r="AKJ551"/>
      <c r="AKK551"/>
      <c r="AKL551"/>
      <c r="AKM551"/>
      <c r="AKN551"/>
      <c r="AKO551"/>
      <c r="AKP551"/>
      <c r="AKQ551"/>
      <c r="AKR551"/>
      <c r="AKS551"/>
      <c r="AKT551"/>
      <c r="AKU551"/>
      <c r="AKV551"/>
      <c r="AKW551"/>
      <c r="AKX551"/>
      <c r="AKY551"/>
    </row>
    <row r="552" spans="1:987">
      <c r="A552" s="421" t="s">
        <v>327</v>
      </c>
      <c r="B552" s="305">
        <v>2836</v>
      </c>
      <c r="C552" s="306">
        <v>4090</v>
      </c>
      <c r="D552" s="306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  <c r="ZW552"/>
      <c r="ZX552"/>
      <c r="ZY552"/>
      <c r="ZZ552"/>
      <c r="AAA552"/>
      <c r="AAB552"/>
      <c r="AAC552"/>
      <c r="AAD552"/>
      <c r="AAE552"/>
      <c r="AAF552"/>
      <c r="AAG552"/>
      <c r="AAH552"/>
      <c r="AAI552"/>
      <c r="AAJ552"/>
      <c r="AAK552"/>
      <c r="AAL552"/>
      <c r="AAM552"/>
      <c r="AAN552"/>
      <c r="AAO552"/>
      <c r="AAP552"/>
      <c r="AAQ552"/>
      <c r="AAR552"/>
      <c r="AAS552"/>
      <c r="AAT552"/>
      <c r="AAU552"/>
      <c r="AAV552"/>
      <c r="AAW552"/>
      <c r="AAX552"/>
      <c r="AAY552"/>
      <c r="AAZ552"/>
      <c r="ABA552"/>
      <c r="ABB552"/>
      <c r="ABC552"/>
      <c r="ABD552"/>
      <c r="ABE552"/>
      <c r="ABF552"/>
      <c r="ABG552"/>
      <c r="ABH552"/>
      <c r="ABI552"/>
      <c r="ABJ552"/>
      <c r="ABK552"/>
      <c r="ABL552"/>
      <c r="ABM552"/>
      <c r="ABN552"/>
      <c r="ABO552"/>
      <c r="ABP552"/>
      <c r="ABQ552"/>
      <c r="ABR552"/>
      <c r="ABS552"/>
      <c r="ABT552"/>
      <c r="ABU552"/>
      <c r="ABV552"/>
      <c r="ABW552"/>
      <c r="ABX552"/>
      <c r="ABY552"/>
      <c r="ABZ552"/>
      <c r="ACA552"/>
      <c r="ACB552"/>
      <c r="ACC552"/>
      <c r="ACD552"/>
      <c r="ACE552"/>
      <c r="ACF552"/>
      <c r="ACG552"/>
      <c r="ACH552"/>
      <c r="ACI552"/>
      <c r="ACJ552"/>
      <c r="ACK552"/>
      <c r="ACL552"/>
      <c r="ACM552"/>
      <c r="ACN552"/>
      <c r="ACO552"/>
      <c r="ACP552"/>
      <c r="ACQ552"/>
      <c r="ACR552"/>
      <c r="ACS552"/>
      <c r="ACT552"/>
      <c r="ACU552"/>
      <c r="ACV552"/>
      <c r="ACW552"/>
      <c r="ACX552"/>
      <c r="ACY552"/>
      <c r="ACZ552"/>
      <c r="ADA552"/>
      <c r="ADB552"/>
      <c r="ADC552"/>
      <c r="ADD552"/>
      <c r="ADE552"/>
      <c r="ADF552"/>
      <c r="ADG552"/>
      <c r="ADH552"/>
      <c r="ADI552"/>
      <c r="ADJ552"/>
      <c r="ADK552"/>
      <c r="ADL552"/>
      <c r="ADM552"/>
      <c r="ADN552"/>
      <c r="ADO552"/>
      <c r="ADP552"/>
      <c r="ADQ552"/>
      <c r="ADR552"/>
      <c r="ADS552"/>
      <c r="ADT552"/>
      <c r="ADU552"/>
      <c r="ADV552"/>
      <c r="ADW552"/>
      <c r="ADX552"/>
      <c r="ADY552"/>
      <c r="ADZ552"/>
      <c r="AEA552"/>
      <c r="AEB552"/>
      <c r="AEC552"/>
      <c r="AED552"/>
      <c r="AEE552"/>
      <c r="AEF552"/>
      <c r="AEG552"/>
      <c r="AEH552"/>
      <c r="AEI552"/>
      <c r="AEJ552"/>
      <c r="AEK552"/>
      <c r="AEL552"/>
      <c r="AEM552"/>
      <c r="AEN552"/>
      <c r="AEO552"/>
      <c r="AEP552"/>
      <c r="AEQ552"/>
      <c r="AER552"/>
      <c r="AES552"/>
      <c r="AET552"/>
      <c r="AEU552"/>
      <c r="AEV552"/>
      <c r="AEW552"/>
      <c r="AEX552"/>
      <c r="AEY552"/>
      <c r="AEZ552"/>
      <c r="AFA552"/>
      <c r="AFB552"/>
      <c r="AFC552"/>
      <c r="AFD552"/>
      <c r="AFE552"/>
      <c r="AFF552"/>
      <c r="AFG552"/>
      <c r="AFH552"/>
      <c r="AFI552"/>
      <c r="AFJ552"/>
      <c r="AFK552"/>
      <c r="AFL552"/>
      <c r="AFM552"/>
      <c r="AFN552"/>
      <c r="AFO552"/>
      <c r="AFP552"/>
      <c r="AFQ552"/>
      <c r="AFR552"/>
      <c r="AFS552"/>
      <c r="AFT552"/>
      <c r="AFU552"/>
      <c r="AFV552"/>
      <c r="AFW552"/>
      <c r="AFX552"/>
      <c r="AFY552"/>
      <c r="AFZ552"/>
      <c r="AGA552"/>
      <c r="AGB552"/>
      <c r="AGC552"/>
      <c r="AGD552"/>
      <c r="AGE552"/>
      <c r="AGF552"/>
      <c r="AGG552"/>
      <c r="AGH552"/>
      <c r="AGI552"/>
      <c r="AGJ552"/>
      <c r="AGK552"/>
      <c r="AGL552"/>
      <c r="AGM552"/>
      <c r="AGN552"/>
      <c r="AGO552"/>
      <c r="AGP552"/>
      <c r="AGQ552"/>
      <c r="AGR552"/>
      <c r="AGS552"/>
      <c r="AGT552"/>
      <c r="AGU552"/>
      <c r="AGV552"/>
      <c r="AGW552"/>
      <c r="AGX552"/>
      <c r="AGY552"/>
      <c r="AGZ552"/>
      <c r="AHA552"/>
      <c r="AHB552"/>
      <c r="AHC552"/>
      <c r="AHD552"/>
      <c r="AHE552"/>
      <c r="AHF552"/>
      <c r="AHG552"/>
      <c r="AHH552"/>
      <c r="AHI552"/>
      <c r="AHJ552"/>
      <c r="AHK552"/>
      <c r="AHL552"/>
      <c r="AHM552"/>
      <c r="AHN552"/>
      <c r="AHO552"/>
      <c r="AHP552"/>
      <c r="AHQ552"/>
      <c r="AHR552"/>
      <c r="AHS552"/>
      <c r="AHT552"/>
      <c r="AHU552"/>
      <c r="AHV552"/>
      <c r="AHW552"/>
      <c r="AHX552"/>
      <c r="AHY552"/>
      <c r="AHZ552"/>
      <c r="AIA552"/>
      <c r="AIB552"/>
      <c r="AIC552"/>
      <c r="AID552"/>
      <c r="AIE552"/>
      <c r="AIF552"/>
      <c r="AIG552"/>
      <c r="AIH552"/>
      <c r="AII552"/>
      <c r="AIJ552"/>
      <c r="AIK552"/>
      <c r="AIL552"/>
      <c r="AIM552"/>
      <c r="AIN552"/>
      <c r="AIO552"/>
      <c r="AIP552"/>
      <c r="AIQ552"/>
      <c r="AIR552"/>
      <c r="AIS552"/>
      <c r="AIT552"/>
      <c r="AIU552"/>
      <c r="AIV552"/>
      <c r="AIW552"/>
      <c r="AIX552"/>
      <c r="AIY552"/>
      <c r="AIZ552"/>
      <c r="AJA552"/>
      <c r="AJB552"/>
      <c r="AJC552"/>
      <c r="AJD552"/>
      <c r="AJE552"/>
      <c r="AJF552"/>
      <c r="AJG552"/>
      <c r="AJH552"/>
      <c r="AJI552"/>
      <c r="AJJ552"/>
      <c r="AJK552"/>
      <c r="AJL552"/>
      <c r="AJM552"/>
      <c r="AJN552"/>
      <c r="AJO552"/>
      <c r="AJP552"/>
      <c r="AJQ552"/>
      <c r="AJR552"/>
      <c r="AJS552"/>
      <c r="AJT552"/>
      <c r="AJU552"/>
      <c r="AJV552"/>
      <c r="AJW552"/>
      <c r="AJX552"/>
      <c r="AJY552"/>
      <c r="AJZ552"/>
      <c r="AKA552"/>
      <c r="AKB552"/>
      <c r="AKC552"/>
      <c r="AKD552"/>
      <c r="AKE552"/>
      <c r="AKF552"/>
      <c r="AKG552"/>
      <c r="AKH552"/>
      <c r="AKI552"/>
      <c r="AKJ552"/>
      <c r="AKK552"/>
      <c r="AKL552"/>
      <c r="AKM552"/>
      <c r="AKN552"/>
      <c r="AKO552"/>
      <c r="AKP552"/>
      <c r="AKQ552"/>
      <c r="AKR552"/>
      <c r="AKS552"/>
      <c r="AKT552"/>
      <c r="AKU552"/>
      <c r="AKV552"/>
      <c r="AKW552"/>
      <c r="AKX552"/>
      <c r="AKY552"/>
    </row>
    <row r="553" spans="1:987">
      <c r="A553" s="421" t="s">
        <v>328</v>
      </c>
      <c r="B553" s="305">
        <v>2726</v>
      </c>
      <c r="C553" s="306">
        <v>4090</v>
      </c>
      <c r="D553" s="306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/>
      <c r="AEO553"/>
      <c r="AEP553"/>
      <c r="AEQ553"/>
      <c r="AER553"/>
      <c r="AES553"/>
      <c r="AET553"/>
      <c r="AEU553"/>
      <c r="AEV553"/>
      <c r="AEW553"/>
      <c r="AEX553"/>
      <c r="AEY553"/>
      <c r="AEZ553"/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/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/>
      <c r="AJZ553"/>
      <c r="AKA553"/>
      <c r="AKB553"/>
      <c r="AKC553"/>
      <c r="AKD553"/>
      <c r="AKE553"/>
      <c r="AKF553"/>
      <c r="AKG553"/>
      <c r="AKH553"/>
      <c r="AKI553"/>
      <c r="AKJ553"/>
      <c r="AKK553"/>
      <c r="AKL553"/>
      <c r="AKM553"/>
      <c r="AKN553"/>
      <c r="AKO553"/>
      <c r="AKP553"/>
      <c r="AKQ553"/>
      <c r="AKR553"/>
      <c r="AKS553"/>
      <c r="AKT553"/>
      <c r="AKU553"/>
      <c r="AKV553"/>
      <c r="AKW553"/>
      <c r="AKX553"/>
      <c r="AKY553"/>
    </row>
    <row r="554" spans="1:987">
      <c r="A554" s="282" t="s">
        <v>329</v>
      </c>
      <c r="B554" s="305">
        <v>2824</v>
      </c>
      <c r="C554" s="306">
        <v>4090</v>
      </c>
      <c r="D554" s="306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  <c r="ZW554"/>
      <c r="ZX554"/>
      <c r="ZY554"/>
      <c r="ZZ554"/>
      <c r="AAA554"/>
      <c r="AAB554"/>
      <c r="AAC554"/>
      <c r="AAD554"/>
      <c r="AAE554"/>
      <c r="AAF554"/>
      <c r="AAG554"/>
      <c r="AAH554"/>
      <c r="AAI554"/>
      <c r="AAJ554"/>
      <c r="AAK554"/>
      <c r="AAL554"/>
      <c r="AAM554"/>
      <c r="AAN554"/>
      <c r="AAO554"/>
      <c r="AAP554"/>
      <c r="AAQ554"/>
      <c r="AAR554"/>
      <c r="AAS554"/>
      <c r="AAT554"/>
      <c r="AAU554"/>
      <c r="AAV554"/>
      <c r="AAW554"/>
      <c r="AAX554"/>
      <c r="AAY554"/>
      <c r="AAZ554"/>
      <c r="ABA554"/>
      <c r="ABB554"/>
      <c r="ABC554"/>
      <c r="ABD554"/>
      <c r="ABE554"/>
      <c r="ABF554"/>
      <c r="ABG554"/>
      <c r="ABH554"/>
      <c r="ABI554"/>
      <c r="ABJ554"/>
      <c r="ABK554"/>
      <c r="ABL554"/>
      <c r="ABM554"/>
      <c r="ABN554"/>
      <c r="ABO554"/>
      <c r="ABP554"/>
      <c r="ABQ554"/>
      <c r="ABR554"/>
      <c r="ABS554"/>
      <c r="ABT554"/>
      <c r="ABU554"/>
      <c r="ABV554"/>
      <c r="ABW554"/>
      <c r="ABX554"/>
      <c r="ABY554"/>
      <c r="ABZ554"/>
      <c r="ACA554"/>
      <c r="ACB554"/>
      <c r="ACC554"/>
      <c r="ACD554"/>
      <c r="ACE554"/>
      <c r="ACF554"/>
      <c r="ACG554"/>
      <c r="ACH554"/>
      <c r="ACI554"/>
      <c r="ACJ554"/>
      <c r="ACK554"/>
      <c r="ACL554"/>
      <c r="ACM554"/>
      <c r="ACN554"/>
      <c r="ACO554"/>
      <c r="ACP554"/>
      <c r="ACQ554"/>
      <c r="ACR554"/>
      <c r="ACS554"/>
      <c r="ACT554"/>
      <c r="ACU554"/>
      <c r="ACV554"/>
      <c r="ACW554"/>
      <c r="ACX554"/>
      <c r="ACY554"/>
      <c r="ACZ554"/>
      <c r="ADA554"/>
      <c r="ADB554"/>
      <c r="ADC554"/>
      <c r="ADD554"/>
      <c r="ADE554"/>
      <c r="ADF554"/>
      <c r="ADG554"/>
      <c r="ADH554"/>
      <c r="ADI554"/>
      <c r="ADJ554"/>
      <c r="ADK554"/>
      <c r="ADL554"/>
      <c r="ADM554"/>
      <c r="ADN554"/>
      <c r="ADO554"/>
      <c r="ADP554"/>
      <c r="ADQ554"/>
      <c r="ADR554"/>
      <c r="ADS554"/>
      <c r="ADT554"/>
      <c r="ADU554"/>
      <c r="ADV554"/>
      <c r="ADW554"/>
      <c r="ADX554"/>
      <c r="ADY554"/>
      <c r="ADZ554"/>
      <c r="AEA554"/>
      <c r="AEB554"/>
      <c r="AEC554"/>
      <c r="AED554"/>
      <c r="AEE554"/>
      <c r="AEF554"/>
      <c r="AEG554"/>
      <c r="AEH554"/>
      <c r="AEI554"/>
      <c r="AEJ554"/>
      <c r="AEK554"/>
      <c r="AEL554"/>
      <c r="AEM554"/>
      <c r="AEN554"/>
      <c r="AEO554"/>
      <c r="AEP554"/>
      <c r="AEQ554"/>
      <c r="AER554"/>
      <c r="AES554"/>
      <c r="AET554"/>
      <c r="AEU554"/>
      <c r="AEV554"/>
      <c r="AEW554"/>
      <c r="AEX554"/>
      <c r="AEY554"/>
      <c r="AEZ554"/>
      <c r="AFA554"/>
      <c r="AFB554"/>
      <c r="AFC554"/>
      <c r="AFD554"/>
      <c r="AFE554"/>
      <c r="AFF554"/>
      <c r="AFG554"/>
      <c r="AFH554"/>
      <c r="AFI554"/>
      <c r="AFJ554"/>
      <c r="AFK554"/>
      <c r="AFL554"/>
      <c r="AFM554"/>
      <c r="AFN554"/>
      <c r="AFO554"/>
      <c r="AFP554"/>
      <c r="AFQ554"/>
      <c r="AFR554"/>
      <c r="AFS554"/>
      <c r="AFT554"/>
      <c r="AFU554"/>
      <c r="AFV554"/>
      <c r="AFW554"/>
      <c r="AFX554"/>
      <c r="AFY554"/>
      <c r="AFZ554"/>
      <c r="AGA554"/>
      <c r="AGB554"/>
      <c r="AGC554"/>
      <c r="AGD554"/>
      <c r="AGE554"/>
      <c r="AGF554"/>
      <c r="AGG554"/>
      <c r="AGH554"/>
      <c r="AGI554"/>
      <c r="AGJ554"/>
      <c r="AGK554"/>
      <c r="AGL554"/>
      <c r="AGM554"/>
      <c r="AGN554"/>
      <c r="AGO554"/>
      <c r="AGP554"/>
      <c r="AGQ554"/>
      <c r="AGR554"/>
      <c r="AGS554"/>
      <c r="AGT554"/>
      <c r="AGU554"/>
      <c r="AGV554"/>
      <c r="AGW554"/>
      <c r="AGX554"/>
      <c r="AGY554"/>
      <c r="AGZ554"/>
      <c r="AHA554"/>
      <c r="AHB554"/>
      <c r="AHC554"/>
      <c r="AHD554"/>
      <c r="AHE554"/>
      <c r="AHF554"/>
      <c r="AHG554"/>
      <c r="AHH554"/>
      <c r="AHI554"/>
      <c r="AHJ554"/>
      <c r="AHK554"/>
      <c r="AHL554"/>
      <c r="AHM554"/>
      <c r="AHN554"/>
      <c r="AHO554"/>
      <c r="AHP554"/>
      <c r="AHQ554"/>
      <c r="AHR554"/>
      <c r="AHS554"/>
      <c r="AHT554"/>
      <c r="AHU554"/>
      <c r="AHV554"/>
      <c r="AHW554"/>
      <c r="AHX554"/>
      <c r="AHY554"/>
      <c r="AHZ554"/>
      <c r="AIA554"/>
      <c r="AIB554"/>
      <c r="AIC554"/>
      <c r="AID554"/>
      <c r="AIE554"/>
      <c r="AIF554"/>
      <c r="AIG554"/>
      <c r="AIH554"/>
      <c r="AII554"/>
      <c r="AIJ554"/>
      <c r="AIK554"/>
      <c r="AIL554"/>
      <c r="AIM554"/>
      <c r="AIN554"/>
      <c r="AIO554"/>
      <c r="AIP554"/>
      <c r="AIQ554"/>
      <c r="AIR554"/>
      <c r="AIS554"/>
      <c r="AIT554"/>
      <c r="AIU554"/>
      <c r="AIV554"/>
      <c r="AIW554"/>
      <c r="AIX554"/>
      <c r="AIY554"/>
      <c r="AIZ554"/>
      <c r="AJA554"/>
      <c r="AJB554"/>
      <c r="AJC554"/>
      <c r="AJD554"/>
      <c r="AJE554"/>
      <c r="AJF554"/>
      <c r="AJG554"/>
      <c r="AJH554"/>
      <c r="AJI554"/>
      <c r="AJJ554"/>
      <c r="AJK554"/>
      <c r="AJL554"/>
      <c r="AJM554"/>
      <c r="AJN554"/>
      <c r="AJO554"/>
      <c r="AJP554"/>
      <c r="AJQ554"/>
      <c r="AJR554"/>
      <c r="AJS554"/>
      <c r="AJT554"/>
      <c r="AJU554"/>
      <c r="AJV554"/>
      <c r="AJW554"/>
      <c r="AJX554"/>
      <c r="AJY554"/>
      <c r="AJZ554"/>
      <c r="AKA554"/>
      <c r="AKB554"/>
      <c r="AKC554"/>
      <c r="AKD554"/>
      <c r="AKE554"/>
      <c r="AKF554"/>
      <c r="AKG554"/>
      <c r="AKH554"/>
      <c r="AKI554"/>
      <c r="AKJ554"/>
      <c r="AKK554"/>
      <c r="AKL554"/>
      <c r="AKM554"/>
      <c r="AKN554"/>
      <c r="AKO554"/>
      <c r="AKP554"/>
      <c r="AKQ554"/>
      <c r="AKR554"/>
      <c r="AKS554"/>
      <c r="AKT554"/>
      <c r="AKU554"/>
      <c r="AKV554"/>
      <c r="AKW554"/>
      <c r="AKX554"/>
      <c r="AKY554"/>
    </row>
    <row r="555" spans="1:987">
      <c r="A555" s="282" t="s">
        <v>1477</v>
      </c>
      <c r="B555" s="305"/>
      <c r="C555" s="306"/>
      <c r="D555" s="306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  <c r="ZY555"/>
      <c r="ZZ555"/>
      <c r="AAA555"/>
      <c r="AAB555"/>
      <c r="AAC555"/>
      <c r="AAD555"/>
      <c r="AAE555"/>
      <c r="AAF555"/>
      <c r="AAG555"/>
      <c r="AAH555"/>
      <c r="AAI555"/>
      <c r="AAJ555"/>
      <c r="AAK555"/>
      <c r="AAL555"/>
      <c r="AAM555"/>
      <c r="AAN555"/>
      <c r="AAO555"/>
      <c r="AAP555"/>
      <c r="AAQ555"/>
      <c r="AAR555"/>
      <c r="AAS555"/>
      <c r="AAT555"/>
      <c r="AAU555"/>
      <c r="AAV555"/>
      <c r="AAW555"/>
      <c r="AAX555"/>
      <c r="AAY555"/>
      <c r="AAZ555"/>
      <c r="ABA555"/>
      <c r="ABB555"/>
      <c r="ABC555"/>
      <c r="ABD555"/>
      <c r="ABE555"/>
      <c r="ABF555"/>
      <c r="ABG555"/>
      <c r="ABH555"/>
      <c r="ABI555"/>
      <c r="ABJ555"/>
      <c r="ABK555"/>
      <c r="ABL555"/>
      <c r="ABM555"/>
      <c r="ABN555"/>
      <c r="ABO555"/>
      <c r="ABP555"/>
      <c r="ABQ555"/>
      <c r="ABR555"/>
      <c r="ABS555"/>
      <c r="ABT555"/>
      <c r="ABU555"/>
      <c r="ABV555"/>
      <c r="ABW555"/>
      <c r="ABX555"/>
      <c r="ABY555"/>
      <c r="ABZ555"/>
      <c r="ACA555"/>
      <c r="ACB555"/>
      <c r="ACC555"/>
      <c r="ACD555"/>
      <c r="ACE555"/>
      <c r="ACF555"/>
      <c r="ACG555"/>
      <c r="ACH555"/>
      <c r="ACI555"/>
      <c r="ACJ555"/>
      <c r="ACK555"/>
      <c r="ACL555"/>
      <c r="ACM555"/>
      <c r="ACN555"/>
      <c r="ACO555"/>
      <c r="ACP555"/>
      <c r="ACQ555"/>
      <c r="ACR555"/>
      <c r="ACS555"/>
      <c r="ACT555"/>
      <c r="ACU555"/>
      <c r="ACV555"/>
      <c r="ACW555"/>
      <c r="ACX555"/>
      <c r="ACY555"/>
      <c r="ACZ555"/>
      <c r="ADA555"/>
      <c r="ADB555"/>
      <c r="ADC555"/>
      <c r="ADD555"/>
      <c r="ADE555"/>
      <c r="ADF555"/>
      <c r="ADG555"/>
      <c r="ADH555"/>
      <c r="ADI555"/>
      <c r="ADJ555"/>
      <c r="ADK555"/>
      <c r="ADL555"/>
      <c r="ADM555"/>
      <c r="ADN555"/>
      <c r="ADO555"/>
      <c r="ADP555"/>
      <c r="ADQ555"/>
      <c r="ADR555"/>
      <c r="ADS555"/>
      <c r="ADT555"/>
      <c r="ADU555"/>
      <c r="ADV555"/>
      <c r="ADW555"/>
      <c r="ADX555"/>
      <c r="ADY555"/>
      <c r="ADZ555"/>
      <c r="AEA555"/>
      <c r="AEB555"/>
      <c r="AEC555"/>
      <c r="AED555"/>
      <c r="AEE555"/>
      <c r="AEF555"/>
      <c r="AEG555"/>
      <c r="AEH555"/>
      <c r="AEI555"/>
      <c r="AEJ555"/>
      <c r="AEK555"/>
      <c r="AEL555"/>
      <c r="AEM555"/>
      <c r="AEN555"/>
      <c r="AEO555"/>
      <c r="AEP555"/>
      <c r="AEQ555"/>
      <c r="AER555"/>
      <c r="AES555"/>
      <c r="AET555"/>
      <c r="AEU555"/>
      <c r="AEV555"/>
      <c r="AEW555"/>
      <c r="AEX555"/>
      <c r="AEY555"/>
      <c r="AEZ555"/>
      <c r="AFA555"/>
      <c r="AFB555"/>
      <c r="AFC555"/>
      <c r="AFD555"/>
      <c r="AFE555"/>
      <c r="AFF555"/>
      <c r="AFG555"/>
      <c r="AFH555"/>
      <c r="AFI555"/>
      <c r="AFJ555"/>
      <c r="AFK555"/>
      <c r="AFL555"/>
      <c r="AFM555"/>
      <c r="AFN555"/>
      <c r="AFO555"/>
      <c r="AFP555"/>
      <c r="AFQ555"/>
      <c r="AFR555"/>
      <c r="AFS555"/>
      <c r="AFT555"/>
      <c r="AFU555"/>
      <c r="AFV555"/>
      <c r="AFW555"/>
      <c r="AFX555"/>
      <c r="AFY555"/>
      <c r="AFZ555"/>
      <c r="AGA555"/>
      <c r="AGB555"/>
      <c r="AGC555"/>
      <c r="AGD555"/>
      <c r="AGE555"/>
      <c r="AGF555"/>
      <c r="AGG555"/>
      <c r="AGH555"/>
      <c r="AGI555"/>
      <c r="AGJ555"/>
      <c r="AGK555"/>
      <c r="AGL555"/>
      <c r="AGM555"/>
      <c r="AGN555"/>
      <c r="AGO555"/>
      <c r="AGP555"/>
      <c r="AGQ555"/>
      <c r="AGR555"/>
      <c r="AGS555"/>
      <c r="AGT555"/>
      <c r="AGU555"/>
      <c r="AGV555"/>
      <c r="AGW555"/>
      <c r="AGX555"/>
      <c r="AGY555"/>
      <c r="AGZ555"/>
      <c r="AHA555"/>
      <c r="AHB555"/>
      <c r="AHC555"/>
      <c r="AHD555"/>
      <c r="AHE555"/>
      <c r="AHF555"/>
      <c r="AHG555"/>
      <c r="AHH555"/>
      <c r="AHI555"/>
      <c r="AHJ555"/>
      <c r="AHK555"/>
      <c r="AHL555"/>
      <c r="AHM555"/>
      <c r="AHN555"/>
      <c r="AHO555"/>
      <c r="AHP555"/>
      <c r="AHQ555"/>
      <c r="AHR555"/>
      <c r="AHS555"/>
      <c r="AHT555"/>
      <c r="AHU555"/>
      <c r="AHV555"/>
      <c r="AHW555"/>
      <c r="AHX555"/>
      <c r="AHY555"/>
      <c r="AHZ555"/>
      <c r="AIA555"/>
      <c r="AIB555"/>
      <c r="AIC555"/>
      <c r="AID555"/>
      <c r="AIE555"/>
      <c r="AIF555"/>
      <c r="AIG555"/>
      <c r="AIH555"/>
      <c r="AII555"/>
      <c r="AIJ555"/>
      <c r="AIK555"/>
      <c r="AIL555"/>
      <c r="AIM555"/>
      <c r="AIN555"/>
      <c r="AIO555"/>
      <c r="AIP555"/>
      <c r="AIQ555"/>
      <c r="AIR555"/>
      <c r="AIS555"/>
      <c r="AIT555"/>
      <c r="AIU555"/>
      <c r="AIV555"/>
      <c r="AIW555"/>
      <c r="AIX555"/>
      <c r="AIY555"/>
      <c r="AIZ555"/>
      <c r="AJA555"/>
      <c r="AJB555"/>
      <c r="AJC555"/>
      <c r="AJD555"/>
      <c r="AJE555"/>
      <c r="AJF555"/>
      <c r="AJG555"/>
      <c r="AJH555"/>
      <c r="AJI555"/>
      <c r="AJJ555"/>
      <c r="AJK555"/>
      <c r="AJL555"/>
      <c r="AJM555"/>
      <c r="AJN555"/>
      <c r="AJO555"/>
      <c r="AJP555"/>
      <c r="AJQ555"/>
      <c r="AJR555"/>
      <c r="AJS555"/>
      <c r="AJT555"/>
      <c r="AJU555"/>
      <c r="AJV555"/>
      <c r="AJW555"/>
      <c r="AJX555"/>
      <c r="AJY555"/>
      <c r="AJZ555"/>
      <c r="AKA555"/>
      <c r="AKB555"/>
      <c r="AKC555"/>
      <c r="AKD555"/>
      <c r="AKE555"/>
      <c r="AKF555"/>
      <c r="AKG555"/>
      <c r="AKH555"/>
      <c r="AKI555"/>
      <c r="AKJ555"/>
      <c r="AKK555"/>
      <c r="AKL555"/>
      <c r="AKM555"/>
      <c r="AKN555"/>
      <c r="AKO555"/>
      <c r="AKP555"/>
      <c r="AKQ555"/>
      <c r="AKR555"/>
      <c r="AKS555"/>
      <c r="AKT555"/>
      <c r="AKU555"/>
      <c r="AKV555"/>
      <c r="AKW555"/>
      <c r="AKX555"/>
      <c r="AKY555"/>
    </row>
    <row r="556" spans="1:987">
      <c r="A556" s="282" t="s">
        <v>1481</v>
      </c>
      <c r="B556" s="329">
        <v>3184</v>
      </c>
      <c r="C556" s="306">
        <v>4090</v>
      </c>
      <c r="D556" s="330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  <c r="ZY556"/>
      <c r="ZZ556"/>
      <c r="AAA556"/>
      <c r="AAB556"/>
      <c r="AAC556"/>
      <c r="AAD556"/>
      <c r="AAE556"/>
      <c r="AAF556"/>
      <c r="AAG556"/>
      <c r="AAH556"/>
      <c r="AAI556"/>
      <c r="AAJ556"/>
      <c r="AAK556"/>
      <c r="AAL556"/>
      <c r="AAM556"/>
      <c r="AAN556"/>
      <c r="AAO556"/>
      <c r="AAP556"/>
      <c r="AAQ556"/>
      <c r="AAR556"/>
      <c r="AAS556"/>
      <c r="AAT556"/>
      <c r="AAU556"/>
      <c r="AAV556"/>
      <c r="AAW556"/>
      <c r="AAX556"/>
      <c r="AAY556"/>
      <c r="AAZ556"/>
      <c r="ABA556"/>
      <c r="ABB556"/>
      <c r="ABC556"/>
      <c r="ABD556"/>
      <c r="ABE556"/>
      <c r="ABF556"/>
      <c r="ABG556"/>
      <c r="ABH556"/>
      <c r="ABI556"/>
      <c r="ABJ556"/>
      <c r="ABK556"/>
      <c r="ABL556"/>
      <c r="ABM556"/>
      <c r="ABN556"/>
      <c r="ABO556"/>
      <c r="ABP556"/>
      <c r="ABQ556"/>
      <c r="ABR556"/>
      <c r="ABS556"/>
      <c r="ABT556"/>
      <c r="ABU556"/>
      <c r="ABV556"/>
      <c r="ABW556"/>
      <c r="ABX556"/>
      <c r="ABY556"/>
      <c r="ABZ556"/>
      <c r="ACA556"/>
      <c r="ACB556"/>
      <c r="ACC556"/>
      <c r="ACD556"/>
      <c r="ACE556"/>
      <c r="ACF556"/>
      <c r="ACG556"/>
      <c r="ACH556"/>
      <c r="ACI556"/>
      <c r="ACJ556"/>
      <c r="ACK556"/>
      <c r="ACL556"/>
      <c r="ACM556"/>
      <c r="ACN556"/>
      <c r="ACO556"/>
      <c r="ACP556"/>
      <c r="ACQ556"/>
      <c r="ACR556"/>
      <c r="ACS556"/>
      <c r="ACT556"/>
      <c r="ACU556"/>
      <c r="ACV556"/>
      <c r="ACW556"/>
      <c r="ACX556"/>
      <c r="ACY556"/>
      <c r="ACZ556"/>
      <c r="ADA556"/>
      <c r="ADB556"/>
      <c r="ADC556"/>
      <c r="ADD556"/>
      <c r="ADE556"/>
      <c r="ADF556"/>
      <c r="ADG556"/>
      <c r="ADH556"/>
      <c r="ADI556"/>
      <c r="ADJ556"/>
      <c r="ADK556"/>
      <c r="ADL556"/>
      <c r="ADM556"/>
      <c r="ADN556"/>
      <c r="ADO556"/>
      <c r="ADP556"/>
      <c r="ADQ556"/>
      <c r="ADR556"/>
      <c r="ADS556"/>
      <c r="ADT556"/>
      <c r="ADU556"/>
      <c r="ADV556"/>
      <c r="ADW556"/>
      <c r="ADX556"/>
      <c r="ADY556"/>
      <c r="ADZ556"/>
      <c r="AEA556"/>
      <c r="AEB556"/>
      <c r="AEC556"/>
      <c r="AED556"/>
      <c r="AEE556"/>
      <c r="AEF556"/>
      <c r="AEG556"/>
      <c r="AEH556"/>
      <c r="AEI556"/>
      <c r="AEJ556"/>
      <c r="AEK556"/>
      <c r="AEL556"/>
      <c r="AEM556"/>
      <c r="AEN556"/>
      <c r="AEO556"/>
      <c r="AEP556"/>
      <c r="AEQ556"/>
      <c r="AER556"/>
      <c r="AES556"/>
      <c r="AET556"/>
      <c r="AEU556"/>
      <c r="AEV556"/>
      <c r="AEW556"/>
      <c r="AEX556"/>
      <c r="AEY556"/>
      <c r="AEZ556"/>
      <c r="AFA556"/>
      <c r="AFB556"/>
      <c r="AFC556"/>
      <c r="AFD556"/>
      <c r="AFE556"/>
      <c r="AFF556"/>
      <c r="AFG556"/>
      <c r="AFH556"/>
      <c r="AFI556"/>
      <c r="AFJ556"/>
      <c r="AFK556"/>
      <c r="AFL556"/>
      <c r="AFM556"/>
      <c r="AFN556"/>
      <c r="AFO556"/>
      <c r="AFP556"/>
      <c r="AFQ556"/>
      <c r="AFR556"/>
      <c r="AFS556"/>
      <c r="AFT556"/>
      <c r="AFU556"/>
      <c r="AFV556"/>
      <c r="AFW556"/>
      <c r="AFX556"/>
      <c r="AFY556"/>
      <c r="AFZ556"/>
      <c r="AGA556"/>
      <c r="AGB556"/>
      <c r="AGC556"/>
      <c r="AGD556"/>
      <c r="AGE556"/>
      <c r="AGF556"/>
      <c r="AGG556"/>
      <c r="AGH556"/>
      <c r="AGI556"/>
      <c r="AGJ556"/>
      <c r="AGK556"/>
      <c r="AGL556"/>
      <c r="AGM556"/>
      <c r="AGN556"/>
      <c r="AGO556"/>
      <c r="AGP556"/>
      <c r="AGQ556"/>
      <c r="AGR556"/>
      <c r="AGS556"/>
      <c r="AGT556"/>
      <c r="AGU556"/>
      <c r="AGV556"/>
      <c r="AGW556"/>
      <c r="AGX556"/>
      <c r="AGY556"/>
      <c r="AGZ556"/>
      <c r="AHA556"/>
      <c r="AHB556"/>
      <c r="AHC556"/>
      <c r="AHD556"/>
      <c r="AHE556"/>
      <c r="AHF556"/>
      <c r="AHG556"/>
      <c r="AHH556"/>
      <c r="AHI556"/>
      <c r="AHJ556"/>
      <c r="AHK556"/>
      <c r="AHL556"/>
      <c r="AHM556"/>
      <c r="AHN556"/>
      <c r="AHO556"/>
      <c r="AHP556"/>
      <c r="AHQ556"/>
      <c r="AHR556"/>
      <c r="AHS556"/>
      <c r="AHT556"/>
      <c r="AHU556"/>
      <c r="AHV556"/>
      <c r="AHW556"/>
      <c r="AHX556"/>
      <c r="AHY556"/>
      <c r="AHZ556"/>
      <c r="AIA556"/>
      <c r="AIB556"/>
      <c r="AIC556"/>
      <c r="AID556"/>
      <c r="AIE556"/>
      <c r="AIF556"/>
      <c r="AIG556"/>
      <c r="AIH556"/>
      <c r="AII556"/>
      <c r="AIJ556"/>
      <c r="AIK556"/>
      <c r="AIL556"/>
      <c r="AIM556"/>
      <c r="AIN556"/>
      <c r="AIO556"/>
      <c r="AIP556"/>
      <c r="AIQ556"/>
      <c r="AIR556"/>
      <c r="AIS556"/>
      <c r="AIT556"/>
      <c r="AIU556"/>
      <c r="AIV556"/>
      <c r="AIW556"/>
      <c r="AIX556"/>
      <c r="AIY556"/>
      <c r="AIZ556"/>
      <c r="AJA556"/>
      <c r="AJB556"/>
      <c r="AJC556"/>
      <c r="AJD556"/>
      <c r="AJE556"/>
      <c r="AJF556"/>
      <c r="AJG556"/>
      <c r="AJH556"/>
      <c r="AJI556"/>
      <c r="AJJ556"/>
      <c r="AJK556"/>
      <c r="AJL556"/>
      <c r="AJM556"/>
      <c r="AJN556"/>
      <c r="AJO556"/>
      <c r="AJP556"/>
      <c r="AJQ556"/>
      <c r="AJR556"/>
      <c r="AJS556"/>
      <c r="AJT556"/>
      <c r="AJU556"/>
      <c r="AJV556"/>
      <c r="AJW556"/>
      <c r="AJX556"/>
      <c r="AJY556"/>
      <c r="AJZ556"/>
      <c r="AKA556"/>
      <c r="AKB556"/>
      <c r="AKC556"/>
      <c r="AKD556"/>
      <c r="AKE556"/>
      <c r="AKF556"/>
      <c r="AKG556"/>
      <c r="AKH556"/>
      <c r="AKI556"/>
      <c r="AKJ556"/>
      <c r="AKK556"/>
      <c r="AKL556"/>
      <c r="AKM556"/>
      <c r="AKN556"/>
      <c r="AKO556"/>
      <c r="AKP556"/>
      <c r="AKQ556"/>
      <c r="AKR556"/>
      <c r="AKS556"/>
      <c r="AKT556"/>
      <c r="AKU556"/>
      <c r="AKV556"/>
      <c r="AKW556"/>
      <c r="AKX556"/>
      <c r="AKY556"/>
    </row>
    <row r="557" spans="1:987">
      <c r="A557" s="282"/>
      <c r="B557" s="329"/>
      <c r="C557" s="330"/>
      <c r="D557" s="330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  <c r="ZY557"/>
      <c r="ZZ557"/>
      <c r="AAA557"/>
      <c r="AAB557"/>
      <c r="AAC557"/>
      <c r="AAD557"/>
      <c r="AAE557"/>
      <c r="AAF557"/>
      <c r="AAG557"/>
      <c r="AAH557"/>
      <c r="AAI557"/>
      <c r="AAJ557"/>
      <c r="AAK557"/>
      <c r="AAL557"/>
      <c r="AAM557"/>
      <c r="AAN557"/>
      <c r="AAO557"/>
      <c r="AAP557"/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  <c r="ABE557"/>
      <c r="ABF557"/>
      <c r="ABG557"/>
      <c r="ABH557"/>
      <c r="ABI557"/>
      <c r="ABJ557"/>
      <c r="ABK557"/>
      <c r="ABL557"/>
      <c r="ABM557"/>
      <c r="ABN557"/>
      <c r="ABO557"/>
      <c r="ABP557"/>
      <c r="ABQ557"/>
      <c r="ABR557"/>
      <c r="ABS557"/>
      <c r="ABT557"/>
      <c r="ABU557"/>
      <c r="ABV557"/>
      <c r="ABW557"/>
      <c r="ABX557"/>
      <c r="ABY557"/>
      <c r="ABZ557"/>
      <c r="ACA557"/>
      <c r="ACB557"/>
      <c r="ACC557"/>
      <c r="ACD557"/>
      <c r="ACE557"/>
      <c r="ACF557"/>
      <c r="ACG557"/>
      <c r="ACH557"/>
      <c r="ACI557"/>
      <c r="ACJ557"/>
      <c r="ACK557"/>
      <c r="ACL557"/>
      <c r="ACM557"/>
      <c r="ACN557"/>
      <c r="ACO557"/>
      <c r="ACP557"/>
      <c r="ACQ557"/>
      <c r="ACR557"/>
      <c r="ACS557"/>
      <c r="ACT557"/>
      <c r="ACU557"/>
      <c r="ACV557"/>
      <c r="ACW557"/>
      <c r="ACX557"/>
      <c r="ACY557"/>
      <c r="ACZ557"/>
      <c r="ADA557"/>
      <c r="ADB557"/>
      <c r="ADC557"/>
      <c r="ADD557"/>
      <c r="ADE557"/>
      <c r="ADF557"/>
      <c r="ADG557"/>
      <c r="ADH557"/>
      <c r="ADI557"/>
      <c r="ADJ557"/>
      <c r="ADK557"/>
      <c r="ADL557"/>
      <c r="ADM557"/>
      <c r="ADN557"/>
      <c r="ADO557"/>
      <c r="ADP557"/>
      <c r="ADQ557"/>
      <c r="ADR557"/>
      <c r="ADS557"/>
      <c r="ADT557"/>
      <c r="ADU557"/>
      <c r="ADV557"/>
      <c r="ADW557"/>
      <c r="ADX557"/>
      <c r="ADY557"/>
      <c r="ADZ557"/>
      <c r="AEA557"/>
      <c r="AEB557"/>
      <c r="AEC557"/>
      <c r="AED557"/>
      <c r="AEE557"/>
      <c r="AEF557"/>
      <c r="AEG557"/>
      <c r="AEH557"/>
      <c r="AEI557"/>
      <c r="AEJ557"/>
      <c r="AEK557"/>
      <c r="AEL557"/>
      <c r="AEM557"/>
      <c r="AEN557"/>
      <c r="AEO557"/>
      <c r="AEP557"/>
      <c r="AEQ557"/>
      <c r="AER557"/>
      <c r="AES557"/>
      <c r="AET557"/>
      <c r="AEU557"/>
      <c r="AEV557"/>
      <c r="AEW557"/>
      <c r="AEX557"/>
      <c r="AEY557"/>
      <c r="AEZ557"/>
      <c r="AFA557"/>
      <c r="AFB557"/>
      <c r="AFC557"/>
      <c r="AFD557"/>
      <c r="AFE557"/>
      <c r="AFF557"/>
      <c r="AFG557"/>
      <c r="AFH557"/>
      <c r="AFI557"/>
      <c r="AFJ557"/>
      <c r="AFK557"/>
      <c r="AFL557"/>
      <c r="AFM557"/>
      <c r="AFN557"/>
      <c r="AFO557"/>
      <c r="AFP557"/>
      <c r="AFQ557"/>
      <c r="AFR557"/>
      <c r="AFS557"/>
      <c r="AFT557"/>
      <c r="AFU557"/>
      <c r="AFV557"/>
      <c r="AFW557"/>
      <c r="AFX557"/>
      <c r="AFY557"/>
      <c r="AFZ557"/>
      <c r="AGA557"/>
      <c r="AGB557"/>
      <c r="AGC557"/>
      <c r="AGD557"/>
      <c r="AGE557"/>
      <c r="AGF557"/>
      <c r="AGG557"/>
      <c r="AGH557"/>
      <c r="AGI557"/>
      <c r="AGJ557"/>
      <c r="AGK557"/>
      <c r="AGL557"/>
      <c r="AGM557"/>
      <c r="AGN557"/>
      <c r="AGO557"/>
      <c r="AGP557"/>
      <c r="AGQ557"/>
      <c r="AGR557"/>
      <c r="AGS557"/>
      <c r="AGT557"/>
      <c r="AGU557"/>
      <c r="AGV557"/>
      <c r="AGW557"/>
      <c r="AGX557"/>
      <c r="AGY557"/>
      <c r="AGZ557"/>
      <c r="AHA557"/>
      <c r="AHB557"/>
      <c r="AHC557"/>
      <c r="AHD557"/>
      <c r="AHE557"/>
      <c r="AHF557"/>
      <c r="AHG557"/>
      <c r="AHH557"/>
      <c r="AHI557"/>
      <c r="AHJ557"/>
      <c r="AHK557"/>
      <c r="AHL557"/>
      <c r="AHM557"/>
      <c r="AHN557"/>
      <c r="AHO557"/>
      <c r="AHP557"/>
      <c r="AHQ557"/>
      <c r="AHR557"/>
      <c r="AHS557"/>
      <c r="AHT557"/>
      <c r="AHU557"/>
      <c r="AHV557"/>
      <c r="AHW557"/>
      <c r="AHX557"/>
      <c r="AHY557"/>
      <c r="AHZ557"/>
      <c r="AIA557"/>
      <c r="AIB557"/>
      <c r="AIC557"/>
      <c r="AID557"/>
      <c r="AIE557"/>
      <c r="AIF557"/>
      <c r="AIG557"/>
      <c r="AIH557"/>
      <c r="AII557"/>
      <c r="AIJ557"/>
      <c r="AIK557"/>
      <c r="AIL557"/>
      <c r="AIM557"/>
      <c r="AIN557"/>
      <c r="AIO557"/>
      <c r="AIP557"/>
      <c r="AIQ557"/>
      <c r="AIR557"/>
      <c r="AIS557"/>
      <c r="AIT557"/>
      <c r="AIU557"/>
      <c r="AIV557"/>
      <c r="AIW557"/>
      <c r="AIX557"/>
      <c r="AIY557"/>
      <c r="AIZ557"/>
      <c r="AJA557"/>
      <c r="AJB557"/>
      <c r="AJC557"/>
      <c r="AJD557"/>
      <c r="AJE557"/>
      <c r="AJF557"/>
      <c r="AJG557"/>
      <c r="AJH557"/>
      <c r="AJI557"/>
      <c r="AJJ557"/>
      <c r="AJK557"/>
      <c r="AJL557"/>
      <c r="AJM557"/>
      <c r="AJN557"/>
      <c r="AJO557"/>
      <c r="AJP557"/>
      <c r="AJQ557"/>
      <c r="AJR557"/>
      <c r="AJS557"/>
      <c r="AJT557"/>
      <c r="AJU557"/>
      <c r="AJV557"/>
      <c r="AJW557"/>
      <c r="AJX557"/>
      <c r="AJY557"/>
      <c r="AJZ557"/>
      <c r="AKA557"/>
      <c r="AKB557"/>
      <c r="AKC557"/>
      <c r="AKD557"/>
      <c r="AKE557"/>
      <c r="AKF557"/>
      <c r="AKG557"/>
      <c r="AKH557"/>
      <c r="AKI557"/>
      <c r="AKJ557"/>
      <c r="AKK557"/>
      <c r="AKL557"/>
      <c r="AKM557"/>
      <c r="AKN557"/>
      <c r="AKO557"/>
      <c r="AKP557"/>
      <c r="AKQ557"/>
      <c r="AKR557"/>
      <c r="AKS557"/>
      <c r="AKT557"/>
      <c r="AKU557"/>
      <c r="AKV557"/>
      <c r="AKW557"/>
      <c r="AKX557"/>
      <c r="AKY557"/>
    </row>
    <row r="558" spans="1:987">
      <c r="A558" s="282"/>
      <c r="B558" s="329"/>
      <c r="C558" s="330"/>
      <c r="D558" s="330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  <c r="ZU558"/>
      <c r="ZV558"/>
      <c r="ZW558"/>
      <c r="ZX558"/>
      <c r="ZY558"/>
      <c r="ZZ558"/>
      <c r="AAA558"/>
      <c r="AAB558"/>
      <c r="AAC558"/>
      <c r="AAD558"/>
      <c r="AAE558"/>
      <c r="AAF558"/>
      <c r="AAG558"/>
      <c r="AAH558"/>
      <c r="AAI558"/>
      <c r="AAJ558"/>
      <c r="AAK558"/>
      <c r="AAL558"/>
      <c r="AAM558"/>
      <c r="AAN558"/>
      <c r="AAO558"/>
      <c r="AAP558"/>
      <c r="AAQ558"/>
      <c r="AAR558"/>
      <c r="AAS558"/>
      <c r="AAT558"/>
      <c r="AAU558"/>
      <c r="AAV558"/>
      <c r="AAW558"/>
      <c r="AAX558"/>
      <c r="AAY558"/>
      <c r="AAZ558"/>
      <c r="ABA558"/>
      <c r="ABB558"/>
      <c r="ABC558"/>
      <c r="ABD558"/>
      <c r="ABE558"/>
      <c r="ABF558"/>
      <c r="ABG558"/>
      <c r="ABH558"/>
      <c r="ABI558"/>
      <c r="ABJ558"/>
      <c r="ABK558"/>
      <c r="ABL558"/>
      <c r="ABM558"/>
      <c r="ABN558"/>
      <c r="ABO558"/>
      <c r="ABP558"/>
      <c r="ABQ558"/>
      <c r="ABR558"/>
      <c r="ABS558"/>
      <c r="ABT558"/>
      <c r="ABU558"/>
      <c r="ABV558"/>
      <c r="ABW558"/>
      <c r="ABX558"/>
      <c r="ABY558"/>
      <c r="ABZ558"/>
      <c r="ACA558"/>
      <c r="ACB558"/>
      <c r="ACC558"/>
      <c r="ACD558"/>
      <c r="ACE558"/>
      <c r="ACF558"/>
      <c r="ACG558"/>
      <c r="ACH558"/>
      <c r="ACI558"/>
      <c r="ACJ558"/>
      <c r="ACK558"/>
      <c r="ACL558"/>
      <c r="ACM558"/>
      <c r="ACN558"/>
      <c r="ACO558"/>
      <c r="ACP558"/>
      <c r="ACQ558"/>
      <c r="ACR558"/>
      <c r="ACS558"/>
      <c r="ACT558"/>
      <c r="ACU558"/>
      <c r="ACV558"/>
      <c r="ACW558"/>
      <c r="ACX558"/>
      <c r="ACY558"/>
      <c r="ACZ558"/>
      <c r="ADA558"/>
      <c r="ADB558"/>
      <c r="ADC558"/>
      <c r="ADD558"/>
      <c r="ADE558"/>
      <c r="ADF558"/>
      <c r="ADG558"/>
      <c r="ADH558"/>
      <c r="ADI558"/>
      <c r="ADJ558"/>
      <c r="ADK558"/>
      <c r="ADL558"/>
      <c r="ADM558"/>
      <c r="ADN558"/>
      <c r="ADO558"/>
      <c r="ADP558"/>
      <c r="ADQ558"/>
      <c r="ADR558"/>
      <c r="ADS558"/>
      <c r="ADT558"/>
      <c r="ADU558"/>
      <c r="ADV558"/>
      <c r="ADW558"/>
      <c r="ADX558"/>
      <c r="ADY558"/>
      <c r="ADZ558"/>
      <c r="AEA558"/>
      <c r="AEB558"/>
      <c r="AEC558"/>
      <c r="AED558"/>
      <c r="AEE558"/>
      <c r="AEF558"/>
      <c r="AEG558"/>
      <c r="AEH558"/>
      <c r="AEI558"/>
      <c r="AEJ558"/>
      <c r="AEK558"/>
      <c r="AEL558"/>
      <c r="AEM558"/>
      <c r="AEN558"/>
      <c r="AEO558"/>
      <c r="AEP558"/>
      <c r="AEQ558"/>
      <c r="AER558"/>
      <c r="AES558"/>
      <c r="AET558"/>
      <c r="AEU558"/>
      <c r="AEV558"/>
      <c r="AEW558"/>
      <c r="AEX558"/>
      <c r="AEY558"/>
      <c r="AEZ558"/>
      <c r="AFA558"/>
      <c r="AFB558"/>
      <c r="AFC558"/>
      <c r="AFD558"/>
      <c r="AFE558"/>
      <c r="AFF558"/>
      <c r="AFG558"/>
      <c r="AFH558"/>
      <c r="AFI558"/>
      <c r="AFJ558"/>
      <c r="AFK558"/>
      <c r="AFL558"/>
      <c r="AFM558"/>
      <c r="AFN558"/>
      <c r="AFO558"/>
      <c r="AFP558"/>
      <c r="AFQ558"/>
      <c r="AFR558"/>
      <c r="AFS558"/>
      <c r="AFT558"/>
      <c r="AFU558"/>
      <c r="AFV558"/>
      <c r="AFW558"/>
      <c r="AFX558"/>
      <c r="AFY558"/>
      <c r="AFZ558"/>
      <c r="AGA558"/>
      <c r="AGB558"/>
      <c r="AGC558"/>
      <c r="AGD558"/>
      <c r="AGE558"/>
      <c r="AGF558"/>
      <c r="AGG558"/>
      <c r="AGH558"/>
      <c r="AGI558"/>
      <c r="AGJ558"/>
      <c r="AGK558"/>
      <c r="AGL558"/>
      <c r="AGM558"/>
      <c r="AGN558"/>
      <c r="AGO558"/>
      <c r="AGP558"/>
      <c r="AGQ558"/>
      <c r="AGR558"/>
      <c r="AGS558"/>
      <c r="AGT558"/>
      <c r="AGU558"/>
      <c r="AGV558"/>
      <c r="AGW558"/>
      <c r="AGX558"/>
      <c r="AGY558"/>
      <c r="AGZ558"/>
      <c r="AHA558"/>
      <c r="AHB558"/>
      <c r="AHC558"/>
      <c r="AHD558"/>
      <c r="AHE558"/>
      <c r="AHF558"/>
      <c r="AHG558"/>
      <c r="AHH558"/>
      <c r="AHI558"/>
      <c r="AHJ558"/>
      <c r="AHK558"/>
      <c r="AHL558"/>
      <c r="AHM558"/>
      <c r="AHN558"/>
      <c r="AHO558"/>
      <c r="AHP558"/>
      <c r="AHQ558"/>
      <c r="AHR558"/>
      <c r="AHS558"/>
      <c r="AHT558"/>
      <c r="AHU558"/>
      <c r="AHV558"/>
      <c r="AHW558"/>
      <c r="AHX558"/>
      <c r="AHY558"/>
      <c r="AHZ558"/>
      <c r="AIA558"/>
      <c r="AIB558"/>
      <c r="AIC558"/>
      <c r="AID558"/>
      <c r="AIE558"/>
      <c r="AIF558"/>
      <c r="AIG558"/>
      <c r="AIH558"/>
      <c r="AII558"/>
      <c r="AIJ558"/>
      <c r="AIK558"/>
      <c r="AIL558"/>
      <c r="AIM558"/>
      <c r="AIN558"/>
      <c r="AIO558"/>
      <c r="AIP558"/>
      <c r="AIQ558"/>
      <c r="AIR558"/>
      <c r="AIS558"/>
      <c r="AIT558"/>
      <c r="AIU558"/>
      <c r="AIV558"/>
      <c r="AIW558"/>
      <c r="AIX558"/>
      <c r="AIY558"/>
      <c r="AIZ558"/>
      <c r="AJA558"/>
      <c r="AJB558"/>
      <c r="AJC558"/>
      <c r="AJD558"/>
      <c r="AJE558"/>
      <c r="AJF558"/>
      <c r="AJG558"/>
      <c r="AJH558"/>
      <c r="AJI558"/>
      <c r="AJJ558"/>
      <c r="AJK558"/>
      <c r="AJL558"/>
      <c r="AJM558"/>
      <c r="AJN558"/>
      <c r="AJO558"/>
      <c r="AJP558"/>
      <c r="AJQ558"/>
      <c r="AJR558"/>
      <c r="AJS558"/>
      <c r="AJT558"/>
      <c r="AJU558"/>
      <c r="AJV558"/>
      <c r="AJW558"/>
      <c r="AJX558"/>
      <c r="AJY558"/>
      <c r="AJZ558"/>
      <c r="AKA558"/>
      <c r="AKB558"/>
      <c r="AKC558"/>
      <c r="AKD558"/>
      <c r="AKE558"/>
      <c r="AKF558"/>
      <c r="AKG558"/>
      <c r="AKH558"/>
      <c r="AKI558"/>
      <c r="AKJ558"/>
      <c r="AKK558"/>
      <c r="AKL558"/>
      <c r="AKM558"/>
      <c r="AKN558"/>
      <c r="AKO558"/>
      <c r="AKP558"/>
      <c r="AKQ558"/>
      <c r="AKR558"/>
      <c r="AKS558"/>
      <c r="AKT558"/>
      <c r="AKU558"/>
      <c r="AKV558"/>
      <c r="AKW558"/>
      <c r="AKX558"/>
      <c r="AKY558"/>
    </row>
    <row r="559" spans="1:987">
      <c r="B559" s="329"/>
      <c r="C559" s="330"/>
      <c r="D559" s="330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/>
      <c r="AAW559"/>
      <c r="AAX559"/>
      <c r="AAY559"/>
      <c r="AAZ559"/>
      <c r="ABA559"/>
      <c r="ABB559"/>
      <c r="ABC559"/>
      <c r="ABD559"/>
      <c r="ABE559"/>
      <c r="ABF559"/>
      <c r="ABG559"/>
      <c r="ABH559"/>
      <c r="ABI559"/>
      <c r="ABJ559"/>
      <c r="ABK559"/>
      <c r="ABL559"/>
      <c r="ABM559"/>
      <c r="ABN559"/>
      <c r="ABO559"/>
      <c r="ABP559"/>
      <c r="ABQ559"/>
      <c r="ABR559"/>
      <c r="ABS559"/>
      <c r="ABT559"/>
      <c r="ABU559"/>
      <c r="ABV559"/>
      <c r="ABW559"/>
      <c r="ABX559"/>
      <c r="ABY559"/>
      <c r="ABZ559"/>
      <c r="ACA559"/>
      <c r="ACB559"/>
      <c r="ACC559"/>
      <c r="ACD559"/>
      <c r="ACE559"/>
      <c r="ACF559"/>
      <c r="ACG559"/>
      <c r="ACH559"/>
      <c r="ACI559"/>
      <c r="ACJ559"/>
      <c r="ACK559"/>
      <c r="ACL559"/>
      <c r="ACM559"/>
      <c r="ACN559"/>
      <c r="ACO559"/>
      <c r="ACP559"/>
      <c r="ACQ559"/>
      <c r="ACR559"/>
      <c r="ACS559"/>
      <c r="ACT559"/>
      <c r="ACU559"/>
      <c r="ACV559"/>
      <c r="ACW559"/>
      <c r="ACX559"/>
      <c r="ACY559"/>
      <c r="ACZ559"/>
      <c r="ADA559"/>
      <c r="ADB559"/>
      <c r="ADC559"/>
      <c r="ADD559"/>
      <c r="ADE559"/>
      <c r="ADF559"/>
      <c r="ADG559"/>
      <c r="ADH559"/>
      <c r="ADI559"/>
      <c r="ADJ559"/>
      <c r="ADK559"/>
      <c r="ADL559"/>
      <c r="ADM559"/>
      <c r="ADN559"/>
      <c r="ADO559"/>
      <c r="ADP559"/>
      <c r="ADQ559"/>
      <c r="ADR559"/>
      <c r="ADS559"/>
      <c r="ADT559"/>
      <c r="ADU559"/>
      <c r="ADV559"/>
      <c r="ADW559"/>
      <c r="ADX559"/>
      <c r="ADY559"/>
      <c r="ADZ559"/>
      <c r="AEA559"/>
      <c r="AEB559"/>
      <c r="AEC559"/>
      <c r="AED559"/>
      <c r="AEE559"/>
      <c r="AEF559"/>
      <c r="AEG559"/>
      <c r="AEH559"/>
      <c r="AEI559"/>
      <c r="AEJ559"/>
      <c r="AEK559"/>
      <c r="AEL559"/>
      <c r="AEM559"/>
      <c r="AEN559"/>
      <c r="AEO559"/>
      <c r="AEP559"/>
      <c r="AEQ559"/>
      <c r="AER559"/>
      <c r="AES559"/>
      <c r="AET559"/>
      <c r="AEU559"/>
      <c r="AEV559"/>
      <c r="AEW559"/>
      <c r="AEX559"/>
      <c r="AEY559"/>
      <c r="AEZ559"/>
      <c r="AFA559"/>
      <c r="AFB559"/>
      <c r="AFC559"/>
      <c r="AFD559"/>
      <c r="AFE559"/>
      <c r="AFF559"/>
      <c r="AFG559"/>
      <c r="AFH559"/>
      <c r="AFI559"/>
      <c r="AFJ559"/>
      <c r="AFK559"/>
      <c r="AFL559"/>
      <c r="AFM559"/>
      <c r="AFN559"/>
      <c r="AFO559"/>
      <c r="AFP559"/>
      <c r="AFQ559"/>
      <c r="AFR559"/>
      <c r="AFS559"/>
      <c r="AFT559"/>
      <c r="AFU559"/>
      <c r="AFV559"/>
      <c r="AFW559"/>
      <c r="AFX559"/>
      <c r="AFY559"/>
      <c r="AFZ559"/>
      <c r="AGA559"/>
      <c r="AGB559"/>
      <c r="AGC559"/>
      <c r="AGD559"/>
      <c r="AGE559"/>
      <c r="AGF559"/>
      <c r="AGG559"/>
      <c r="AGH559"/>
      <c r="AGI559"/>
      <c r="AGJ559"/>
      <c r="AGK559"/>
      <c r="AGL559"/>
      <c r="AGM559"/>
      <c r="AGN559"/>
      <c r="AGO559"/>
      <c r="AGP559"/>
      <c r="AGQ559"/>
      <c r="AGR559"/>
      <c r="AGS559"/>
      <c r="AGT559"/>
      <c r="AGU559"/>
      <c r="AGV559"/>
      <c r="AGW559"/>
      <c r="AGX559"/>
      <c r="AGY559"/>
      <c r="AGZ559"/>
      <c r="AHA559"/>
      <c r="AHB559"/>
      <c r="AHC559"/>
      <c r="AHD559"/>
      <c r="AHE559"/>
      <c r="AHF559"/>
      <c r="AHG559"/>
      <c r="AHH559"/>
      <c r="AHI559"/>
      <c r="AHJ559"/>
      <c r="AHK559"/>
      <c r="AHL559"/>
      <c r="AHM559"/>
      <c r="AHN559"/>
      <c r="AHO559"/>
      <c r="AHP559"/>
      <c r="AHQ559"/>
      <c r="AHR559"/>
      <c r="AHS559"/>
      <c r="AHT559"/>
      <c r="AHU559"/>
      <c r="AHV559"/>
      <c r="AHW559"/>
      <c r="AHX559"/>
      <c r="AHY559"/>
      <c r="AHZ559"/>
      <c r="AIA559"/>
      <c r="AIB559"/>
      <c r="AIC559"/>
      <c r="AID559"/>
      <c r="AIE559"/>
      <c r="AIF559"/>
      <c r="AIG559"/>
      <c r="AIH559"/>
      <c r="AII559"/>
      <c r="AIJ559"/>
      <c r="AIK559"/>
      <c r="AIL559"/>
      <c r="AIM559"/>
      <c r="AIN559"/>
      <c r="AIO559"/>
      <c r="AIP559"/>
      <c r="AIQ559"/>
      <c r="AIR559"/>
      <c r="AIS559"/>
      <c r="AIT559"/>
      <c r="AIU559"/>
      <c r="AIV559"/>
      <c r="AIW559"/>
      <c r="AIX559"/>
      <c r="AIY559"/>
      <c r="AIZ559"/>
      <c r="AJA559"/>
      <c r="AJB559"/>
      <c r="AJC559"/>
      <c r="AJD559"/>
      <c r="AJE559"/>
      <c r="AJF559"/>
      <c r="AJG559"/>
      <c r="AJH559"/>
      <c r="AJI559"/>
      <c r="AJJ559"/>
      <c r="AJK559"/>
      <c r="AJL559"/>
      <c r="AJM559"/>
      <c r="AJN559"/>
      <c r="AJO559"/>
      <c r="AJP559"/>
      <c r="AJQ559"/>
      <c r="AJR559"/>
      <c r="AJS559"/>
      <c r="AJT559"/>
      <c r="AJU559"/>
      <c r="AJV559"/>
      <c r="AJW559"/>
      <c r="AJX559"/>
      <c r="AJY559"/>
      <c r="AJZ559"/>
      <c r="AKA559"/>
      <c r="AKB559"/>
      <c r="AKC559"/>
      <c r="AKD559"/>
      <c r="AKE559"/>
      <c r="AKF559"/>
      <c r="AKG559"/>
      <c r="AKH559"/>
      <c r="AKI559"/>
      <c r="AKJ559"/>
      <c r="AKK559"/>
      <c r="AKL559"/>
      <c r="AKM559"/>
      <c r="AKN559"/>
      <c r="AKO559"/>
      <c r="AKP559"/>
      <c r="AKQ559"/>
      <c r="AKR559"/>
      <c r="AKS559"/>
      <c r="AKT559"/>
      <c r="AKU559"/>
      <c r="AKV559"/>
      <c r="AKW559"/>
      <c r="AKX559"/>
      <c r="AKY559"/>
    </row>
    <row r="560" spans="1:987">
      <c r="A560" s="414" t="s">
        <v>330</v>
      </c>
      <c r="B560" s="240"/>
      <c r="C560" s="241"/>
      <c r="D560" s="241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  <c r="ZW560"/>
      <c r="ZX560"/>
      <c r="ZY560"/>
      <c r="ZZ560"/>
      <c r="AAA560"/>
      <c r="AAB560"/>
      <c r="AAC560"/>
      <c r="AAD560"/>
      <c r="AAE560"/>
      <c r="AAF560"/>
      <c r="AAG560"/>
      <c r="AAH560"/>
      <c r="AAI560"/>
      <c r="AAJ560"/>
      <c r="AAK560"/>
      <c r="AAL560"/>
      <c r="AAM560"/>
      <c r="AAN560"/>
      <c r="AAO560"/>
      <c r="AAP560"/>
      <c r="AAQ560"/>
      <c r="AAR560"/>
      <c r="AAS560"/>
      <c r="AAT560"/>
      <c r="AAU560"/>
      <c r="AAV560"/>
      <c r="AAW560"/>
      <c r="AAX560"/>
      <c r="AAY560"/>
      <c r="AAZ560"/>
      <c r="ABA560"/>
      <c r="ABB560"/>
      <c r="ABC560"/>
      <c r="ABD560"/>
      <c r="ABE560"/>
      <c r="ABF560"/>
      <c r="ABG560"/>
      <c r="ABH560"/>
      <c r="ABI560"/>
      <c r="ABJ560"/>
      <c r="ABK560"/>
      <c r="ABL560"/>
      <c r="ABM560"/>
      <c r="ABN560"/>
      <c r="ABO560"/>
      <c r="ABP560"/>
      <c r="ABQ560"/>
      <c r="ABR560"/>
      <c r="ABS560"/>
      <c r="ABT560"/>
      <c r="ABU560"/>
      <c r="ABV560"/>
      <c r="ABW560"/>
      <c r="ABX560"/>
      <c r="ABY560"/>
      <c r="ABZ560"/>
      <c r="ACA560"/>
      <c r="ACB560"/>
      <c r="ACC560"/>
      <c r="ACD560"/>
      <c r="ACE560"/>
      <c r="ACF560"/>
      <c r="ACG560"/>
      <c r="ACH560"/>
      <c r="ACI560"/>
      <c r="ACJ560"/>
      <c r="ACK560"/>
      <c r="ACL560"/>
      <c r="ACM560"/>
      <c r="ACN560"/>
      <c r="ACO560"/>
      <c r="ACP560"/>
      <c r="ACQ560"/>
      <c r="ACR560"/>
      <c r="ACS560"/>
      <c r="ACT560"/>
      <c r="ACU560"/>
      <c r="ACV560"/>
      <c r="ACW560"/>
      <c r="ACX560"/>
      <c r="ACY560"/>
      <c r="ACZ560"/>
      <c r="ADA560"/>
      <c r="ADB560"/>
      <c r="ADC560"/>
      <c r="ADD560"/>
      <c r="ADE560"/>
      <c r="ADF560"/>
      <c r="ADG560"/>
      <c r="ADH560"/>
      <c r="ADI560"/>
      <c r="ADJ560"/>
      <c r="ADK560"/>
      <c r="ADL560"/>
      <c r="ADM560"/>
      <c r="ADN560"/>
      <c r="ADO560"/>
      <c r="ADP560"/>
      <c r="ADQ560"/>
      <c r="ADR560"/>
      <c r="ADS560"/>
      <c r="ADT560"/>
      <c r="ADU560"/>
      <c r="ADV560"/>
      <c r="ADW560"/>
      <c r="ADX560"/>
      <c r="ADY560"/>
      <c r="ADZ560"/>
      <c r="AEA560"/>
      <c r="AEB560"/>
      <c r="AEC560"/>
      <c r="AED560"/>
      <c r="AEE560"/>
      <c r="AEF560"/>
      <c r="AEG560"/>
      <c r="AEH560"/>
      <c r="AEI560"/>
      <c r="AEJ560"/>
      <c r="AEK560"/>
      <c r="AEL560"/>
      <c r="AEM560"/>
      <c r="AEN560"/>
      <c r="AEO560"/>
      <c r="AEP560"/>
      <c r="AEQ560"/>
      <c r="AER560"/>
      <c r="AES560"/>
      <c r="AET560"/>
      <c r="AEU560"/>
      <c r="AEV560"/>
      <c r="AEW560"/>
      <c r="AEX560"/>
      <c r="AEY560"/>
      <c r="AEZ560"/>
      <c r="AFA560"/>
      <c r="AFB560"/>
      <c r="AFC560"/>
      <c r="AFD560"/>
      <c r="AFE560"/>
      <c r="AFF560"/>
      <c r="AFG560"/>
      <c r="AFH560"/>
      <c r="AFI560"/>
      <c r="AFJ560"/>
      <c r="AFK560"/>
      <c r="AFL560"/>
      <c r="AFM560"/>
      <c r="AFN560"/>
      <c r="AFO560"/>
      <c r="AFP560"/>
      <c r="AFQ560"/>
      <c r="AFR560"/>
      <c r="AFS560"/>
      <c r="AFT560"/>
      <c r="AFU560"/>
      <c r="AFV560"/>
      <c r="AFW560"/>
      <c r="AFX560"/>
      <c r="AFY560"/>
      <c r="AFZ560"/>
      <c r="AGA560"/>
      <c r="AGB560"/>
      <c r="AGC560"/>
      <c r="AGD560"/>
      <c r="AGE560"/>
      <c r="AGF560"/>
      <c r="AGG560"/>
      <c r="AGH560"/>
      <c r="AGI560"/>
      <c r="AGJ560"/>
      <c r="AGK560"/>
      <c r="AGL560"/>
      <c r="AGM560"/>
      <c r="AGN560"/>
      <c r="AGO560"/>
      <c r="AGP560"/>
      <c r="AGQ560"/>
      <c r="AGR560"/>
      <c r="AGS560"/>
      <c r="AGT560"/>
      <c r="AGU560"/>
      <c r="AGV560"/>
      <c r="AGW560"/>
      <c r="AGX560"/>
      <c r="AGY560"/>
      <c r="AGZ560"/>
      <c r="AHA560"/>
      <c r="AHB560"/>
      <c r="AHC560"/>
      <c r="AHD560"/>
      <c r="AHE560"/>
      <c r="AHF560"/>
      <c r="AHG560"/>
      <c r="AHH560"/>
      <c r="AHI560"/>
      <c r="AHJ560"/>
      <c r="AHK560"/>
      <c r="AHL560"/>
      <c r="AHM560"/>
      <c r="AHN560"/>
      <c r="AHO560"/>
      <c r="AHP560"/>
      <c r="AHQ560"/>
      <c r="AHR560"/>
      <c r="AHS560"/>
      <c r="AHT560"/>
      <c r="AHU560"/>
      <c r="AHV560"/>
      <c r="AHW560"/>
      <c r="AHX560"/>
      <c r="AHY560"/>
      <c r="AHZ560"/>
      <c r="AIA560"/>
      <c r="AIB560"/>
      <c r="AIC560"/>
      <c r="AID560"/>
      <c r="AIE560"/>
      <c r="AIF560"/>
      <c r="AIG560"/>
      <c r="AIH560"/>
      <c r="AII560"/>
      <c r="AIJ560"/>
      <c r="AIK560"/>
      <c r="AIL560"/>
      <c r="AIM560"/>
      <c r="AIN560"/>
      <c r="AIO560"/>
      <c r="AIP560"/>
      <c r="AIQ560"/>
      <c r="AIR560"/>
      <c r="AIS560"/>
      <c r="AIT560"/>
      <c r="AIU560"/>
      <c r="AIV560"/>
      <c r="AIW560"/>
      <c r="AIX560"/>
      <c r="AIY560"/>
      <c r="AIZ560"/>
      <c r="AJA560"/>
      <c r="AJB560"/>
      <c r="AJC560"/>
      <c r="AJD560"/>
      <c r="AJE560"/>
      <c r="AJF560"/>
      <c r="AJG560"/>
      <c r="AJH560"/>
      <c r="AJI560"/>
      <c r="AJJ560"/>
      <c r="AJK560"/>
      <c r="AJL560"/>
      <c r="AJM560"/>
      <c r="AJN560"/>
      <c r="AJO560"/>
      <c r="AJP560"/>
      <c r="AJQ560"/>
      <c r="AJR560"/>
      <c r="AJS560"/>
      <c r="AJT560"/>
      <c r="AJU560"/>
      <c r="AJV560"/>
      <c r="AJW560"/>
      <c r="AJX560"/>
      <c r="AJY560"/>
      <c r="AJZ560"/>
      <c r="AKA560"/>
      <c r="AKB560"/>
      <c r="AKC560"/>
      <c r="AKD560"/>
      <c r="AKE560"/>
      <c r="AKF560"/>
      <c r="AKG560"/>
      <c r="AKH560"/>
      <c r="AKI560"/>
      <c r="AKJ560"/>
      <c r="AKK560"/>
      <c r="AKL560"/>
      <c r="AKM560"/>
      <c r="AKN560"/>
      <c r="AKO560"/>
      <c r="AKP560"/>
      <c r="AKQ560"/>
      <c r="AKR560"/>
      <c r="AKS560"/>
      <c r="AKT560"/>
      <c r="AKU560"/>
      <c r="AKV560"/>
      <c r="AKW560"/>
      <c r="AKX560"/>
      <c r="AKY560"/>
    </row>
    <row r="561" spans="1:988">
      <c r="A561" s="421" t="s">
        <v>1483</v>
      </c>
      <c r="B561" s="305">
        <v>2891</v>
      </c>
      <c r="C561" s="306">
        <v>4190</v>
      </c>
      <c r="D561" s="306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  <c r="ZY561"/>
      <c r="ZZ561"/>
      <c r="AAA561"/>
      <c r="AAB561"/>
      <c r="AAC561"/>
      <c r="AAD561"/>
      <c r="AAE561"/>
      <c r="AAF561"/>
      <c r="AAG561"/>
      <c r="AAH561"/>
      <c r="AAI561"/>
      <c r="AAJ561"/>
      <c r="AAK561"/>
      <c r="AAL561"/>
      <c r="AAM561"/>
      <c r="AAN561"/>
      <c r="AAO561"/>
      <c r="AAP561"/>
      <c r="AAQ561"/>
      <c r="AAR561"/>
      <c r="AAS561"/>
      <c r="AAT561"/>
      <c r="AAU561"/>
      <c r="AAV561"/>
      <c r="AAW561"/>
      <c r="AAX561"/>
      <c r="AAY561"/>
      <c r="AAZ561"/>
      <c r="ABA561"/>
      <c r="ABB561"/>
      <c r="ABC561"/>
      <c r="ABD561"/>
      <c r="ABE561"/>
      <c r="ABF561"/>
      <c r="ABG561"/>
      <c r="ABH561"/>
      <c r="ABI561"/>
      <c r="ABJ561"/>
      <c r="ABK561"/>
      <c r="ABL561"/>
      <c r="ABM561"/>
      <c r="ABN561"/>
      <c r="ABO561"/>
      <c r="ABP561"/>
      <c r="ABQ561"/>
      <c r="ABR561"/>
      <c r="ABS561"/>
      <c r="ABT561"/>
      <c r="ABU561"/>
      <c r="ABV561"/>
      <c r="ABW561"/>
      <c r="ABX561"/>
      <c r="ABY561"/>
      <c r="ABZ561"/>
      <c r="ACA561"/>
      <c r="ACB561"/>
      <c r="ACC561"/>
      <c r="ACD561"/>
      <c r="ACE561"/>
      <c r="ACF561"/>
      <c r="ACG561"/>
      <c r="ACH561"/>
      <c r="ACI561"/>
      <c r="ACJ561"/>
      <c r="ACK561"/>
      <c r="ACL561"/>
      <c r="ACM561"/>
      <c r="ACN561"/>
      <c r="ACO561"/>
      <c r="ACP561"/>
      <c r="ACQ561"/>
      <c r="ACR561"/>
      <c r="ACS561"/>
      <c r="ACT561"/>
      <c r="ACU561"/>
      <c r="ACV561"/>
      <c r="ACW561"/>
      <c r="ACX561"/>
      <c r="ACY561"/>
      <c r="ACZ561"/>
      <c r="ADA561"/>
      <c r="ADB561"/>
      <c r="ADC561"/>
      <c r="ADD561"/>
      <c r="ADE561"/>
      <c r="ADF561"/>
      <c r="ADG561"/>
      <c r="ADH561"/>
      <c r="ADI561"/>
      <c r="ADJ561"/>
      <c r="ADK561"/>
      <c r="ADL561"/>
      <c r="ADM561"/>
      <c r="ADN561"/>
      <c r="ADO561"/>
      <c r="ADP561"/>
      <c r="ADQ561"/>
      <c r="ADR561"/>
      <c r="ADS561"/>
      <c r="ADT561"/>
      <c r="ADU561"/>
      <c r="ADV561"/>
      <c r="ADW561"/>
      <c r="ADX561"/>
      <c r="ADY561"/>
      <c r="ADZ561"/>
      <c r="AEA561"/>
      <c r="AEB561"/>
      <c r="AEC561"/>
      <c r="AED561"/>
      <c r="AEE561"/>
      <c r="AEF561"/>
      <c r="AEG561"/>
      <c r="AEH561"/>
      <c r="AEI561"/>
      <c r="AEJ561"/>
      <c r="AEK561"/>
      <c r="AEL561"/>
      <c r="AEM561"/>
      <c r="AEN561"/>
      <c r="AEO561"/>
      <c r="AEP561"/>
      <c r="AEQ561"/>
      <c r="AER561"/>
      <c r="AES561"/>
      <c r="AET561"/>
      <c r="AEU561"/>
      <c r="AEV561"/>
      <c r="AEW561"/>
      <c r="AEX561"/>
      <c r="AEY561"/>
      <c r="AEZ561"/>
      <c r="AFA561"/>
      <c r="AFB561"/>
      <c r="AFC561"/>
      <c r="AFD561"/>
      <c r="AFE561"/>
      <c r="AFF561"/>
      <c r="AFG561"/>
      <c r="AFH561"/>
      <c r="AFI561"/>
      <c r="AFJ561"/>
      <c r="AFK561"/>
      <c r="AFL561"/>
      <c r="AFM561"/>
      <c r="AFN561"/>
      <c r="AFO561"/>
      <c r="AFP561"/>
      <c r="AFQ561"/>
      <c r="AFR561"/>
      <c r="AFS561"/>
      <c r="AFT561"/>
      <c r="AFU561"/>
      <c r="AFV561"/>
      <c r="AFW561"/>
      <c r="AFX561"/>
      <c r="AFY561"/>
      <c r="AFZ561"/>
      <c r="AGA561"/>
      <c r="AGB561"/>
      <c r="AGC561"/>
      <c r="AGD561"/>
      <c r="AGE561"/>
      <c r="AGF561"/>
      <c r="AGG561"/>
      <c r="AGH561"/>
      <c r="AGI561"/>
      <c r="AGJ561"/>
      <c r="AGK561"/>
      <c r="AGL561"/>
      <c r="AGM561"/>
      <c r="AGN561"/>
      <c r="AGO561"/>
      <c r="AGP561"/>
      <c r="AGQ561"/>
      <c r="AGR561"/>
      <c r="AGS561"/>
      <c r="AGT561"/>
      <c r="AGU561"/>
      <c r="AGV561"/>
      <c r="AGW561"/>
      <c r="AGX561"/>
      <c r="AGY561"/>
      <c r="AGZ561"/>
      <c r="AHA561"/>
      <c r="AHB561"/>
      <c r="AHC561"/>
      <c r="AHD561"/>
      <c r="AHE561"/>
      <c r="AHF561"/>
      <c r="AHG561"/>
      <c r="AHH561"/>
      <c r="AHI561"/>
      <c r="AHJ561"/>
      <c r="AHK561"/>
      <c r="AHL561"/>
      <c r="AHM561"/>
      <c r="AHN561"/>
      <c r="AHO561"/>
      <c r="AHP561"/>
      <c r="AHQ561"/>
      <c r="AHR561"/>
      <c r="AHS561"/>
      <c r="AHT561"/>
      <c r="AHU561"/>
      <c r="AHV561"/>
      <c r="AHW561"/>
      <c r="AHX561"/>
      <c r="AHY561"/>
      <c r="AHZ561"/>
      <c r="AIA561"/>
      <c r="AIB561"/>
      <c r="AIC561"/>
      <c r="AID561"/>
      <c r="AIE561"/>
      <c r="AIF561"/>
      <c r="AIG561"/>
      <c r="AIH561"/>
      <c r="AII561"/>
      <c r="AIJ561"/>
      <c r="AIK561"/>
      <c r="AIL561"/>
      <c r="AIM561"/>
      <c r="AIN561"/>
      <c r="AIO561"/>
      <c r="AIP561"/>
      <c r="AIQ561"/>
      <c r="AIR561"/>
      <c r="AIS561"/>
      <c r="AIT561"/>
      <c r="AIU561"/>
      <c r="AIV561"/>
      <c r="AIW561"/>
      <c r="AIX561"/>
      <c r="AIY561"/>
      <c r="AIZ561"/>
      <c r="AJA561"/>
      <c r="AJB561"/>
      <c r="AJC561"/>
      <c r="AJD561"/>
      <c r="AJE561"/>
      <c r="AJF561"/>
      <c r="AJG561"/>
      <c r="AJH561"/>
      <c r="AJI561"/>
      <c r="AJJ561"/>
      <c r="AJK561"/>
      <c r="AJL561"/>
      <c r="AJM561"/>
      <c r="AJN561"/>
      <c r="AJO561"/>
      <c r="AJP561"/>
      <c r="AJQ561"/>
      <c r="AJR561"/>
      <c r="AJS561"/>
      <c r="AJT561"/>
      <c r="AJU561"/>
      <c r="AJV561"/>
      <c r="AJW561"/>
      <c r="AJX561"/>
      <c r="AJY561"/>
      <c r="AJZ561"/>
      <c r="AKA561"/>
      <c r="AKB561"/>
      <c r="AKC561"/>
      <c r="AKD561"/>
      <c r="AKE561"/>
      <c r="AKF561"/>
      <c r="AKG561"/>
      <c r="AKH561"/>
      <c r="AKI561"/>
      <c r="AKJ561"/>
      <c r="AKK561"/>
      <c r="AKL561"/>
      <c r="AKM561"/>
      <c r="AKN561"/>
      <c r="AKO561"/>
      <c r="AKP561"/>
      <c r="AKQ561"/>
      <c r="AKR561"/>
      <c r="AKS561"/>
      <c r="AKT561"/>
      <c r="AKU561"/>
      <c r="AKV561"/>
      <c r="AKW561"/>
      <c r="AKX561"/>
      <c r="AKY561"/>
    </row>
    <row r="562" spans="1:988">
      <c r="A562" s="421" t="s">
        <v>1485</v>
      </c>
      <c r="B562" s="305">
        <v>2926</v>
      </c>
      <c r="C562" s="306">
        <v>4190</v>
      </c>
      <c r="D562" s="306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  <c r="ZW562"/>
      <c r="ZX562"/>
      <c r="ZY562"/>
      <c r="ZZ562"/>
      <c r="AAA562"/>
      <c r="AAB562"/>
      <c r="AAC562"/>
      <c r="AAD562"/>
      <c r="AAE562"/>
      <c r="AAF562"/>
      <c r="AAG562"/>
      <c r="AAH562"/>
      <c r="AAI562"/>
      <c r="AAJ562"/>
      <c r="AAK562"/>
      <c r="AAL562"/>
      <c r="AAM562"/>
      <c r="AAN562"/>
      <c r="AAO562"/>
      <c r="AAP562"/>
      <c r="AAQ562"/>
      <c r="AAR562"/>
      <c r="AAS562"/>
      <c r="AAT562"/>
      <c r="AAU562"/>
      <c r="AAV562"/>
      <c r="AAW562"/>
      <c r="AAX562"/>
      <c r="AAY562"/>
      <c r="AAZ562"/>
      <c r="ABA562"/>
      <c r="ABB562"/>
      <c r="ABC562"/>
      <c r="ABD562"/>
      <c r="ABE562"/>
      <c r="ABF562"/>
      <c r="ABG562"/>
      <c r="ABH562"/>
      <c r="ABI562"/>
      <c r="ABJ562"/>
      <c r="ABK562"/>
      <c r="ABL562"/>
      <c r="ABM562"/>
      <c r="ABN562"/>
      <c r="ABO562"/>
      <c r="ABP562"/>
      <c r="ABQ562"/>
      <c r="ABR562"/>
      <c r="ABS562"/>
      <c r="ABT562"/>
      <c r="ABU562"/>
      <c r="ABV562"/>
      <c r="ABW562"/>
      <c r="ABX562"/>
      <c r="ABY562"/>
      <c r="ABZ562"/>
      <c r="ACA562"/>
      <c r="ACB562"/>
      <c r="ACC562"/>
      <c r="ACD562"/>
      <c r="ACE562"/>
      <c r="ACF562"/>
      <c r="ACG562"/>
      <c r="ACH562"/>
      <c r="ACI562"/>
      <c r="ACJ562"/>
      <c r="ACK562"/>
      <c r="ACL562"/>
      <c r="ACM562"/>
      <c r="ACN562"/>
      <c r="ACO562"/>
      <c r="ACP562"/>
      <c r="ACQ562"/>
      <c r="ACR562"/>
      <c r="ACS562"/>
      <c r="ACT562"/>
      <c r="ACU562"/>
      <c r="ACV562"/>
      <c r="ACW562"/>
      <c r="ACX562"/>
      <c r="ACY562"/>
      <c r="ACZ562"/>
      <c r="ADA562"/>
      <c r="ADB562"/>
      <c r="ADC562"/>
      <c r="ADD562"/>
      <c r="ADE562"/>
      <c r="ADF562"/>
      <c r="ADG562"/>
      <c r="ADH562"/>
      <c r="ADI562"/>
      <c r="ADJ562"/>
      <c r="ADK562"/>
      <c r="ADL562"/>
      <c r="ADM562"/>
      <c r="ADN562"/>
      <c r="ADO562"/>
      <c r="ADP562"/>
      <c r="ADQ562"/>
      <c r="ADR562"/>
      <c r="ADS562"/>
      <c r="ADT562"/>
      <c r="ADU562"/>
      <c r="ADV562"/>
      <c r="ADW562"/>
      <c r="ADX562"/>
      <c r="ADY562"/>
      <c r="ADZ562"/>
      <c r="AEA562"/>
      <c r="AEB562"/>
      <c r="AEC562"/>
      <c r="AED562"/>
      <c r="AEE562"/>
      <c r="AEF562"/>
      <c r="AEG562"/>
      <c r="AEH562"/>
      <c r="AEI562"/>
      <c r="AEJ562"/>
      <c r="AEK562"/>
      <c r="AEL562"/>
      <c r="AEM562"/>
      <c r="AEN562"/>
      <c r="AEO562"/>
      <c r="AEP562"/>
      <c r="AEQ562"/>
      <c r="AER562"/>
      <c r="AES562"/>
      <c r="AET562"/>
      <c r="AEU562"/>
      <c r="AEV562"/>
      <c r="AEW562"/>
      <c r="AEX562"/>
      <c r="AEY562"/>
      <c r="AEZ562"/>
      <c r="AFA562"/>
      <c r="AFB562"/>
      <c r="AFC562"/>
      <c r="AFD562"/>
      <c r="AFE562"/>
      <c r="AFF562"/>
      <c r="AFG562"/>
      <c r="AFH562"/>
      <c r="AFI562"/>
      <c r="AFJ562"/>
      <c r="AFK562"/>
      <c r="AFL562"/>
      <c r="AFM562"/>
      <c r="AFN562"/>
      <c r="AFO562"/>
      <c r="AFP562"/>
      <c r="AFQ562"/>
      <c r="AFR562"/>
      <c r="AFS562"/>
      <c r="AFT562"/>
      <c r="AFU562"/>
      <c r="AFV562"/>
      <c r="AFW562"/>
      <c r="AFX562"/>
      <c r="AFY562"/>
      <c r="AFZ562"/>
      <c r="AGA562"/>
      <c r="AGB562"/>
      <c r="AGC562"/>
      <c r="AGD562"/>
      <c r="AGE562"/>
      <c r="AGF562"/>
      <c r="AGG562"/>
      <c r="AGH562"/>
      <c r="AGI562"/>
      <c r="AGJ562"/>
      <c r="AGK562"/>
      <c r="AGL562"/>
      <c r="AGM562"/>
      <c r="AGN562"/>
      <c r="AGO562"/>
      <c r="AGP562"/>
      <c r="AGQ562"/>
      <c r="AGR562"/>
      <c r="AGS562"/>
      <c r="AGT562"/>
      <c r="AGU562"/>
      <c r="AGV562"/>
      <c r="AGW562"/>
      <c r="AGX562"/>
      <c r="AGY562"/>
      <c r="AGZ562"/>
      <c r="AHA562"/>
      <c r="AHB562"/>
      <c r="AHC562"/>
      <c r="AHD562"/>
      <c r="AHE562"/>
      <c r="AHF562"/>
      <c r="AHG562"/>
      <c r="AHH562"/>
      <c r="AHI562"/>
      <c r="AHJ562"/>
      <c r="AHK562"/>
      <c r="AHL562"/>
      <c r="AHM562"/>
      <c r="AHN562"/>
      <c r="AHO562"/>
      <c r="AHP562"/>
      <c r="AHQ562"/>
      <c r="AHR562"/>
      <c r="AHS562"/>
      <c r="AHT562"/>
      <c r="AHU562"/>
      <c r="AHV562"/>
      <c r="AHW562"/>
      <c r="AHX562"/>
      <c r="AHY562"/>
      <c r="AHZ562"/>
      <c r="AIA562"/>
      <c r="AIB562"/>
      <c r="AIC562"/>
      <c r="AID562"/>
      <c r="AIE562"/>
      <c r="AIF562"/>
      <c r="AIG562"/>
      <c r="AIH562"/>
      <c r="AII562"/>
      <c r="AIJ562"/>
      <c r="AIK562"/>
      <c r="AIL562"/>
      <c r="AIM562"/>
      <c r="AIN562"/>
      <c r="AIO562"/>
      <c r="AIP562"/>
      <c r="AIQ562"/>
      <c r="AIR562"/>
      <c r="AIS562"/>
      <c r="AIT562"/>
      <c r="AIU562"/>
      <c r="AIV562"/>
      <c r="AIW562"/>
      <c r="AIX562"/>
      <c r="AIY562"/>
      <c r="AIZ562"/>
      <c r="AJA562"/>
      <c r="AJB562"/>
      <c r="AJC562"/>
      <c r="AJD562"/>
      <c r="AJE562"/>
      <c r="AJF562"/>
      <c r="AJG562"/>
      <c r="AJH562"/>
      <c r="AJI562"/>
      <c r="AJJ562"/>
      <c r="AJK562"/>
      <c r="AJL562"/>
      <c r="AJM562"/>
      <c r="AJN562"/>
      <c r="AJO562"/>
      <c r="AJP562"/>
      <c r="AJQ562"/>
      <c r="AJR562"/>
      <c r="AJS562"/>
      <c r="AJT562"/>
      <c r="AJU562"/>
      <c r="AJV562"/>
      <c r="AJW562"/>
      <c r="AJX562"/>
      <c r="AJY562"/>
      <c r="AJZ562"/>
      <c r="AKA562"/>
      <c r="AKB562"/>
      <c r="AKC562"/>
      <c r="AKD562"/>
      <c r="AKE562"/>
      <c r="AKF562"/>
      <c r="AKG562"/>
      <c r="AKH562"/>
      <c r="AKI562"/>
      <c r="AKJ562"/>
      <c r="AKK562"/>
      <c r="AKL562"/>
      <c r="AKM562"/>
      <c r="AKN562"/>
      <c r="AKO562"/>
      <c r="AKP562"/>
      <c r="AKQ562"/>
      <c r="AKR562"/>
      <c r="AKS562"/>
      <c r="AKT562"/>
      <c r="AKU562"/>
      <c r="AKV562"/>
      <c r="AKW562"/>
      <c r="AKX562"/>
      <c r="AKY562"/>
    </row>
    <row r="563" spans="1:988">
      <c r="A563" s="421" t="s">
        <v>1489</v>
      </c>
      <c r="B563" s="329">
        <v>3230</v>
      </c>
      <c r="C563" s="306">
        <v>4190</v>
      </c>
      <c r="D563" s="330" t="s">
        <v>1491</v>
      </c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  <c r="ZY563"/>
      <c r="ZZ563"/>
      <c r="AAA563"/>
      <c r="AAB563"/>
      <c r="AAC563"/>
      <c r="AAD563"/>
      <c r="AAE563"/>
      <c r="AAF563"/>
      <c r="AAG563"/>
      <c r="AAH563"/>
      <c r="AAI563"/>
      <c r="AAJ563"/>
      <c r="AAK563"/>
      <c r="AAL563"/>
      <c r="AAM563"/>
      <c r="AAN563"/>
      <c r="AAO563"/>
      <c r="AAP563"/>
      <c r="AAQ563"/>
      <c r="AAR563"/>
      <c r="AAS563"/>
      <c r="AAT563"/>
      <c r="AAU563"/>
      <c r="AAV563"/>
      <c r="AAW563"/>
      <c r="AAX563"/>
      <c r="AAY563"/>
      <c r="AAZ563"/>
      <c r="ABA563"/>
      <c r="ABB563"/>
      <c r="ABC563"/>
      <c r="ABD563"/>
      <c r="ABE563"/>
      <c r="ABF563"/>
      <c r="ABG563"/>
      <c r="ABH563"/>
      <c r="ABI563"/>
      <c r="ABJ563"/>
      <c r="ABK563"/>
      <c r="ABL563"/>
      <c r="ABM563"/>
      <c r="ABN563"/>
      <c r="ABO563"/>
      <c r="ABP563"/>
      <c r="ABQ563"/>
      <c r="ABR563"/>
      <c r="ABS563"/>
      <c r="ABT563"/>
      <c r="ABU563"/>
      <c r="ABV563"/>
      <c r="ABW563"/>
      <c r="ABX563"/>
      <c r="ABY563"/>
      <c r="ABZ563"/>
      <c r="ACA563"/>
      <c r="ACB563"/>
      <c r="ACC563"/>
      <c r="ACD563"/>
      <c r="ACE563"/>
      <c r="ACF563"/>
      <c r="ACG563"/>
      <c r="ACH563"/>
      <c r="ACI563"/>
      <c r="ACJ563"/>
      <c r="ACK563"/>
      <c r="ACL563"/>
      <c r="ACM563"/>
      <c r="ACN563"/>
      <c r="ACO563"/>
      <c r="ACP563"/>
      <c r="ACQ563"/>
      <c r="ACR563"/>
      <c r="ACS563"/>
      <c r="ACT563"/>
      <c r="ACU563"/>
      <c r="ACV563"/>
      <c r="ACW563"/>
      <c r="ACX563"/>
      <c r="ACY563"/>
      <c r="ACZ563"/>
      <c r="ADA563"/>
      <c r="ADB563"/>
      <c r="ADC563"/>
      <c r="ADD563"/>
      <c r="ADE563"/>
      <c r="ADF563"/>
      <c r="ADG563"/>
      <c r="ADH563"/>
      <c r="ADI563"/>
      <c r="ADJ563"/>
      <c r="ADK563"/>
      <c r="ADL563"/>
      <c r="ADM563"/>
      <c r="ADN563"/>
      <c r="ADO563"/>
      <c r="ADP563"/>
      <c r="ADQ563"/>
      <c r="ADR563"/>
      <c r="ADS563"/>
      <c r="ADT563"/>
      <c r="ADU563"/>
      <c r="ADV563"/>
      <c r="ADW563"/>
      <c r="ADX563"/>
      <c r="ADY563"/>
      <c r="ADZ563"/>
      <c r="AEA563"/>
      <c r="AEB563"/>
      <c r="AEC563"/>
      <c r="AED563"/>
      <c r="AEE563"/>
      <c r="AEF563"/>
      <c r="AEG563"/>
      <c r="AEH563"/>
      <c r="AEI563"/>
      <c r="AEJ563"/>
      <c r="AEK563"/>
      <c r="AEL563"/>
      <c r="AEM563"/>
      <c r="AEN563"/>
      <c r="AEO563"/>
      <c r="AEP563"/>
      <c r="AEQ563"/>
      <c r="AER563"/>
      <c r="AES563"/>
      <c r="AET563"/>
      <c r="AEU563"/>
      <c r="AEV563"/>
      <c r="AEW563"/>
      <c r="AEX563"/>
      <c r="AEY563"/>
      <c r="AEZ563"/>
      <c r="AFA563"/>
      <c r="AFB563"/>
      <c r="AFC563"/>
      <c r="AFD563"/>
      <c r="AFE563"/>
      <c r="AFF563"/>
      <c r="AFG563"/>
      <c r="AFH563"/>
      <c r="AFI563"/>
      <c r="AFJ563"/>
      <c r="AFK563"/>
      <c r="AFL563"/>
      <c r="AFM563"/>
      <c r="AFN563"/>
      <c r="AFO563"/>
      <c r="AFP563"/>
      <c r="AFQ563"/>
      <c r="AFR563"/>
      <c r="AFS563"/>
      <c r="AFT563"/>
      <c r="AFU563"/>
      <c r="AFV563"/>
      <c r="AFW563"/>
      <c r="AFX563"/>
      <c r="AFY563"/>
      <c r="AFZ563"/>
      <c r="AGA563"/>
      <c r="AGB563"/>
      <c r="AGC563"/>
      <c r="AGD563"/>
      <c r="AGE563"/>
      <c r="AGF563"/>
      <c r="AGG563"/>
      <c r="AGH563"/>
      <c r="AGI563"/>
      <c r="AGJ563"/>
      <c r="AGK563"/>
      <c r="AGL563"/>
      <c r="AGM563"/>
      <c r="AGN563"/>
      <c r="AGO563"/>
      <c r="AGP563"/>
      <c r="AGQ563"/>
      <c r="AGR563"/>
      <c r="AGS563"/>
      <c r="AGT563"/>
      <c r="AGU563"/>
      <c r="AGV563"/>
      <c r="AGW563"/>
      <c r="AGX563"/>
      <c r="AGY563"/>
      <c r="AGZ563"/>
      <c r="AHA563"/>
      <c r="AHB563"/>
      <c r="AHC563"/>
      <c r="AHD563"/>
      <c r="AHE563"/>
      <c r="AHF563"/>
      <c r="AHG563"/>
      <c r="AHH563"/>
      <c r="AHI563"/>
      <c r="AHJ563"/>
      <c r="AHK563"/>
      <c r="AHL563"/>
      <c r="AHM563"/>
      <c r="AHN563"/>
      <c r="AHO563"/>
      <c r="AHP563"/>
      <c r="AHQ563"/>
      <c r="AHR563"/>
      <c r="AHS563"/>
      <c r="AHT563"/>
      <c r="AHU563"/>
      <c r="AHV563"/>
      <c r="AHW563"/>
      <c r="AHX563"/>
      <c r="AHY563"/>
      <c r="AHZ563"/>
      <c r="AIA563"/>
      <c r="AIB563"/>
      <c r="AIC563"/>
      <c r="AID563"/>
      <c r="AIE563"/>
      <c r="AIF563"/>
      <c r="AIG563"/>
      <c r="AIH563"/>
      <c r="AII563"/>
      <c r="AIJ563"/>
      <c r="AIK563"/>
      <c r="AIL563"/>
      <c r="AIM563"/>
      <c r="AIN563"/>
      <c r="AIO563"/>
      <c r="AIP563"/>
      <c r="AIQ563"/>
      <c r="AIR563"/>
      <c r="AIS563"/>
      <c r="AIT563"/>
      <c r="AIU563"/>
      <c r="AIV563"/>
      <c r="AIW563"/>
      <c r="AIX563"/>
      <c r="AIY563"/>
      <c r="AIZ563"/>
      <c r="AJA563"/>
      <c r="AJB563"/>
      <c r="AJC563"/>
      <c r="AJD563"/>
      <c r="AJE563"/>
      <c r="AJF563"/>
      <c r="AJG563"/>
      <c r="AJH563"/>
      <c r="AJI563"/>
      <c r="AJJ563"/>
      <c r="AJK563"/>
      <c r="AJL563"/>
      <c r="AJM563"/>
      <c r="AJN563"/>
      <c r="AJO563"/>
      <c r="AJP563"/>
      <c r="AJQ563"/>
      <c r="AJR563"/>
      <c r="AJS563"/>
      <c r="AJT563"/>
      <c r="AJU563"/>
      <c r="AJV563"/>
      <c r="AJW563"/>
      <c r="AJX563"/>
      <c r="AJY563"/>
      <c r="AJZ563"/>
      <c r="AKA563"/>
      <c r="AKB563"/>
      <c r="AKC563"/>
      <c r="AKD563"/>
      <c r="AKE563"/>
      <c r="AKF563"/>
      <c r="AKG563"/>
      <c r="AKH563"/>
      <c r="AKI563"/>
      <c r="AKJ563"/>
      <c r="AKK563"/>
      <c r="AKL563"/>
      <c r="AKM563"/>
      <c r="AKN563"/>
      <c r="AKO563"/>
      <c r="AKP563"/>
      <c r="AKQ563"/>
      <c r="AKR563"/>
      <c r="AKS563"/>
      <c r="AKT563"/>
      <c r="AKU563"/>
      <c r="AKV563"/>
      <c r="AKW563"/>
      <c r="AKX563"/>
      <c r="AKY563"/>
    </row>
    <row r="564" spans="1:988" s="151" customFormat="1" ht="15.75" customHeight="1">
      <c r="A564" s="352" t="s">
        <v>1492</v>
      </c>
      <c r="B564" s="305"/>
      <c r="C564" s="306"/>
      <c r="D564" s="306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  <c r="ZW564"/>
      <c r="ZX564"/>
      <c r="ZY564"/>
      <c r="ZZ564"/>
      <c r="AAA564"/>
      <c r="AAB564"/>
      <c r="AAC564"/>
      <c r="AAD564"/>
      <c r="AAE564"/>
      <c r="AAF564"/>
      <c r="AAG564"/>
      <c r="AAH564"/>
      <c r="AAI564"/>
      <c r="AAJ564"/>
      <c r="AAK564"/>
      <c r="AAL564"/>
      <c r="AAM564"/>
      <c r="AAN564"/>
      <c r="AAO564"/>
      <c r="AAP564"/>
      <c r="AAQ564"/>
      <c r="AAR564"/>
      <c r="AAS564"/>
      <c r="AAT564"/>
      <c r="AAU564"/>
      <c r="AAV564"/>
      <c r="AAW564"/>
      <c r="AAX564"/>
      <c r="AAY564"/>
      <c r="AAZ564"/>
      <c r="ABA564"/>
      <c r="ABB564"/>
      <c r="ABC564"/>
      <c r="ABD564"/>
      <c r="ABE564"/>
      <c r="ABF564"/>
      <c r="ABG564"/>
      <c r="ABH564"/>
      <c r="ABI564"/>
      <c r="ABJ564"/>
      <c r="ABK564"/>
      <c r="ABL564"/>
      <c r="ABM564"/>
      <c r="ABN564"/>
      <c r="ABO564"/>
      <c r="ABP564"/>
      <c r="ABQ564"/>
      <c r="ABR564"/>
      <c r="ABS564"/>
      <c r="ABT564"/>
      <c r="ABU564"/>
      <c r="ABV564"/>
      <c r="ABW564"/>
      <c r="ABX564"/>
      <c r="ABY564"/>
      <c r="ABZ564"/>
      <c r="ACA564"/>
      <c r="ACB564"/>
      <c r="ACC564"/>
      <c r="ACD564"/>
      <c r="ACE564"/>
      <c r="ACF564"/>
      <c r="ACG564"/>
      <c r="ACH564"/>
      <c r="ACI564"/>
      <c r="ACJ564"/>
      <c r="ACK564"/>
      <c r="ACL564"/>
      <c r="ACM564"/>
      <c r="ACN564"/>
      <c r="ACO564"/>
      <c r="ACP564"/>
      <c r="ACQ564"/>
      <c r="ACR564"/>
      <c r="ACS564"/>
      <c r="ACT564"/>
      <c r="ACU564"/>
      <c r="ACV564"/>
      <c r="ACW564"/>
      <c r="ACX564"/>
      <c r="ACY564"/>
      <c r="ACZ564"/>
      <c r="ADA564"/>
      <c r="ADB564"/>
      <c r="ADC564"/>
      <c r="ADD564"/>
      <c r="ADE564"/>
      <c r="ADF564"/>
      <c r="ADG564"/>
      <c r="ADH564"/>
      <c r="ADI564"/>
      <c r="ADJ564"/>
      <c r="ADK564"/>
      <c r="ADL564"/>
      <c r="ADM564"/>
      <c r="ADN564"/>
      <c r="ADO564"/>
      <c r="ADP564"/>
      <c r="ADQ564"/>
      <c r="ADR564"/>
      <c r="ADS564"/>
      <c r="ADT564"/>
      <c r="ADU564"/>
      <c r="ADV564"/>
      <c r="ADW564"/>
      <c r="ADX564"/>
      <c r="ADY564"/>
      <c r="ADZ564"/>
      <c r="AEA564"/>
      <c r="AEB564"/>
      <c r="AEC564"/>
      <c r="AED564"/>
      <c r="AEE564"/>
      <c r="AEF564"/>
      <c r="AEG564"/>
      <c r="AEH564"/>
      <c r="AEI564"/>
      <c r="AEJ564"/>
      <c r="AEK564"/>
      <c r="AEL564"/>
      <c r="AEM564"/>
      <c r="AEN564"/>
      <c r="AEO564"/>
      <c r="AEP564"/>
      <c r="AEQ564"/>
      <c r="AER564"/>
      <c r="AES564"/>
      <c r="AET564"/>
      <c r="AEU564"/>
      <c r="AEV564"/>
      <c r="AEW564"/>
      <c r="AEX564"/>
      <c r="AEY564"/>
      <c r="AEZ564"/>
      <c r="AFA564"/>
      <c r="AFB564"/>
      <c r="AFC564"/>
      <c r="AFD564"/>
      <c r="AFE564"/>
      <c r="AFF564"/>
      <c r="AFG564"/>
      <c r="AFH564"/>
      <c r="AFI564"/>
      <c r="AFJ564"/>
      <c r="AFK564"/>
      <c r="AFL564"/>
      <c r="AFM564"/>
      <c r="AFN564"/>
      <c r="AFO564"/>
      <c r="AFP564"/>
      <c r="AFQ564"/>
      <c r="AFR564"/>
      <c r="AFS564"/>
      <c r="AFT564"/>
      <c r="AFU564"/>
      <c r="AFV564"/>
      <c r="AFW564"/>
      <c r="AFX564"/>
      <c r="AFY564"/>
      <c r="AFZ564"/>
      <c r="AGA564"/>
      <c r="AGB564"/>
      <c r="AGC564"/>
      <c r="AGD564"/>
      <c r="AGE564"/>
      <c r="AGF564"/>
      <c r="AGG564"/>
      <c r="AGH564"/>
      <c r="AGI564"/>
      <c r="AGJ564"/>
      <c r="AGK564"/>
      <c r="AGL564"/>
      <c r="AGM564"/>
      <c r="AGN564"/>
      <c r="AGO564"/>
      <c r="AGP564"/>
      <c r="AGQ564"/>
      <c r="AGR564"/>
      <c r="AGS564"/>
      <c r="AGT564"/>
      <c r="AGU564"/>
      <c r="AGV564"/>
      <c r="AGW564"/>
      <c r="AGX564"/>
      <c r="AGY564"/>
      <c r="AGZ564"/>
      <c r="AHA564"/>
      <c r="AHB564"/>
      <c r="AHC564"/>
      <c r="AHD564"/>
      <c r="AHE564"/>
      <c r="AHF564"/>
      <c r="AHG564"/>
      <c r="AHH564"/>
      <c r="AHI564"/>
      <c r="AHJ564"/>
      <c r="AHK564"/>
      <c r="AHL564"/>
      <c r="AHM564"/>
      <c r="AHN564"/>
      <c r="AHO564"/>
      <c r="AHP564"/>
      <c r="AHQ564"/>
      <c r="AHR564"/>
      <c r="AHS564"/>
      <c r="AHT564"/>
      <c r="AHU564"/>
      <c r="AHV564"/>
      <c r="AHW564"/>
      <c r="AHX564"/>
      <c r="AHY564"/>
      <c r="AHZ564"/>
      <c r="AIA564"/>
      <c r="AIB564"/>
      <c r="AIC564"/>
      <c r="AID564"/>
      <c r="AIE564"/>
      <c r="AIF564"/>
      <c r="AIG564"/>
      <c r="AIH564"/>
      <c r="AII564"/>
      <c r="AIJ564"/>
      <c r="AIK564"/>
      <c r="AIL564"/>
      <c r="AIM564"/>
      <c r="AIN564"/>
      <c r="AIO564"/>
      <c r="AIP564"/>
      <c r="AIQ564"/>
      <c r="AIR564"/>
      <c r="AIS564"/>
      <c r="AIT564"/>
      <c r="AIU564"/>
      <c r="AIV564"/>
      <c r="AIW564"/>
      <c r="AIX564"/>
      <c r="AIY564"/>
      <c r="AIZ564"/>
      <c r="AJA564"/>
      <c r="AJB564"/>
      <c r="AJC564"/>
      <c r="AJD564"/>
      <c r="AJE564"/>
      <c r="AJF564"/>
      <c r="AJG564"/>
      <c r="AJH564"/>
      <c r="AJI564"/>
      <c r="AJJ564"/>
      <c r="AJK564"/>
      <c r="AJL564"/>
      <c r="AJM564"/>
      <c r="AJN564"/>
      <c r="AJO564"/>
      <c r="AJP564"/>
      <c r="AJQ564"/>
      <c r="AJR564"/>
      <c r="AJS564"/>
      <c r="AJT564"/>
      <c r="AJU564"/>
      <c r="AJV564"/>
      <c r="AJW564"/>
      <c r="AJX564"/>
      <c r="AJY564"/>
      <c r="AJZ564"/>
      <c r="AKA564"/>
      <c r="AKB564"/>
      <c r="AKC564"/>
      <c r="AKD564"/>
      <c r="AKE564"/>
      <c r="AKF564"/>
      <c r="AKG564"/>
      <c r="AKH564"/>
      <c r="AKI564"/>
      <c r="AKJ564"/>
      <c r="AKK564"/>
      <c r="AKL564"/>
      <c r="AKM564"/>
      <c r="AKN564"/>
      <c r="AKO564"/>
      <c r="AKP564"/>
      <c r="AKQ564"/>
      <c r="AKR564"/>
      <c r="AKS564"/>
      <c r="AKT564"/>
      <c r="AKU564"/>
      <c r="AKV564"/>
      <c r="AKW564"/>
      <c r="AKX564"/>
      <c r="AKY564"/>
      <c r="AKZ564"/>
    </row>
    <row r="565" spans="1:988">
      <c r="A565" s="421" t="s">
        <v>1494</v>
      </c>
      <c r="B565" s="305"/>
      <c r="C565" s="306"/>
      <c r="D565" s="306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  <c r="ZW565"/>
      <c r="ZX565"/>
      <c r="ZY565"/>
      <c r="ZZ565"/>
      <c r="AAA565"/>
      <c r="AAB565"/>
      <c r="AAC565"/>
      <c r="AAD565"/>
      <c r="AAE565"/>
      <c r="AAF565"/>
      <c r="AAG565"/>
      <c r="AAH565"/>
      <c r="AAI565"/>
      <c r="AAJ565"/>
      <c r="AAK565"/>
      <c r="AAL565"/>
      <c r="AAM565"/>
      <c r="AAN565"/>
      <c r="AAO565"/>
      <c r="AAP565"/>
      <c r="AAQ565"/>
      <c r="AAR565"/>
      <c r="AAS565"/>
      <c r="AAT565"/>
      <c r="AAU565"/>
      <c r="AAV565"/>
      <c r="AAW565"/>
      <c r="AAX565"/>
      <c r="AAY565"/>
      <c r="AAZ565"/>
      <c r="ABA565"/>
      <c r="ABB565"/>
      <c r="ABC565"/>
      <c r="ABD565"/>
      <c r="ABE565"/>
      <c r="ABF565"/>
      <c r="ABG565"/>
      <c r="ABH565"/>
      <c r="ABI565"/>
      <c r="ABJ565"/>
      <c r="ABK565"/>
      <c r="ABL565"/>
      <c r="ABM565"/>
      <c r="ABN565"/>
      <c r="ABO565"/>
      <c r="ABP565"/>
      <c r="ABQ565"/>
      <c r="ABR565"/>
      <c r="ABS565"/>
      <c r="ABT565"/>
      <c r="ABU565"/>
      <c r="ABV565"/>
      <c r="ABW565"/>
      <c r="ABX565"/>
      <c r="ABY565"/>
      <c r="ABZ565"/>
      <c r="ACA565"/>
      <c r="ACB565"/>
      <c r="ACC565"/>
      <c r="ACD565"/>
      <c r="ACE565"/>
      <c r="ACF565"/>
      <c r="ACG565"/>
      <c r="ACH565"/>
      <c r="ACI565"/>
      <c r="ACJ565"/>
      <c r="ACK565"/>
      <c r="ACL565"/>
      <c r="ACM565"/>
      <c r="ACN565"/>
      <c r="ACO565"/>
      <c r="ACP565"/>
      <c r="ACQ565"/>
      <c r="ACR565"/>
      <c r="ACS565"/>
      <c r="ACT565"/>
      <c r="ACU565"/>
      <c r="ACV565"/>
      <c r="ACW565"/>
      <c r="ACX565"/>
      <c r="ACY565"/>
      <c r="ACZ565"/>
      <c r="ADA565"/>
      <c r="ADB565"/>
      <c r="ADC565"/>
      <c r="ADD565"/>
      <c r="ADE565"/>
      <c r="ADF565"/>
      <c r="ADG565"/>
      <c r="ADH565"/>
      <c r="ADI565"/>
      <c r="ADJ565"/>
      <c r="ADK565"/>
      <c r="ADL565"/>
      <c r="ADM565"/>
      <c r="ADN565"/>
      <c r="ADO565"/>
      <c r="ADP565"/>
      <c r="ADQ565"/>
      <c r="ADR565"/>
      <c r="ADS565"/>
      <c r="ADT565"/>
      <c r="ADU565"/>
      <c r="ADV565"/>
      <c r="ADW565"/>
      <c r="ADX565"/>
      <c r="ADY565"/>
      <c r="ADZ565"/>
      <c r="AEA565"/>
      <c r="AEB565"/>
      <c r="AEC565"/>
      <c r="AED565"/>
      <c r="AEE565"/>
      <c r="AEF565"/>
      <c r="AEG565"/>
      <c r="AEH565"/>
      <c r="AEI565"/>
      <c r="AEJ565"/>
      <c r="AEK565"/>
      <c r="AEL565"/>
      <c r="AEM565"/>
      <c r="AEN565"/>
      <c r="AEO565"/>
      <c r="AEP565"/>
      <c r="AEQ565"/>
      <c r="AER565"/>
      <c r="AES565"/>
      <c r="AET565"/>
      <c r="AEU565"/>
      <c r="AEV565"/>
      <c r="AEW565"/>
      <c r="AEX565"/>
      <c r="AEY565"/>
      <c r="AEZ565"/>
      <c r="AFA565"/>
      <c r="AFB565"/>
      <c r="AFC565"/>
      <c r="AFD565"/>
      <c r="AFE565"/>
      <c r="AFF565"/>
      <c r="AFG565"/>
      <c r="AFH565"/>
      <c r="AFI565"/>
      <c r="AFJ565"/>
      <c r="AFK565"/>
      <c r="AFL565"/>
      <c r="AFM565"/>
      <c r="AFN565"/>
      <c r="AFO565"/>
      <c r="AFP565"/>
      <c r="AFQ565"/>
      <c r="AFR565"/>
      <c r="AFS565"/>
      <c r="AFT565"/>
      <c r="AFU565"/>
      <c r="AFV565"/>
      <c r="AFW565"/>
      <c r="AFX565"/>
      <c r="AFY565"/>
      <c r="AFZ565"/>
      <c r="AGA565"/>
      <c r="AGB565"/>
      <c r="AGC565"/>
      <c r="AGD565"/>
      <c r="AGE565"/>
      <c r="AGF565"/>
      <c r="AGG565"/>
      <c r="AGH565"/>
      <c r="AGI565"/>
      <c r="AGJ565"/>
      <c r="AGK565"/>
      <c r="AGL565"/>
      <c r="AGM565"/>
      <c r="AGN565"/>
      <c r="AGO565"/>
      <c r="AGP565"/>
      <c r="AGQ565"/>
      <c r="AGR565"/>
      <c r="AGS565"/>
      <c r="AGT565"/>
      <c r="AGU565"/>
      <c r="AGV565"/>
      <c r="AGW565"/>
      <c r="AGX565"/>
      <c r="AGY565"/>
      <c r="AGZ565"/>
      <c r="AHA565"/>
      <c r="AHB565"/>
      <c r="AHC565"/>
      <c r="AHD565"/>
      <c r="AHE565"/>
      <c r="AHF565"/>
      <c r="AHG565"/>
      <c r="AHH565"/>
      <c r="AHI565"/>
      <c r="AHJ565"/>
      <c r="AHK565"/>
      <c r="AHL565"/>
      <c r="AHM565"/>
      <c r="AHN565"/>
      <c r="AHO565"/>
      <c r="AHP565"/>
      <c r="AHQ565"/>
      <c r="AHR565"/>
      <c r="AHS565"/>
      <c r="AHT565"/>
      <c r="AHU565"/>
      <c r="AHV565"/>
      <c r="AHW565"/>
      <c r="AHX565"/>
      <c r="AHY565"/>
      <c r="AHZ565"/>
      <c r="AIA565"/>
      <c r="AIB565"/>
      <c r="AIC565"/>
      <c r="AID565"/>
      <c r="AIE565"/>
      <c r="AIF565"/>
      <c r="AIG565"/>
      <c r="AIH565"/>
      <c r="AII565"/>
      <c r="AIJ565"/>
      <c r="AIK565"/>
      <c r="AIL565"/>
      <c r="AIM565"/>
      <c r="AIN565"/>
      <c r="AIO565"/>
      <c r="AIP565"/>
      <c r="AIQ565"/>
      <c r="AIR565"/>
      <c r="AIS565"/>
      <c r="AIT565"/>
      <c r="AIU565"/>
      <c r="AIV565"/>
      <c r="AIW565"/>
      <c r="AIX565"/>
      <c r="AIY565"/>
      <c r="AIZ565"/>
      <c r="AJA565"/>
      <c r="AJB565"/>
      <c r="AJC565"/>
      <c r="AJD565"/>
      <c r="AJE565"/>
      <c r="AJF565"/>
      <c r="AJG565"/>
      <c r="AJH565"/>
      <c r="AJI565"/>
      <c r="AJJ565"/>
      <c r="AJK565"/>
      <c r="AJL565"/>
      <c r="AJM565"/>
      <c r="AJN565"/>
      <c r="AJO565"/>
      <c r="AJP565"/>
      <c r="AJQ565"/>
      <c r="AJR565"/>
      <c r="AJS565"/>
      <c r="AJT565"/>
      <c r="AJU565"/>
      <c r="AJV565"/>
      <c r="AJW565"/>
      <c r="AJX565"/>
      <c r="AJY565"/>
      <c r="AJZ565"/>
      <c r="AKA565"/>
      <c r="AKB565"/>
      <c r="AKC565"/>
      <c r="AKD565"/>
      <c r="AKE565"/>
      <c r="AKF565"/>
      <c r="AKG565"/>
      <c r="AKH565"/>
      <c r="AKI565"/>
      <c r="AKJ565"/>
      <c r="AKK565"/>
      <c r="AKL565"/>
      <c r="AKM565"/>
      <c r="AKN565"/>
      <c r="AKO565"/>
      <c r="AKP565"/>
      <c r="AKQ565"/>
      <c r="AKR565"/>
      <c r="AKS565"/>
      <c r="AKT565"/>
      <c r="AKU565"/>
      <c r="AKV565"/>
      <c r="AKW565"/>
      <c r="AKX565"/>
      <c r="AKY565"/>
      <c r="AKZ565" s="151"/>
    </row>
    <row r="566" spans="1:988" ht="15.75" customHeight="1">
      <c r="A566" s="421" t="s">
        <v>1496</v>
      </c>
      <c r="B566" s="329">
        <v>2992</v>
      </c>
      <c r="C566" s="306">
        <v>4190</v>
      </c>
      <c r="D566" s="330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  <c r="ZY566"/>
      <c r="ZZ566"/>
      <c r="AAA566"/>
      <c r="AAB566"/>
      <c r="AAC566"/>
      <c r="AAD566"/>
      <c r="AAE566"/>
      <c r="AAF566"/>
      <c r="AAG566"/>
      <c r="AAH566"/>
      <c r="AAI566"/>
      <c r="AAJ566"/>
      <c r="AAK566"/>
      <c r="AAL566"/>
      <c r="AAM566"/>
      <c r="AAN566"/>
      <c r="AAO566"/>
      <c r="AAP566"/>
      <c r="AAQ566"/>
      <c r="AAR566"/>
      <c r="AAS566"/>
      <c r="AAT566"/>
      <c r="AAU566"/>
      <c r="AAV566"/>
      <c r="AAW566"/>
      <c r="AAX566"/>
      <c r="AAY566"/>
      <c r="AAZ566"/>
      <c r="ABA566"/>
      <c r="ABB566"/>
      <c r="ABC566"/>
      <c r="ABD566"/>
      <c r="ABE566"/>
      <c r="ABF566"/>
      <c r="ABG566"/>
      <c r="ABH566"/>
      <c r="ABI566"/>
      <c r="ABJ566"/>
      <c r="ABK566"/>
      <c r="ABL566"/>
      <c r="ABM566"/>
      <c r="ABN566"/>
      <c r="ABO566"/>
      <c r="ABP566"/>
      <c r="ABQ566"/>
      <c r="ABR566"/>
      <c r="ABS566"/>
      <c r="ABT566"/>
      <c r="ABU566"/>
      <c r="ABV566"/>
      <c r="ABW566"/>
      <c r="ABX566"/>
      <c r="ABY566"/>
      <c r="ABZ566"/>
      <c r="ACA566"/>
      <c r="ACB566"/>
      <c r="ACC566"/>
      <c r="ACD566"/>
      <c r="ACE566"/>
      <c r="ACF566"/>
      <c r="ACG566"/>
      <c r="ACH566"/>
      <c r="ACI566"/>
      <c r="ACJ566"/>
      <c r="ACK566"/>
      <c r="ACL566"/>
      <c r="ACM566"/>
      <c r="ACN566"/>
      <c r="ACO566"/>
      <c r="ACP566"/>
      <c r="ACQ566"/>
      <c r="ACR566"/>
      <c r="ACS566"/>
      <c r="ACT566"/>
      <c r="ACU566"/>
      <c r="ACV566"/>
      <c r="ACW566"/>
      <c r="ACX566"/>
      <c r="ACY566"/>
      <c r="ACZ566"/>
      <c r="ADA566"/>
      <c r="ADB566"/>
      <c r="ADC566"/>
      <c r="ADD566"/>
      <c r="ADE566"/>
      <c r="ADF566"/>
      <c r="ADG566"/>
      <c r="ADH566"/>
      <c r="ADI566"/>
      <c r="ADJ566"/>
      <c r="ADK566"/>
      <c r="ADL566"/>
      <c r="ADM566"/>
      <c r="ADN566"/>
      <c r="ADO566"/>
      <c r="ADP566"/>
      <c r="ADQ566"/>
      <c r="ADR566"/>
      <c r="ADS566"/>
      <c r="ADT566"/>
      <c r="ADU566"/>
      <c r="ADV566"/>
      <c r="ADW566"/>
      <c r="ADX566"/>
      <c r="ADY566"/>
      <c r="ADZ566"/>
      <c r="AEA566"/>
      <c r="AEB566"/>
      <c r="AEC566"/>
      <c r="AED566"/>
      <c r="AEE566"/>
      <c r="AEF566"/>
      <c r="AEG566"/>
      <c r="AEH566"/>
      <c r="AEI566"/>
      <c r="AEJ566"/>
      <c r="AEK566"/>
      <c r="AEL566"/>
      <c r="AEM566"/>
      <c r="AEN566"/>
      <c r="AEO566"/>
      <c r="AEP566"/>
      <c r="AEQ566"/>
      <c r="AER566"/>
      <c r="AES566"/>
      <c r="AET566"/>
      <c r="AEU566"/>
      <c r="AEV566"/>
      <c r="AEW566"/>
      <c r="AEX566"/>
      <c r="AEY566"/>
      <c r="AEZ566"/>
      <c r="AFA566"/>
      <c r="AFB566"/>
      <c r="AFC566"/>
      <c r="AFD566"/>
      <c r="AFE566"/>
      <c r="AFF566"/>
      <c r="AFG566"/>
      <c r="AFH566"/>
      <c r="AFI566"/>
      <c r="AFJ566"/>
      <c r="AFK566"/>
      <c r="AFL566"/>
      <c r="AFM566"/>
      <c r="AFN566"/>
      <c r="AFO566"/>
      <c r="AFP566"/>
      <c r="AFQ566"/>
      <c r="AFR566"/>
      <c r="AFS566"/>
      <c r="AFT566"/>
      <c r="AFU566"/>
      <c r="AFV566"/>
      <c r="AFW566"/>
      <c r="AFX566"/>
      <c r="AFY566"/>
      <c r="AFZ566"/>
      <c r="AGA566"/>
      <c r="AGB566"/>
      <c r="AGC566"/>
      <c r="AGD566"/>
      <c r="AGE566"/>
      <c r="AGF566"/>
      <c r="AGG566"/>
      <c r="AGH566"/>
      <c r="AGI566"/>
      <c r="AGJ566"/>
      <c r="AGK566"/>
      <c r="AGL566"/>
      <c r="AGM566"/>
      <c r="AGN566"/>
      <c r="AGO566"/>
      <c r="AGP566"/>
      <c r="AGQ566"/>
      <c r="AGR566"/>
      <c r="AGS566"/>
      <c r="AGT566"/>
      <c r="AGU566"/>
      <c r="AGV566"/>
      <c r="AGW566"/>
      <c r="AGX566"/>
      <c r="AGY566"/>
      <c r="AGZ566"/>
      <c r="AHA566"/>
      <c r="AHB566"/>
      <c r="AHC566"/>
      <c r="AHD566"/>
      <c r="AHE566"/>
      <c r="AHF566"/>
      <c r="AHG566"/>
      <c r="AHH566"/>
      <c r="AHI566"/>
      <c r="AHJ566"/>
      <c r="AHK566"/>
      <c r="AHL566"/>
      <c r="AHM566"/>
      <c r="AHN566"/>
      <c r="AHO566"/>
      <c r="AHP566"/>
      <c r="AHQ566"/>
      <c r="AHR566"/>
      <c r="AHS566"/>
      <c r="AHT566"/>
      <c r="AHU566"/>
      <c r="AHV566"/>
      <c r="AHW566"/>
      <c r="AHX566"/>
      <c r="AHY566"/>
      <c r="AHZ566"/>
      <c r="AIA566"/>
      <c r="AIB566"/>
      <c r="AIC566"/>
      <c r="AID566"/>
      <c r="AIE566"/>
      <c r="AIF566"/>
      <c r="AIG566"/>
      <c r="AIH566"/>
      <c r="AII566"/>
      <c r="AIJ566"/>
      <c r="AIK566"/>
      <c r="AIL566"/>
      <c r="AIM566"/>
      <c r="AIN566"/>
      <c r="AIO566"/>
      <c r="AIP566"/>
      <c r="AIQ566"/>
      <c r="AIR566"/>
      <c r="AIS566"/>
      <c r="AIT566"/>
      <c r="AIU566"/>
      <c r="AIV566"/>
      <c r="AIW566"/>
      <c r="AIX566"/>
      <c r="AIY566"/>
      <c r="AIZ566"/>
      <c r="AJA566"/>
      <c r="AJB566"/>
      <c r="AJC566"/>
      <c r="AJD566"/>
      <c r="AJE566"/>
      <c r="AJF566"/>
      <c r="AJG566"/>
      <c r="AJH566"/>
      <c r="AJI566"/>
      <c r="AJJ566"/>
      <c r="AJK566"/>
      <c r="AJL566"/>
      <c r="AJM566"/>
      <c r="AJN566"/>
      <c r="AJO566"/>
      <c r="AJP566"/>
      <c r="AJQ566"/>
      <c r="AJR566"/>
      <c r="AJS566"/>
      <c r="AJT566"/>
      <c r="AJU566"/>
      <c r="AJV566"/>
      <c r="AJW566"/>
      <c r="AJX566"/>
      <c r="AJY566"/>
      <c r="AJZ566"/>
      <c r="AKA566"/>
      <c r="AKB566"/>
      <c r="AKC566"/>
      <c r="AKD566"/>
      <c r="AKE566"/>
      <c r="AKF566"/>
      <c r="AKG566"/>
      <c r="AKH566"/>
      <c r="AKI566"/>
      <c r="AKJ566"/>
      <c r="AKK566"/>
      <c r="AKL566"/>
      <c r="AKM566"/>
      <c r="AKN566"/>
      <c r="AKO566"/>
      <c r="AKP566"/>
      <c r="AKQ566"/>
      <c r="AKR566"/>
      <c r="AKS566"/>
      <c r="AKT566"/>
      <c r="AKU566"/>
      <c r="AKV566"/>
      <c r="AKW566"/>
      <c r="AKX566"/>
      <c r="AKY566"/>
    </row>
    <row r="567" spans="1:988">
      <c r="A567" s="421" t="s">
        <v>1498</v>
      </c>
      <c r="B567" s="305">
        <v>2909</v>
      </c>
      <c r="C567" s="306">
        <v>4190</v>
      </c>
      <c r="D567" s="306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/>
      <c r="XX567"/>
      <c r="XY567"/>
      <c r="XZ567"/>
      <c r="YA567"/>
      <c r="YB567"/>
      <c r="YC567"/>
      <c r="YD567"/>
      <c r="YE567"/>
      <c r="YF567"/>
      <c r="YG567"/>
      <c r="YH567"/>
      <c r="YI567"/>
      <c r="YJ567"/>
      <c r="YK567"/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/>
      <c r="ZI567"/>
      <c r="ZJ567"/>
      <c r="ZK567"/>
      <c r="ZL567"/>
      <c r="ZM567"/>
      <c r="ZN567"/>
      <c r="ZO567"/>
      <c r="ZP567"/>
      <c r="ZQ567"/>
      <c r="ZR567"/>
      <c r="ZS567"/>
      <c r="ZT567"/>
      <c r="ZU567"/>
      <c r="ZV567"/>
      <c r="ZW567"/>
      <c r="ZX567"/>
      <c r="ZY567"/>
      <c r="ZZ567"/>
      <c r="AAA567"/>
      <c r="AAB567"/>
      <c r="AAC567"/>
      <c r="AAD567"/>
      <c r="AAE567"/>
      <c r="AAF567"/>
      <c r="AAG567"/>
      <c r="AAH567"/>
      <c r="AAI567"/>
      <c r="AAJ567"/>
      <c r="AAK567"/>
      <c r="AAL567"/>
      <c r="AAM567"/>
      <c r="AAN567"/>
      <c r="AAO567"/>
      <c r="AAP567"/>
      <c r="AAQ567"/>
      <c r="AAR567"/>
      <c r="AAS567"/>
      <c r="AAT567"/>
      <c r="AAU567"/>
      <c r="AAV567"/>
      <c r="AAW567"/>
      <c r="AAX567"/>
      <c r="AAY567"/>
      <c r="AAZ567"/>
      <c r="ABA567"/>
      <c r="ABB567"/>
      <c r="ABC567"/>
      <c r="ABD567"/>
      <c r="ABE567"/>
      <c r="ABF567"/>
      <c r="ABG567"/>
      <c r="ABH567"/>
      <c r="ABI567"/>
      <c r="ABJ567"/>
      <c r="ABK567"/>
      <c r="ABL567"/>
      <c r="ABM567"/>
      <c r="ABN567"/>
      <c r="ABO567"/>
      <c r="ABP567"/>
      <c r="ABQ567"/>
      <c r="ABR567"/>
      <c r="ABS567"/>
      <c r="ABT567"/>
      <c r="ABU567"/>
      <c r="ABV567"/>
      <c r="ABW567"/>
      <c r="ABX567"/>
      <c r="ABY567"/>
      <c r="ABZ567"/>
      <c r="ACA567"/>
      <c r="ACB567"/>
      <c r="ACC567"/>
      <c r="ACD567"/>
      <c r="ACE567"/>
      <c r="ACF567"/>
      <c r="ACG567"/>
      <c r="ACH567"/>
      <c r="ACI567"/>
      <c r="ACJ567"/>
      <c r="ACK567"/>
      <c r="ACL567"/>
      <c r="ACM567"/>
      <c r="ACN567"/>
      <c r="ACO567"/>
      <c r="ACP567"/>
      <c r="ACQ567"/>
      <c r="ACR567"/>
      <c r="ACS567"/>
      <c r="ACT567"/>
      <c r="ACU567"/>
      <c r="ACV567"/>
      <c r="ACW567"/>
      <c r="ACX567"/>
      <c r="ACY567"/>
      <c r="ACZ567"/>
      <c r="ADA567"/>
      <c r="ADB567"/>
      <c r="ADC567"/>
      <c r="ADD567"/>
      <c r="ADE567"/>
      <c r="ADF567"/>
      <c r="ADG567"/>
      <c r="ADH567"/>
      <c r="ADI567"/>
      <c r="ADJ567"/>
      <c r="ADK567"/>
      <c r="ADL567"/>
      <c r="ADM567"/>
      <c r="ADN567"/>
      <c r="ADO567"/>
      <c r="ADP567"/>
      <c r="ADQ567"/>
      <c r="ADR567"/>
      <c r="ADS567"/>
      <c r="ADT567"/>
      <c r="ADU567"/>
      <c r="ADV567"/>
      <c r="ADW567"/>
      <c r="ADX567"/>
      <c r="ADY567"/>
      <c r="ADZ567"/>
      <c r="AEA567"/>
      <c r="AEB567"/>
      <c r="AEC567"/>
      <c r="AED567"/>
      <c r="AEE567"/>
      <c r="AEF567"/>
      <c r="AEG567"/>
      <c r="AEH567"/>
      <c r="AEI567"/>
      <c r="AEJ567"/>
      <c r="AEK567"/>
      <c r="AEL567"/>
      <c r="AEM567"/>
      <c r="AEN567"/>
      <c r="AEO567"/>
      <c r="AEP567"/>
      <c r="AEQ567"/>
      <c r="AER567"/>
      <c r="AES567"/>
      <c r="AET567"/>
      <c r="AEU567"/>
      <c r="AEV567"/>
      <c r="AEW567"/>
      <c r="AEX567"/>
      <c r="AEY567"/>
      <c r="AEZ567"/>
      <c r="AFA567"/>
      <c r="AFB567"/>
      <c r="AFC567"/>
      <c r="AFD567"/>
      <c r="AFE567"/>
      <c r="AFF567"/>
      <c r="AFG567"/>
      <c r="AFH567"/>
      <c r="AFI567"/>
      <c r="AFJ567"/>
      <c r="AFK567"/>
      <c r="AFL567"/>
      <c r="AFM567"/>
      <c r="AFN567"/>
      <c r="AFO567"/>
      <c r="AFP567"/>
      <c r="AFQ567"/>
      <c r="AFR567"/>
      <c r="AFS567"/>
      <c r="AFT567"/>
      <c r="AFU567"/>
      <c r="AFV567"/>
      <c r="AFW567"/>
      <c r="AFX567"/>
      <c r="AFY567"/>
      <c r="AFZ567"/>
      <c r="AGA567"/>
      <c r="AGB567"/>
      <c r="AGC567"/>
      <c r="AGD567"/>
      <c r="AGE567"/>
      <c r="AGF567"/>
      <c r="AGG567"/>
      <c r="AGH567"/>
      <c r="AGI567"/>
      <c r="AGJ567"/>
      <c r="AGK567"/>
      <c r="AGL567"/>
      <c r="AGM567"/>
      <c r="AGN567"/>
      <c r="AGO567"/>
      <c r="AGP567"/>
      <c r="AGQ567"/>
      <c r="AGR567"/>
      <c r="AGS567"/>
      <c r="AGT567"/>
      <c r="AGU567"/>
      <c r="AGV567"/>
      <c r="AGW567"/>
      <c r="AGX567"/>
      <c r="AGY567"/>
      <c r="AGZ567"/>
      <c r="AHA567"/>
      <c r="AHB567"/>
      <c r="AHC567"/>
      <c r="AHD567"/>
      <c r="AHE567"/>
      <c r="AHF567"/>
      <c r="AHG567"/>
      <c r="AHH567"/>
      <c r="AHI567"/>
      <c r="AHJ567"/>
      <c r="AHK567"/>
      <c r="AHL567"/>
      <c r="AHM567"/>
      <c r="AHN567"/>
      <c r="AHO567"/>
      <c r="AHP567"/>
      <c r="AHQ567"/>
      <c r="AHR567"/>
      <c r="AHS567"/>
      <c r="AHT567"/>
      <c r="AHU567"/>
      <c r="AHV567"/>
      <c r="AHW567"/>
      <c r="AHX567"/>
      <c r="AHY567"/>
      <c r="AHZ567"/>
      <c r="AIA567"/>
      <c r="AIB567"/>
      <c r="AIC567"/>
      <c r="AID567"/>
      <c r="AIE567"/>
      <c r="AIF567"/>
      <c r="AIG567"/>
      <c r="AIH567"/>
      <c r="AII567"/>
      <c r="AIJ567"/>
      <c r="AIK567"/>
      <c r="AIL567"/>
      <c r="AIM567"/>
      <c r="AIN567"/>
      <c r="AIO567"/>
      <c r="AIP567"/>
      <c r="AIQ567"/>
      <c r="AIR567"/>
      <c r="AIS567"/>
      <c r="AIT567"/>
      <c r="AIU567"/>
      <c r="AIV567"/>
      <c r="AIW567"/>
      <c r="AIX567"/>
      <c r="AIY567"/>
      <c r="AIZ567"/>
      <c r="AJA567"/>
      <c r="AJB567"/>
      <c r="AJC567"/>
      <c r="AJD567"/>
      <c r="AJE567"/>
      <c r="AJF567"/>
      <c r="AJG567"/>
      <c r="AJH567"/>
      <c r="AJI567"/>
      <c r="AJJ567"/>
      <c r="AJK567"/>
      <c r="AJL567"/>
      <c r="AJM567"/>
      <c r="AJN567"/>
      <c r="AJO567"/>
      <c r="AJP567"/>
      <c r="AJQ567"/>
      <c r="AJR567"/>
      <c r="AJS567"/>
      <c r="AJT567"/>
      <c r="AJU567"/>
      <c r="AJV567"/>
      <c r="AJW567"/>
      <c r="AJX567"/>
      <c r="AJY567"/>
      <c r="AJZ567"/>
      <c r="AKA567"/>
      <c r="AKB567"/>
      <c r="AKC567"/>
      <c r="AKD567"/>
      <c r="AKE567"/>
      <c r="AKF567"/>
      <c r="AKG567"/>
      <c r="AKH567"/>
      <c r="AKI567"/>
      <c r="AKJ567"/>
      <c r="AKK567"/>
      <c r="AKL567"/>
      <c r="AKM567"/>
      <c r="AKN567"/>
      <c r="AKO567"/>
      <c r="AKP567"/>
      <c r="AKQ567"/>
      <c r="AKR567"/>
      <c r="AKS567"/>
      <c r="AKT567"/>
      <c r="AKU567"/>
      <c r="AKV567"/>
      <c r="AKW567"/>
      <c r="AKX567"/>
      <c r="AKY567"/>
    </row>
    <row r="568" spans="1:988">
      <c r="A568" s="282" t="s">
        <v>331</v>
      </c>
      <c r="B568" s="305">
        <v>2742</v>
      </c>
      <c r="C568" s="306">
        <v>4190</v>
      </c>
      <c r="D568" s="306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  <c r="ZY568"/>
      <c r="ZZ568"/>
      <c r="AAA568"/>
      <c r="AAB568"/>
      <c r="AAC568"/>
      <c r="AAD568"/>
      <c r="AAE568"/>
      <c r="AAF568"/>
      <c r="AAG568"/>
      <c r="AAH568"/>
      <c r="AAI568"/>
      <c r="AAJ568"/>
      <c r="AAK568"/>
      <c r="AAL568"/>
      <c r="AAM568"/>
      <c r="AAN568"/>
      <c r="AAO568"/>
      <c r="AAP568"/>
      <c r="AAQ568"/>
      <c r="AAR568"/>
      <c r="AAS568"/>
      <c r="AAT568"/>
      <c r="AAU568"/>
      <c r="AAV568"/>
      <c r="AAW568"/>
      <c r="AAX568"/>
      <c r="AAY568"/>
      <c r="AAZ568"/>
      <c r="ABA568"/>
      <c r="ABB568"/>
      <c r="ABC568"/>
      <c r="ABD568"/>
      <c r="ABE568"/>
      <c r="ABF568"/>
      <c r="ABG568"/>
      <c r="ABH568"/>
      <c r="ABI568"/>
      <c r="ABJ568"/>
      <c r="ABK568"/>
      <c r="ABL568"/>
      <c r="ABM568"/>
      <c r="ABN568"/>
      <c r="ABO568"/>
      <c r="ABP568"/>
      <c r="ABQ568"/>
      <c r="ABR568"/>
      <c r="ABS568"/>
      <c r="ABT568"/>
      <c r="ABU568"/>
      <c r="ABV568"/>
      <c r="ABW568"/>
      <c r="ABX568"/>
      <c r="ABY568"/>
      <c r="ABZ568"/>
      <c r="ACA568"/>
      <c r="ACB568"/>
      <c r="ACC568"/>
      <c r="ACD568"/>
      <c r="ACE568"/>
      <c r="ACF568"/>
      <c r="ACG568"/>
      <c r="ACH568"/>
      <c r="ACI568"/>
      <c r="ACJ568"/>
      <c r="ACK568"/>
      <c r="ACL568"/>
      <c r="ACM568"/>
      <c r="ACN568"/>
      <c r="ACO568"/>
      <c r="ACP568"/>
      <c r="ACQ568"/>
      <c r="ACR568"/>
      <c r="ACS568"/>
      <c r="ACT568"/>
      <c r="ACU568"/>
      <c r="ACV568"/>
      <c r="ACW568"/>
      <c r="ACX568"/>
      <c r="ACY568"/>
      <c r="ACZ568"/>
      <c r="ADA568"/>
      <c r="ADB568"/>
      <c r="ADC568"/>
      <c r="ADD568"/>
      <c r="ADE568"/>
      <c r="ADF568"/>
      <c r="ADG568"/>
      <c r="ADH568"/>
      <c r="ADI568"/>
      <c r="ADJ568"/>
      <c r="ADK568"/>
      <c r="ADL568"/>
      <c r="ADM568"/>
      <c r="ADN568"/>
      <c r="ADO568"/>
      <c r="ADP568"/>
      <c r="ADQ568"/>
      <c r="ADR568"/>
      <c r="ADS568"/>
      <c r="ADT568"/>
      <c r="ADU568"/>
      <c r="ADV568"/>
      <c r="ADW568"/>
      <c r="ADX568"/>
      <c r="ADY568"/>
      <c r="ADZ568"/>
      <c r="AEA568"/>
      <c r="AEB568"/>
      <c r="AEC568"/>
      <c r="AED568"/>
      <c r="AEE568"/>
      <c r="AEF568"/>
      <c r="AEG568"/>
      <c r="AEH568"/>
      <c r="AEI568"/>
      <c r="AEJ568"/>
      <c r="AEK568"/>
      <c r="AEL568"/>
      <c r="AEM568"/>
      <c r="AEN568"/>
      <c r="AEO568"/>
      <c r="AEP568"/>
      <c r="AEQ568"/>
      <c r="AER568"/>
      <c r="AES568"/>
      <c r="AET568"/>
      <c r="AEU568"/>
      <c r="AEV568"/>
      <c r="AEW568"/>
      <c r="AEX568"/>
      <c r="AEY568"/>
      <c r="AEZ568"/>
      <c r="AFA568"/>
      <c r="AFB568"/>
      <c r="AFC568"/>
      <c r="AFD568"/>
      <c r="AFE568"/>
      <c r="AFF568"/>
      <c r="AFG568"/>
      <c r="AFH568"/>
      <c r="AFI568"/>
      <c r="AFJ568"/>
      <c r="AFK568"/>
      <c r="AFL568"/>
      <c r="AFM568"/>
      <c r="AFN568"/>
      <c r="AFO568"/>
      <c r="AFP568"/>
      <c r="AFQ568"/>
      <c r="AFR568"/>
      <c r="AFS568"/>
      <c r="AFT568"/>
      <c r="AFU568"/>
      <c r="AFV568"/>
      <c r="AFW568"/>
      <c r="AFX568"/>
      <c r="AFY568"/>
      <c r="AFZ568"/>
      <c r="AGA568"/>
      <c r="AGB568"/>
      <c r="AGC568"/>
      <c r="AGD568"/>
      <c r="AGE568"/>
      <c r="AGF568"/>
      <c r="AGG568"/>
      <c r="AGH568"/>
      <c r="AGI568"/>
      <c r="AGJ568"/>
      <c r="AGK568"/>
      <c r="AGL568"/>
      <c r="AGM568"/>
      <c r="AGN568"/>
      <c r="AGO568"/>
      <c r="AGP568"/>
      <c r="AGQ568"/>
      <c r="AGR568"/>
      <c r="AGS568"/>
      <c r="AGT568"/>
      <c r="AGU568"/>
      <c r="AGV568"/>
      <c r="AGW568"/>
      <c r="AGX568"/>
      <c r="AGY568"/>
      <c r="AGZ568"/>
      <c r="AHA568"/>
      <c r="AHB568"/>
      <c r="AHC568"/>
      <c r="AHD568"/>
      <c r="AHE568"/>
      <c r="AHF568"/>
      <c r="AHG568"/>
      <c r="AHH568"/>
      <c r="AHI568"/>
      <c r="AHJ568"/>
      <c r="AHK568"/>
      <c r="AHL568"/>
      <c r="AHM568"/>
      <c r="AHN568"/>
      <c r="AHO568"/>
      <c r="AHP568"/>
      <c r="AHQ568"/>
      <c r="AHR568"/>
      <c r="AHS568"/>
      <c r="AHT568"/>
      <c r="AHU568"/>
      <c r="AHV568"/>
      <c r="AHW568"/>
      <c r="AHX568"/>
      <c r="AHY568"/>
      <c r="AHZ568"/>
      <c r="AIA568"/>
      <c r="AIB568"/>
      <c r="AIC568"/>
      <c r="AID568"/>
      <c r="AIE568"/>
      <c r="AIF568"/>
      <c r="AIG568"/>
      <c r="AIH568"/>
      <c r="AII568"/>
      <c r="AIJ568"/>
      <c r="AIK568"/>
      <c r="AIL568"/>
      <c r="AIM568"/>
      <c r="AIN568"/>
      <c r="AIO568"/>
      <c r="AIP568"/>
      <c r="AIQ568"/>
      <c r="AIR568"/>
      <c r="AIS568"/>
      <c r="AIT568"/>
      <c r="AIU568"/>
      <c r="AIV568"/>
      <c r="AIW568"/>
      <c r="AIX568"/>
      <c r="AIY568"/>
      <c r="AIZ568"/>
      <c r="AJA568"/>
      <c r="AJB568"/>
      <c r="AJC568"/>
      <c r="AJD568"/>
      <c r="AJE568"/>
      <c r="AJF568"/>
      <c r="AJG568"/>
      <c r="AJH568"/>
      <c r="AJI568"/>
      <c r="AJJ568"/>
      <c r="AJK568"/>
      <c r="AJL568"/>
      <c r="AJM568"/>
      <c r="AJN568"/>
      <c r="AJO568"/>
      <c r="AJP568"/>
      <c r="AJQ568"/>
      <c r="AJR568"/>
      <c r="AJS568"/>
      <c r="AJT568"/>
      <c r="AJU568"/>
      <c r="AJV568"/>
      <c r="AJW568"/>
      <c r="AJX568"/>
      <c r="AJY568"/>
      <c r="AJZ568"/>
      <c r="AKA568"/>
      <c r="AKB568"/>
      <c r="AKC568"/>
      <c r="AKD568"/>
      <c r="AKE568"/>
      <c r="AKF568"/>
      <c r="AKG568"/>
      <c r="AKH568"/>
      <c r="AKI568"/>
      <c r="AKJ568"/>
      <c r="AKK568"/>
      <c r="AKL568"/>
      <c r="AKM568"/>
      <c r="AKN568"/>
      <c r="AKO568"/>
      <c r="AKP568"/>
      <c r="AKQ568"/>
      <c r="AKR568"/>
      <c r="AKS568"/>
      <c r="AKT568"/>
      <c r="AKU568"/>
      <c r="AKV568"/>
      <c r="AKW568"/>
      <c r="AKX568"/>
      <c r="AKY568"/>
    </row>
    <row r="569" spans="1:988">
      <c r="A569" s="282" t="s">
        <v>332</v>
      </c>
      <c r="B569" s="305">
        <v>2779</v>
      </c>
      <c r="C569" s="306">
        <v>4190</v>
      </c>
      <c r="D569" s="306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  <c r="ZW569"/>
      <c r="ZX569"/>
      <c r="ZY569"/>
      <c r="ZZ569"/>
      <c r="AAA569"/>
      <c r="AAB569"/>
      <c r="AAC569"/>
      <c r="AAD569"/>
      <c r="AAE569"/>
      <c r="AAF569"/>
      <c r="AAG569"/>
      <c r="AAH569"/>
      <c r="AAI569"/>
      <c r="AAJ569"/>
      <c r="AAK569"/>
      <c r="AAL569"/>
      <c r="AAM569"/>
      <c r="AAN569"/>
      <c r="AAO569"/>
      <c r="AAP569"/>
      <c r="AAQ569"/>
      <c r="AAR569"/>
      <c r="AAS569"/>
      <c r="AAT569"/>
      <c r="AAU569"/>
      <c r="AAV569"/>
      <c r="AAW569"/>
      <c r="AAX569"/>
      <c r="AAY569"/>
      <c r="AAZ569"/>
      <c r="ABA569"/>
      <c r="ABB569"/>
      <c r="ABC569"/>
      <c r="ABD569"/>
      <c r="ABE569"/>
      <c r="ABF569"/>
      <c r="ABG569"/>
      <c r="ABH569"/>
      <c r="ABI569"/>
      <c r="ABJ569"/>
      <c r="ABK569"/>
      <c r="ABL569"/>
      <c r="ABM569"/>
      <c r="ABN569"/>
      <c r="ABO569"/>
      <c r="ABP569"/>
      <c r="ABQ569"/>
      <c r="ABR569"/>
      <c r="ABS569"/>
      <c r="ABT569"/>
      <c r="ABU569"/>
      <c r="ABV569"/>
      <c r="ABW569"/>
      <c r="ABX569"/>
      <c r="ABY569"/>
      <c r="ABZ569"/>
      <c r="ACA569"/>
      <c r="ACB569"/>
      <c r="ACC569"/>
      <c r="ACD569"/>
      <c r="ACE569"/>
      <c r="ACF569"/>
      <c r="ACG569"/>
      <c r="ACH569"/>
      <c r="ACI569"/>
      <c r="ACJ569"/>
      <c r="ACK569"/>
      <c r="ACL569"/>
      <c r="ACM569"/>
      <c r="ACN569"/>
      <c r="ACO569"/>
      <c r="ACP569"/>
      <c r="ACQ569"/>
      <c r="ACR569"/>
      <c r="ACS569"/>
      <c r="ACT569"/>
      <c r="ACU569"/>
      <c r="ACV569"/>
      <c r="ACW569"/>
      <c r="ACX569"/>
      <c r="ACY569"/>
      <c r="ACZ569"/>
      <c r="ADA569"/>
      <c r="ADB569"/>
      <c r="ADC569"/>
      <c r="ADD569"/>
      <c r="ADE569"/>
      <c r="ADF569"/>
      <c r="ADG569"/>
      <c r="ADH569"/>
      <c r="ADI569"/>
      <c r="ADJ569"/>
      <c r="ADK569"/>
      <c r="ADL569"/>
      <c r="ADM569"/>
      <c r="ADN569"/>
      <c r="ADO569"/>
      <c r="ADP569"/>
      <c r="ADQ569"/>
      <c r="ADR569"/>
      <c r="ADS569"/>
      <c r="ADT569"/>
      <c r="ADU569"/>
      <c r="ADV569"/>
      <c r="ADW569"/>
      <c r="ADX569"/>
      <c r="ADY569"/>
      <c r="ADZ569"/>
      <c r="AEA569"/>
      <c r="AEB569"/>
      <c r="AEC569"/>
      <c r="AED569"/>
      <c r="AEE569"/>
      <c r="AEF569"/>
      <c r="AEG569"/>
      <c r="AEH569"/>
      <c r="AEI569"/>
      <c r="AEJ569"/>
      <c r="AEK569"/>
      <c r="AEL569"/>
      <c r="AEM569"/>
      <c r="AEN569"/>
      <c r="AEO569"/>
      <c r="AEP569"/>
      <c r="AEQ569"/>
      <c r="AER569"/>
      <c r="AES569"/>
      <c r="AET569"/>
      <c r="AEU569"/>
      <c r="AEV569"/>
      <c r="AEW569"/>
      <c r="AEX569"/>
      <c r="AEY569"/>
      <c r="AEZ569"/>
      <c r="AFA569"/>
      <c r="AFB569"/>
      <c r="AFC569"/>
      <c r="AFD569"/>
      <c r="AFE569"/>
      <c r="AFF569"/>
      <c r="AFG569"/>
      <c r="AFH569"/>
      <c r="AFI569"/>
      <c r="AFJ569"/>
      <c r="AFK569"/>
      <c r="AFL569"/>
      <c r="AFM569"/>
      <c r="AFN569"/>
      <c r="AFO569"/>
      <c r="AFP569"/>
      <c r="AFQ569"/>
      <c r="AFR569"/>
      <c r="AFS569"/>
      <c r="AFT569"/>
      <c r="AFU569"/>
      <c r="AFV569"/>
      <c r="AFW569"/>
      <c r="AFX569"/>
      <c r="AFY569"/>
      <c r="AFZ569"/>
      <c r="AGA569"/>
      <c r="AGB569"/>
      <c r="AGC569"/>
      <c r="AGD569"/>
      <c r="AGE569"/>
      <c r="AGF569"/>
      <c r="AGG569"/>
      <c r="AGH569"/>
      <c r="AGI569"/>
      <c r="AGJ569"/>
      <c r="AGK569"/>
      <c r="AGL569"/>
      <c r="AGM569"/>
      <c r="AGN569"/>
      <c r="AGO569"/>
      <c r="AGP569"/>
      <c r="AGQ569"/>
      <c r="AGR569"/>
      <c r="AGS569"/>
      <c r="AGT569"/>
      <c r="AGU569"/>
      <c r="AGV569"/>
      <c r="AGW569"/>
      <c r="AGX569"/>
      <c r="AGY569"/>
      <c r="AGZ569"/>
      <c r="AHA569"/>
      <c r="AHB569"/>
      <c r="AHC569"/>
      <c r="AHD569"/>
      <c r="AHE569"/>
      <c r="AHF569"/>
      <c r="AHG569"/>
      <c r="AHH569"/>
      <c r="AHI569"/>
      <c r="AHJ569"/>
      <c r="AHK569"/>
      <c r="AHL569"/>
      <c r="AHM569"/>
      <c r="AHN569"/>
      <c r="AHO569"/>
      <c r="AHP569"/>
      <c r="AHQ569"/>
      <c r="AHR569"/>
      <c r="AHS569"/>
      <c r="AHT569"/>
      <c r="AHU569"/>
      <c r="AHV569"/>
      <c r="AHW569"/>
      <c r="AHX569"/>
      <c r="AHY569"/>
      <c r="AHZ569"/>
      <c r="AIA569"/>
      <c r="AIB569"/>
      <c r="AIC569"/>
      <c r="AID569"/>
      <c r="AIE569"/>
      <c r="AIF569"/>
      <c r="AIG569"/>
      <c r="AIH569"/>
      <c r="AII569"/>
      <c r="AIJ569"/>
      <c r="AIK569"/>
      <c r="AIL569"/>
      <c r="AIM569"/>
      <c r="AIN569"/>
      <c r="AIO569"/>
      <c r="AIP569"/>
      <c r="AIQ569"/>
      <c r="AIR569"/>
      <c r="AIS569"/>
      <c r="AIT569"/>
      <c r="AIU569"/>
      <c r="AIV569"/>
      <c r="AIW569"/>
      <c r="AIX569"/>
      <c r="AIY569"/>
      <c r="AIZ569"/>
      <c r="AJA569"/>
      <c r="AJB569"/>
      <c r="AJC569"/>
      <c r="AJD569"/>
      <c r="AJE569"/>
      <c r="AJF569"/>
      <c r="AJG569"/>
      <c r="AJH569"/>
      <c r="AJI569"/>
      <c r="AJJ569"/>
      <c r="AJK569"/>
      <c r="AJL569"/>
      <c r="AJM569"/>
      <c r="AJN569"/>
      <c r="AJO569"/>
      <c r="AJP569"/>
      <c r="AJQ569"/>
      <c r="AJR569"/>
      <c r="AJS569"/>
      <c r="AJT569"/>
      <c r="AJU569"/>
      <c r="AJV569"/>
      <c r="AJW569"/>
      <c r="AJX569"/>
      <c r="AJY569"/>
      <c r="AJZ569"/>
      <c r="AKA569"/>
      <c r="AKB569"/>
      <c r="AKC569"/>
      <c r="AKD569"/>
      <c r="AKE569"/>
      <c r="AKF569"/>
      <c r="AKG569"/>
      <c r="AKH569"/>
      <c r="AKI569"/>
      <c r="AKJ569"/>
      <c r="AKK569"/>
      <c r="AKL569"/>
      <c r="AKM569"/>
      <c r="AKN569"/>
      <c r="AKO569"/>
      <c r="AKP569"/>
      <c r="AKQ569"/>
      <c r="AKR569"/>
      <c r="AKS569"/>
      <c r="AKT569"/>
      <c r="AKU569"/>
      <c r="AKV569"/>
      <c r="AKW569"/>
      <c r="AKX569"/>
      <c r="AKY569"/>
    </row>
    <row r="570" spans="1:988">
      <c r="A570" s="421" t="s">
        <v>334</v>
      </c>
      <c r="B570" s="349">
        <v>2637</v>
      </c>
      <c r="C570" s="344">
        <v>3355</v>
      </c>
      <c r="D570" s="344" t="s">
        <v>1503</v>
      </c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  <c r="ZW570"/>
      <c r="ZX570"/>
      <c r="ZY570"/>
      <c r="ZZ570"/>
      <c r="AAA570"/>
      <c r="AAB570"/>
      <c r="AAC570"/>
      <c r="AAD570"/>
      <c r="AAE570"/>
      <c r="AAF570"/>
      <c r="AAG570"/>
      <c r="AAH570"/>
      <c r="AAI570"/>
      <c r="AAJ570"/>
      <c r="AAK570"/>
      <c r="AAL570"/>
      <c r="AAM570"/>
      <c r="AAN570"/>
      <c r="AAO570"/>
      <c r="AAP570"/>
      <c r="AAQ570"/>
      <c r="AAR570"/>
      <c r="AAS570"/>
      <c r="AAT570"/>
      <c r="AAU570"/>
      <c r="AAV570"/>
      <c r="AAW570"/>
      <c r="AAX570"/>
      <c r="AAY570"/>
      <c r="AAZ570"/>
      <c r="ABA570"/>
      <c r="ABB570"/>
      <c r="ABC570"/>
      <c r="ABD570"/>
      <c r="ABE570"/>
      <c r="ABF570"/>
      <c r="ABG570"/>
      <c r="ABH570"/>
      <c r="ABI570"/>
      <c r="ABJ570"/>
      <c r="ABK570"/>
      <c r="ABL570"/>
      <c r="ABM570"/>
      <c r="ABN570"/>
      <c r="ABO570"/>
      <c r="ABP570"/>
      <c r="ABQ570"/>
      <c r="ABR570"/>
      <c r="ABS570"/>
      <c r="ABT570"/>
      <c r="ABU570"/>
      <c r="ABV570"/>
      <c r="ABW570"/>
      <c r="ABX570"/>
      <c r="ABY570"/>
      <c r="ABZ570"/>
      <c r="ACA570"/>
      <c r="ACB570"/>
      <c r="ACC570"/>
      <c r="ACD570"/>
      <c r="ACE570"/>
      <c r="ACF570"/>
      <c r="ACG570"/>
      <c r="ACH570"/>
      <c r="ACI570"/>
      <c r="ACJ570"/>
      <c r="ACK570"/>
      <c r="ACL570"/>
      <c r="ACM570"/>
      <c r="ACN570"/>
      <c r="ACO570"/>
      <c r="ACP570"/>
      <c r="ACQ570"/>
      <c r="ACR570"/>
      <c r="ACS570"/>
      <c r="ACT570"/>
      <c r="ACU570"/>
      <c r="ACV570"/>
      <c r="ACW570"/>
      <c r="ACX570"/>
      <c r="ACY570"/>
      <c r="ACZ570"/>
      <c r="ADA570"/>
      <c r="ADB570"/>
      <c r="ADC570"/>
      <c r="ADD570"/>
      <c r="ADE570"/>
      <c r="ADF570"/>
      <c r="ADG570"/>
      <c r="ADH570"/>
      <c r="ADI570"/>
      <c r="ADJ570"/>
      <c r="ADK570"/>
      <c r="ADL570"/>
      <c r="ADM570"/>
      <c r="ADN570"/>
      <c r="ADO570"/>
      <c r="ADP570"/>
      <c r="ADQ570"/>
      <c r="ADR570"/>
      <c r="ADS570"/>
      <c r="ADT570"/>
      <c r="ADU570"/>
      <c r="ADV570"/>
      <c r="ADW570"/>
      <c r="ADX570"/>
      <c r="ADY570"/>
      <c r="ADZ570"/>
      <c r="AEA570"/>
      <c r="AEB570"/>
      <c r="AEC570"/>
      <c r="AED570"/>
      <c r="AEE570"/>
      <c r="AEF570"/>
      <c r="AEG570"/>
      <c r="AEH570"/>
      <c r="AEI570"/>
      <c r="AEJ570"/>
      <c r="AEK570"/>
      <c r="AEL570"/>
      <c r="AEM570"/>
      <c r="AEN570"/>
      <c r="AEO570"/>
      <c r="AEP570"/>
      <c r="AEQ570"/>
      <c r="AER570"/>
      <c r="AES570"/>
      <c r="AET570"/>
      <c r="AEU570"/>
      <c r="AEV570"/>
      <c r="AEW570"/>
      <c r="AEX570"/>
      <c r="AEY570"/>
      <c r="AEZ570"/>
      <c r="AFA570"/>
      <c r="AFB570"/>
      <c r="AFC570"/>
      <c r="AFD570"/>
      <c r="AFE570"/>
      <c r="AFF570"/>
      <c r="AFG570"/>
      <c r="AFH570"/>
      <c r="AFI570"/>
      <c r="AFJ570"/>
      <c r="AFK570"/>
      <c r="AFL570"/>
      <c r="AFM570"/>
      <c r="AFN570"/>
      <c r="AFO570"/>
      <c r="AFP570"/>
      <c r="AFQ570"/>
      <c r="AFR570"/>
      <c r="AFS570"/>
      <c r="AFT570"/>
      <c r="AFU570"/>
      <c r="AFV570"/>
      <c r="AFW570"/>
      <c r="AFX570"/>
      <c r="AFY570"/>
      <c r="AFZ570"/>
      <c r="AGA570"/>
      <c r="AGB570"/>
      <c r="AGC570"/>
      <c r="AGD570"/>
      <c r="AGE570"/>
      <c r="AGF570"/>
      <c r="AGG570"/>
      <c r="AGH570"/>
      <c r="AGI570"/>
      <c r="AGJ570"/>
      <c r="AGK570"/>
      <c r="AGL570"/>
      <c r="AGM570"/>
      <c r="AGN570"/>
      <c r="AGO570"/>
      <c r="AGP570"/>
      <c r="AGQ570"/>
      <c r="AGR570"/>
      <c r="AGS570"/>
      <c r="AGT570"/>
      <c r="AGU570"/>
      <c r="AGV570"/>
      <c r="AGW570"/>
      <c r="AGX570"/>
      <c r="AGY570"/>
      <c r="AGZ570"/>
      <c r="AHA570"/>
      <c r="AHB570"/>
      <c r="AHC570"/>
      <c r="AHD570"/>
      <c r="AHE570"/>
      <c r="AHF570"/>
      <c r="AHG570"/>
      <c r="AHH570"/>
      <c r="AHI570"/>
      <c r="AHJ570"/>
      <c r="AHK570"/>
      <c r="AHL570"/>
      <c r="AHM570"/>
      <c r="AHN570"/>
      <c r="AHO570"/>
      <c r="AHP570"/>
      <c r="AHQ570"/>
      <c r="AHR570"/>
      <c r="AHS570"/>
      <c r="AHT570"/>
      <c r="AHU570"/>
      <c r="AHV570"/>
      <c r="AHW570"/>
      <c r="AHX570"/>
      <c r="AHY570"/>
      <c r="AHZ570"/>
      <c r="AIA570"/>
      <c r="AIB570"/>
      <c r="AIC570"/>
      <c r="AID570"/>
      <c r="AIE570"/>
      <c r="AIF570"/>
      <c r="AIG570"/>
      <c r="AIH570"/>
      <c r="AII570"/>
      <c r="AIJ570"/>
      <c r="AIK570"/>
      <c r="AIL570"/>
      <c r="AIM570"/>
      <c r="AIN570"/>
      <c r="AIO570"/>
      <c r="AIP570"/>
      <c r="AIQ570"/>
      <c r="AIR570"/>
      <c r="AIS570"/>
      <c r="AIT570"/>
      <c r="AIU570"/>
      <c r="AIV570"/>
      <c r="AIW570"/>
      <c r="AIX570"/>
      <c r="AIY570"/>
      <c r="AIZ570"/>
      <c r="AJA570"/>
      <c r="AJB570"/>
      <c r="AJC570"/>
      <c r="AJD570"/>
      <c r="AJE570"/>
      <c r="AJF570"/>
      <c r="AJG570"/>
      <c r="AJH570"/>
      <c r="AJI570"/>
      <c r="AJJ570"/>
      <c r="AJK570"/>
      <c r="AJL570"/>
      <c r="AJM570"/>
      <c r="AJN570"/>
      <c r="AJO570"/>
      <c r="AJP570"/>
      <c r="AJQ570"/>
      <c r="AJR570"/>
      <c r="AJS570"/>
      <c r="AJT570"/>
      <c r="AJU570"/>
      <c r="AJV570"/>
      <c r="AJW570"/>
      <c r="AJX570"/>
      <c r="AJY570"/>
      <c r="AJZ570"/>
      <c r="AKA570"/>
      <c r="AKB570"/>
      <c r="AKC570"/>
      <c r="AKD570"/>
      <c r="AKE570"/>
      <c r="AKF570"/>
      <c r="AKG570"/>
      <c r="AKH570"/>
      <c r="AKI570"/>
      <c r="AKJ570"/>
      <c r="AKK570"/>
      <c r="AKL570"/>
      <c r="AKM570"/>
      <c r="AKN570"/>
      <c r="AKO570"/>
      <c r="AKP570"/>
      <c r="AKQ570"/>
      <c r="AKR570"/>
      <c r="AKS570"/>
      <c r="AKT570"/>
      <c r="AKU570"/>
      <c r="AKV570"/>
      <c r="AKW570"/>
      <c r="AKX570"/>
      <c r="AKY570"/>
    </row>
    <row r="571" spans="1:988">
      <c r="A571" s="282" t="s">
        <v>1504</v>
      </c>
      <c r="B571" s="305">
        <v>2993</v>
      </c>
      <c r="C571" s="306">
        <v>4190</v>
      </c>
      <c r="D571" s="306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  <c r="ZW571"/>
      <c r="ZX571"/>
      <c r="ZY571"/>
      <c r="ZZ571"/>
      <c r="AAA571"/>
      <c r="AAB571"/>
      <c r="AAC571"/>
      <c r="AAD571"/>
      <c r="AAE571"/>
      <c r="AAF571"/>
      <c r="AAG571"/>
      <c r="AAH571"/>
      <c r="AAI571"/>
      <c r="AAJ571"/>
      <c r="AAK571"/>
      <c r="AAL571"/>
      <c r="AAM571"/>
      <c r="AAN571"/>
      <c r="AAO571"/>
      <c r="AAP571"/>
      <c r="AAQ571"/>
      <c r="AAR571"/>
      <c r="AAS571"/>
      <c r="AAT571"/>
      <c r="AAU571"/>
      <c r="AAV571"/>
      <c r="AAW571"/>
      <c r="AAX571"/>
      <c r="AAY571"/>
      <c r="AAZ571"/>
      <c r="ABA571"/>
      <c r="ABB571"/>
      <c r="ABC571"/>
      <c r="ABD571"/>
      <c r="ABE571"/>
      <c r="ABF571"/>
      <c r="ABG571"/>
      <c r="ABH571"/>
      <c r="ABI571"/>
      <c r="ABJ571"/>
      <c r="ABK571"/>
      <c r="ABL571"/>
      <c r="ABM571"/>
      <c r="ABN571"/>
      <c r="ABO571"/>
      <c r="ABP571"/>
      <c r="ABQ571"/>
      <c r="ABR571"/>
      <c r="ABS571"/>
      <c r="ABT571"/>
      <c r="ABU571"/>
      <c r="ABV571"/>
      <c r="ABW571"/>
      <c r="ABX571"/>
      <c r="ABY571"/>
      <c r="ABZ571"/>
      <c r="ACA571"/>
      <c r="ACB571"/>
      <c r="ACC571"/>
      <c r="ACD571"/>
      <c r="ACE571"/>
      <c r="ACF571"/>
      <c r="ACG571"/>
      <c r="ACH571"/>
      <c r="ACI571"/>
      <c r="ACJ571"/>
      <c r="ACK571"/>
      <c r="ACL571"/>
      <c r="ACM571"/>
      <c r="ACN571"/>
      <c r="ACO571"/>
      <c r="ACP571"/>
      <c r="ACQ571"/>
      <c r="ACR571"/>
      <c r="ACS571"/>
      <c r="ACT571"/>
      <c r="ACU571"/>
      <c r="ACV571"/>
      <c r="ACW571"/>
      <c r="ACX571"/>
      <c r="ACY571"/>
      <c r="ACZ571"/>
      <c r="ADA571"/>
      <c r="ADB571"/>
      <c r="ADC571"/>
      <c r="ADD571"/>
      <c r="ADE571"/>
      <c r="ADF571"/>
      <c r="ADG571"/>
      <c r="ADH571"/>
      <c r="ADI571"/>
      <c r="ADJ571"/>
      <c r="ADK571"/>
      <c r="ADL571"/>
      <c r="ADM571"/>
      <c r="ADN571"/>
      <c r="ADO571"/>
      <c r="ADP571"/>
      <c r="ADQ571"/>
      <c r="ADR571"/>
      <c r="ADS571"/>
      <c r="ADT571"/>
      <c r="ADU571"/>
      <c r="ADV571"/>
      <c r="ADW571"/>
      <c r="ADX571"/>
      <c r="ADY571"/>
      <c r="ADZ571"/>
      <c r="AEA571"/>
      <c r="AEB571"/>
      <c r="AEC571"/>
      <c r="AED571"/>
      <c r="AEE571"/>
      <c r="AEF571"/>
      <c r="AEG571"/>
      <c r="AEH571"/>
      <c r="AEI571"/>
      <c r="AEJ571"/>
      <c r="AEK571"/>
      <c r="AEL571"/>
      <c r="AEM571"/>
      <c r="AEN571"/>
      <c r="AEO571"/>
      <c r="AEP571"/>
      <c r="AEQ571"/>
      <c r="AER571"/>
      <c r="AES571"/>
      <c r="AET571"/>
      <c r="AEU571"/>
      <c r="AEV571"/>
      <c r="AEW571"/>
      <c r="AEX571"/>
      <c r="AEY571"/>
      <c r="AEZ571"/>
      <c r="AFA571"/>
      <c r="AFB571"/>
      <c r="AFC571"/>
      <c r="AFD571"/>
      <c r="AFE571"/>
      <c r="AFF571"/>
      <c r="AFG571"/>
      <c r="AFH571"/>
      <c r="AFI571"/>
      <c r="AFJ571"/>
      <c r="AFK571"/>
      <c r="AFL571"/>
      <c r="AFM571"/>
      <c r="AFN571"/>
      <c r="AFO571"/>
      <c r="AFP571"/>
      <c r="AFQ571"/>
      <c r="AFR571"/>
      <c r="AFS571"/>
      <c r="AFT571"/>
      <c r="AFU571"/>
      <c r="AFV571"/>
      <c r="AFW571"/>
      <c r="AFX571"/>
      <c r="AFY571"/>
      <c r="AFZ571"/>
      <c r="AGA571"/>
      <c r="AGB571"/>
      <c r="AGC571"/>
      <c r="AGD571"/>
      <c r="AGE571"/>
      <c r="AGF571"/>
      <c r="AGG571"/>
      <c r="AGH571"/>
      <c r="AGI571"/>
      <c r="AGJ571"/>
      <c r="AGK571"/>
      <c r="AGL571"/>
      <c r="AGM571"/>
      <c r="AGN571"/>
      <c r="AGO571"/>
      <c r="AGP571"/>
      <c r="AGQ571"/>
      <c r="AGR571"/>
      <c r="AGS571"/>
      <c r="AGT571"/>
      <c r="AGU571"/>
      <c r="AGV571"/>
      <c r="AGW571"/>
      <c r="AGX571"/>
      <c r="AGY571"/>
      <c r="AGZ571"/>
      <c r="AHA571"/>
      <c r="AHB571"/>
      <c r="AHC571"/>
      <c r="AHD571"/>
      <c r="AHE571"/>
      <c r="AHF571"/>
      <c r="AHG571"/>
      <c r="AHH571"/>
      <c r="AHI571"/>
      <c r="AHJ571"/>
      <c r="AHK571"/>
      <c r="AHL571"/>
      <c r="AHM571"/>
      <c r="AHN571"/>
      <c r="AHO571"/>
      <c r="AHP571"/>
      <c r="AHQ571"/>
      <c r="AHR571"/>
      <c r="AHS571"/>
      <c r="AHT571"/>
      <c r="AHU571"/>
      <c r="AHV571"/>
      <c r="AHW571"/>
      <c r="AHX571"/>
      <c r="AHY571"/>
      <c r="AHZ571"/>
      <c r="AIA571"/>
      <c r="AIB571"/>
      <c r="AIC571"/>
      <c r="AID571"/>
      <c r="AIE571"/>
      <c r="AIF571"/>
      <c r="AIG571"/>
      <c r="AIH571"/>
      <c r="AII571"/>
      <c r="AIJ571"/>
      <c r="AIK571"/>
      <c r="AIL571"/>
      <c r="AIM571"/>
      <c r="AIN571"/>
      <c r="AIO571"/>
      <c r="AIP571"/>
      <c r="AIQ571"/>
      <c r="AIR571"/>
      <c r="AIS571"/>
      <c r="AIT571"/>
      <c r="AIU571"/>
      <c r="AIV571"/>
      <c r="AIW571"/>
      <c r="AIX571"/>
      <c r="AIY571"/>
      <c r="AIZ571"/>
      <c r="AJA571"/>
      <c r="AJB571"/>
      <c r="AJC571"/>
      <c r="AJD571"/>
      <c r="AJE571"/>
      <c r="AJF571"/>
      <c r="AJG571"/>
      <c r="AJH571"/>
      <c r="AJI571"/>
      <c r="AJJ571"/>
      <c r="AJK571"/>
      <c r="AJL571"/>
      <c r="AJM571"/>
      <c r="AJN571"/>
      <c r="AJO571"/>
      <c r="AJP571"/>
      <c r="AJQ571"/>
      <c r="AJR571"/>
      <c r="AJS571"/>
      <c r="AJT571"/>
      <c r="AJU571"/>
      <c r="AJV571"/>
      <c r="AJW571"/>
      <c r="AJX571"/>
      <c r="AJY571"/>
      <c r="AJZ571"/>
      <c r="AKA571"/>
      <c r="AKB571"/>
      <c r="AKC571"/>
      <c r="AKD571"/>
      <c r="AKE571"/>
      <c r="AKF571"/>
      <c r="AKG571"/>
      <c r="AKH571"/>
      <c r="AKI571"/>
      <c r="AKJ571"/>
      <c r="AKK571"/>
      <c r="AKL571"/>
      <c r="AKM571"/>
      <c r="AKN571"/>
      <c r="AKO571"/>
      <c r="AKP571"/>
      <c r="AKQ571"/>
      <c r="AKR571"/>
      <c r="AKS571"/>
      <c r="AKT571"/>
      <c r="AKU571"/>
      <c r="AKV571"/>
      <c r="AKW571"/>
      <c r="AKX571"/>
      <c r="AKY571"/>
    </row>
    <row r="572" spans="1:988">
      <c r="A572" s="282" t="s">
        <v>1506</v>
      </c>
      <c r="B572" s="305">
        <v>2889</v>
      </c>
      <c r="C572" s="306">
        <v>4190</v>
      </c>
      <c r="D572" s="306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  <c r="ZY572"/>
      <c r="ZZ572"/>
      <c r="AAA572"/>
      <c r="AAB572"/>
      <c r="AAC572"/>
      <c r="AAD572"/>
      <c r="AAE572"/>
      <c r="AAF572"/>
      <c r="AAG572"/>
      <c r="AAH572"/>
      <c r="AAI572"/>
      <c r="AAJ572"/>
      <c r="AAK572"/>
      <c r="AAL572"/>
      <c r="AAM572"/>
      <c r="AAN572"/>
      <c r="AAO572"/>
      <c r="AAP572"/>
      <c r="AAQ572"/>
      <c r="AAR572"/>
      <c r="AAS572"/>
      <c r="AAT572"/>
      <c r="AAU572"/>
      <c r="AAV572"/>
      <c r="AAW572"/>
      <c r="AAX572"/>
      <c r="AAY572"/>
      <c r="AAZ572"/>
      <c r="ABA572"/>
      <c r="ABB572"/>
      <c r="ABC572"/>
      <c r="ABD572"/>
      <c r="ABE572"/>
      <c r="ABF572"/>
      <c r="ABG572"/>
      <c r="ABH572"/>
      <c r="ABI572"/>
      <c r="ABJ572"/>
      <c r="ABK572"/>
      <c r="ABL572"/>
      <c r="ABM572"/>
      <c r="ABN572"/>
      <c r="ABO572"/>
      <c r="ABP572"/>
      <c r="ABQ572"/>
      <c r="ABR572"/>
      <c r="ABS572"/>
      <c r="ABT572"/>
      <c r="ABU572"/>
      <c r="ABV572"/>
      <c r="ABW572"/>
      <c r="ABX572"/>
      <c r="ABY572"/>
      <c r="ABZ572"/>
      <c r="ACA572"/>
      <c r="ACB572"/>
      <c r="ACC572"/>
      <c r="ACD572"/>
      <c r="ACE572"/>
      <c r="ACF572"/>
      <c r="ACG572"/>
      <c r="ACH572"/>
      <c r="ACI572"/>
      <c r="ACJ572"/>
      <c r="ACK572"/>
      <c r="ACL572"/>
      <c r="ACM572"/>
      <c r="ACN572"/>
      <c r="ACO572"/>
      <c r="ACP572"/>
      <c r="ACQ572"/>
      <c r="ACR572"/>
      <c r="ACS572"/>
      <c r="ACT572"/>
      <c r="ACU572"/>
      <c r="ACV572"/>
      <c r="ACW572"/>
      <c r="ACX572"/>
      <c r="ACY572"/>
      <c r="ACZ572"/>
      <c r="ADA572"/>
      <c r="ADB572"/>
      <c r="ADC572"/>
      <c r="ADD572"/>
      <c r="ADE572"/>
      <c r="ADF572"/>
      <c r="ADG572"/>
      <c r="ADH572"/>
      <c r="ADI572"/>
      <c r="ADJ572"/>
      <c r="ADK572"/>
      <c r="ADL572"/>
      <c r="ADM572"/>
      <c r="ADN572"/>
      <c r="ADO572"/>
      <c r="ADP572"/>
      <c r="ADQ572"/>
      <c r="ADR572"/>
      <c r="ADS572"/>
      <c r="ADT572"/>
      <c r="ADU572"/>
      <c r="ADV572"/>
      <c r="ADW572"/>
      <c r="ADX572"/>
      <c r="ADY572"/>
      <c r="ADZ572"/>
      <c r="AEA572"/>
      <c r="AEB572"/>
      <c r="AEC572"/>
      <c r="AED572"/>
      <c r="AEE572"/>
      <c r="AEF572"/>
      <c r="AEG572"/>
      <c r="AEH572"/>
      <c r="AEI572"/>
      <c r="AEJ572"/>
      <c r="AEK572"/>
      <c r="AEL572"/>
      <c r="AEM572"/>
      <c r="AEN572"/>
      <c r="AEO572"/>
      <c r="AEP572"/>
      <c r="AEQ572"/>
      <c r="AER572"/>
      <c r="AES572"/>
      <c r="AET572"/>
      <c r="AEU572"/>
      <c r="AEV572"/>
      <c r="AEW572"/>
      <c r="AEX572"/>
      <c r="AEY572"/>
      <c r="AEZ572"/>
      <c r="AFA572"/>
      <c r="AFB572"/>
      <c r="AFC572"/>
      <c r="AFD572"/>
      <c r="AFE572"/>
      <c r="AFF572"/>
      <c r="AFG572"/>
      <c r="AFH572"/>
      <c r="AFI572"/>
      <c r="AFJ572"/>
      <c r="AFK572"/>
      <c r="AFL572"/>
      <c r="AFM572"/>
      <c r="AFN572"/>
      <c r="AFO572"/>
      <c r="AFP572"/>
      <c r="AFQ572"/>
      <c r="AFR572"/>
      <c r="AFS572"/>
      <c r="AFT572"/>
      <c r="AFU572"/>
      <c r="AFV572"/>
      <c r="AFW572"/>
      <c r="AFX572"/>
      <c r="AFY572"/>
      <c r="AFZ572"/>
      <c r="AGA572"/>
      <c r="AGB572"/>
      <c r="AGC572"/>
      <c r="AGD572"/>
      <c r="AGE572"/>
      <c r="AGF572"/>
      <c r="AGG572"/>
      <c r="AGH572"/>
      <c r="AGI572"/>
      <c r="AGJ572"/>
      <c r="AGK572"/>
      <c r="AGL572"/>
      <c r="AGM572"/>
      <c r="AGN572"/>
      <c r="AGO572"/>
      <c r="AGP572"/>
      <c r="AGQ572"/>
      <c r="AGR572"/>
      <c r="AGS572"/>
      <c r="AGT572"/>
      <c r="AGU572"/>
      <c r="AGV572"/>
      <c r="AGW572"/>
      <c r="AGX572"/>
      <c r="AGY572"/>
      <c r="AGZ572"/>
      <c r="AHA572"/>
      <c r="AHB572"/>
      <c r="AHC572"/>
      <c r="AHD572"/>
      <c r="AHE572"/>
      <c r="AHF572"/>
      <c r="AHG572"/>
      <c r="AHH572"/>
      <c r="AHI572"/>
      <c r="AHJ572"/>
      <c r="AHK572"/>
      <c r="AHL572"/>
      <c r="AHM572"/>
      <c r="AHN572"/>
      <c r="AHO572"/>
      <c r="AHP572"/>
      <c r="AHQ572"/>
      <c r="AHR572"/>
      <c r="AHS572"/>
      <c r="AHT572"/>
      <c r="AHU572"/>
      <c r="AHV572"/>
      <c r="AHW572"/>
      <c r="AHX572"/>
      <c r="AHY572"/>
      <c r="AHZ572"/>
      <c r="AIA572"/>
      <c r="AIB572"/>
      <c r="AIC572"/>
      <c r="AID572"/>
      <c r="AIE572"/>
      <c r="AIF572"/>
      <c r="AIG572"/>
      <c r="AIH572"/>
      <c r="AII572"/>
      <c r="AIJ572"/>
      <c r="AIK572"/>
      <c r="AIL572"/>
      <c r="AIM572"/>
      <c r="AIN572"/>
      <c r="AIO572"/>
      <c r="AIP572"/>
      <c r="AIQ572"/>
      <c r="AIR572"/>
      <c r="AIS572"/>
      <c r="AIT572"/>
      <c r="AIU572"/>
      <c r="AIV572"/>
      <c r="AIW572"/>
      <c r="AIX572"/>
      <c r="AIY572"/>
      <c r="AIZ572"/>
      <c r="AJA572"/>
      <c r="AJB572"/>
      <c r="AJC572"/>
      <c r="AJD572"/>
      <c r="AJE572"/>
      <c r="AJF572"/>
      <c r="AJG572"/>
      <c r="AJH572"/>
      <c r="AJI572"/>
      <c r="AJJ572"/>
      <c r="AJK572"/>
      <c r="AJL572"/>
      <c r="AJM572"/>
      <c r="AJN572"/>
      <c r="AJO572"/>
      <c r="AJP572"/>
      <c r="AJQ572"/>
      <c r="AJR572"/>
      <c r="AJS572"/>
      <c r="AJT572"/>
      <c r="AJU572"/>
      <c r="AJV572"/>
      <c r="AJW572"/>
      <c r="AJX572"/>
      <c r="AJY572"/>
      <c r="AJZ572"/>
      <c r="AKA572"/>
      <c r="AKB572"/>
      <c r="AKC572"/>
      <c r="AKD572"/>
      <c r="AKE572"/>
      <c r="AKF572"/>
      <c r="AKG572"/>
      <c r="AKH572"/>
      <c r="AKI572"/>
      <c r="AKJ572"/>
      <c r="AKK572"/>
      <c r="AKL572"/>
      <c r="AKM572"/>
      <c r="AKN572"/>
      <c r="AKO572"/>
      <c r="AKP572"/>
      <c r="AKQ572"/>
      <c r="AKR572"/>
      <c r="AKS572"/>
      <c r="AKT572"/>
      <c r="AKU572"/>
      <c r="AKV572"/>
      <c r="AKW572"/>
      <c r="AKX572"/>
      <c r="AKY572"/>
    </row>
    <row r="573" spans="1:988">
      <c r="A573" s="282" t="s">
        <v>333</v>
      </c>
      <c r="B573" s="305">
        <v>2860</v>
      </c>
      <c r="C573" s="306">
        <v>4190</v>
      </c>
      <c r="D573" s="306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  <c r="ZW573"/>
      <c r="ZX573"/>
      <c r="ZY573"/>
      <c r="ZZ573"/>
      <c r="AAA573"/>
      <c r="AAB573"/>
      <c r="AAC573"/>
      <c r="AAD573"/>
      <c r="AAE573"/>
      <c r="AAF573"/>
      <c r="AAG573"/>
      <c r="AAH573"/>
      <c r="AAI573"/>
      <c r="AAJ573"/>
      <c r="AAK573"/>
      <c r="AAL573"/>
      <c r="AAM573"/>
      <c r="AAN573"/>
      <c r="AAO573"/>
      <c r="AAP573"/>
      <c r="AAQ573"/>
      <c r="AAR573"/>
      <c r="AAS573"/>
      <c r="AAT573"/>
      <c r="AAU573"/>
      <c r="AAV573"/>
      <c r="AAW573"/>
      <c r="AAX573"/>
      <c r="AAY573"/>
      <c r="AAZ573"/>
      <c r="ABA573"/>
      <c r="ABB573"/>
      <c r="ABC573"/>
      <c r="ABD573"/>
      <c r="ABE573"/>
      <c r="ABF573"/>
      <c r="ABG573"/>
      <c r="ABH573"/>
      <c r="ABI573"/>
      <c r="ABJ573"/>
      <c r="ABK573"/>
      <c r="ABL573"/>
      <c r="ABM573"/>
      <c r="ABN573"/>
      <c r="ABO573"/>
      <c r="ABP573"/>
      <c r="ABQ573"/>
      <c r="ABR573"/>
      <c r="ABS573"/>
      <c r="ABT573"/>
      <c r="ABU573"/>
      <c r="ABV573"/>
      <c r="ABW573"/>
      <c r="ABX573"/>
      <c r="ABY573"/>
      <c r="ABZ573"/>
      <c r="ACA573"/>
      <c r="ACB573"/>
      <c r="ACC573"/>
      <c r="ACD573"/>
      <c r="ACE573"/>
      <c r="ACF573"/>
      <c r="ACG573"/>
      <c r="ACH573"/>
      <c r="ACI573"/>
      <c r="ACJ573"/>
      <c r="ACK573"/>
      <c r="ACL573"/>
      <c r="ACM573"/>
      <c r="ACN573"/>
      <c r="ACO573"/>
      <c r="ACP573"/>
      <c r="ACQ573"/>
      <c r="ACR573"/>
      <c r="ACS573"/>
      <c r="ACT573"/>
      <c r="ACU573"/>
      <c r="ACV573"/>
      <c r="ACW573"/>
      <c r="ACX573"/>
      <c r="ACY573"/>
      <c r="ACZ573"/>
      <c r="ADA573"/>
      <c r="ADB573"/>
      <c r="ADC573"/>
      <c r="ADD573"/>
      <c r="ADE573"/>
      <c r="ADF573"/>
      <c r="ADG573"/>
      <c r="ADH573"/>
      <c r="ADI573"/>
      <c r="ADJ573"/>
      <c r="ADK573"/>
      <c r="ADL573"/>
      <c r="ADM573"/>
      <c r="ADN573"/>
      <c r="ADO573"/>
      <c r="ADP573"/>
      <c r="ADQ573"/>
      <c r="ADR573"/>
      <c r="ADS573"/>
      <c r="ADT573"/>
      <c r="ADU573"/>
      <c r="ADV573"/>
      <c r="ADW573"/>
      <c r="ADX573"/>
      <c r="ADY573"/>
      <c r="ADZ573"/>
      <c r="AEA573"/>
      <c r="AEB573"/>
      <c r="AEC573"/>
      <c r="AED573"/>
      <c r="AEE573"/>
      <c r="AEF573"/>
      <c r="AEG573"/>
      <c r="AEH573"/>
      <c r="AEI573"/>
      <c r="AEJ573"/>
      <c r="AEK573"/>
      <c r="AEL573"/>
      <c r="AEM573"/>
      <c r="AEN573"/>
      <c r="AEO573"/>
      <c r="AEP573"/>
      <c r="AEQ573"/>
      <c r="AER573"/>
      <c r="AES573"/>
      <c r="AET573"/>
      <c r="AEU573"/>
      <c r="AEV573"/>
      <c r="AEW573"/>
      <c r="AEX573"/>
      <c r="AEY573"/>
      <c r="AEZ573"/>
      <c r="AFA573"/>
      <c r="AFB573"/>
      <c r="AFC573"/>
      <c r="AFD573"/>
      <c r="AFE573"/>
      <c r="AFF573"/>
      <c r="AFG573"/>
      <c r="AFH573"/>
      <c r="AFI573"/>
      <c r="AFJ573"/>
      <c r="AFK573"/>
      <c r="AFL573"/>
      <c r="AFM573"/>
      <c r="AFN573"/>
      <c r="AFO573"/>
      <c r="AFP573"/>
      <c r="AFQ573"/>
      <c r="AFR573"/>
      <c r="AFS573"/>
      <c r="AFT573"/>
      <c r="AFU573"/>
      <c r="AFV573"/>
      <c r="AFW573"/>
      <c r="AFX573"/>
      <c r="AFY573"/>
      <c r="AFZ573"/>
      <c r="AGA573"/>
      <c r="AGB573"/>
      <c r="AGC573"/>
      <c r="AGD573"/>
      <c r="AGE573"/>
      <c r="AGF573"/>
      <c r="AGG573"/>
      <c r="AGH573"/>
      <c r="AGI573"/>
      <c r="AGJ573"/>
      <c r="AGK573"/>
      <c r="AGL573"/>
      <c r="AGM573"/>
      <c r="AGN573"/>
      <c r="AGO573"/>
      <c r="AGP573"/>
      <c r="AGQ573"/>
      <c r="AGR573"/>
      <c r="AGS573"/>
      <c r="AGT573"/>
      <c r="AGU573"/>
      <c r="AGV573"/>
      <c r="AGW573"/>
      <c r="AGX573"/>
      <c r="AGY573"/>
      <c r="AGZ573"/>
      <c r="AHA573"/>
      <c r="AHB573"/>
      <c r="AHC573"/>
      <c r="AHD573"/>
      <c r="AHE573"/>
      <c r="AHF573"/>
      <c r="AHG573"/>
      <c r="AHH573"/>
      <c r="AHI573"/>
      <c r="AHJ573"/>
      <c r="AHK573"/>
      <c r="AHL573"/>
      <c r="AHM573"/>
      <c r="AHN573"/>
      <c r="AHO573"/>
      <c r="AHP573"/>
      <c r="AHQ573"/>
      <c r="AHR573"/>
      <c r="AHS573"/>
      <c r="AHT573"/>
      <c r="AHU573"/>
      <c r="AHV573"/>
      <c r="AHW573"/>
      <c r="AHX573"/>
      <c r="AHY573"/>
      <c r="AHZ573"/>
      <c r="AIA573"/>
      <c r="AIB573"/>
      <c r="AIC573"/>
      <c r="AID573"/>
      <c r="AIE573"/>
      <c r="AIF573"/>
      <c r="AIG573"/>
      <c r="AIH573"/>
      <c r="AII573"/>
      <c r="AIJ573"/>
      <c r="AIK573"/>
      <c r="AIL573"/>
      <c r="AIM573"/>
      <c r="AIN573"/>
      <c r="AIO573"/>
      <c r="AIP573"/>
      <c r="AIQ573"/>
      <c r="AIR573"/>
      <c r="AIS573"/>
      <c r="AIT573"/>
      <c r="AIU573"/>
      <c r="AIV573"/>
      <c r="AIW573"/>
      <c r="AIX573"/>
      <c r="AIY573"/>
      <c r="AIZ573"/>
      <c r="AJA573"/>
      <c r="AJB573"/>
      <c r="AJC573"/>
      <c r="AJD573"/>
      <c r="AJE573"/>
      <c r="AJF573"/>
      <c r="AJG573"/>
      <c r="AJH573"/>
      <c r="AJI573"/>
      <c r="AJJ573"/>
      <c r="AJK573"/>
      <c r="AJL573"/>
      <c r="AJM573"/>
      <c r="AJN573"/>
      <c r="AJO573"/>
      <c r="AJP573"/>
      <c r="AJQ573"/>
      <c r="AJR573"/>
      <c r="AJS573"/>
      <c r="AJT573"/>
      <c r="AJU573"/>
      <c r="AJV573"/>
      <c r="AJW573"/>
      <c r="AJX573"/>
      <c r="AJY573"/>
      <c r="AJZ573"/>
      <c r="AKA573"/>
      <c r="AKB573"/>
      <c r="AKC573"/>
      <c r="AKD573"/>
      <c r="AKE573"/>
      <c r="AKF573"/>
      <c r="AKG573"/>
      <c r="AKH573"/>
      <c r="AKI573"/>
      <c r="AKJ573"/>
      <c r="AKK573"/>
      <c r="AKL573"/>
      <c r="AKM573"/>
      <c r="AKN573"/>
      <c r="AKO573"/>
      <c r="AKP573"/>
      <c r="AKQ573"/>
      <c r="AKR573"/>
      <c r="AKS573"/>
      <c r="AKT573"/>
      <c r="AKU573"/>
      <c r="AKV573"/>
      <c r="AKW573"/>
      <c r="AKX573"/>
      <c r="AKY573"/>
    </row>
    <row r="574" spans="1:988">
      <c r="A574" s="282" t="s">
        <v>1509</v>
      </c>
      <c r="B574" s="329">
        <v>3169</v>
      </c>
      <c r="C574" s="306">
        <v>4190</v>
      </c>
      <c r="D574" s="330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  <c r="ZW574"/>
      <c r="ZX574"/>
      <c r="ZY574"/>
      <c r="ZZ574"/>
      <c r="AAA574"/>
      <c r="AAB574"/>
      <c r="AAC574"/>
      <c r="AAD574"/>
      <c r="AAE574"/>
      <c r="AAF574"/>
      <c r="AAG574"/>
      <c r="AAH574"/>
      <c r="AAI574"/>
      <c r="AAJ574"/>
      <c r="AAK574"/>
      <c r="AAL574"/>
      <c r="AAM574"/>
      <c r="AAN574"/>
      <c r="AAO574"/>
      <c r="AAP574"/>
      <c r="AAQ574"/>
      <c r="AAR574"/>
      <c r="AAS574"/>
      <c r="AAT574"/>
      <c r="AAU574"/>
      <c r="AAV574"/>
      <c r="AAW574"/>
      <c r="AAX574"/>
      <c r="AAY574"/>
      <c r="AAZ574"/>
      <c r="ABA574"/>
      <c r="ABB574"/>
      <c r="ABC574"/>
      <c r="ABD574"/>
      <c r="ABE574"/>
      <c r="ABF574"/>
      <c r="ABG574"/>
      <c r="ABH574"/>
      <c r="ABI574"/>
      <c r="ABJ574"/>
      <c r="ABK574"/>
      <c r="ABL574"/>
      <c r="ABM574"/>
      <c r="ABN574"/>
      <c r="ABO574"/>
      <c r="ABP574"/>
      <c r="ABQ574"/>
      <c r="ABR574"/>
      <c r="ABS574"/>
      <c r="ABT574"/>
      <c r="ABU574"/>
      <c r="ABV574"/>
      <c r="ABW574"/>
      <c r="ABX574"/>
      <c r="ABY574"/>
      <c r="ABZ574"/>
      <c r="ACA574"/>
      <c r="ACB574"/>
      <c r="ACC574"/>
      <c r="ACD574"/>
      <c r="ACE574"/>
      <c r="ACF574"/>
      <c r="ACG574"/>
      <c r="ACH574"/>
      <c r="ACI574"/>
      <c r="ACJ574"/>
      <c r="ACK574"/>
      <c r="ACL574"/>
      <c r="ACM574"/>
      <c r="ACN574"/>
      <c r="ACO574"/>
      <c r="ACP574"/>
      <c r="ACQ574"/>
      <c r="ACR574"/>
      <c r="ACS574"/>
      <c r="ACT574"/>
      <c r="ACU574"/>
      <c r="ACV574"/>
      <c r="ACW574"/>
      <c r="ACX574"/>
      <c r="ACY574"/>
      <c r="ACZ574"/>
      <c r="ADA574"/>
      <c r="ADB574"/>
      <c r="ADC574"/>
      <c r="ADD574"/>
      <c r="ADE574"/>
      <c r="ADF574"/>
      <c r="ADG574"/>
      <c r="ADH574"/>
      <c r="ADI574"/>
      <c r="ADJ574"/>
      <c r="ADK574"/>
      <c r="ADL574"/>
      <c r="ADM574"/>
      <c r="ADN574"/>
      <c r="ADO574"/>
      <c r="ADP574"/>
      <c r="ADQ574"/>
      <c r="ADR574"/>
      <c r="ADS574"/>
      <c r="ADT574"/>
      <c r="ADU574"/>
      <c r="ADV574"/>
      <c r="ADW574"/>
      <c r="ADX574"/>
      <c r="ADY574"/>
      <c r="ADZ574"/>
      <c r="AEA574"/>
      <c r="AEB574"/>
      <c r="AEC574"/>
      <c r="AED574"/>
      <c r="AEE574"/>
      <c r="AEF574"/>
      <c r="AEG574"/>
      <c r="AEH574"/>
      <c r="AEI574"/>
      <c r="AEJ574"/>
      <c r="AEK574"/>
      <c r="AEL574"/>
      <c r="AEM574"/>
      <c r="AEN574"/>
      <c r="AEO574"/>
      <c r="AEP574"/>
      <c r="AEQ574"/>
      <c r="AER574"/>
      <c r="AES574"/>
      <c r="AET574"/>
      <c r="AEU574"/>
      <c r="AEV574"/>
      <c r="AEW574"/>
      <c r="AEX574"/>
      <c r="AEY574"/>
      <c r="AEZ574"/>
      <c r="AFA574"/>
      <c r="AFB574"/>
      <c r="AFC574"/>
      <c r="AFD574"/>
      <c r="AFE574"/>
      <c r="AFF574"/>
      <c r="AFG574"/>
      <c r="AFH574"/>
      <c r="AFI574"/>
      <c r="AFJ574"/>
      <c r="AFK574"/>
      <c r="AFL574"/>
      <c r="AFM574"/>
      <c r="AFN574"/>
      <c r="AFO574"/>
      <c r="AFP574"/>
      <c r="AFQ574"/>
      <c r="AFR574"/>
      <c r="AFS574"/>
      <c r="AFT574"/>
      <c r="AFU574"/>
      <c r="AFV574"/>
      <c r="AFW574"/>
      <c r="AFX574"/>
      <c r="AFY574"/>
      <c r="AFZ574"/>
      <c r="AGA574"/>
      <c r="AGB574"/>
      <c r="AGC574"/>
      <c r="AGD574"/>
      <c r="AGE574"/>
      <c r="AGF574"/>
      <c r="AGG574"/>
      <c r="AGH574"/>
      <c r="AGI574"/>
      <c r="AGJ574"/>
      <c r="AGK574"/>
      <c r="AGL574"/>
      <c r="AGM574"/>
      <c r="AGN574"/>
      <c r="AGO574"/>
      <c r="AGP574"/>
      <c r="AGQ574"/>
      <c r="AGR574"/>
      <c r="AGS574"/>
      <c r="AGT574"/>
      <c r="AGU574"/>
      <c r="AGV574"/>
      <c r="AGW574"/>
      <c r="AGX574"/>
      <c r="AGY574"/>
      <c r="AGZ574"/>
      <c r="AHA574"/>
      <c r="AHB574"/>
      <c r="AHC574"/>
      <c r="AHD574"/>
      <c r="AHE574"/>
      <c r="AHF574"/>
      <c r="AHG574"/>
      <c r="AHH574"/>
      <c r="AHI574"/>
      <c r="AHJ574"/>
      <c r="AHK574"/>
      <c r="AHL574"/>
      <c r="AHM574"/>
      <c r="AHN574"/>
      <c r="AHO574"/>
      <c r="AHP574"/>
      <c r="AHQ574"/>
      <c r="AHR574"/>
      <c r="AHS574"/>
      <c r="AHT574"/>
      <c r="AHU574"/>
      <c r="AHV574"/>
      <c r="AHW574"/>
      <c r="AHX574"/>
      <c r="AHY574"/>
      <c r="AHZ574"/>
      <c r="AIA574"/>
      <c r="AIB574"/>
      <c r="AIC574"/>
      <c r="AID574"/>
      <c r="AIE574"/>
      <c r="AIF574"/>
      <c r="AIG574"/>
      <c r="AIH574"/>
      <c r="AII574"/>
      <c r="AIJ574"/>
      <c r="AIK574"/>
      <c r="AIL574"/>
      <c r="AIM574"/>
      <c r="AIN574"/>
      <c r="AIO574"/>
      <c r="AIP574"/>
      <c r="AIQ574"/>
      <c r="AIR574"/>
      <c r="AIS574"/>
      <c r="AIT574"/>
      <c r="AIU574"/>
      <c r="AIV574"/>
      <c r="AIW574"/>
      <c r="AIX574"/>
      <c r="AIY574"/>
      <c r="AIZ574"/>
      <c r="AJA574"/>
      <c r="AJB574"/>
      <c r="AJC574"/>
      <c r="AJD574"/>
      <c r="AJE574"/>
      <c r="AJF574"/>
      <c r="AJG574"/>
      <c r="AJH574"/>
      <c r="AJI574"/>
      <c r="AJJ574"/>
      <c r="AJK574"/>
      <c r="AJL574"/>
      <c r="AJM574"/>
      <c r="AJN574"/>
      <c r="AJO574"/>
      <c r="AJP574"/>
      <c r="AJQ574"/>
      <c r="AJR574"/>
      <c r="AJS574"/>
      <c r="AJT574"/>
      <c r="AJU574"/>
      <c r="AJV574"/>
      <c r="AJW574"/>
      <c r="AJX574"/>
      <c r="AJY574"/>
      <c r="AJZ574"/>
      <c r="AKA574"/>
      <c r="AKB574"/>
      <c r="AKC574"/>
      <c r="AKD574"/>
      <c r="AKE574"/>
      <c r="AKF574"/>
      <c r="AKG574"/>
      <c r="AKH574"/>
      <c r="AKI574"/>
      <c r="AKJ574"/>
      <c r="AKK574"/>
      <c r="AKL574"/>
      <c r="AKM574"/>
      <c r="AKN574"/>
      <c r="AKO574"/>
      <c r="AKP574"/>
      <c r="AKQ574"/>
      <c r="AKR574"/>
      <c r="AKS574"/>
      <c r="AKT574"/>
      <c r="AKU574"/>
      <c r="AKV574"/>
      <c r="AKW574"/>
      <c r="AKX574"/>
      <c r="AKY574"/>
    </row>
    <row r="575" spans="1:988">
      <c r="A575" s="282"/>
      <c r="B575" s="329"/>
      <c r="C575" s="330"/>
      <c r="D575" s="330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  <c r="ZW575"/>
      <c r="ZX575"/>
      <c r="ZY575"/>
      <c r="ZZ575"/>
      <c r="AAA575"/>
      <c r="AAB575"/>
      <c r="AAC575"/>
      <c r="AAD575"/>
      <c r="AAE575"/>
      <c r="AAF575"/>
      <c r="AAG575"/>
      <c r="AAH575"/>
      <c r="AAI575"/>
      <c r="AAJ575"/>
      <c r="AAK575"/>
      <c r="AAL575"/>
      <c r="AAM575"/>
      <c r="AAN575"/>
      <c r="AAO575"/>
      <c r="AAP575"/>
      <c r="AAQ575"/>
      <c r="AAR575"/>
      <c r="AAS575"/>
      <c r="AAT575"/>
      <c r="AAU575"/>
      <c r="AAV575"/>
      <c r="AAW575"/>
      <c r="AAX575"/>
      <c r="AAY575"/>
      <c r="AAZ575"/>
      <c r="ABA575"/>
      <c r="ABB575"/>
      <c r="ABC575"/>
      <c r="ABD575"/>
      <c r="ABE575"/>
      <c r="ABF575"/>
      <c r="ABG575"/>
      <c r="ABH575"/>
      <c r="ABI575"/>
      <c r="ABJ575"/>
      <c r="ABK575"/>
      <c r="ABL575"/>
      <c r="ABM575"/>
      <c r="ABN575"/>
      <c r="ABO575"/>
      <c r="ABP575"/>
      <c r="ABQ575"/>
      <c r="ABR575"/>
      <c r="ABS575"/>
      <c r="ABT575"/>
      <c r="ABU575"/>
      <c r="ABV575"/>
      <c r="ABW575"/>
      <c r="ABX575"/>
      <c r="ABY575"/>
      <c r="ABZ575"/>
      <c r="ACA575"/>
      <c r="ACB575"/>
      <c r="ACC575"/>
      <c r="ACD575"/>
      <c r="ACE575"/>
      <c r="ACF575"/>
      <c r="ACG575"/>
      <c r="ACH575"/>
      <c r="ACI575"/>
      <c r="ACJ575"/>
      <c r="ACK575"/>
      <c r="ACL575"/>
      <c r="ACM575"/>
      <c r="ACN575"/>
      <c r="ACO575"/>
      <c r="ACP575"/>
      <c r="ACQ575"/>
      <c r="ACR575"/>
      <c r="ACS575"/>
      <c r="ACT575"/>
      <c r="ACU575"/>
      <c r="ACV575"/>
      <c r="ACW575"/>
      <c r="ACX575"/>
      <c r="ACY575"/>
      <c r="ACZ575"/>
      <c r="ADA575"/>
      <c r="ADB575"/>
      <c r="ADC575"/>
      <c r="ADD575"/>
      <c r="ADE575"/>
      <c r="ADF575"/>
      <c r="ADG575"/>
      <c r="ADH575"/>
      <c r="ADI575"/>
      <c r="ADJ575"/>
      <c r="ADK575"/>
      <c r="ADL575"/>
      <c r="ADM575"/>
      <c r="ADN575"/>
      <c r="ADO575"/>
      <c r="ADP575"/>
      <c r="ADQ575"/>
      <c r="ADR575"/>
      <c r="ADS575"/>
      <c r="ADT575"/>
      <c r="ADU575"/>
      <c r="ADV575"/>
      <c r="ADW575"/>
      <c r="ADX575"/>
      <c r="ADY575"/>
      <c r="ADZ575"/>
      <c r="AEA575"/>
      <c r="AEB575"/>
      <c r="AEC575"/>
      <c r="AED575"/>
      <c r="AEE575"/>
      <c r="AEF575"/>
      <c r="AEG575"/>
      <c r="AEH575"/>
      <c r="AEI575"/>
      <c r="AEJ575"/>
      <c r="AEK575"/>
      <c r="AEL575"/>
      <c r="AEM575"/>
      <c r="AEN575"/>
      <c r="AEO575"/>
      <c r="AEP575"/>
      <c r="AEQ575"/>
      <c r="AER575"/>
      <c r="AES575"/>
      <c r="AET575"/>
      <c r="AEU575"/>
      <c r="AEV575"/>
      <c r="AEW575"/>
      <c r="AEX575"/>
      <c r="AEY575"/>
      <c r="AEZ575"/>
      <c r="AFA575"/>
      <c r="AFB575"/>
      <c r="AFC575"/>
      <c r="AFD575"/>
      <c r="AFE575"/>
      <c r="AFF575"/>
      <c r="AFG575"/>
      <c r="AFH575"/>
      <c r="AFI575"/>
      <c r="AFJ575"/>
      <c r="AFK575"/>
      <c r="AFL575"/>
      <c r="AFM575"/>
      <c r="AFN575"/>
      <c r="AFO575"/>
      <c r="AFP575"/>
      <c r="AFQ575"/>
      <c r="AFR575"/>
      <c r="AFS575"/>
      <c r="AFT575"/>
      <c r="AFU575"/>
      <c r="AFV575"/>
      <c r="AFW575"/>
      <c r="AFX575"/>
      <c r="AFY575"/>
      <c r="AFZ575"/>
      <c r="AGA575"/>
      <c r="AGB575"/>
      <c r="AGC575"/>
      <c r="AGD575"/>
      <c r="AGE575"/>
      <c r="AGF575"/>
      <c r="AGG575"/>
      <c r="AGH575"/>
      <c r="AGI575"/>
      <c r="AGJ575"/>
      <c r="AGK575"/>
      <c r="AGL575"/>
      <c r="AGM575"/>
      <c r="AGN575"/>
      <c r="AGO575"/>
      <c r="AGP575"/>
      <c r="AGQ575"/>
      <c r="AGR575"/>
      <c r="AGS575"/>
      <c r="AGT575"/>
      <c r="AGU575"/>
      <c r="AGV575"/>
      <c r="AGW575"/>
      <c r="AGX575"/>
      <c r="AGY575"/>
      <c r="AGZ575"/>
      <c r="AHA575"/>
      <c r="AHB575"/>
      <c r="AHC575"/>
      <c r="AHD575"/>
      <c r="AHE575"/>
      <c r="AHF575"/>
      <c r="AHG575"/>
      <c r="AHH575"/>
      <c r="AHI575"/>
      <c r="AHJ575"/>
      <c r="AHK575"/>
      <c r="AHL575"/>
      <c r="AHM575"/>
      <c r="AHN575"/>
      <c r="AHO575"/>
      <c r="AHP575"/>
      <c r="AHQ575"/>
      <c r="AHR575"/>
      <c r="AHS575"/>
      <c r="AHT575"/>
      <c r="AHU575"/>
      <c r="AHV575"/>
      <c r="AHW575"/>
      <c r="AHX575"/>
      <c r="AHY575"/>
      <c r="AHZ575"/>
      <c r="AIA575"/>
      <c r="AIB575"/>
      <c r="AIC575"/>
      <c r="AID575"/>
      <c r="AIE575"/>
      <c r="AIF575"/>
      <c r="AIG575"/>
      <c r="AIH575"/>
      <c r="AII575"/>
      <c r="AIJ575"/>
      <c r="AIK575"/>
      <c r="AIL575"/>
      <c r="AIM575"/>
      <c r="AIN575"/>
      <c r="AIO575"/>
      <c r="AIP575"/>
      <c r="AIQ575"/>
      <c r="AIR575"/>
      <c r="AIS575"/>
      <c r="AIT575"/>
      <c r="AIU575"/>
      <c r="AIV575"/>
      <c r="AIW575"/>
      <c r="AIX575"/>
      <c r="AIY575"/>
      <c r="AIZ575"/>
      <c r="AJA575"/>
      <c r="AJB575"/>
      <c r="AJC575"/>
      <c r="AJD575"/>
      <c r="AJE575"/>
      <c r="AJF575"/>
      <c r="AJG575"/>
      <c r="AJH575"/>
      <c r="AJI575"/>
      <c r="AJJ575"/>
      <c r="AJK575"/>
      <c r="AJL575"/>
      <c r="AJM575"/>
      <c r="AJN575"/>
      <c r="AJO575"/>
      <c r="AJP575"/>
      <c r="AJQ575"/>
      <c r="AJR575"/>
      <c r="AJS575"/>
      <c r="AJT575"/>
      <c r="AJU575"/>
      <c r="AJV575"/>
      <c r="AJW575"/>
      <c r="AJX575"/>
      <c r="AJY575"/>
      <c r="AJZ575"/>
      <c r="AKA575"/>
      <c r="AKB575"/>
      <c r="AKC575"/>
      <c r="AKD575"/>
      <c r="AKE575"/>
      <c r="AKF575"/>
      <c r="AKG575"/>
      <c r="AKH575"/>
      <c r="AKI575"/>
      <c r="AKJ575"/>
      <c r="AKK575"/>
      <c r="AKL575"/>
      <c r="AKM575"/>
      <c r="AKN575"/>
      <c r="AKO575"/>
      <c r="AKP575"/>
      <c r="AKQ575"/>
      <c r="AKR575"/>
      <c r="AKS575"/>
      <c r="AKT575"/>
      <c r="AKU575"/>
      <c r="AKV575"/>
      <c r="AKW575"/>
      <c r="AKX575"/>
      <c r="AKY575"/>
    </row>
    <row r="576" spans="1:988">
      <c r="A576" s="282"/>
      <c r="B576" s="329"/>
      <c r="C576" s="330"/>
      <c r="D576" s="330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  <c r="ZW576"/>
      <c r="ZX576"/>
      <c r="ZY576"/>
      <c r="ZZ576"/>
      <c r="AAA576"/>
      <c r="AAB576"/>
      <c r="AAC576"/>
      <c r="AAD576"/>
      <c r="AAE576"/>
      <c r="AAF576"/>
      <c r="AAG576"/>
      <c r="AAH576"/>
      <c r="AAI576"/>
      <c r="AAJ576"/>
      <c r="AAK576"/>
      <c r="AAL576"/>
      <c r="AAM576"/>
      <c r="AAN576"/>
      <c r="AAO576"/>
      <c r="AAP576"/>
      <c r="AAQ576"/>
      <c r="AAR576"/>
      <c r="AAS576"/>
      <c r="AAT576"/>
      <c r="AAU576"/>
      <c r="AAV576"/>
      <c r="AAW576"/>
      <c r="AAX576"/>
      <c r="AAY576"/>
      <c r="AAZ576"/>
      <c r="ABA576"/>
      <c r="ABB576"/>
      <c r="ABC576"/>
      <c r="ABD576"/>
      <c r="ABE576"/>
      <c r="ABF576"/>
      <c r="ABG576"/>
      <c r="ABH576"/>
      <c r="ABI576"/>
      <c r="ABJ576"/>
      <c r="ABK576"/>
      <c r="ABL576"/>
      <c r="ABM576"/>
      <c r="ABN576"/>
      <c r="ABO576"/>
      <c r="ABP576"/>
      <c r="ABQ576"/>
      <c r="ABR576"/>
      <c r="ABS576"/>
      <c r="ABT576"/>
      <c r="ABU576"/>
      <c r="ABV576"/>
      <c r="ABW576"/>
      <c r="ABX576"/>
      <c r="ABY576"/>
      <c r="ABZ576"/>
      <c r="ACA576"/>
      <c r="ACB576"/>
      <c r="ACC576"/>
      <c r="ACD576"/>
      <c r="ACE576"/>
      <c r="ACF576"/>
      <c r="ACG576"/>
      <c r="ACH576"/>
      <c r="ACI576"/>
      <c r="ACJ576"/>
      <c r="ACK576"/>
      <c r="ACL576"/>
      <c r="ACM576"/>
      <c r="ACN576"/>
      <c r="ACO576"/>
      <c r="ACP576"/>
      <c r="ACQ576"/>
      <c r="ACR576"/>
      <c r="ACS576"/>
      <c r="ACT576"/>
      <c r="ACU576"/>
      <c r="ACV576"/>
      <c r="ACW576"/>
      <c r="ACX576"/>
      <c r="ACY576"/>
      <c r="ACZ576"/>
      <c r="ADA576"/>
      <c r="ADB576"/>
      <c r="ADC576"/>
      <c r="ADD576"/>
      <c r="ADE576"/>
      <c r="ADF576"/>
      <c r="ADG576"/>
      <c r="ADH576"/>
      <c r="ADI576"/>
      <c r="ADJ576"/>
      <c r="ADK576"/>
      <c r="ADL576"/>
      <c r="ADM576"/>
      <c r="ADN576"/>
      <c r="ADO576"/>
      <c r="ADP576"/>
      <c r="ADQ576"/>
      <c r="ADR576"/>
      <c r="ADS576"/>
      <c r="ADT576"/>
      <c r="ADU576"/>
      <c r="ADV576"/>
      <c r="ADW576"/>
      <c r="ADX576"/>
      <c r="ADY576"/>
      <c r="ADZ576"/>
      <c r="AEA576"/>
      <c r="AEB576"/>
      <c r="AEC576"/>
      <c r="AED576"/>
      <c r="AEE576"/>
      <c r="AEF576"/>
      <c r="AEG576"/>
      <c r="AEH576"/>
      <c r="AEI576"/>
      <c r="AEJ576"/>
      <c r="AEK576"/>
      <c r="AEL576"/>
      <c r="AEM576"/>
      <c r="AEN576"/>
      <c r="AEO576"/>
      <c r="AEP576"/>
      <c r="AEQ576"/>
      <c r="AER576"/>
      <c r="AES576"/>
      <c r="AET576"/>
      <c r="AEU576"/>
      <c r="AEV576"/>
      <c r="AEW576"/>
      <c r="AEX576"/>
      <c r="AEY576"/>
      <c r="AEZ576"/>
      <c r="AFA576"/>
      <c r="AFB576"/>
      <c r="AFC576"/>
      <c r="AFD576"/>
      <c r="AFE576"/>
      <c r="AFF576"/>
      <c r="AFG576"/>
      <c r="AFH576"/>
      <c r="AFI576"/>
      <c r="AFJ576"/>
      <c r="AFK576"/>
      <c r="AFL576"/>
      <c r="AFM576"/>
      <c r="AFN576"/>
      <c r="AFO576"/>
      <c r="AFP576"/>
      <c r="AFQ576"/>
      <c r="AFR576"/>
      <c r="AFS576"/>
      <c r="AFT576"/>
      <c r="AFU576"/>
      <c r="AFV576"/>
      <c r="AFW576"/>
      <c r="AFX576"/>
      <c r="AFY576"/>
      <c r="AFZ576"/>
      <c r="AGA576"/>
      <c r="AGB576"/>
      <c r="AGC576"/>
      <c r="AGD576"/>
      <c r="AGE576"/>
      <c r="AGF576"/>
      <c r="AGG576"/>
      <c r="AGH576"/>
      <c r="AGI576"/>
      <c r="AGJ576"/>
      <c r="AGK576"/>
      <c r="AGL576"/>
      <c r="AGM576"/>
      <c r="AGN576"/>
      <c r="AGO576"/>
      <c r="AGP576"/>
      <c r="AGQ576"/>
      <c r="AGR576"/>
      <c r="AGS576"/>
      <c r="AGT576"/>
      <c r="AGU576"/>
      <c r="AGV576"/>
      <c r="AGW576"/>
      <c r="AGX576"/>
      <c r="AGY576"/>
      <c r="AGZ576"/>
      <c r="AHA576"/>
      <c r="AHB576"/>
      <c r="AHC576"/>
      <c r="AHD576"/>
      <c r="AHE576"/>
      <c r="AHF576"/>
      <c r="AHG576"/>
      <c r="AHH576"/>
      <c r="AHI576"/>
      <c r="AHJ576"/>
      <c r="AHK576"/>
      <c r="AHL576"/>
      <c r="AHM576"/>
      <c r="AHN576"/>
      <c r="AHO576"/>
      <c r="AHP576"/>
      <c r="AHQ576"/>
      <c r="AHR576"/>
      <c r="AHS576"/>
      <c r="AHT576"/>
      <c r="AHU576"/>
      <c r="AHV576"/>
      <c r="AHW576"/>
      <c r="AHX576"/>
      <c r="AHY576"/>
      <c r="AHZ576"/>
      <c r="AIA576"/>
      <c r="AIB576"/>
      <c r="AIC576"/>
      <c r="AID576"/>
      <c r="AIE576"/>
      <c r="AIF576"/>
      <c r="AIG576"/>
      <c r="AIH576"/>
      <c r="AII576"/>
      <c r="AIJ576"/>
      <c r="AIK576"/>
      <c r="AIL576"/>
      <c r="AIM576"/>
      <c r="AIN576"/>
      <c r="AIO576"/>
      <c r="AIP576"/>
      <c r="AIQ576"/>
      <c r="AIR576"/>
      <c r="AIS576"/>
      <c r="AIT576"/>
      <c r="AIU576"/>
      <c r="AIV576"/>
      <c r="AIW576"/>
      <c r="AIX576"/>
      <c r="AIY576"/>
      <c r="AIZ576"/>
      <c r="AJA576"/>
      <c r="AJB576"/>
      <c r="AJC576"/>
      <c r="AJD576"/>
      <c r="AJE576"/>
      <c r="AJF576"/>
      <c r="AJG576"/>
      <c r="AJH576"/>
      <c r="AJI576"/>
      <c r="AJJ576"/>
      <c r="AJK576"/>
      <c r="AJL576"/>
      <c r="AJM576"/>
      <c r="AJN576"/>
      <c r="AJO576"/>
      <c r="AJP576"/>
      <c r="AJQ576"/>
      <c r="AJR576"/>
      <c r="AJS576"/>
      <c r="AJT576"/>
      <c r="AJU576"/>
      <c r="AJV576"/>
      <c r="AJW576"/>
      <c r="AJX576"/>
      <c r="AJY576"/>
      <c r="AJZ576"/>
      <c r="AKA576"/>
      <c r="AKB576"/>
      <c r="AKC576"/>
      <c r="AKD576"/>
      <c r="AKE576"/>
      <c r="AKF576"/>
      <c r="AKG576"/>
      <c r="AKH576"/>
      <c r="AKI576"/>
      <c r="AKJ576"/>
      <c r="AKK576"/>
      <c r="AKL576"/>
      <c r="AKM576"/>
      <c r="AKN576"/>
      <c r="AKO576"/>
      <c r="AKP576"/>
      <c r="AKQ576"/>
      <c r="AKR576"/>
      <c r="AKS576"/>
      <c r="AKT576"/>
      <c r="AKU576"/>
      <c r="AKV576"/>
      <c r="AKW576"/>
      <c r="AKX576"/>
      <c r="AKY576"/>
    </row>
    <row r="577" spans="1:987">
      <c r="B577" s="427"/>
      <c r="C577" s="428"/>
      <c r="D577" s="428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  <c r="ZW577"/>
      <c r="ZX577"/>
      <c r="ZY577"/>
      <c r="ZZ577"/>
      <c r="AAA577"/>
      <c r="AAB577"/>
      <c r="AAC577"/>
      <c r="AAD577"/>
      <c r="AAE577"/>
      <c r="AAF577"/>
      <c r="AAG577"/>
      <c r="AAH577"/>
      <c r="AAI577"/>
      <c r="AAJ577"/>
      <c r="AAK577"/>
      <c r="AAL577"/>
      <c r="AAM577"/>
      <c r="AAN577"/>
      <c r="AAO577"/>
      <c r="AAP577"/>
      <c r="AAQ577"/>
      <c r="AAR577"/>
      <c r="AAS577"/>
      <c r="AAT577"/>
      <c r="AAU577"/>
      <c r="AAV577"/>
      <c r="AAW577"/>
      <c r="AAX577"/>
      <c r="AAY577"/>
      <c r="AAZ577"/>
      <c r="ABA577"/>
      <c r="ABB577"/>
      <c r="ABC577"/>
      <c r="ABD577"/>
      <c r="ABE577"/>
      <c r="ABF577"/>
      <c r="ABG577"/>
      <c r="ABH577"/>
      <c r="ABI577"/>
      <c r="ABJ577"/>
      <c r="ABK577"/>
      <c r="ABL577"/>
      <c r="ABM577"/>
      <c r="ABN577"/>
      <c r="ABO577"/>
      <c r="ABP577"/>
      <c r="ABQ577"/>
      <c r="ABR577"/>
      <c r="ABS577"/>
      <c r="ABT577"/>
      <c r="ABU577"/>
      <c r="ABV577"/>
      <c r="ABW577"/>
      <c r="ABX577"/>
      <c r="ABY577"/>
      <c r="ABZ577"/>
      <c r="ACA577"/>
      <c r="ACB577"/>
      <c r="ACC577"/>
      <c r="ACD577"/>
      <c r="ACE577"/>
      <c r="ACF577"/>
      <c r="ACG577"/>
      <c r="ACH577"/>
      <c r="ACI577"/>
      <c r="ACJ577"/>
      <c r="ACK577"/>
      <c r="ACL577"/>
      <c r="ACM577"/>
      <c r="ACN577"/>
      <c r="ACO577"/>
      <c r="ACP577"/>
      <c r="ACQ577"/>
      <c r="ACR577"/>
      <c r="ACS577"/>
      <c r="ACT577"/>
      <c r="ACU577"/>
      <c r="ACV577"/>
      <c r="ACW577"/>
      <c r="ACX577"/>
      <c r="ACY577"/>
      <c r="ACZ577"/>
      <c r="ADA577"/>
      <c r="ADB577"/>
      <c r="ADC577"/>
      <c r="ADD577"/>
      <c r="ADE577"/>
      <c r="ADF577"/>
      <c r="ADG577"/>
      <c r="ADH577"/>
      <c r="ADI577"/>
      <c r="ADJ577"/>
      <c r="ADK577"/>
      <c r="ADL577"/>
      <c r="ADM577"/>
      <c r="ADN577"/>
      <c r="ADO577"/>
      <c r="ADP577"/>
      <c r="ADQ577"/>
      <c r="ADR577"/>
      <c r="ADS577"/>
      <c r="ADT577"/>
      <c r="ADU577"/>
      <c r="ADV577"/>
      <c r="ADW577"/>
      <c r="ADX577"/>
      <c r="ADY577"/>
      <c r="ADZ577"/>
      <c r="AEA577"/>
      <c r="AEB577"/>
      <c r="AEC577"/>
      <c r="AED577"/>
      <c r="AEE577"/>
      <c r="AEF577"/>
      <c r="AEG577"/>
      <c r="AEH577"/>
      <c r="AEI577"/>
      <c r="AEJ577"/>
      <c r="AEK577"/>
      <c r="AEL577"/>
      <c r="AEM577"/>
      <c r="AEN577"/>
      <c r="AEO577"/>
      <c r="AEP577"/>
      <c r="AEQ577"/>
      <c r="AER577"/>
      <c r="AES577"/>
      <c r="AET577"/>
      <c r="AEU577"/>
      <c r="AEV577"/>
      <c r="AEW577"/>
      <c r="AEX577"/>
      <c r="AEY577"/>
      <c r="AEZ577"/>
      <c r="AFA577"/>
      <c r="AFB577"/>
      <c r="AFC577"/>
      <c r="AFD577"/>
      <c r="AFE577"/>
      <c r="AFF577"/>
      <c r="AFG577"/>
      <c r="AFH577"/>
      <c r="AFI577"/>
      <c r="AFJ577"/>
      <c r="AFK577"/>
      <c r="AFL577"/>
      <c r="AFM577"/>
      <c r="AFN577"/>
      <c r="AFO577"/>
      <c r="AFP577"/>
      <c r="AFQ577"/>
      <c r="AFR577"/>
      <c r="AFS577"/>
      <c r="AFT577"/>
      <c r="AFU577"/>
      <c r="AFV577"/>
      <c r="AFW577"/>
      <c r="AFX577"/>
      <c r="AFY577"/>
      <c r="AFZ577"/>
      <c r="AGA577"/>
      <c r="AGB577"/>
      <c r="AGC577"/>
      <c r="AGD577"/>
      <c r="AGE577"/>
      <c r="AGF577"/>
      <c r="AGG577"/>
      <c r="AGH577"/>
      <c r="AGI577"/>
      <c r="AGJ577"/>
      <c r="AGK577"/>
      <c r="AGL577"/>
      <c r="AGM577"/>
      <c r="AGN577"/>
      <c r="AGO577"/>
      <c r="AGP577"/>
      <c r="AGQ577"/>
      <c r="AGR577"/>
      <c r="AGS577"/>
      <c r="AGT577"/>
      <c r="AGU577"/>
      <c r="AGV577"/>
      <c r="AGW577"/>
      <c r="AGX577"/>
      <c r="AGY577"/>
      <c r="AGZ577"/>
      <c r="AHA577"/>
      <c r="AHB577"/>
      <c r="AHC577"/>
      <c r="AHD577"/>
      <c r="AHE577"/>
      <c r="AHF577"/>
      <c r="AHG577"/>
      <c r="AHH577"/>
      <c r="AHI577"/>
      <c r="AHJ577"/>
      <c r="AHK577"/>
      <c r="AHL577"/>
      <c r="AHM577"/>
      <c r="AHN577"/>
      <c r="AHO577"/>
      <c r="AHP577"/>
      <c r="AHQ577"/>
      <c r="AHR577"/>
      <c r="AHS577"/>
      <c r="AHT577"/>
      <c r="AHU577"/>
      <c r="AHV577"/>
      <c r="AHW577"/>
      <c r="AHX577"/>
      <c r="AHY577"/>
      <c r="AHZ577"/>
      <c r="AIA577"/>
      <c r="AIB577"/>
      <c r="AIC577"/>
      <c r="AID577"/>
      <c r="AIE577"/>
      <c r="AIF577"/>
      <c r="AIG577"/>
      <c r="AIH577"/>
      <c r="AII577"/>
      <c r="AIJ577"/>
      <c r="AIK577"/>
      <c r="AIL577"/>
      <c r="AIM577"/>
      <c r="AIN577"/>
      <c r="AIO577"/>
      <c r="AIP577"/>
      <c r="AIQ577"/>
      <c r="AIR577"/>
      <c r="AIS577"/>
      <c r="AIT577"/>
      <c r="AIU577"/>
      <c r="AIV577"/>
      <c r="AIW577"/>
      <c r="AIX577"/>
      <c r="AIY577"/>
      <c r="AIZ577"/>
      <c r="AJA577"/>
      <c r="AJB577"/>
      <c r="AJC577"/>
      <c r="AJD577"/>
      <c r="AJE577"/>
      <c r="AJF577"/>
      <c r="AJG577"/>
      <c r="AJH577"/>
      <c r="AJI577"/>
      <c r="AJJ577"/>
      <c r="AJK577"/>
      <c r="AJL577"/>
      <c r="AJM577"/>
      <c r="AJN577"/>
      <c r="AJO577"/>
      <c r="AJP577"/>
      <c r="AJQ577"/>
      <c r="AJR577"/>
      <c r="AJS577"/>
      <c r="AJT577"/>
      <c r="AJU577"/>
      <c r="AJV577"/>
      <c r="AJW577"/>
      <c r="AJX577"/>
      <c r="AJY577"/>
      <c r="AJZ577"/>
      <c r="AKA577"/>
      <c r="AKB577"/>
      <c r="AKC577"/>
      <c r="AKD577"/>
      <c r="AKE577"/>
      <c r="AKF577"/>
      <c r="AKG577"/>
      <c r="AKH577"/>
      <c r="AKI577"/>
      <c r="AKJ577"/>
      <c r="AKK577"/>
      <c r="AKL577"/>
      <c r="AKM577"/>
      <c r="AKN577"/>
      <c r="AKO577"/>
      <c r="AKP577"/>
      <c r="AKQ577"/>
      <c r="AKR577"/>
      <c r="AKS577"/>
      <c r="AKT577"/>
      <c r="AKU577"/>
      <c r="AKV577"/>
      <c r="AKW577"/>
      <c r="AKX577"/>
      <c r="AKY577"/>
    </row>
    <row r="578" spans="1:987">
      <c r="B578" s="427"/>
      <c r="C578" s="428"/>
      <c r="D578" s="42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  <c r="ZY578"/>
      <c r="ZZ578"/>
      <c r="AAA578"/>
      <c r="AAB578"/>
      <c r="AAC578"/>
      <c r="AAD578"/>
      <c r="AAE578"/>
      <c r="AAF578"/>
      <c r="AAG578"/>
      <c r="AAH578"/>
      <c r="AAI578"/>
      <c r="AAJ578"/>
      <c r="AAK578"/>
      <c r="AAL578"/>
      <c r="AAM578"/>
      <c r="AAN578"/>
      <c r="AAO578"/>
      <c r="AAP578"/>
      <c r="AAQ578"/>
      <c r="AAR578"/>
      <c r="AAS578"/>
      <c r="AAT578"/>
      <c r="AAU578"/>
      <c r="AAV578"/>
      <c r="AAW578"/>
      <c r="AAX578"/>
      <c r="AAY578"/>
      <c r="AAZ578"/>
      <c r="ABA578"/>
      <c r="ABB578"/>
      <c r="ABC578"/>
      <c r="ABD578"/>
      <c r="ABE578"/>
      <c r="ABF578"/>
      <c r="ABG578"/>
      <c r="ABH578"/>
      <c r="ABI578"/>
      <c r="ABJ578"/>
      <c r="ABK578"/>
      <c r="ABL578"/>
      <c r="ABM578"/>
      <c r="ABN578"/>
      <c r="ABO578"/>
      <c r="ABP578"/>
      <c r="ABQ578"/>
      <c r="ABR578"/>
      <c r="ABS578"/>
      <c r="ABT578"/>
      <c r="ABU578"/>
      <c r="ABV578"/>
      <c r="ABW578"/>
      <c r="ABX578"/>
      <c r="ABY578"/>
      <c r="ABZ578"/>
      <c r="ACA578"/>
      <c r="ACB578"/>
      <c r="ACC578"/>
      <c r="ACD578"/>
      <c r="ACE578"/>
      <c r="ACF578"/>
      <c r="ACG578"/>
      <c r="ACH578"/>
      <c r="ACI578"/>
      <c r="ACJ578"/>
      <c r="ACK578"/>
      <c r="ACL578"/>
      <c r="ACM578"/>
      <c r="ACN578"/>
      <c r="ACO578"/>
      <c r="ACP578"/>
      <c r="ACQ578"/>
      <c r="ACR578"/>
      <c r="ACS578"/>
      <c r="ACT578"/>
      <c r="ACU578"/>
      <c r="ACV578"/>
      <c r="ACW578"/>
      <c r="ACX578"/>
      <c r="ACY578"/>
      <c r="ACZ578"/>
      <c r="ADA578"/>
      <c r="ADB578"/>
      <c r="ADC578"/>
      <c r="ADD578"/>
      <c r="ADE578"/>
      <c r="ADF578"/>
      <c r="ADG578"/>
      <c r="ADH578"/>
      <c r="ADI578"/>
      <c r="ADJ578"/>
      <c r="ADK578"/>
      <c r="ADL578"/>
      <c r="ADM578"/>
      <c r="ADN578"/>
      <c r="ADO578"/>
      <c r="ADP578"/>
      <c r="ADQ578"/>
      <c r="ADR578"/>
      <c r="ADS578"/>
      <c r="ADT578"/>
      <c r="ADU578"/>
      <c r="ADV578"/>
      <c r="ADW578"/>
      <c r="ADX578"/>
      <c r="ADY578"/>
      <c r="ADZ578"/>
      <c r="AEA578"/>
      <c r="AEB578"/>
      <c r="AEC578"/>
      <c r="AED578"/>
      <c r="AEE578"/>
      <c r="AEF578"/>
      <c r="AEG578"/>
      <c r="AEH578"/>
      <c r="AEI578"/>
      <c r="AEJ578"/>
      <c r="AEK578"/>
      <c r="AEL578"/>
      <c r="AEM578"/>
      <c r="AEN578"/>
      <c r="AEO578"/>
      <c r="AEP578"/>
      <c r="AEQ578"/>
      <c r="AER578"/>
      <c r="AES578"/>
      <c r="AET578"/>
      <c r="AEU578"/>
      <c r="AEV578"/>
      <c r="AEW578"/>
      <c r="AEX578"/>
      <c r="AEY578"/>
      <c r="AEZ578"/>
      <c r="AFA578"/>
      <c r="AFB578"/>
      <c r="AFC578"/>
      <c r="AFD578"/>
      <c r="AFE578"/>
      <c r="AFF578"/>
      <c r="AFG578"/>
      <c r="AFH578"/>
      <c r="AFI578"/>
      <c r="AFJ578"/>
      <c r="AFK578"/>
      <c r="AFL578"/>
      <c r="AFM578"/>
      <c r="AFN578"/>
      <c r="AFO578"/>
      <c r="AFP578"/>
      <c r="AFQ578"/>
      <c r="AFR578"/>
      <c r="AFS578"/>
      <c r="AFT578"/>
      <c r="AFU578"/>
      <c r="AFV578"/>
      <c r="AFW578"/>
      <c r="AFX578"/>
      <c r="AFY578"/>
      <c r="AFZ578"/>
      <c r="AGA578"/>
      <c r="AGB578"/>
      <c r="AGC578"/>
      <c r="AGD578"/>
      <c r="AGE578"/>
      <c r="AGF578"/>
      <c r="AGG578"/>
      <c r="AGH578"/>
      <c r="AGI578"/>
      <c r="AGJ578"/>
      <c r="AGK578"/>
      <c r="AGL578"/>
      <c r="AGM578"/>
      <c r="AGN578"/>
      <c r="AGO578"/>
      <c r="AGP578"/>
      <c r="AGQ578"/>
      <c r="AGR578"/>
      <c r="AGS578"/>
      <c r="AGT578"/>
      <c r="AGU578"/>
      <c r="AGV578"/>
      <c r="AGW578"/>
      <c r="AGX578"/>
      <c r="AGY578"/>
      <c r="AGZ578"/>
      <c r="AHA578"/>
      <c r="AHB578"/>
      <c r="AHC578"/>
      <c r="AHD578"/>
      <c r="AHE578"/>
      <c r="AHF578"/>
      <c r="AHG578"/>
      <c r="AHH578"/>
      <c r="AHI578"/>
      <c r="AHJ578"/>
      <c r="AHK578"/>
      <c r="AHL578"/>
      <c r="AHM578"/>
      <c r="AHN578"/>
      <c r="AHO578"/>
      <c r="AHP578"/>
      <c r="AHQ578"/>
      <c r="AHR578"/>
      <c r="AHS578"/>
      <c r="AHT578"/>
      <c r="AHU578"/>
      <c r="AHV578"/>
      <c r="AHW578"/>
      <c r="AHX578"/>
      <c r="AHY578"/>
      <c r="AHZ578"/>
      <c r="AIA578"/>
      <c r="AIB578"/>
      <c r="AIC578"/>
      <c r="AID578"/>
      <c r="AIE578"/>
      <c r="AIF578"/>
      <c r="AIG578"/>
      <c r="AIH578"/>
      <c r="AII578"/>
      <c r="AIJ578"/>
      <c r="AIK578"/>
      <c r="AIL578"/>
      <c r="AIM578"/>
      <c r="AIN578"/>
      <c r="AIO578"/>
      <c r="AIP578"/>
      <c r="AIQ578"/>
      <c r="AIR578"/>
      <c r="AIS578"/>
      <c r="AIT578"/>
      <c r="AIU578"/>
      <c r="AIV578"/>
      <c r="AIW578"/>
      <c r="AIX578"/>
      <c r="AIY578"/>
      <c r="AIZ578"/>
      <c r="AJA578"/>
      <c r="AJB578"/>
      <c r="AJC578"/>
      <c r="AJD578"/>
      <c r="AJE578"/>
      <c r="AJF578"/>
      <c r="AJG578"/>
      <c r="AJH578"/>
      <c r="AJI578"/>
      <c r="AJJ578"/>
      <c r="AJK578"/>
      <c r="AJL578"/>
      <c r="AJM578"/>
      <c r="AJN578"/>
      <c r="AJO578"/>
      <c r="AJP578"/>
      <c r="AJQ578"/>
      <c r="AJR578"/>
      <c r="AJS578"/>
      <c r="AJT578"/>
      <c r="AJU578"/>
      <c r="AJV578"/>
      <c r="AJW578"/>
      <c r="AJX578"/>
      <c r="AJY578"/>
      <c r="AJZ578"/>
      <c r="AKA578"/>
      <c r="AKB578"/>
      <c r="AKC578"/>
      <c r="AKD578"/>
      <c r="AKE578"/>
      <c r="AKF578"/>
      <c r="AKG578"/>
      <c r="AKH578"/>
      <c r="AKI578"/>
      <c r="AKJ578"/>
      <c r="AKK578"/>
      <c r="AKL578"/>
      <c r="AKM578"/>
      <c r="AKN578"/>
      <c r="AKO578"/>
      <c r="AKP578"/>
      <c r="AKQ578"/>
      <c r="AKR578"/>
      <c r="AKS578"/>
      <c r="AKT578"/>
      <c r="AKU578"/>
      <c r="AKV578"/>
      <c r="AKW578"/>
      <c r="AKX578"/>
      <c r="AKY578"/>
    </row>
    <row r="579" spans="1:987">
      <c r="B579" s="427"/>
      <c r="C579" s="428"/>
      <c r="D579" s="428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  <c r="ZW579"/>
      <c r="ZX579"/>
      <c r="ZY579"/>
      <c r="ZZ579"/>
      <c r="AAA579"/>
      <c r="AAB579"/>
      <c r="AAC579"/>
      <c r="AAD579"/>
      <c r="AAE579"/>
      <c r="AAF579"/>
      <c r="AAG579"/>
      <c r="AAH579"/>
      <c r="AAI579"/>
      <c r="AAJ579"/>
      <c r="AAK579"/>
      <c r="AAL579"/>
      <c r="AAM579"/>
      <c r="AAN579"/>
      <c r="AAO579"/>
      <c r="AAP579"/>
      <c r="AAQ579"/>
      <c r="AAR579"/>
      <c r="AAS579"/>
      <c r="AAT579"/>
      <c r="AAU579"/>
      <c r="AAV579"/>
      <c r="AAW579"/>
      <c r="AAX579"/>
      <c r="AAY579"/>
      <c r="AAZ579"/>
      <c r="ABA579"/>
      <c r="ABB579"/>
      <c r="ABC579"/>
      <c r="ABD579"/>
      <c r="ABE579"/>
      <c r="ABF579"/>
      <c r="ABG579"/>
      <c r="ABH579"/>
      <c r="ABI579"/>
      <c r="ABJ579"/>
      <c r="ABK579"/>
      <c r="ABL579"/>
      <c r="ABM579"/>
      <c r="ABN579"/>
      <c r="ABO579"/>
      <c r="ABP579"/>
      <c r="ABQ579"/>
      <c r="ABR579"/>
      <c r="ABS579"/>
      <c r="ABT579"/>
      <c r="ABU579"/>
      <c r="ABV579"/>
      <c r="ABW579"/>
      <c r="ABX579"/>
      <c r="ABY579"/>
      <c r="ABZ579"/>
      <c r="ACA579"/>
      <c r="ACB579"/>
      <c r="ACC579"/>
      <c r="ACD579"/>
      <c r="ACE579"/>
      <c r="ACF579"/>
      <c r="ACG579"/>
      <c r="ACH579"/>
      <c r="ACI579"/>
      <c r="ACJ579"/>
      <c r="ACK579"/>
      <c r="ACL579"/>
      <c r="ACM579"/>
      <c r="ACN579"/>
      <c r="ACO579"/>
      <c r="ACP579"/>
      <c r="ACQ579"/>
      <c r="ACR579"/>
      <c r="ACS579"/>
      <c r="ACT579"/>
      <c r="ACU579"/>
      <c r="ACV579"/>
      <c r="ACW579"/>
      <c r="ACX579"/>
      <c r="ACY579"/>
      <c r="ACZ579"/>
      <c r="ADA579"/>
      <c r="ADB579"/>
      <c r="ADC579"/>
      <c r="ADD579"/>
      <c r="ADE579"/>
      <c r="ADF579"/>
      <c r="ADG579"/>
      <c r="ADH579"/>
      <c r="ADI579"/>
      <c r="ADJ579"/>
      <c r="ADK579"/>
      <c r="ADL579"/>
      <c r="ADM579"/>
      <c r="ADN579"/>
      <c r="ADO579"/>
      <c r="ADP579"/>
      <c r="ADQ579"/>
      <c r="ADR579"/>
      <c r="ADS579"/>
      <c r="ADT579"/>
      <c r="ADU579"/>
      <c r="ADV579"/>
      <c r="ADW579"/>
      <c r="ADX579"/>
      <c r="ADY579"/>
      <c r="ADZ579"/>
      <c r="AEA579"/>
      <c r="AEB579"/>
      <c r="AEC579"/>
      <c r="AED579"/>
      <c r="AEE579"/>
      <c r="AEF579"/>
      <c r="AEG579"/>
      <c r="AEH579"/>
      <c r="AEI579"/>
      <c r="AEJ579"/>
      <c r="AEK579"/>
      <c r="AEL579"/>
      <c r="AEM579"/>
      <c r="AEN579"/>
      <c r="AEO579"/>
      <c r="AEP579"/>
      <c r="AEQ579"/>
      <c r="AER579"/>
      <c r="AES579"/>
      <c r="AET579"/>
      <c r="AEU579"/>
      <c r="AEV579"/>
      <c r="AEW579"/>
      <c r="AEX579"/>
      <c r="AEY579"/>
      <c r="AEZ579"/>
      <c r="AFA579"/>
      <c r="AFB579"/>
      <c r="AFC579"/>
      <c r="AFD579"/>
      <c r="AFE579"/>
      <c r="AFF579"/>
      <c r="AFG579"/>
      <c r="AFH579"/>
      <c r="AFI579"/>
      <c r="AFJ579"/>
      <c r="AFK579"/>
      <c r="AFL579"/>
      <c r="AFM579"/>
      <c r="AFN579"/>
      <c r="AFO579"/>
      <c r="AFP579"/>
      <c r="AFQ579"/>
      <c r="AFR579"/>
      <c r="AFS579"/>
      <c r="AFT579"/>
      <c r="AFU579"/>
      <c r="AFV579"/>
      <c r="AFW579"/>
      <c r="AFX579"/>
      <c r="AFY579"/>
      <c r="AFZ579"/>
      <c r="AGA579"/>
      <c r="AGB579"/>
      <c r="AGC579"/>
      <c r="AGD579"/>
      <c r="AGE579"/>
      <c r="AGF579"/>
      <c r="AGG579"/>
      <c r="AGH579"/>
      <c r="AGI579"/>
      <c r="AGJ579"/>
      <c r="AGK579"/>
      <c r="AGL579"/>
      <c r="AGM579"/>
      <c r="AGN579"/>
      <c r="AGO579"/>
      <c r="AGP579"/>
      <c r="AGQ579"/>
      <c r="AGR579"/>
      <c r="AGS579"/>
      <c r="AGT579"/>
      <c r="AGU579"/>
      <c r="AGV579"/>
      <c r="AGW579"/>
      <c r="AGX579"/>
      <c r="AGY579"/>
      <c r="AGZ579"/>
      <c r="AHA579"/>
      <c r="AHB579"/>
      <c r="AHC579"/>
      <c r="AHD579"/>
      <c r="AHE579"/>
      <c r="AHF579"/>
      <c r="AHG579"/>
      <c r="AHH579"/>
      <c r="AHI579"/>
      <c r="AHJ579"/>
      <c r="AHK579"/>
      <c r="AHL579"/>
      <c r="AHM579"/>
      <c r="AHN579"/>
      <c r="AHO579"/>
      <c r="AHP579"/>
      <c r="AHQ579"/>
      <c r="AHR579"/>
      <c r="AHS579"/>
      <c r="AHT579"/>
      <c r="AHU579"/>
      <c r="AHV579"/>
      <c r="AHW579"/>
      <c r="AHX579"/>
      <c r="AHY579"/>
      <c r="AHZ579"/>
      <c r="AIA579"/>
      <c r="AIB579"/>
      <c r="AIC579"/>
      <c r="AID579"/>
      <c r="AIE579"/>
      <c r="AIF579"/>
      <c r="AIG579"/>
      <c r="AIH579"/>
      <c r="AII579"/>
      <c r="AIJ579"/>
      <c r="AIK579"/>
      <c r="AIL579"/>
      <c r="AIM579"/>
      <c r="AIN579"/>
      <c r="AIO579"/>
      <c r="AIP579"/>
      <c r="AIQ579"/>
      <c r="AIR579"/>
      <c r="AIS579"/>
      <c r="AIT579"/>
      <c r="AIU579"/>
      <c r="AIV579"/>
      <c r="AIW579"/>
      <c r="AIX579"/>
      <c r="AIY579"/>
      <c r="AIZ579"/>
      <c r="AJA579"/>
      <c r="AJB579"/>
      <c r="AJC579"/>
      <c r="AJD579"/>
      <c r="AJE579"/>
      <c r="AJF579"/>
      <c r="AJG579"/>
      <c r="AJH579"/>
      <c r="AJI579"/>
      <c r="AJJ579"/>
      <c r="AJK579"/>
      <c r="AJL579"/>
      <c r="AJM579"/>
      <c r="AJN579"/>
      <c r="AJO579"/>
      <c r="AJP579"/>
      <c r="AJQ579"/>
      <c r="AJR579"/>
      <c r="AJS579"/>
      <c r="AJT579"/>
      <c r="AJU579"/>
      <c r="AJV579"/>
      <c r="AJW579"/>
      <c r="AJX579"/>
      <c r="AJY579"/>
      <c r="AJZ579"/>
      <c r="AKA579"/>
      <c r="AKB579"/>
      <c r="AKC579"/>
      <c r="AKD579"/>
      <c r="AKE579"/>
      <c r="AKF579"/>
      <c r="AKG579"/>
      <c r="AKH579"/>
      <c r="AKI579"/>
      <c r="AKJ579"/>
      <c r="AKK579"/>
      <c r="AKL579"/>
      <c r="AKM579"/>
      <c r="AKN579"/>
      <c r="AKO579"/>
      <c r="AKP579"/>
      <c r="AKQ579"/>
      <c r="AKR579"/>
      <c r="AKS579"/>
      <c r="AKT579"/>
      <c r="AKU579"/>
      <c r="AKV579"/>
      <c r="AKW579"/>
      <c r="AKX579"/>
      <c r="AKY579"/>
    </row>
    <row r="580" spans="1:987" s="151" customFormat="1">
      <c r="A580" s="153" t="s">
        <v>335</v>
      </c>
      <c r="B580" s="240"/>
      <c r="C580" s="241"/>
      <c r="D580" s="241"/>
    </row>
    <row r="581" spans="1:987">
      <c r="A581" s="421" t="s">
        <v>383</v>
      </c>
      <c r="B581" s="305"/>
      <c r="C581" s="306"/>
      <c r="D581" s="306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  <c r="ZW581"/>
      <c r="ZX581"/>
      <c r="ZY581"/>
      <c r="ZZ581"/>
      <c r="AAA581"/>
      <c r="AAB581"/>
      <c r="AAC581"/>
      <c r="AAD581"/>
      <c r="AAE581"/>
      <c r="AAF581"/>
      <c r="AAG581"/>
      <c r="AAH581"/>
      <c r="AAI581"/>
      <c r="AAJ581"/>
      <c r="AAK581"/>
      <c r="AAL581"/>
      <c r="AAM581"/>
      <c r="AAN581"/>
      <c r="AAO581"/>
      <c r="AAP581"/>
      <c r="AAQ581"/>
      <c r="AAR581"/>
      <c r="AAS581"/>
      <c r="AAT581"/>
      <c r="AAU581"/>
      <c r="AAV581"/>
      <c r="AAW581"/>
      <c r="AAX581"/>
      <c r="AAY581"/>
      <c r="AAZ581"/>
      <c r="ABA581"/>
      <c r="ABB581"/>
      <c r="ABC581"/>
      <c r="ABD581"/>
      <c r="ABE581"/>
      <c r="ABF581"/>
      <c r="ABG581"/>
      <c r="ABH581"/>
      <c r="ABI581"/>
      <c r="ABJ581"/>
      <c r="ABK581"/>
      <c r="ABL581"/>
      <c r="ABM581"/>
      <c r="ABN581"/>
      <c r="ABO581"/>
      <c r="ABP581"/>
      <c r="ABQ581"/>
      <c r="ABR581"/>
      <c r="ABS581"/>
      <c r="ABT581"/>
      <c r="ABU581"/>
      <c r="ABV581"/>
      <c r="ABW581"/>
      <c r="ABX581"/>
      <c r="ABY581"/>
      <c r="ABZ581"/>
      <c r="ACA581"/>
      <c r="ACB581"/>
      <c r="ACC581"/>
      <c r="ACD581"/>
      <c r="ACE581"/>
      <c r="ACF581"/>
      <c r="ACG581"/>
      <c r="ACH581"/>
      <c r="ACI581"/>
      <c r="ACJ581"/>
      <c r="ACK581"/>
      <c r="ACL581"/>
      <c r="ACM581"/>
      <c r="ACN581"/>
      <c r="ACO581"/>
      <c r="ACP581"/>
      <c r="ACQ581"/>
      <c r="ACR581"/>
      <c r="ACS581"/>
      <c r="ACT581"/>
      <c r="ACU581"/>
      <c r="ACV581"/>
      <c r="ACW581"/>
      <c r="ACX581"/>
      <c r="ACY581"/>
      <c r="ACZ581"/>
      <c r="ADA581"/>
      <c r="ADB581"/>
      <c r="ADC581"/>
      <c r="ADD581"/>
      <c r="ADE581"/>
      <c r="ADF581"/>
      <c r="ADG581"/>
      <c r="ADH581"/>
      <c r="ADI581"/>
      <c r="ADJ581"/>
      <c r="ADK581"/>
      <c r="ADL581"/>
      <c r="ADM581"/>
      <c r="ADN581"/>
      <c r="ADO581"/>
      <c r="ADP581"/>
      <c r="ADQ581"/>
      <c r="ADR581"/>
      <c r="ADS581"/>
      <c r="ADT581"/>
      <c r="ADU581"/>
      <c r="ADV581"/>
      <c r="ADW581"/>
      <c r="ADX581"/>
      <c r="ADY581"/>
      <c r="ADZ581"/>
      <c r="AEA581"/>
      <c r="AEB581"/>
      <c r="AEC581"/>
      <c r="AED581"/>
      <c r="AEE581"/>
      <c r="AEF581"/>
      <c r="AEG581"/>
      <c r="AEH581"/>
      <c r="AEI581"/>
      <c r="AEJ581"/>
      <c r="AEK581"/>
      <c r="AEL581"/>
      <c r="AEM581"/>
      <c r="AEN581"/>
      <c r="AEO581"/>
      <c r="AEP581"/>
      <c r="AEQ581"/>
      <c r="AER581"/>
      <c r="AES581"/>
      <c r="AET581"/>
      <c r="AEU581"/>
      <c r="AEV581"/>
      <c r="AEW581"/>
      <c r="AEX581"/>
      <c r="AEY581"/>
      <c r="AEZ581"/>
      <c r="AFA581"/>
      <c r="AFB581"/>
      <c r="AFC581"/>
      <c r="AFD581"/>
      <c r="AFE581"/>
      <c r="AFF581"/>
      <c r="AFG581"/>
      <c r="AFH581"/>
      <c r="AFI581"/>
      <c r="AFJ581"/>
      <c r="AFK581"/>
      <c r="AFL581"/>
      <c r="AFM581"/>
      <c r="AFN581"/>
      <c r="AFO581"/>
      <c r="AFP581"/>
      <c r="AFQ581"/>
      <c r="AFR581"/>
      <c r="AFS581"/>
      <c r="AFT581"/>
      <c r="AFU581"/>
      <c r="AFV581"/>
      <c r="AFW581"/>
      <c r="AFX581"/>
      <c r="AFY581"/>
      <c r="AFZ581"/>
      <c r="AGA581"/>
      <c r="AGB581"/>
      <c r="AGC581"/>
      <c r="AGD581"/>
      <c r="AGE581"/>
      <c r="AGF581"/>
      <c r="AGG581"/>
      <c r="AGH581"/>
      <c r="AGI581"/>
      <c r="AGJ581"/>
      <c r="AGK581"/>
      <c r="AGL581"/>
      <c r="AGM581"/>
      <c r="AGN581"/>
      <c r="AGO581"/>
      <c r="AGP581"/>
      <c r="AGQ581"/>
      <c r="AGR581"/>
      <c r="AGS581"/>
      <c r="AGT581"/>
      <c r="AGU581"/>
      <c r="AGV581"/>
      <c r="AGW581"/>
      <c r="AGX581"/>
      <c r="AGY581"/>
      <c r="AGZ581"/>
      <c r="AHA581"/>
      <c r="AHB581"/>
      <c r="AHC581"/>
      <c r="AHD581"/>
      <c r="AHE581"/>
      <c r="AHF581"/>
      <c r="AHG581"/>
      <c r="AHH581"/>
      <c r="AHI581"/>
      <c r="AHJ581"/>
      <c r="AHK581"/>
      <c r="AHL581"/>
      <c r="AHM581"/>
      <c r="AHN581"/>
      <c r="AHO581"/>
      <c r="AHP581"/>
      <c r="AHQ581"/>
      <c r="AHR581"/>
      <c r="AHS581"/>
      <c r="AHT581"/>
      <c r="AHU581"/>
      <c r="AHV581"/>
      <c r="AHW581"/>
      <c r="AHX581"/>
      <c r="AHY581"/>
      <c r="AHZ581"/>
      <c r="AIA581"/>
      <c r="AIB581"/>
      <c r="AIC581"/>
      <c r="AID581"/>
      <c r="AIE581"/>
      <c r="AIF581"/>
      <c r="AIG581"/>
      <c r="AIH581"/>
      <c r="AII581"/>
      <c r="AIJ581"/>
      <c r="AIK581"/>
      <c r="AIL581"/>
      <c r="AIM581"/>
      <c r="AIN581"/>
      <c r="AIO581"/>
      <c r="AIP581"/>
      <c r="AIQ581"/>
      <c r="AIR581"/>
      <c r="AIS581"/>
      <c r="AIT581"/>
      <c r="AIU581"/>
      <c r="AIV581"/>
      <c r="AIW581"/>
      <c r="AIX581"/>
      <c r="AIY581"/>
      <c r="AIZ581"/>
      <c r="AJA581"/>
      <c r="AJB581"/>
      <c r="AJC581"/>
      <c r="AJD581"/>
      <c r="AJE581"/>
      <c r="AJF581"/>
      <c r="AJG581"/>
      <c r="AJH581"/>
      <c r="AJI581"/>
      <c r="AJJ581"/>
      <c r="AJK581"/>
      <c r="AJL581"/>
      <c r="AJM581"/>
      <c r="AJN581"/>
      <c r="AJO581"/>
      <c r="AJP581"/>
      <c r="AJQ581"/>
      <c r="AJR581"/>
      <c r="AJS581"/>
      <c r="AJT581"/>
      <c r="AJU581"/>
      <c r="AJV581"/>
      <c r="AJW581"/>
      <c r="AJX581"/>
      <c r="AJY581"/>
      <c r="AJZ581"/>
      <c r="AKA581"/>
      <c r="AKB581"/>
      <c r="AKC581"/>
      <c r="AKD581"/>
      <c r="AKE581"/>
      <c r="AKF581"/>
      <c r="AKG581"/>
      <c r="AKH581"/>
      <c r="AKI581"/>
      <c r="AKJ581"/>
      <c r="AKK581"/>
      <c r="AKL581"/>
      <c r="AKM581"/>
      <c r="AKN581"/>
      <c r="AKO581"/>
      <c r="AKP581"/>
      <c r="AKQ581"/>
      <c r="AKR581"/>
      <c r="AKS581"/>
      <c r="AKT581"/>
      <c r="AKU581"/>
      <c r="AKV581"/>
      <c r="AKW581"/>
      <c r="AKX581"/>
      <c r="AKY581"/>
    </row>
    <row r="582" spans="1:987">
      <c r="A582" s="421" t="s">
        <v>384</v>
      </c>
      <c r="B582" s="305"/>
      <c r="C582" s="306"/>
      <c r="D582" s="306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  <c r="ZW582"/>
      <c r="ZX582"/>
      <c r="ZY582"/>
      <c r="ZZ582"/>
      <c r="AAA582"/>
      <c r="AAB582"/>
      <c r="AAC582"/>
      <c r="AAD582"/>
      <c r="AAE582"/>
      <c r="AAF582"/>
      <c r="AAG582"/>
      <c r="AAH582"/>
      <c r="AAI582"/>
      <c r="AAJ582"/>
      <c r="AAK582"/>
      <c r="AAL582"/>
      <c r="AAM582"/>
      <c r="AAN582"/>
      <c r="AAO582"/>
      <c r="AAP582"/>
      <c r="AAQ582"/>
      <c r="AAR582"/>
      <c r="AAS582"/>
      <c r="AAT582"/>
      <c r="AAU582"/>
      <c r="AAV582"/>
      <c r="AAW582"/>
      <c r="AAX582"/>
      <c r="AAY582"/>
      <c r="AAZ582"/>
      <c r="ABA582"/>
      <c r="ABB582"/>
      <c r="ABC582"/>
      <c r="ABD582"/>
      <c r="ABE582"/>
      <c r="ABF582"/>
      <c r="ABG582"/>
      <c r="ABH582"/>
      <c r="ABI582"/>
      <c r="ABJ582"/>
      <c r="ABK582"/>
      <c r="ABL582"/>
      <c r="ABM582"/>
      <c r="ABN582"/>
      <c r="ABO582"/>
      <c r="ABP582"/>
      <c r="ABQ582"/>
      <c r="ABR582"/>
      <c r="ABS582"/>
      <c r="ABT582"/>
      <c r="ABU582"/>
      <c r="ABV582"/>
      <c r="ABW582"/>
      <c r="ABX582"/>
      <c r="ABY582"/>
      <c r="ABZ582"/>
      <c r="ACA582"/>
      <c r="ACB582"/>
      <c r="ACC582"/>
      <c r="ACD582"/>
      <c r="ACE582"/>
      <c r="ACF582"/>
      <c r="ACG582"/>
      <c r="ACH582"/>
      <c r="ACI582"/>
      <c r="ACJ582"/>
      <c r="ACK582"/>
      <c r="ACL582"/>
      <c r="ACM582"/>
      <c r="ACN582"/>
      <c r="ACO582"/>
      <c r="ACP582"/>
      <c r="ACQ582"/>
      <c r="ACR582"/>
      <c r="ACS582"/>
      <c r="ACT582"/>
      <c r="ACU582"/>
      <c r="ACV582"/>
      <c r="ACW582"/>
      <c r="ACX582"/>
      <c r="ACY582"/>
      <c r="ACZ582"/>
      <c r="ADA582"/>
      <c r="ADB582"/>
      <c r="ADC582"/>
      <c r="ADD582"/>
      <c r="ADE582"/>
      <c r="ADF582"/>
      <c r="ADG582"/>
      <c r="ADH582"/>
      <c r="ADI582"/>
      <c r="ADJ582"/>
      <c r="ADK582"/>
      <c r="ADL582"/>
      <c r="ADM582"/>
      <c r="ADN582"/>
      <c r="ADO582"/>
      <c r="ADP582"/>
      <c r="ADQ582"/>
      <c r="ADR582"/>
      <c r="ADS582"/>
      <c r="ADT582"/>
      <c r="ADU582"/>
      <c r="ADV582"/>
      <c r="ADW582"/>
      <c r="ADX582"/>
      <c r="ADY582"/>
      <c r="ADZ582"/>
      <c r="AEA582"/>
      <c r="AEB582"/>
      <c r="AEC582"/>
      <c r="AED582"/>
      <c r="AEE582"/>
      <c r="AEF582"/>
      <c r="AEG582"/>
      <c r="AEH582"/>
      <c r="AEI582"/>
      <c r="AEJ582"/>
      <c r="AEK582"/>
      <c r="AEL582"/>
      <c r="AEM582"/>
      <c r="AEN582"/>
      <c r="AEO582"/>
      <c r="AEP582"/>
      <c r="AEQ582"/>
      <c r="AER582"/>
      <c r="AES582"/>
      <c r="AET582"/>
      <c r="AEU582"/>
      <c r="AEV582"/>
      <c r="AEW582"/>
      <c r="AEX582"/>
      <c r="AEY582"/>
      <c r="AEZ582"/>
      <c r="AFA582"/>
      <c r="AFB582"/>
      <c r="AFC582"/>
      <c r="AFD582"/>
      <c r="AFE582"/>
      <c r="AFF582"/>
      <c r="AFG582"/>
      <c r="AFH582"/>
      <c r="AFI582"/>
      <c r="AFJ582"/>
      <c r="AFK582"/>
      <c r="AFL582"/>
      <c r="AFM582"/>
      <c r="AFN582"/>
      <c r="AFO582"/>
      <c r="AFP582"/>
      <c r="AFQ582"/>
      <c r="AFR582"/>
      <c r="AFS582"/>
      <c r="AFT582"/>
      <c r="AFU582"/>
      <c r="AFV582"/>
      <c r="AFW582"/>
      <c r="AFX582"/>
      <c r="AFY582"/>
      <c r="AFZ582"/>
      <c r="AGA582"/>
      <c r="AGB582"/>
      <c r="AGC582"/>
      <c r="AGD582"/>
      <c r="AGE582"/>
      <c r="AGF582"/>
      <c r="AGG582"/>
      <c r="AGH582"/>
      <c r="AGI582"/>
      <c r="AGJ582"/>
      <c r="AGK582"/>
      <c r="AGL582"/>
      <c r="AGM582"/>
      <c r="AGN582"/>
      <c r="AGO582"/>
      <c r="AGP582"/>
      <c r="AGQ582"/>
      <c r="AGR582"/>
      <c r="AGS582"/>
      <c r="AGT582"/>
      <c r="AGU582"/>
      <c r="AGV582"/>
      <c r="AGW582"/>
      <c r="AGX582"/>
      <c r="AGY582"/>
      <c r="AGZ582"/>
      <c r="AHA582"/>
      <c r="AHB582"/>
      <c r="AHC582"/>
      <c r="AHD582"/>
      <c r="AHE582"/>
      <c r="AHF582"/>
      <c r="AHG582"/>
      <c r="AHH582"/>
      <c r="AHI582"/>
      <c r="AHJ582"/>
      <c r="AHK582"/>
      <c r="AHL582"/>
      <c r="AHM582"/>
      <c r="AHN582"/>
      <c r="AHO582"/>
      <c r="AHP582"/>
      <c r="AHQ582"/>
      <c r="AHR582"/>
      <c r="AHS582"/>
      <c r="AHT582"/>
      <c r="AHU582"/>
      <c r="AHV582"/>
      <c r="AHW582"/>
      <c r="AHX582"/>
      <c r="AHY582"/>
      <c r="AHZ582"/>
      <c r="AIA582"/>
      <c r="AIB582"/>
      <c r="AIC582"/>
      <c r="AID582"/>
      <c r="AIE582"/>
      <c r="AIF582"/>
      <c r="AIG582"/>
      <c r="AIH582"/>
      <c r="AII582"/>
      <c r="AIJ582"/>
      <c r="AIK582"/>
      <c r="AIL582"/>
      <c r="AIM582"/>
      <c r="AIN582"/>
      <c r="AIO582"/>
      <c r="AIP582"/>
      <c r="AIQ582"/>
      <c r="AIR582"/>
      <c r="AIS582"/>
      <c r="AIT582"/>
      <c r="AIU582"/>
      <c r="AIV582"/>
      <c r="AIW582"/>
      <c r="AIX582"/>
      <c r="AIY582"/>
      <c r="AIZ582"/>
      <c r="AJA582"/>
      <c r="AJB582"/>
      <c r="AJC582"/>
      <c r="AJD582"/>
      <c r="AJE582"/>
      <c r="AJF582"/>
      <c r="AJG582"/>
      <c r="AJH582"/>
      <c r="AJI582"/>
      <c r="AJJ582"/>
      <c r="AJK582"/>
      <c r="AJL582"/>
      <c r="AJM582"/>
      <c r="AJN582"/>
      <c r="AJO582"/>
      <c r="AJP582"/>
      <c r="AJQ582"/>
      <c r="AJR582"/>
      <c r="AJS582"/>
      <c r="AJT582"/>
      <c r="AJU582"/>
      <c r="AJV582"/>
      <c r="AJW582"/>
      <c r="AJX582"/>
      <c r="AJY582"/>
      <c r="AJZ582"/>
      <c r="AKA582"/>
      <c r="AKB582"/>
      <c r="AKC582"/>
      <c r="AKD582"/>
      <c r="AKE582"/>
      <c r="AKF582"/>
      <c r="AKG582"/>
      <c r="AKH582"/>
      <c r="AKI582"/>
      <c r="AKJ582"/>
      <c r="AKK582"/>
      <c r="AKL582"/>
      <c r="AKM582"/>
      <c r="AKN582"/>
      <c r="AKO582"/>
      <c r="AKP582"/>
      <c r="AKQ582"/>
      <c r="AKR582"/>
      <c r="AKS582"/>
      <c r="AKT582"/>
      <c r="AKU582"/>
      <c r="AKV582"/>
      <c r="AKW582"/>
      <c r="AKX582"/>
      <c r="AKY582"/>
    </row>
    <row r="583" spans="1:987">
      <c r="A583" s="421" t="s">
        <v>386</v>
      </c>
      <c r="B583" s="305"/>
      <c r="C583" s="306"/>
      <c r="D583" s="306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  <c r="ZW583"/>
      <c r="ZX583"/>
      <c r="ZY583"/>
      <c r="ZZ583"/>
      <c r="AAA583"/>
      <c r="AAB583"/>
      <c r="AAC583"/>
      <c r="AAD583"/>
      <c r="AAE583"/>
      <c r="AAF583"/>
      <c r="AAG583"/>
      <c r="AAH583"/>
      <c r="AAI583"/>
      <c r="AAJ583"/>
      <c r="AAK583"/>
      <c r="AAL583"/>
      <c r="AAM583"/>
      <c r="AAN583"/>
      <c r="AAO583"/>
      <c r="AAP583"/>
      <c r="AAQ583"/>
      <c r="AAR583"/>
      <c r="AAS583"/>
      <c r="AAT583"/>
      <c r="AAU583"/>
      <c r="AAV583"/>
      <c r="AAW583"/>
      <c r="AAX583"/>
      <c r="AAY583"/>
      <c r="AAZ583"/>
      <c r="ABA583"/>
      <c r="ABB583"/>
      <c r="ABC583"/>
      <c r="ABD583"/>
      <c r="ABE583"/>
      <c r="ABF583"/>
      <c r="ABG583"/>
      <c r="ABH583"/>
      <c r="ABI583"/>
      <c r="ABJ583"/>
      <c r="ABK583"/>
      <c r="ABL583"/>
      <c r="ABM583"/>
      <c r="ABN583"/>
      <c r="ABO583"/>
      <c r="ABP583"/>
      <c r="ABQ583"/>
      <c r="ABR583"/>
      <c r="ABS583"/>
      <c r="ABT583"/>
      <c r="ABU583"/>
      <c r="ABV583"/>
      <c r="ABW583"/>
      <c r="ABX583"/>
      <c r="ABY583"/>
      <c r="ABZ583"/>
      <c r="ACA583"/>
      <c r="ACB583"/>
      <c r="ACC583"/>
      <c r="ACD583"/>
      <c r="ACE583"/>
      <c r="ACF583"/>
      <c r="ACG583"/>
      <c r="ACH583"/>
      <c r="ACI583"/>
      <c r="ACJ583"/>
      <c r="ACK583"/>
      <c r="ACL583"/>
      <c r="ACM583"/>
      <c r="ACN583"/>
      <c r="ACO583"/>
      <c r="ACP583"/>
      <c r="ACQ583"/>
      <c r="ACR583"/>
      <c r="ACS583"/>
      <c r="ACT583"/>
      <c r="ACU583"/>
      <c r="ACV583"/>
      <c r="ACW583"/>
      <c r="ACX583"/>
      <c r="ACY583"/>
      <c r="ACZ583"/>
      <c r="ADA583"/>
      <c r="ADB583"/>
      <c r="ADC583"/>
      <c r="ADD583"/>
      <c r="ADE583"/>
      <c r="ADF583"/>
      <c r="ADG583"/>
      <c r="ADH583"/>
      <c r="ADI583"/>
      <c r="ADJ583"/>
      <c r="ADK583"/>
      <c r="ADL583"/>
      <c r="ADM583"/>
      <c r="ADN583"/>
      <c r="ADO583"/>
      <c r="ADP583"/>
      <c r="ADQ583"/>
      <c r="ADR583"/>
      <c r="ADS583"/>
      <c r="ADT583"/>
      <c r="ADU583"/>
      <c r="ADV583"/>
      <c r="ADW583"/>
      <c r="ADX583"/>
      <c r="ADY583"/>
      <c r="ADZ583"/>
      <c r="AEA583"/>
      <c r="AEB583"/>
      <c r="AEC583"/>
      <c r="AED583"/>
      <c r="AEE583"/>
      <c r="AEF583"/>
      <c r="AEG583"/>
      <c r="AEH583"/>
      <c r="AEI583"/>
      <c r="AEJ583"/>
      <c r="AEK583"/>
      <c r="AEL583"/>
      <c r="AEM583"/>
      <c r="AEN583"/>
      <c r="AEO583"/>
      <c r="AEP583"/>
      <c r="AEQ583"/>
      <c r="AER583"/>
      <c r="AES583"/>
      <c r="AET583"/>
      <c r="AEU583"/>
      <c r="AEV583"/>
      <c r="AEW583"/>
      <c r="AEX583"/>
      <c r="AEY583"/>
      <c r="AEZ583"/>
      <c r="AFA583"/>
      <c r="AFB583"/>
      <c r="AFC583"/>
      <c r="AFD583"/>
      <c r="AFE583"/>
      <c r="AFF583"/>
      <c r="AFG583"/>
      <c r="AFH583"/>
      <c r="AFI583"/>
      <c r="AFJ583"/>
      <c r="AFK583"/>
      <c r="AFL583"/>
      <c r="AFM583"/>
      <c r="AFN583"/>
      <c r="AFO583"/>
      <c r="AFP583"/>
      <c r="AFQ583"/>
      <c r="AFR583"/>
      <c r="AFS583"/>
      <c r="AFT583"/>
      <c r="AFU583"/>
      <c r="AFV583"/>
      <c r="AFW583"/>
      <c r="AFX583"/>
      <c r="AFY583"/>
      <c r="AFZ583"/>
      <c r="AGA583"/>
      <c r="AGB583"/>
      <c r="AGC583"/>
      <c r="AGD583"/>
      <c r="AGE583"/>
      <c r="AGF583"/>
      <c r="AGG583"/>
      <c r="AGH583"/>
      <c r="AGI583"/>
      <c r="AGJ583"/>
      <c r="AGK583"/>
      <c r="AGL583"/>
      <c r="AGM583"/>
      <c r="AGN583"/>
      <c r="AGO583"/>
      <c r="AGP583"/>
      <c r="AGQ583"/>
      <c r="AGR583"/>
      <c r="AGS583"/>
      <c r="AGT583"/>
      <c r="AGU583"/>
      <c r="AGV583"/>
      <c r="AGW583"/>
      <c r="AGX583"/>
      <c r="AGY583"/>
      <c r="AGZ583"/>
      <c r="AHA583"/>
      <c r="AHB583"/>
      <c r="AHC583"/>
      <c r="AHD583"/>
      <c r="AHE583"/>
      <c r="AHF583"/>
      <c r="AHG583"/>
      <c r="AHH583"/>
      <c r="AHI583"/>
      <c r="AHJ583"/>
      <c r="AHK583"/>
      <c r="AHL583"/>
      <c r="AHM583"/>
      <c r="AHN583"/>
      <c r="AHO583"/>
      <c r="AHP583"/>
      <c r="AHQ583"/>
      <c r="AHR583"/>
      <c r="AHS583"/>
      <c r="AHT583"/>
      <c r="AHU583"/>
      <c r="AHV583"/>
      <c r="AHW583"/>
      <c r="AHX583"/>
      <c r="AHY583"/>
      <c r="AHZ583"/>
      <c r="AIA583"/>
      <c r="AIB583"/>
      <c r="AIC583"/>
      <c r="AID583"/>
      <c r="AIE583"/>
      <c r="AIF583"/>
      <c r="AIG583"/>
      <c r="AIH583"/>
      <c r="AII583"/>
      <c r="AIJ583"/>
      <c r="AIK583"/>
      <c r="AIL583"/>
      <c r="AIM583"/>
      <c r="AIN583"/>
      <c r="AIO583"/>
      <c r="AIP583"/>
      <c r="AIQ583"/>
      <c r="AIR583"/>
      <c r="AIS583"/>
      <c r="AIT583"/>
      <c r="AIU583"/>
      <c r="AIV583"/>
      <c r="AIW583"/>
      <c r="AIX583"/>
      <c r="AIY583"/>
      <c r="AIZ583"/>
      <c r="AJA583"/>
      <c r="AJB583"/>
      <c r="AJC583"/>
      <c r="AJD583"/>
      <c r="AJE583"/>
      <c r="AJF583"/>
      <c r="AJG583"/>
      <c r="AJH583"/>
      <c r="AJI583"/>
      <c r="AJJ583"/>
      <c r="AJK583"/>
      <c r="AJL583"/>
      <c r="AJM583"/>
      <c r="AJN583"/>
      <c r="AJO583"/>
      <c r="AJP583"/>
      <c r="AJQ583"/>
      <c r="AJR583"/>
      <c r="AJS583"/>
      <c r="AJT583"/>
      <c r="AJU583"/>
      <c r="AJV583"/>
      <c r="AJW583"/>
      <c r="AJX583"/>
      <c r="AJY583"/>
      <c r="AJZ583"/>
      <c r="AKA583"/>
      <c r="AKB583"/>
      <c r="AKC583"/>
      <c r="AKD583"/>
      <c r="AKE583"/>
      <c r="AKF583"/>
      <c r="AKG583"/>
      <c r="AKH583"/>
      <c r="AKI583"/>
      <c r="AKJ583"/>
      <c r="AKK583"/>
      <c r="AKL583"/>
      <c r="AKM583"/>
      <c r="AKN583"/>
      <c r="AKO583"/>
      <c r="AKP583"/>
      <c r="AKQ583"/>
      <c r="AKR583"/>
      <c r="AKS583"/>
      <c r="AKT583"/>
      <c r="AKU583"/>
      <c r="AKV583"/>
      <c r="AKW583"/>
      <c r="AKX583"/>
      <c r="AKY583"/>
    </row>
    <row r="584" spans="1:987">
      <c r="A584" s="421" t="s">
        <v>388</v>
      </c>
      <c r="B584" s="305"/>
      <c r="C584" s="306"/>
      <c r="D584" s="306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  <c r="ZW584"/>
      <c r="ZX584"/>
      <c r="ZY584"/>
      <c r="ZZ584"/>
      <c r="AAA584"/>
      <c r="AAB584"/>
      <c r="AAC584"/>
      <c r="AAD584"/>
      <c r="AAE584"/>
      <c r="AAF584"/>
      <c r="AAG584"/>
      <c r="AAH584"/>
      <c r="AAI584"/>
      <c r="AAJ584"/>
      <c r="AAK584"/>
      <c r="AAL584"/>
      <c r="AAM584"/>
      <c r="AAN584"/>
      <c r="AAO584"/>
      <c r="AAP584"/>
      <c r="AAQ584"/>
      <c r="AAR584"/>
      <c r="AAS584"/>
      <c r="AAT584"/>
      <c r="AAU584"/>
      <c r="AAV584"/>
      <c r="AAW584"/>
      <c r="AAX584"/>
      <c r="AAY584"/>
      <c r="AAZ584"/>
      <c r="ABA584"/>
      <c r="ABB584"/>
      <c r="ABC584"/>
      <c r="ABD584"/>
      <c r="ABE584"/>
      <c r="ABF584"/>
      <c r="ABG584"/>
      <c r="ABH584"/>
      <c r="ABI584"/>
      <c r="ABJ584"/>
      <c r="ABK584"/>
      <c r="ABL584"/>
      <c r="ABM584"/>
      <c r="ABN584"/>
      <c r="ABO584"/>
      <c r="ABP584"/>
      <c r="ABQ584"/>
      <c r="ABR584"/>
      <c r="ABS584"/>
      <c r="ABT584"/>
      <c r="ABU584"/>
      <c r="ABV584"/>
      <c r="ABW584"/>
      <c r="ABX584"/>
      <c r="ABY584"/>
      <c r="ABZ584"/>
      <c r="ACA584"/>
      <c r="ACB584"/>
      <c r="ACC584"/>
      <c r="ACD584"/>
      <c r="ACE584"/>
      <c r="ACF584"/>
      <c r="ACG584"/>
      <c r="ACH584"/>
      <c r="ACI584"/>
      <c r="ACJ584"/>
      <c r="ACK584"/>
      <c r="ACL584"/>
      <c r="ACM584"/>
      <c r="ACN584"/>
      <c r="ACO584"/>
      <c r="ACP584"/>
      <c r="ACQ584"/>
      <c r="ACR584"/>
      <c r="ACS584"/>
      <c r="ACT584"/>
      <c r="ACU584"/>
      <c r="ACV584"/>
      <c r="ACW584"/>
      <c r="ACX584"/>
      <c r="ACY584"/>
      <c r="ACZ584"/>
      <c r="ADA584"/>
      <c r="ADB584"/>
      <c r="ADC584"/>
      <c r="ADD584"/>
      <c r="ADE584"/>
      <c r="ADF584"/>
      <c r="ADG584"/>
      <c r="ADH584"/>
      <c r="ADI584"/>
      <c r="ADJ584"/>
      <c r="ADK584"/>
      <c r="ADL584"/>
      <c r="ADM584"/>
      <c r="ADN584"/>
      <c r="ADO584"/>
      <c r="ADP584"/>
      <c r="ADQ584"/>
      <c r="ADR584"/>
      <c r="ADS584"/>
      <c r="ADT584"/>
      <c r="ADU584"/>
      <c r="ADV584"/>
      <c r="ADW584"/>
      <c r="ADX584"/>
      <c r="ADY584"/>
      <c r="ADZ584"/>
      <c r="AEA584"/>
      <c r="AEB584"/>
      <c r="AEC584"/>
      <c r="AED584"/>
      <c r="AEE584"/>
      <c r="AEF584"/>
      <c r="AEG584"/>
      <c r="AEH584"/>
      <c r="AEI584"/>
      <c r="AEJ584"/>
      <c r="AEK584"/>
      <c r="AEL584"/>
      <c r="AEM584"/>
      <c r="AEN584"/>
      <c r="AEO584"/>
      <c r="AEP584"/>
      <c r="AEQ584"/>
      <c r="AER584"/>
      <c r="AES584"/>
      <c r="AET584"/>
      <c r="AEU584"/>
      <c r="AEV584"/>
      <c r="AEW584"/>
      <c r="AEX584"/>
      <c r="AEY584"/>
      <c r="AEZ584"/>
      <c r="AFA584"/>
      <c r="AFB584"/>
      <c r="AFC584"/>
      <c r="AFD584"/>
      <c r="AFE584"/>
      <c r="AFF584"/>
      <c r="AFG584"/>
      <c r="AFH584"/>
      <c r="AFI584"/>
      <c r="AFJ584"/>
      <c r="AFK584"/>
      <c r="AFL584"/>
      <c r="AFM584"/>
      <c r="AFN584"/>
      <c r="AFO584"/>
      <c r="AFP584"/>
      <c r="AFQ584"/>
      <c r="AFR584"/>
      <c r="AFS584"/>
      <c r="AFT584"/>
      <c r="AFU584"/>
      <c r="AFV584"/>
      <c r="AFW584"/>
      <c r="AFX584"/>
      <c r="AFY584"/>
      <c r="AFZ584"/>
      <c r="AGA584"/>
      <c r="AGB584"/>
      <c r="AGC584"/>
      <c r="AGD584"/>
      <c r="AGE584"/>
      <c r="AGF584"/>
      <c r="AGG584"/>
      <c r="AGH584"/>
      <c r="AGI584"/>
      <c r="AGJ584"/>
      <c r="AGK584"/>
      <c r="AGL584"/>
      <c r="AGM584"/>
      <c r="AGN584"/>
      <c r="AGO584"/>
      <c r="AGP584"/>
      <c r="AGQ584"/>
      <c r="AGR584"/>
      <c r="AGS584"/>
      <c r="AGT584"/>
      <c r="AGU584"/>
      <c r="AGV584"/>
      <c r="AGW584"/>
      <c r="AGX584"/>
      <c r="AGY584"/>
      <c r="AGZ584"/>
      <c r="AHA584"/>
      <c r="AHB584"/>
      <c r="AHC584"/>
      <c r="AHD584"/>
      <c r="AHE584"/>
      <c r="AHF584"/>
      <c r="AHG584"/>
      <c r="AHH584"/>
      <c r="AHI584"/>
      <c r="AHJ584"/>
      <c r="AHK584"/>
      <c r="AHL584"/>
      <c r="AHM584"/>
      <c r="AHN584"/>
      <c r="AHO584"/>
      <c r="AHP584"/>
      <c r="AHQ584"/>
      <c r="AHR584"/>
      <c r="AHS584"/>
      <c r="AHT584"/>
      <c r="AHU584"/>
      <c r="AHV584"/>
      <c r="AHW584"/>
      <c r="AHX584"/>
      <c r="AHY584"/>
      <c r="AHZ584"/>
      <c r="AIA584"/>
      <c r="AIB584"/>
      <c r="AIC584"/>
      <c r="AID584"/>
      <c r="AIE584"/>
      <c r="AIF584"/>
      <c r="AIG584"/>
      <c r="AIH584"/>
      <c r="AII584"/>
      <c r="AIJ584"/>
      <c r="AIK584"/>
      <c r="AIL584"/>
      <c r="AIM584"/>
      <c r="AIN584"/>
      <c r="AIO584"/>
      <c r="AIP584"/>
      <c r="AIQ584"/>
      <c r="AIR584"/>
      <c r="AIS584"/>
      <c r="AIT584"/>
      <c r="AIU584"/>
      <c r="AIV584"/>
      <c r="AIW584"/>
      <c r="AIX584"/>
      <c r="AIY584"/>
      <c r="AIZ584"/>
      <c r="AJA584"/>
      <c r="AJB584"/>
      <c r="AJC584"/>
      <c r="AJD584"/>
      <c r="AJE584"/>
      <c r="AJF584"/>
      <c r="AJG584"/>
      <c r="AJH584"/>
      <c r="AJI584"/>
      <c r="AJJ584"/>
      <c r="AJK584"/>
      <c r="AJL584"/>
      <c r="AJM584"/>
      <c r="AJN584"/>
      <c r="AJO584"/>
      <c r="AJP584"/>
      <c r="AJQ584"/>
      <c r="AJR584"/>
      <c r="AJS584"/>
      <c r="AJT584"/>
      <c r="AJU584"/>
      <c r="AJV584"/>
      <c r="AJW584"/>
      <c r="AJX584"/>
      <c r="AJY584"/>
      <c r="AJZ584"/>
      <c r="AKA584"/>
      <c r="AKB584"/>
      <c r="AKC584"/>
      <c r="AKD584"/>
      <c r="AKE584"/>
      <c r="AKF584"/>
      <c r="AKG584"/>
      <c r="AKH584"/>
      <c r="AKI584"/>
      <c r="AKJ584"/>
      <c r="AKK584"/>
      <c r="AKL584"/>
      <c r="AKM584"/>
      <c r="AKN584"/>
      <c r="AKO584"/>
      <c r="AKP584"/>
      <c r="AKQ584"/>
      <c r="AKR584"/>
      <c r="AKS584"/>
      <c r="AKT584"/>
      <c r="AKU584"/>
      <c r="AKV584"/>
      <c r="AKW584"/>
      <c r="AKX584"/>
      <c r="AKY584"/>
    </row>
    <row r="585" spans="1:987">
      <c r="A585" s="352" t="s">
        <v>389</v>
      </c>
      <c r="B585" s="305"/>
      <c r="C585" s="306"/>
      <c r="D585" s="306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  <c r="ZW585"/>
      <c r="ZX585"/>
      <c r="ZY585"/>
      <c r="ZZ585"/>
      <c r="AAA585"/>
      <c r="AAB585"/>
      <c r="AAC585"/>
      <c r="AAD585"/>
      <c r="AAE585"/>
      <c r="AAF585"/>
      <c r="AAG585"/>
      <c r="AAH585"/>
      <c r="AAI585"/>
      <c r="AAJ585"/>
      <c r="AAK585"/>
      <c r="AAL585"/>
      <c r="AAM585"/>
      <c r="AAN585"/>
      <c r="AAO585"/>
      <c r="AAP585"/>
      <c r="AAQ585"/>
      <c r="AAR585"/>
      <c r="AAS585"/>
      <c r="AAT585"/>
      <c r="AAU585"/>
      <c r="AAV585"/>
      <c r="AAW585"/>
      <c r="AAX585"/>
      <c r="AAY585"/>
      <c r="AAZ585"/>
      <c r="ABA585"/>
      <c r="ABB585"/>
      <c r="ABC585"/>
      <c r="ABD585"/>
      <c r="ABE585"/>
      <c r="ABF585"/>
      <c r="ABG585"/>
      <c r="ABH585"/>
      <c r="ABI585"/>
      <c r="ABJ585"/>
      <c r="ABK585"/>
      <c r="ABL585"/>
      <c r="ABM585"/>
      <c r="ABN585"/>
      <c r="ABO585"/>
      <c r="ABP585"/>
      <c r="ABQ585"/>
      <c r="ABR585"/>
      <c r="ABS585"/>
      <c r="ABT585"/>
      <c r="ABU585"/>
      <c r="ABV585"/>
      <c r="ABW585"/>
      <c r="ABX585"/>
      <c r="ABY585"/>
      <c r="ABZ585"/>
      <c r="ACA585"/>
      <c r="ACB585"/>
      <c r="ACC585"/>
      <c r="ACD585"/>
      <c r="ACE585"/>
      <c r="ACF585"/>
      <c r="ACG585"/>
      <c r="ACH585"/>
      <c r="ACI585"/>
      <c r="ACJ585"/>
      <c r="ACK585"/>
      <c r="ACL585"/>
      <c r="ACM585"/>
      <c r="ACN585"/>
      <c r="ACO585"/>
      <c r="ACP585"/>
      <c r="ACQ585"/>
      <c r="ACR585"/>
      <c r="ACS585"/>
      <c r="ACT585"/>
      <c r="ACU585"/>
      <c r="ACV585"/>
      <c r="ACW585"/>
      <c r="ACX585"/>
      <c r="ACY585"/>
      <c r="ACZ585"/>
      <c r="ADA585"/>
      <c r="ADB585"/>
      <c r="ADC585"/>
      <c r="ADD585"/>
      <c r="ADE585"/>
      <c r="ADF585"/>
      <c r="ADG585"/>
      <c r="ADH585"/>
      <c r="ADI585"/>
      <c r="ADJ585"/>
      <c r="ADK585"/>
      <c r="ADL585"/>
      <c r="ADM585"/>
      <c r="ADN585"/>
      <c r="ADO585"/>
      <c r="ADP585"/>
      <c r="ADQ585"/>
      <c r="ADR585"/>
      <c r="ADS585"/>
      <c r="ADT585"/>
      <c r="ADU585"/>
      <c r="ADV585"/>
      <c r="ADW585"/>
      <c r="ADX585"/>
      <c r="ADY585"/>
      <c r="ADZ585"/>
      <c r="AEA585"/>
      <c r="AEB585"/>
      <c r="AEC585"/>
      <c r="AED585"/>
      <c r="AEE585"/>
      <c r="AEF585"/>
      <c r="AEG585"/>
      <c r="AEH585"/>
      <c r="AEI585"/>
      <c r="AEJ585"/>
      <c r="AEK585"/>
      <c r="AEL585"/>
      <c r="AEM585"/>
      <c r="AEN585"/>
      <c r="AEO585"/>
      <c r="AEP585"/>
      <c r="AEQ585"/>
      <c r="AER585"/>
      <c r="AES585"/>
      <c r="AET585"/>
      <c r="AEU585"/>
      <c r="AEV585"/>
      <c r="AEW585"/>
      <c r="AEX585"/>
      <c r="AEY585"/>
      <c r="AEZ585"/>
      <c r="AFA585"/>
      <c r="AFB585"/>
      <c r="AFC585"/>
      <c r="AFD585"/>
      <c r="AFE585"/>
      <c r="AFF585"/>
      <c r="AFG585"/>
      <c r="AFH585"/>
      <c r="AFI585"/>
      <c r="AFJ585"/>
      <c r="AFK585"/>
      <c r="AFL585"/>
      <c r="AFM585"/>
      <c r="AFN585"/>
      <c r="AFO585"/>
      <c r="AFP585"/>
      <c r="AFQ585"/>
      <c r="AFR585"/>
      <c r="AFS585"/>
      <c r="AFT585"/>
      <c r="AFU585"/>
      <c r="AFV585"/>
      <c r="AFW585"/>
      <c r="AFX585"/>
      <c r="AFY585"/>
      <c r="AFZ585"/>
      <c r="AGA585"/>
      <c r="AGB585"/>
      <c r="AGC585"/>
      <c r="AGD585"/>
      <c r="AGE585"/>
      <c r="AGF585"/>
      <c r="AGG585"/>
      <c r="AGH585"/>
      <c r="AGI585"/>
      <c r="AGJ585"/>
      <c r="AGK585"/>
      <c r="AGL585"/>
      <c r="AGM585"/>
      <c r="AGN585"/>
      <c r="AGO585"/>
      <c r="AGP585"/>
      <c r="AGQ585"/>
      <c r="AGR585"/>
      <c r="AGS585"/>
      <c r="AGT585"/>
      <c r="AGU585"/>
      <c r="AGV585"/>
      <c r="AGW585"/>
      <c r="AGX585"/>
      <c r="AGY585"/>
      <c r="AGZ585"/>
      <c r="AHA585"/>
      <c r="AHB585"/>
      <c r="AHC585"/>
      <c r="AHD585"/>
      <c r="AHE585"/>
      <c r="AHF585"/>
      <c r="AHG585"/>
      <c r="AHH585"/>
      <c r="AHI585"/>
      <c r="AHJ585"/>
      <c r="AHK585"/>
      <c r="AHL585"/>
      <c r="AHM585"/>
      <c r="AHN585"/>
      <c r="AHO585"/>
      <c r="AHP585"/>
      <c r="AHQ585"/>
      <c r="AHR585"/>
      <c r="AHS585"/>
      <c r="AHT585"/>
      <c r="AHU585"/>
      <c r="AHV585"/>
      <c r="AHW585"/>
      <c r="AHX585"/>
      <c r="AHY585"/>
      <c r="AHZ585"/>
      <c r="AIA585"/>
      <c r="AIB585"/>
      <c r="AIC585"/>
      <c r="AID585"/>
      <c r="AIE585"/>
      <c r="AIF585"/>
      <c r="AIG585"/>
      <c r="AIH585"/>
      <c r="AII585"/>
      <c r="AIJ585"/>
      <c r="AIK585"/>
      <c r="AIL585"/>
      <c r="AIM585"/>
      <c r="AIN585"/>
      <c r="AIO585"/>
      <c r="AIP585"/>
      <c r="AIQ585"/>
      <c r="AIR585"/>
      <c r="AIS585"/>
      <c r="AIT585"/>
      <c r="AIU585"/>
      <c r="AIV585"/>
      <c r="AIW585"/>
      <c r="AIX585"/>
      <c r="AIY585"/>
      <c r="AIZ585"/>
      <c r="AJA585"/>
      <c r="AJB585"/>
      <c r="AJC585"/>
      <c r="AJD585"/>
      <c r="AJE585"/>
      <c r="AJF585"/>
      <c r="AJG585"/>
      <c r="AJH585"/>
      <c r="AJI585"/>
      <c r="AJJ585"/>
      <c r="AJK585"/>
      <c r="AJL585"/>
      <c r="AJM585"/>
      <c r="AJN585"/>
      <c r="AJO585"/>
      <c r="AJP585"/>
      <c r="AJQ585"/>
      <c r="AJR585"/>
      <c r="AJS585"/>
      <c r="AJT585"/>
      <c r="AJU585"/>
      <c r="AJV585"/>
      <c r="AJW585"/>
      <c r="AJX585"/>
      <c r="AJY585"/>
      <c r="AJZ585"/>
      <c r="AKA585"/>
      <c r="AKB585"/>
      <c r="AKC585"/>
      <c r="AKD585"/>
      <c r="AKE585"/>
      <c r="AKF585"/>
      <c r="AKG585"/>
      <c r="AKH585"/>
      <c r="AKI585"/>
      <c r="AKJ585"/>
      <c r="AKK585"/>
      <c r="AKL585"/>
      <c r="AKM585"/>
      <c r="AKN585"/>
      <c r="AKO585"/>
      <c r="AKP585"/>
      <c r="AKQ585"/>
      <c r="AKR585"/>
      <c r="AKS585"/>
      <c r="AKT585"/>
      <c r="AKU585"/>
      <c r="AKV585"/>
      <c r="AKW585"/>
      <c r="AKX585"/>
      <c r="AKY585"/>
    </row>
    <row r="586" spans="1:987">
      <c r="A586" s="421" t="s">
        <v>391</v>
      </c>
      <c r="B586" s="305"/>
      <c r="C586" s="306"/>
      <c r="D586" s="30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  <c r="ZW586"/>
      <c r="ZX586"/>
      <c r="ZY586"/>
      <c r="ZZ586"/>
      <c r="AAA586"/>
      <c r="AAB586"/>
      <c r="AAC586"/>
      <c r="AAD586"/>
      <c r="AAE586"/>
      <c r="AAF586"/>
      <c r="AAG586"/>
      <c r="AAH586"/>
      <c r="AAI586"/>
      <c r="AAJ586"/>
      <c r="AAK586"/>
      <c r="AAL586"/>
      <c r="AAM586"/>
      <c r="AAN586"/>
      <c r="AAO586"/>
      <c r="AAP586"/>
      <c r="AAQ586"/>
      <c r="AAR586"/>
      <c r="AAS586"/>
      <c r="AAT586"/>
      <c r="AAU586"/>
      <c r="AAV586"/>
      <c r="AAW586"/>
      <c r="AAX586"/>
      <c r="AAY586"/>
      <c r="AAZ586"/>
      <c r="ABA586"/>
      <c r="ABB586"/>
      <c r="ABC586"/>
      <c r="ABD586"/>
      <c r="ABE586"/>
      <c r="ABF586"/>
      <c r="ABG586"/>
      <c r="ABH586"/>
      <c r="ABI586"/>
      <c r="ABJ586"/>
      <c r="ABK586"/>
      <c r="ABL586"/>
      <c r="ABM586"/>
      <c r="ABN586"/>
      <c r="ABO586"/>
      <c r="ABP586"/>
      <c r="ABQ586"/>
      <c r="ABR586"/>
      <c r="ABS586"/>
      <c r="ABT586"/>
      <c r="ABU586"/>
      <c r="ABV586"/>
      <c r="ABW586"/>
      <c r="ABX586"/>
      <c r="ABY586"/>
      <c r="ABZ586"/>
      <c r="ACA586"/>
      <c r="ACB586"/>
      <c r="ACC586"/>
      <c r="ACD586"/>
      <c r="ACE586"/>
      <c r="ACF586"/>
      <c r="ACG586"/>
      <c r="ACH586"/>
      <c r="ACI586"/>
      <c r="ACJ586"/>
      <c r="ACK586"/>
      <c r="ACL586"/>
      <c r="ACM586"/>
      <c r="ACN586"/>
      <c r="ACO586"/>
      <c r="ACP586"/>
      <c r="ACQ586"/>
      <c r="ACR586"/>
      <c r="ACS586"/>
      <c r="ACT586"/>
      <c r="ACU586"/>
      <c r="ACV586"/>
      <c r="ACW586"/>
      <c r="ACX586"/>
      <c r="ACY586"/>
      <c r="ACZ586"/>
      <c r="ADA586"/>
      <c r="ADB586"/>
      <c r="ADC586"/>
      <c r="ADD586"/>
      <c r="ADE586"/>
      <c r="ADF586"/>
      <c r="ADG586"/>
      <c r="ADH586"/>
      <c r="ADI586"/>
      <c r="ADJ586"/>
      <c r="ADK586"/>
      <c r="ADL586"/>
      <c r="ADM586"/>
      <c r="ADN586"/>
      <c r="ADO586"/>
      <c r="ADP586"/>
      <c r="ADQ586"/>
      <c r="ADR586"/>
      <c r="ADS586"/>
      <c r="ADT586"/>
      <c r="ADU586"/>
      <c r="ADV586"/>
      <c r="ADW586"/>
      <c r="ADX586"/>
      <c r="ADY586"/>
      <c r="ADZ586"/>
      <c r="AEA586"/>
      <c r="AEB586"/>
      <c r="AEC586"/>
      <c r="AED586"/>
      <c r="AEE586"/>
      <c r="AEF586"/>
      <c r="AEG586"/>
      <c r="AEH586"/>
      <c r="AEI586"/>
      <c r="AEJ586"/>
      <c r="AEK586"/>
      <c r="AEL586"/>
      <c r="AEM586"/>
      <c r="AEN586"/>
      <c r="AEO586"/>
      <c r="AEP586"/>
      <c r="AEQ586"/>
      <c r="AER586"/>
      <c r="AES586"/>
      <c r="AET586"/>
      <c r="AEU586"/>
      <c r="AEV586"/>
      <c r="AEW586"/>
      <c r="AEX586"/>
      <c r="AEY586"/>
      <c r="AEZ586"/>
      <c r="AFA586"/>
      <c r="AFB586"/>
      <c r="AFC586"/>
      <c r="AFD586"/>
      <c r="AFE586"/>
      <c r="AFF586"/>
      <c r="AFG586"/>
      <c r="AFH586"/>
      <c r="AFI586"/>
      <c r="AFJ586"/>
      <c r="AFK586"/>
      <c r="AFL586"/>
      <c r="AFM586"/>
      <c r="AFN586"/>
      <c r="AFO586"/>
      <c r="AFP586"/>
      <c r="AFQ586"/>
      <c r="AFR586"/>
      <c r="AFS586"/>
      <c r="AFT586"/>
      <c r="AFU586"/>
      <c r="AFV586"/>
      <c r="AFW586"/>
      <c r="AFX586"/>
      <c r="AFY586"/>
      <c r="AFZ586"/>
      <c r="AGA586"/>
      <c r="AGB586"/>
      <c r="AGC586"/>
      <c r="AGD586"/>
      <c r="AGE586"/>
      <c r="AGF586"/>
      <c r="AGG586"/>
      <c r="AGH586"/>
      <c r="AGI586"/>
      <c r="AGJ586"/>
      <c r="AGK586"/>
      <c r="AGL586"/>
      <c r="AGM586"/>
      <c r="AGN586"/>
      <c r="AGO586"/>
      <c r="AGP586"/>
      <c r="AGQ586"/>
      <c r="AGR586"/>
      <c r="AGS586"/>
      <c r="AGT586"/>
      <c r="AGU586"/>
      <c r="AGV586"/>
      <c r="AGW586"/>
      <c r="AGX586"/>
      <c r="AGY586"/>
      <c r="AGZ586"/>
      <c r="AHA586"/>
      <c r="AHB586"/>
      <c r="AHC586"/>
      <c r="AHD586"/>
      <c r="AHE586"/>
      <c r="AHF586"/>
      <c r="AHG586"/>
      <c r="AHH586"/>
      <c r="AHI586"/>
      <c r="AHJ586"/>
      <c r="AHK586"/>
      <c r="AHL586"/>
      <c r="AHM586"/>
      <c r="AHN586"/>
      <c r="AHO586"/>
      <c r="AHP586"/>
      <c r="AHQ586"/>
      <c r="AHR586"/>
      <c r="AHS586"/>
      <c r="AHT586"/>
      <c r="AHU586"/>
      <c r="AHV586"/>
      <c r="AHW586"/>
      <c r="AHX586"/>
      <c r="AHY586"/>
      <c r="AHZ586"/>
      <c r="AIA586"/>
      <c r="AIB586"/>
      <c r="AIC586"/>
      <c r="AID586"/>
      <c r="AIE586"/>
      <c r="AIF586"/>
      <c r="AIG586"/>
      <c r="AIH586"/>
      <c r="AII586"/>
      <c r="AIJ586"/>
      <c r="AIK586"/>
      <c r="AIL586"/>
      <c r="AIM586"/>
      <c r="AIN586"/>
      <c r="AIO586"/>
      <c r="AIP586"/>
      <c r="AIQ586"/>
      <c r="AIR586"/>
      <c r="AIS586"/>
      <c r="AIT586"/>
      <c r="AIU586"/>
      <c r="AIV586"/>
      <c r="AIW586"/>
      <c r="AIX586"/>
      <c r="AIY586"/>
      <c r="AIZ586"/>
      <c r="AJA586"/>
      <c r="AJB586"/>
      <c r="AJC586"/>
      <c r="AJD586"/>
      <c r="AJE586"/>
      <c r="AJF586"/>
      <c r="AJG586"/>
      <c r="AJH586"/>
      <c r="AJI586"/>
      <c r="AJJ586"/>
      <c r="AJK586"/>
      <c r="AJL586"/>
      <c r="AJM586"/>
      <c r="AJN586"/>
      <c r="AJO586"/>
      <c r="AJP586"/>
      <c r="AJQ586"/>
      <c r="AJR586"/>
      <c r="AJS586"/>
      <c r="AJT586"/>
      <c r="AJU586"/>
      <c r="AJV586"/>
      <c r="AJW586"/>
      <c r="AJX586"/>
      <c r="AJY586"/>
      <c r="AJZ586"/>
      <c r="AKA586"/>
      <c r="AKB586"/>
      <c r="AKC586"/>
      <c r="AKD586"/>
      <c r="AKE586"/>
      <c r="AKF586"/>
      <c r="AKG586"/>
      <c r="AKH586"/>
      <c r="AKI586"/>
      <c r="AKJ586"/>
      <c r="AKK586"/>
      <c r="AKL586"/>
      <c r="AKM586"/>
      <c r="AKN586"/>
      <c r="AKO586"/>
      <c r="AKP586"/>
      <c r="AKQ586"/>
      <c r="AKR586"/>
      <c r="AKS586"/>
      <c r="AKT586"/>
      <c r="AKU586"/>
      <c r="AKV586"/>
      <c r="AKW586"/>
      <c r="AKX586"/>
      <c r="AKY586"/>
    </row>
    <row r="587" spans="1:987">
      <c r="A587" s="421" t="s">
        <v>393</v>
      </c>
      <c r="B587" s="305"/>
      <c r="C587" s="306"/>
      <c r="D587" s="306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  <c r="ZW587"/>
      <c r="ZX587"/>
      <c r="ZY587"/>
      <c r="ZZ587"/>
      <c r="AAA587"/>
      <c r="AAB587"/>
      <c r="AAC587"/>
      <c r="AAD587"/>
      <c r="AAE587"/>
      <c r="AAF587"/>
      <c r="AAG587"/>
      <c r="AAH587"/>
      <c r="AAI587"/>
      <c r="AAJ587"/>
      <c r="AAK587"/>
      <c r="AAL587"/>
      <c r="AAM587"/>
      <c r="AAN587"/>
      <c r="AAO587"/>
      <c r="AAP587"/>
      <c r="AAQ587"/>
      <c r="AAR587"/>
      <c r="AAS587"/>
      <c r="AAT587"/>
      <c r="AAU587"/>
      <c r="AAV587"/>
      <c r="AAW587"/>
      <c r="AAX587"/>
      <c r="AAY587"/>
      <c r="AAZ587"/>
      <c r="ABA587"/>
      <c r="ABB587"/>
      <c r="ABC587"/>
      <c r="ABD587"/>
      <c r="ABE587"/>
      <c r="ABF587"/>
      <c r="ABG587"/>
      <c r="ABH587"/>
      <c r="ABI587"/>
      <c r="ABJ587"/>
      <c r="ABK587"/>
      <c r="ABL587"/>
      <c r="ABM587"/>
      <c r="ABN587"/>
      <c r="ABO587"/>
      <c r="ABP587"/>
      <c r="ABQ587"/>
      <c r="ABR587"/>
      <c r="ABS587"/>
      <c r="ABT587"/>
      <c r="ABU587"/>
      <c r="ABV587"/>
      <c r="ABW587"/>
      <c r="ABX587"/>
      <c r="ABY587"/>
      <c r="ABZ587"/>
      <c r="ACA587"/>
      <c r="ACB587"/>
      <c r="ACC587"/>
      <c r="ACD587"/>
      <c r="ACE587"/>
      <c r="ACF587"/>
      <c r="ACG587"/>
      <c r="ACH587"/>
      <c r="ACI587"/>
      <c r="ACJ587"/>
      <c r="ACK587"/>
      <c r="ACL587"/>
      <c r="ACM587"/>
      <c r="ACN587"/>
      <c r="ACO587"/>
      <c r="ACP587"/>
      <c r="ACQ587"/>
      <c r="ACR587"/>
      <c r="ACS587"/>
      <c r="ACT587"/>
      <c r="ACU587"/>
      <c r="ACV587"/>
      <c r="ACW587"/>
      <c r="ACX587"/>
      <c r="ACY587"/>
      <c r="ACZ587"/>
      <c r="ADA587"/>
      <c r="ADB587"/>
      <c r="ADC587"/>
      <c r="ADD587"/>
      <c r="ADE587"/>
      <c r="ADF587"/>
      <c r="ADG587"/>
      <c r="ADH587"/>
      <c r="ADI587"/>
      <c r="ADJ587"/>
      <c r="ADK587"/>
      <c r="ADL587"/>
      <c r="ADM587"/>
      <c r="ADN587"/>
      <c r="ADO587"/>
      <c r="ADP587"/>
      <c r="ADQ587"/>
      <c r="ADR587"/>
      <c r="ADS587"/>
      <c r="ADT587"/>
      <c r="ADU587"/>
      <c r="ADV587"/>
      <c r="ADW587"/>
      <c r="ADX587"/>
      <c r="ADY587"/>
      <c r="ADZ587"/>
      <c r="AEA587"/>
      <c r="AEB587"/>
      <c r="AEC587"/>
      <c r="AED587"/>
      <c r="AEE587"/>
      <c r="AEF587"/>
      <c r="AEG587"/>
      <c r="AEH587"/>
      <c r="AEI587"/>
      <c r="AEJ587"/>
      <c r="AEK587"/>
      <c r="AEL587"/>
      <c r="AEM587"/>
      <c r="AEN587"/>
      <c r="AEO587"/>
      <c r="AEP587"/>
      <c r="AEQ587"/>
      <c r="AER587"/>
      <c r="AES587"/>
      <c r="AET587"/>
      <c r="AEU587"/>
      <c r="AEV587"/>
      <c r="AEW587"/>
      <c r="AEX587"/>
      <c r="AEY587"/>
      <c r="AEZ587"/>
      <c r="AFA587"/>
      <c r="AFB587"/>
      <c r="AFC587"/>
      <c r="AFD587"/>
      <c r="AFE587"/>
      <c r="AFF587"/>
      <c r="AFG587"/>
      <c r="AFH587"/>
      <c r="AFI587"/>
      <c r="AFJ587"/>
      <c r="AFK587"/>
      <c r="AFL587"/>
      <c r="AFM587"/>
      <c r="AFN587"/>
      <c r="AFO587"/>
      <c r="AFP587"/>
      <c r="AFQ587"/>
      <c r="AFR587"/>
      <c r="AFS587"/>
      <c r="AFT587"/>
      <c r="AFU587"/>
      <c r="AFV587"/>
      <c r="AFW587"/>
      <c r="AFX587"/>
      <c r="AFY587"/>
      <c r="AFZ587"/>
      <c r="AGA587"/>
      <c r="AGB587"/>
      <c r="AGC587"/>
      <c r="AGD587"/>
      <c r="AGE587"/>
      <c r="AGF587"/>
      <c r="AGG587"/>
      <c r="AGH587"/>
      <c r="AGI587"/>
      <c r="AGJ587"/>
      <c r="AGK587"/>
      <c r="AGL587"/>
      <c r="AGM587"/>
      <c r="AGN587"/>
      <c r="AGO587"/>
      <c r="AGP587"/>
      <c r="AGQ587"/>
      <c r="AGR587"/>
      <c r="AGS587"/>
      <c r="AGT587"/>
      <c r="AGU587"/>
      <c r="AGV587"/>
      <c r="AGW587"/>
      <c r="AGX587"/>
      <c r="AGY587"/>
      <c r="AGZ587"/>
      <c r="AHA587"/>
      <c r="AHB587"/>
      <c r="AHC587"/>
      <c r="AHD587"/>
      <c r="AHE587"/>
      <c r="AHF587"/>
      <c r="AHG587"/>
      <c r="AHH587"/>
      <c r="AHI587"/>
      <c r="AHJ587"/>
      <c r="AHK587"/>
      <c r="AHL587"/>
      <c r="AHM587"/>
      <c r="AHN587"/>
      <c r="AHO587"/>
      <c r="AHP587"/>
      <c r="AHQ587"/>
      <c r="AHR587"/>
      <c r="AHS587"/>
      <c r="AHT587"/>
      <c r="AHU587"/>
      <c r="AHV587"/>
      <c r="AHW587"/>
      <c r="AHX587"/>
      <c r="AHY587"/>
      <c r="AHZ587"/>
      <c r="AIA587"/>
      <c r="AIB587"/>
      <c r="AIC587"/>
      <c r="AID587"/>
      <c r="AIE587"/>
      <c r="AIF587"/>
      <c r="AIG587"/>
      <c r="AIH587"/>
      <c r="AII587"/>
      <c r="AIJ587"/>
      <c r="AIK587"/>
      <c r="AIL587"/>
      <c r="AIM587"/>
      <c r="AIN587"/>
      <c r="AIO587"/>
      <c r="AIP587"/>
      <c r="AIQ587"/>
      <c r="AIR587"/>
      <c r="AIS587"/>
      <c r="AIT587"/>
      <c r="AIU587"/>
      <c r="AIV587"/>
      <c r="AIW587"/>
      <c r="AIX587"/>
      <c r="AIY587"/>
      <c r="AIZ587"/>
      <c r="AJA587"/>
      <c r="AJB587"/>
      <c r="AJC587"/>
      <c r="AJD587"/>
      <c r="AJE587"/>
      <c r="AJF587"/>
      <c r="AJG587"/>
      <c r="AJH587"/>
      <c r="AJI587"/>
      <c r="AJJ587"/>
      <c r="AJK587"/>
      <c r="AJL587"/>
      <c r="AJM587"/>
      <c r="AJN587"/>
      <c r="AJO587"/>
      <c r="AJP587"/>
      <c r="AJQ587"/>
      <c r="AJR587"/>
      <c r="AJS587"/>
      <c r="AJT587"/>
      <c r="AJU587"/>
      <c r="AJV587"/>
      <c r="AJW587"/>
      <c r="AJX587"/>
      <c r="AJY587"/>
      <c r="AJZ587"/>
      <c r="AKA587"/>
      <c r="AKB587"/>
      <c r="AKC587"/>
      <c r="AKD587"/>
      <c r="AKE587"/>
      <c r="AKF587"/>
      <c r="AKG587"/>
      <c r="AKH587"/>
      <c r="AKI587"/>
      <c r="AKJ587"/>
      <c r="AKK587"/>
      <c r="AKL587"/>
      <c r="AKM587"/>
      <c r="AKN587"/>
      <c r="AKO587"/>
      <c r="AKP587"/>
      <c r="AKQ587"/>
      <c r="AKR587"/>
      <c r="AKS587"/>
      <c r="AKT587"/>
      <c r="AKU587"/>
      <c r="AKV587"/>
      <c r="AKW587"/>
      <c r="AKX587"/>
      <c r="AKY587"/>
    </row>
    <row r="588" spans="1:987">
      <c r="A588" s="421" t="s">
        <v>395</v>
      </c>
      <c r="B588" s="305">
        <v>2921</v>
      </c>
      <c r="C588" s="306">
        <v>3620</v>
      </c>
      <c r="D588" s="306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  <c r="ZW588"/>
      <c r="ZX588"/>
      <c r="ZY588"/>
      <c r="ZZ588"/>
      <c r="AAA588"/>
      <c r="AAB588"/>
      <c r="AAC588"/>
      <c r="AAD588"/>
      <c r="AAE588"/>
      <c r="AAF588"/>
      <c r="AAG588"/>
      <c r="AAH588"/>
      <c r="AAI588"/>
      <c r="AAJ588"/>
      <c r="AAK588"/>
      <c r="AAL588"/>
      <c r="AAM588"/>
      <c r="AAN588"/>
      <c r="AAO588"/>
      <c r="AAP588"/>
      <c r="AAQ588"/>
      <c r="AAR588"/>
      <c r="AAS588"/>
      <c r="AAT588"/>
      <c r="AAU588"/>
      <c r="AAV588"/>
      <c r="AAW588"/>
      <c r="AAX588"/>
      <c r="AAY588"/>
      <c r="AAZ588"/>
      <c r="ABA588"/>
      <c r="ABB588"/>
      <c r="ABC588"/>
      <c r="ABD588"/>
      <c r="ABE588"/>
      <c r="ABF588"/>
      <c r="ABG588"/>
      <c r="ABH588"/>
      <c r="ABI588"/>
      <c r="ABJ588"/>
      <c r="ABK588"/>
      <c r="ABL588"/>
      <c r="ABM588"/>
      <c r="ABN588"/>
      <c r="ABO588"/>
      <c r="ABP588"/>
      <c r="ABQ588"/>
      <c r="ABR588"/>
      <c r="ABS588"/>
      <c r="ABT588"/>
      <c r="ABU588"/>
      <c r="ABV588"/>
      <c r="ABW588"/>
      <c r="ABX588"/>
      <c r="ABY588"/>
      <c r="ABZ588"/>
      <c r="ACA588"/>
      <c r="ACB588"/>
      <c r="ACC588"/>
      <c r="ACD588"/>
      <c r="ACE588"/>
      <c r="ACF588"/>
      <c r="ACG588"/>
      <c r="ACH588"/>
      <c r="ACI588"/>
      <c r="ACJ588"/>
      <c r="ACK588"/>
      <c r="ACL588"/>
      <c r="ACM588"/>
      <c r="ACN588"/>
      <c r="ACO588"/>
      <c r="ACP588"/>
      <c r="ACQ588"/>
      <c r="ACR588"/>
      <c r="ACS588"/>
      <c r="ACT588"/>
      <c r="ACU588"/>
      <c r="ACV588"/>
      <c r="ACW588"/>
      <c r="ACX588"/>
      <c r="ACY588"/>
      <c r="ACZ588"/>
      <c r="ADA588"/>
      <c r="ADB588"/>
      <c r="ADC588"/>
      <c r="ADD588"/>
      <c r="ADE588"/>
      <c r="ADF588"/>
      <c r="ADG588"/>
      <c r="ADH588"/>
      <c r="ADI588"/>
      <c r="ADJ588"/>
      <c r="ADK588"/>
      <c r="ADL588"/>
      <c r="ADM588"/>
      <c r="ADN588"/>
      <c r="ADO588"/>
      <c r="ADP588"/>
      <c r="ADQ588"/>
      <c r="ADR588"/>
      <c r="ADS588"/>
      <c r="ADT588"/>
      <c r="ADU588"/>
      <c r="ADV588"/>
      <c r="ADW588"/>
      <c r="ADX588"/>
      <c r="ADY588"/>
      <c r="ADZ588"/>
      <c r="AEA588"/>
      <c r="AEB588"/>
      <c r="AEC588"/>
      <c r="AED588"/>
      <c r="AEE588"/>
      <c r="AEF588"/>
      <c r="AEG588"/>
      <c r="AEH588"/>
      <c r="AEI588"/>
      <c r="AEJ588"/>
      <c r="AEK588"/>
      <c r="AEL588"/>
      <c r="AEM588"/>
      <c r="AEN588"/>
      <c r="AEO588"/>
      <c r="AEP588"/>
      <c r="AEQ588"/>
      <c r="AER588"/>
      <c r="AES588"/>
      <c r="AET588"/>
      <c r="AEU588"/>
      <c r="AEV588"/>
      <c r="AEW588"/>
      <c r="AEX588"/>
      <c r="AEY588"/>
      <c r="AEZ588"/>
      <c r="AFA588"/>
      <c r="AFB588"/>
      <c r="AFC588"/>
      <c r="AFD588"/>
      <c r="AFE588"/>
      <c r="AFF588"/>
      <c r="AFG588"/>
      <c r="AFH588"/>
      <c r="AFI588"/>
      <c r="AFJ588"/>
      <c r="AFK588"/>
      <c r="AFL588"/>
      <c r="AFM588"/>
      <c r="AFN588"/>
      <c r="AFO588"/>
      <c r="AFP588"/>
      <c r="AFQ588"/>
      <c r="AFR588"/>
      <c r="AFS588"/>
      <c r="AFT588"/>
      <c r="AFU588"/>
      <c r="AFV588"/>
      <c r="AFW588"/>
      <c r="AFX588"/>
      <c r="AFY588"/>
      <c r="AFZ588"/>
      <c r="AGA588"/>
      <c r="AGB588"/>
      <c r="AGC588"/>
      <c r="AGD588"/>
      <c r="AGE588"/>
      <c r="AGF588"/>
      <c r="AGG588"/>
      <c r="AGH588"/>
      <c r="AGI588"/>
      <c r="AGJ588"/>
      <c r="AGK588"/>
      <c r="AGL588"/>
      <c r="AGM588"/>
      <c r="AGN588"/>
      <c r="AGO588"/>
      <c r="AGP588"/>
      <c r="AGQ588"/>
      <c r="AGR588"/>
      <c r="AGS588"/>
      <c r="AGT588"/>
      <c r="AGU588"/>
      <c r="AGV588"/>
      <c r="AGW588"/>
      <c r="AGX588"/>
      <c r="AGY588"/>
      <c r="AGZ588"/>
      <c r="AHA588"/>
      <c r="AHB588"/>
      <c r="AHC588"/>
      <c r="AHD588"/>
      <c r="AHE588"/>
      <c r="AHF588"/>
      <c r="AHG588"/>
      <c r="AHH588"/>
      <c r="AHI588"/>
      <c r="AHJ588"/>
      <c r="AHK588"/>
      <c r="AHL588"/>
      <c r="AHM588"/>
      <c r="AHN588"/>
      <c r="AHO588"/>
      <c r="AHP588"/>
      <c r="AHQ588"/>
      <c r="AHR588"/>
      <c r="AHS588"/>
      <c r="AHT588"/>
      <c r="AHU588"/>
      <c r="AHV588"/>
      <c r="AHW588"/>
      <c r="AHX588"/>
      <c r="AHY588"/>
      <c r="AHZ588"/>
      <c r="AIA588"/>
      <c r="AIB588"/>
      <c r="AIC588"/>
      <c r="AID588"/>
      <c r="AIE588"/>
      <c r="AIF588"/>
      <c r="AIG588"/>
      <c r="AIH588"/>
      <c r="AII588"/>
      <c r="AIJ588"/>
      <c r="AIK588"/>
      <c r="AIL588"/>
      <c r="AIM588"/>
      <c r="AIN588"/>
      <c r="AIO588"/>
      <c r="AIP588"/>
      <c r="AIQ588"/>
      <c r="AIR588"/>
      <c r="AIS588"/>
      <c r="AIT588"/>
      <c r="AIU588"/>
      <c r="AIV588"/>
      <c r="AIW588"/>
      <c r="AIX588"/>
      <c r="AIY588"/>
      <c r="AIZ588"/>
      <c r="AJA588"/>
      <c r="AJB588"/>
      <c r="AJC588"/>
      <c r="AJD588"/>
      <c r="AJE588"/>
      <c r="AJF588"/>
      <c r="AJG588"/>
      <c r="AJH588"/>
      <c r="AJI588"/>
      <c r="AJJ588"/>
      <c r="AJK588"/>
      <c r="AJL588"/>
      <c r="AJM588"/>
      <c r="AJN588"/>
      <c r="AJO588"/>
      <c r="AJP588"/>
      <c r="AJQ588"/>
      <c r="AJR588"/>
      <c r="AJS588"/>
      <c r="AJT588"/>
      <c r="AJU588"/>
      <c r="AJV588"/>
      <c r="AJW588"/>
      <c r="AJX588"/>
      <c r="AJY588"/>
      <c r="AJZ588"/>
      <c r="AKA588"/>
      <c r="AKB588"/>
      <c r="AKC588"/>
      <c r="AKD588"/>
      <c r="AKE588"/>
      <c r="AKF588"/>
      <c r="AKG588"/>
      <c r="AKH588"/>
      <c r="AKI588"/>
      <c r="AKJ588"/>
      <c r="AKK588"/>
      <c r="AKL588"/>
      <c r="AKM588"/>
      <c r="AKN588"/>
      <c r="AKO588"/>
      <c r="AKP588"/>
      <c r="AKQ588"/>
      <c r="AKR588"/>
      <c r="AKS588"/>
      <c r="AKT588"/>
      <c r="AKU588"/>
      <c r="AKV588"/>
      <c r="AKW588"/>
      <c r="AKX588"/>
      <c r="AKY588"/>
    </row>
    <row r="589" spans="1:987">
      <c r="A589" s="421" t="s">
        <v>397</v>
      </c>
      <c r="B589" s="305">
        <v>3410</v>
      </c>
      <c r="C589" s="306">
        <v>3620</v>
      </c>
      <c r="D589" s="306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  <c r="ZW589"/>
      <c r="ZX589"/>
      <c r="ZY589"/>
      <c r="ZZ589"/>
      <c r="AAA589"/>
      <c r="AAB589"/>
      <c r="AAC589"/>
      <c r="AAD589"/>
      <c r="AAE589"/>
      <c r="AAF589"/>
      <c r="AAG589"/>
      <c r="AAH589"/>
      <c r="AAI589"/>
      <c r="AAJ589"/>
      <c r="AAK589"/>
      <c r="AAL589"/>
      <c r="AAM589"/>
      <c r="AAN589"/>
      <c r="AAO589"/>
      <c r="AAP589"/>
      <c r="AAQ589"/>
      <c r="AAR589"/>
      <c r="AAS589"/>
      <c r="AAT589"/>
      <c r="AAU589"/>
      <c r="AAV589"/>
      <c r="AAW589"/>
      <c r="AAX589"/>
      <c r="AAY589"/>
      <c r="AAZ589"/>
      <c r="ABA589"/>
      <c r="ABB589"/>
      <c r="ABC589"/>
      <c r="ABD589"/>
      <c r="ABE589"/>
      <c r="ABF589"/>
      <c r="ABG589"/>
      <c r="ABH589"/>
      <c r="ABI589"/>
      <c r="ABJ589"/>
      <c r="ABK589"/>
      <c r="ABL589"/>
      <c r="ABM589"/>
      <c r="ABN589"/>
      <c r="ABO589"/>
      <c r="ABP589"/>
      <c r="ABQ589"/>
      <c r="ABR589"/>
      <c r="ABS589"/>
      <c r="ABT589"/>
      <c r="ABU589"/>
      <c r="ABV589"/>
      <c r="ABW589"/>
      <c r="ABX589"/>
      <c r="ABY589"/>
      <c r="ABZ589"/>
      <c r="ACA589"/>
      <c r="ACB589"/>
      <c r="ACC589"/>
      <c r="ACD589"/>
      <c r="ACE589"/>
      <c r="ACF589"/>
      <c r="ACG589"/>
      <c r="ACH589"/>
      <c r="ACI589"/>
      <c r="ACJ589"/>
      <c r="ACK589"/>
      <c r="ACL589"/>
      <c r="ACM589"/>
      <c r="ACN589"/>
      <c r="ACO589"/>
      <c r="ACP589"/>
      <c r="ACQ589"/>
      <c r="ACR589"/>
      <c r="ACS589"/>
      <c r="ACT589"/>
      <c r="ACU589"/>
      <c r="ACV589"/>
      <c r="ACW589"/>
      <c r="ACX589"/>
      <c r="ACY589"/>
      <c r="ACZ589"/>
      <c r="ADA589"/>
      <c r="ADB589"/>
      <c r="ADC589"/>
      <c r="ADD589"/>
      <c r="ADE589"/>
      <c r="ADF589"/>
      <c r="ADG589"/>
      <c r="ADH589"/>
      <c r="ADI589"/>
      <c r="ADJ589"/>
      <c r="ADK589"/>
      <c r="ADL589"/>
      <c r="ADM589"/>
      <c r="ADN589"/>
      <c r="ADO589"/>
      <c r="ADP589"/>
      <c r="ADQ589"/>
      <c r="ADR589"/>
      <c r="ADS589"/>
      <c r="ADT589"/>
      <c r="ADU589"/>
      <c r="ADV589"/>
      <c r="ADW589"/>
      <c r="ADX589"/>
      <c r="ADY589"/>
      <c r="ADZ589"/>
      <c r="AEA589"/>
      <c r="AEB589"/>
      <c r="AEC589"/>
      <c r="AED589"/>
      <c r="AEE589"/>
      <c r="AEF589"/>
      <c r="AEG589"/>
      <c r="AEH589"/>
      <c r="AEI589"/>
      <c r="AEJ589"/>
      <c r="AEK589"/>
      <c r="AEL589"/>
      <c r="AEM589"/>
      <c r="AEN589"/>
      <c r="AEO589"/>
      <c r="AEP589"/>
      <c r="AEQ589"/>
      <c r="AER589"/>
      <c r="AES589"/>
      <c r="AET589"/>
      <c r="AEU589"/>
      <c r="AEV589"/>
      <c r="AEW589"/>
      <c r="AEX589"/>
      <c r="AEY589"/>
      <c r="AEZ589"/>
      <c r="AFA589"/>
      <c r="AFB589"/>
      <c r="AFC589"/>
      <c r="AFD589"/>
      <c r="AFE589"/>
      <c r="AFF589"/>
      <c r="AFG589"/>
      <c r="AFH589"/>
      <c r="AFI589"/>
      <c r="AFJ589"/>
      <c r="AFK589"/>
      <c r="AFL589"/>
      <c r="AFM589"/>
      <c r="AFN589"/>
      <c r="AFO589"/>
      <c r="AFP589"/>
      <c r="AFQ589"/>
      <c r="AFR589"/>
      <c r="AFS589"/>
      <c r="AFT589"/>
      <c r="AFU589"/>
      <c r="AFV589"/>
      <c r="AFW589"/>
      <c r="AFX589"/>
      <c r="AFY589"/>
      <c r="AFZ589"/>
      <c r="AGA589"/>
      <c r="AGB589"/>
      <c r="AGC589"/>
      <c r="AGD589"/>
      <c r="AGE589"/>
      <c r="AGF589"/>
      <c r="AGG589"/>
      <c r="AGH589"/>
      <c r="AGI589"/>
      <c r="AGJ589"/>
      <c r="AGK589"/>
      <c r="AGL589"/>
      <c r="AGM589"/>
      <c r="AGN589"/>
      <c r="AGO589"/>
      <c r="AGP589"/>
      <c r="AGQ589"/>
      <c r="AGR589"/>
      <c r="AGS589"/>
      <c r="AGT589"/>
      <c r="AGU589"/>
      <c r="AGV589"/>
      <c r="AGW589"/>
      <c r="AGX589"/>
      <c r="AGY589"/>
      <c r="AGZ589"/>
      <c r="AHA589"/>
      <c r="AHB589"/>
      <c r="AHC589"/>
      <c r="AHD589"/>
      <c r="AHE589"/>
      <c r="AHF589"/>
      <c r="AHG589"/>
      <c r="AHH589"/>
      <c r="AHI589"/>
      <c r="AHJ589"/>
      <c r="AHK589"/>
      <c r="AHL589"/>
      <c r="AHM589"/>
      <c r="AHN589"/>
      <c r="AHO589"/>
      <c r="AHP589"/>
      <c r="AHQ589"/>
      <c r="AHR589"/>
      <c r="AHS589"/>
      <c r="AHT589"/>
      <c r="AHU589"/>
      <c r="AHV589"/>
      <c r="AHW589"/>
      <c r="AHX589"/>
      <c r="AHY589"/>
      <c r="AHZ589"/>
      <c r="AIA589"/>
      <c r="AIB589"/>
      <c r="AIC589"/>
      <c r="AID589"/>
      <c r="AIE589"/>
      <c r="AIF589"/>
      <c r="AIG589"/>
      <c r="AIH589"/>
      <c r="AII589"/>
      <c r="AIJ589"/>
      <c r="AIK589"/>
      <c r="AIL589"/>
      <c r="AIM589"/>
      <c r="AIN589"/>
      <c r="AIO589"/>
      <c r="AIP589"/>
      <c r="AIQ589"/>
      <c r="AIR589"/>
      <c r="AIS589"/>
      <c r="AIT589"/>
      <c r="AIU589"/>
      <c r="AIV589"/>
      <c r="AIW589"/>
      <c r="AIX589"/>
      <c r="AIY589"/>
      <c r="AIZ589"/>
      <c r="AJA589"/>
      <c r="AJB589"/>
      <c r="AJC589"/>
      <c r="AJD589"/>
      <c r="AJE589"/>
      <c r="AJF589"/>
      <c r="AJG589"/>
      <c r="AJH589"/>
      <c r="AJI589"/>
      <c r="AJJ589"/>
      <c r="AJK589"/>
      <c r="AJL589"/>
      <c r="AJM589"/>
      <c r="AJN589"/>
      <c r="AJO589"/>
      <c r="AJP589"/>
      <c r="AJQ589"/>
      <c r="AJR589"/>
      <c r="AJS589"/>
      <c r="AJT589"/>
      <c r="AJU589"/>
      <c r="AJV589"/>
      <c r="AJW589"/>
      <c r="AJX589"/>
      <c r="AJY589"/>
      <c r="AJZ589"/>
      <c r="AKA589"/>
      <c r="AKB589"/>
      <c r="AKC589"/>
      <c r="AKD589"/>
      <c r="AKE589"/>
      <c r="AKF589"/>
      <c r="AKG589"/>
      <c r="AKH589"/>
      <c r="AKI589"/>
      <c r="AKJ589"/>
      <c r="AKK589"/>
      <c r="AKL589"/>
      <c r="AKM589"/>
      <c r="AKN589"/>
      <c r="AKO589"/>
      <c r="AKP589"/>
      <c r="AKQ589"/>
      <c r="AKR589"/>
      <c r="AKS589"/>
      <c r="AKT589"/>
      <c r="AKU589"/>
      <c r="AKV589"/>
      <c r="AKW589"/>
      <c r="AKX589"/>
      <c r="AKY589"/>
    </row>
    <row r="590" spans="1:987">
      <c r="A590" s="421" t="s">
        <v>399</v>
      </c>
      <c r="B590" s="305">
        <v>3095</v>
      </c>
      <c r="C590" s="306">
        <v>3620</v>
      </c>
      <c r="D590" s="306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  <c r="ZW590"/>
      <c r="ZX590"/>
      <c r="ZY590"/>
      <c r="ZZ590"/>
      <c r="AAA590"/>
      <c r="AAB590"/>
      <c r="AAC590"/>
      <c r="AAD590"/>
      <c r="AAE590"/>
      <c r="AAF590"/>
      <c r="AAG590"/>
      <c r="AAH590"/>
      <c r="AAI590"/>
      <c r="AAJ590"/>
      <c r="AAK590"/>
      <c r="AAL590"/>
      <c r="AAM590"/>
      <c r="AAN590"/>
      <c r="AAO590"/>
      <c r="AAP590"/>
      <c r="AAQ590"/>
      <c r="AAR590"/>
      <c r="AAS590"/>
      <c r="AAT590"/>
      <c r="AAU590"/>
      <c r="AAV590"/>
      <c r="AAW590"/>
      <c r="AAX590"/>
      <c r="AAY590"/>
      <c r="AAZ590"/>
      <c r="ABA590"/>
      <c r="ABB590"/>
      <c r="ABC590"/>
      <c r="ABD590"/>
      <c r="ABE590"/>
      <c r="ABF590"/>
      <c r="ABG590"/>
      <c r="ABH590"/>
      <c r="ABI590"/>
      <c r="ABJ590"/>
      <c r="ABK590"/>
      <c r="ABL590"/>
      <c r="ABM590"/>
      <c r="ABN590"/>
      <c r="ABO590"/>
      <c r="ABP590"/>
      <c r="ABQ590"/>
      <c r="ABR590"/>
      <c r="ABS590"/>
      <c r="ABT590"/>
      <c r="ABU590"/>
      <c r="ABV590"/>
      <c r="ABW590"/>
      <c r="ABX590"/>
      <c r="ABY590"/>
      <c r="ABZ590"/>
      <c r="ACA590"/>
      <c r="ACB590"/>
      <c r="ACC590"/>
      <c r="ACD590"/>
      <c r="ACE590"/>
      <c r="ACF590"/>
      <c r="ACG590"/>
      <c r="ACH590"/>
      <c r="ACI590"/>
      <c r="ACJ590"/>
      <c r="ACK590"/>
      <c r="ACL590"/>
      <c r="ACM590"/>
      <c r="ACN590"/>
      <c r="ACO590"/>
      <c r="ACP590"/>
      <c r="ACQ590"/>
      <c r="ACR590"/>
      <c r="ACS590"/>
      <c r="ACT590"/>
      <c r="ACU590"/>
      <c r="ACV590"/>
      <c r="ACW590"/>
      <c r="ACX590"/>
      <c r="ACY590"/>
      <c r="ACZ590"/>
      <c r="ADA590"/>
      <c r="ADB590"/>
      <c r="ADC590"/>
      <c r="ADD590"/>
      <c r="ADE590"/>
      <c r="ADF590"/>
      <c r="ADG590"/>
      <c r="ADH590"/>
      <c r="ADI590"/>
      <c r="ADJ590"/>
      <c r="ADK590"/>
      <c r="ADL590"/>
      <c r="ADM590"/>
      <c r="ADN590"/>
      <c r="ADO590"/>
      <c r="ADP590"/>
      <c r="ADQ590"/>
      <c r="ADR590"/>
      <c r="ADS590"/>
      <c r="ADT590"/>
      <c r="ADU590"/>
      <c r="ADV590"/>
      <c r="ADW590"/>
      <c r="ADX590"/>
      <c r="ADY590"/>
      <c r="ADZ590"/>
      <c r="AEA590"/>
      <c r="AEB590"/>
      <c r="AEC590"/>
      <c r="AED590"/>
      <c r="AEE590"/>
      <c r="AEF590"/>
      <c r="AEG590"/>
      <c r="AEH590"/>
      <c r="AEI590"/>
      <c r="AEJ590"/>
      <c r="AEK590"/>
      <c r="AEL590"/>
      <c r="AEM590"/>
      <c r="AEN590"/>
      <c r="AEO590"/>
      <c r="AEP590"/>
      <c r="AEQ590"/>
      <c r="AER590"/>
      <c r="AES590"/>
      <c r="AET590"/>
      <c r="AEU590"/>
      <c r="AEV590"/>
      <c r="AEW590"/>
      <c r="AEX590"/>
      <c r="AEY590"/>
      <c r="AEZ590"/>
      <c r="AFA590"/>
      <c r="AFB590"/>
      <c r="AFC590"/>
      <c r="AFD590"/>
      <c r="AFE590"/>
      <c r="AFF590"/>
      <c r="AFG590"/>
      <c r="AFH590"/>
      <c r="AFI590"/>
      <c r="AFJ590"/>
      <c r="AFK590"/>
      <c r="AFL590"/>
      <c r="AFM590"/>
      <c r="AFN590"/>
      <c r="AFO590"/>
      <c r="AFP590"/>
      <c r="AFQ590"/>
      <c r="AFR590"/>
      <c r="AFS590"/>
      <c r="AFT590"/>
      <c r="AFU590"/>
      <c r="AFV590"/>
      <c r="AFW590"/>
      <c r="AFX590"/>
      <c r="AFY590"/>
      <c r="AFZ590"/>
      <c r="AGA590"/>
      <c r="AGB590"/>
      <c r="AGC590"/>
      <c r="AGD590"/>
      <c r="AGE590"/>
      <c r="AGF590"/>
      <c r="AGG590"/>
      <c r="AGH590"/>
      <c r="AGI590"/>
      <c r="AGJ590"/>
      <c r="AGK590"/>
      <c r="AGL590"/>
      <c r="AGM590"/>
      <c r="AGN590"/>
      <c r="AGO590"/>
      <c r="AGP590"/>
      <c r="AGQ590"/>
      <c r="AGR590"/>
      <c r="AGS590"/>
      <c r="AGT590"/>
      <c r="AGU590"/>
      <c r="AGV590"/>
      <c r="AGW590"/>
      <c r="AGX590"/>
      <c r="AGY590"/>
      <c r="AGZ590"/>
      <c r="AHA590"/>
      <c r="AHB590"/>
      <c r="AHC590"/>
      <c r="AHD590"/>
      <c r="AHE590"/>
      <c r="AHF590"/>
      <c r="AHG590"/>
      <c r="AHH590"/>
      <c r="AHI590"/>
      <c r="AHJ590"/>
      <c r="AHK590"/>
      <c r="AHL590"/>
      <c r="AHM590"/>
      <c r="AHN590"/>
      <c r="AHO590"/>
      <c r="AHP590"/>
      <c r="AHQ590"/>
      <c r="AHR590"/>
      <c r="AHS590"/>
      <c r="AHT590"/>
      <c r="AHU590"/>
      <c r="AHV590"/>
      <c r="AHW590"/>
      <c r="AHX590"/>
      <c r="AHY590"/>
      <c r="AHZ590"/>
      <c r="AIA590"/>
      <c r="AIB590"/>
      <c r="AIC590"/>
      <c r="AID590"/>
      <c r="AIE590"/>
      <c r="AIF590"/>
      <c r="AIG590"/>
      <c r="AIH590"/>
      <c r="AII590"/>
      <c r="AIJ590"/>
      <c r="AIK590"/>
      <c r="AIL590"/>
      <c r="AIM590"/>
      <c r="AIN590"/>
      <c r="AIO590"/>
      <c r="AIP590"/>
      <c r="AIQ590"/>
      <c r="AIR590"/>
      <c r="AIS590"/>
      <c r="AIT590"/>
      <c r="AIU590"/>
      <c r="AIV590"/>
      <c r="AIW590"/>
      <c r="AIX590"/>
      <c r="AIY590"/>
      <c r="AIZ590"/>
      <c r="AJA590"/>
      <c r="AJB590"/>
      <c r="AJC590"/>
      <c r="AJD590"/>
      <c r="AJE590"/>
      <c r="AJF590"/>
      <c r="AJG590"/>
      <c r="AJH590"/>
      <c r="AJI590"/>
      <c r="AJJ590"/>
      <c r="AJK590"/>
      <c r="AJL590"/>
      <c r="AJM590"/>
      <c r="AJN590"/>
      <c r="AJO590"/>
      <c r="AJP590"/>
      <c r="AJQ590"/>
      <c r="AJR590"/>
      <c r="AJS590"/>
      <c r="AJT590"/>
      <c r="AJU590"/>
      <c r="AJV590"/>
      <c r="AJW590"/>
      <c r="AJX590"/>
      <c r="AJY590"/>
      <c r="AJZ590"/>
      <c r="AKA590"/>
      <c r="AKB590"/>
      <c r="AKC590"/>
      <c r="AKD590"/>
      <c r="AKE590"/>
      <c r="AKF590"/>
      <c r="AKG590"/>
      <c r="AKH590"/>
      <c r="AKI590"/>
      <c r="AKJ590"/>
      <c r="AKK590"/>
      <c r="AKL590"/>
      <c r="AKM590"/>
      <c r="AKN590"/>
      <c r="AKO590"/>
      <c r="AKP590"/>
      <c r="AKQ590"/>
      <c r="AKR590"/>
      <c r="AKS590"/>
      <c r="AKT590"/>
      <c r="AKU590"/>
      <c r="AKV590"/>
      <c r="AKW590"/>
      <c r="AKX590"/>
      <c r="AKY590"/>
    </row>
    <row r="591" spans="1:987">
      <c r="A591" s="421" t="s">
        <v>400</v>
      </c>
      <c r="B591" s="305"/>
      <c r="C591" s="306"/>
      <c r="D591" s="306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  <c r="ZW591"/>
      <c r="ZX591"/>
      <c r="ZY591"/>
      <c r="ZZ591"/>
      <c r="AAA591"/>
      <c r="AAB591"/>
      <c r="AAC591"/>
      <c r="AAD591"/>
      <c r="AAE591"/>
      <c r="AAF591"/>
      <c r="AAG591"/>
      <c r="AAH591"/>
      <c r="AAI591"/>
      <c r="AAJ591"/>
      <c r="AAK591"/>
      <c r="AAL591"/>
      <c r="AAM591"/>
      <c r="AAN591"/>
      <c r="AAO591"/>
      <c r="AAP591"/>
      <c r="AAQ591"/>
      <c r="AAR591"/>
      <c r="AAS591"/>
      <c r="AAT591"/>
      <c r="AAU591"/>
      <c r="AAV591"/>
      <c r="AAW591"/>
      <c r="AAX591"/>
      <c r="AAY591"/>
      <c r="AAZ591"/>
      <c r="ABA591"/>
      <c r="ABB591"/>
      <c r="ABC591"/>
      <c r="ABD591"/>
      <c r="ABE591"/>
      <c r="ABF591"/>
      <c r="ABG591"/>
      <c r="ABH591"/>
      <c r="ABI591"/>
      <c r="ABJ591"/>
      <c r="ABK591"/>
      <c r="ABL591"/>
      <c r="ABM591"/>
      <c r="ABN591"/>
      <c r="ABO591"/>
      <c r="ABP591"/>
      <c r="ABQ591"/>
      <c r="ABR591"/>
      <c r="ABS591"/>
      <c r="ABT591"/>
      <c r="ABU591"/>
      <c r="ABV591"/>
      <c r="ABW591"/>
      <c r="ABX591"/>
      <c r="ABY591"/>
      <c r="ABZ591"/>
      <c r="ACA591"/>
      <c r="ACB591"/>
      <c r="ACC591"/>
      <c r="ACD591"/>
      <c r="ACE591"/>
      <c r="ACF591"/>
      <c r="ACG591"/>
      <c r="ACH591"/>
      <c r="ACI591"/>
      <c r="ACJ591"/>
      <c r="ACK591"/>
      <c r="ACL591"/>
      <c r="ACM591"/>
      <c r="ACN591"/>
      <c r="ACO591"/>
      <c r="ACP591"/>
      <c r="ACQ591"/>
      <c r="ACR591"/>
      <c r="ACS591"/>
      <c r="ACT591"/>
      <c r="ACU591"/>
      <c r="ACV591"/>
      <c r="ACW591"/>
      <c r="ACX591"/>
      <c r="ACY591"/>
      <c r="ACZ591"/>
      <c r="ADA591"/>
      <c r="ADB591"/>
      <c r="ADC591"/>
      <c r="ADD591"/>
      <c r="ADE591"/>
      <c r="ADF591"/>
      <c r="ADG591"/>
      <c r="ADH591"/>
      <c r="ADI591"/>
      <c r="ADJ591"/>
      <c r="ADK591"/>
      <c r="ADL591"/>
      <c r="ADM591"/>
      <c r="ADN591"/>
      <c r="ADO591"/>
      <c r="ADP591"/>
      <c r="ADQ591"/>
      <c r="ADR591"/>
      <c r="ADS591"/>
      <c r="ADT591"/>
      <c r="ADU591"/>
      <c r="ADV591"/>
      <c r="ADW591"/>
      <c r="ADX591"/>
      <c r="ADY591"/>
      <c r="ADZ591"/>
      <c r="AEA591"/>
      <c r="AEB591"/>
      <c r="AEC591"/>
      <c r="AED591"/>
      <c r="AEE591"/>
      <c r="AEF591"/>
      <c r="AEG591"/>
      <c r="AEH591"/>
      <c r="AEI591"/>
      <c r="AEJ591"/>
      <c r="AEK591"/>
      <c r="AEL591"/>
      <c r="AEM591"/>
      <c r="AEN591"/>
      <c r="AEO591"/>
      <c r="AEP591"/>
      <c r="AEQ591"/>
      <c r="AER591"/>
      <c r="AES591"/>
      <c r="AET591"/>
      <c r="AEU591"/>
      <c r="AEV591"/>
      <c r="AEW591"/>
      <c r="AEX591"/>
      <c r="AEY591"/>
      <c r="AEZ591"/>
      <c r="AFA591"/>
      <c r="AFB591"/>
      <c r="AFC591"/>
      <c r="AFD591"/>
      <c r="AFE591"/>
      <c r="AFF591"/>
      <c r="AFG591"/>
      <c r="AFH591"/>
      <c r="AFI591"/>
      <c r="AFJ591"/>
      <c r="AFK591"/>
      <c r="AFL591"/>
      <c r="AFM591"/>
      <c r="AFN591"/>
      <c r="AFO591"/>
      <c r="AFP591"/>
      <c r="AFQ591"/>
      <c r="AFR591"/>
      <c r="AFS591"/>
      <c r="AFT591"/>
      <c r="AFU591"/>
      <c r="AFV591"/>
      <c r="AFW591"/>
      <c r="AFX591"/>
      <c r="AFY591"/>
      <c r="AFZ591"/>
      <c r="AGA591"/>
      <c r="AGB591"/>
      <c r="AGC591"/>
      <c r="AGD591"/>
      <c r="AGE591"/>
      <c r="AGF591"/>
      <c r="AGG591"/>
      <c r="AGH591"/>
      <c r="AGI591"/>
      <c r="AGJ591"/>
      <c r="AGK591"/>
      <c r="AGL591"/>
      <c r="AGM591"/>
      <c r="AGN591"/>
      <c r="AGO591"/>
      <c r="AGP591"/>
      <c r="AGQ591"/>
      <c r="AGR591"/>
      <c r="AGS591"/>
      <c r="AGT591"/>
      <c r="AGU591"/>
      <c r="AGV591"/>
      <c r="AGW591"/>
      <c r="AGX591"/>
      <c r="AGY591"/>
      <c r="AGZ591"/>
      <c r="AHA591"/>
      <c r="AHB591"/>
      <c r="AHC591"/>
      <c r="AHD591"/>
      <c r="AHE591"/>
      <c r="AHF591"/>
      <c r="AHG591"/>
      <c r="AHH591"/>
      <c r="AHI591"/>
      <c r="AHJ591"/>
      <c r="AHK591"/>
      <c r="AHL591"/>
      <c r="AHM591"/>
      <c r="AHN591"/>
      <c r="AHO591"/>
      <c r="AHP591"/>
      <c r="AHQ591"/>
      <c r="AHR591"/>
      <c r="AHS591"/>
      <c r="AHT591"/>
      <c r="AHU591"/>
      <c r="AHV591"/>
      <c r="AHW591"/>
      <c r="AHX591"/>
      <c r="AHY591"/>
      <c r="AHZ591"/>
      <c r="AIA591"/>
      <c r="AIB591"/>
      <c r="AIC591"/>
      <c r="AID591"/>
      <c r="AIE591"/>
      <c r="AIF591"/>
      <c r="AIG591"/>
      <c r="AIH591"/>
      <c r="AII591"/>
      <c r="AIJ591"/>
      <c r="AIK591"/>
      <c r="AIL591"/>
      <c r="AIM591"/>
      <c r="AIN591"/>
      <c r="AIO591"/>
      <c r="AIP591"/>
      <c r="AIQ591"/>
      <c r="AIR591"/>
      <c r="AIS591"/>
      <c r="AIT591"/>
      <c r="AIU591"/>
      <c r="AIV591"/>
      <c r="AIW591"/>
      <c r="AIX591"/>
      <c r="AIY591"/>
      <c r="AIZ591"/>
      <c r="AJA591"/>
      <c r="AJB591"/>
      <c r="AJC591"/>
      <c r="AJD591"/>
      <c r="AJE591"/>
      <c r="AJF591"/>
      <c r="AJG591"/>
      <c r="AJH591"/>
      <c r="AJI591"/>
      <c r="AJJ591"/>
      <c r="AJK591"/>
      <c r="AJL591"/>
      <c r="AJM591"/>
      <c r="AJN591"/>
      <c r="AJO591"/>
      <c r="AJP591"/>
      <c r="AJQ591"/>
      <c r="AJR591"/>
      <c r="AJS591"/>
      <c r="AJT591"/>
      <c r="AJU591"/>
      <c r="AJV591"/>
      <c r="AJW591"/>
      <c r="AJX591"/>
      <c r="AJY591"/>
      <c r="AJZ591"/>
      <c r="AKA591"/>
      <c r="AKB591"/>
      <c r="AKC591"/>
      <c r="AKD591"/>
      <c r="AKE591"/>
      <c r="AKF591"/>
      <c r="AKG591"/>
      <c r="AKH591"/>
      <c r="AKI591"/>
      <c r="AKJ591"/>
      <c r="AKK591"/>
      <c r="AKL591"/>
      <c r="AKM591"/>
      <c r="AKN591"/>
      <c r="AKO591"/>
      <c r="AKP591"/>
      <c r="AKQ591"/>
      <c r="AKR591"/>
      <c r="AKS591"/>
      <c r="AKT591"/>
      <c r="AKU591"/>
      <c r="AKV591"/>
      <c r="AKW591"/>
      <c r="AKX591"/>
      <c r="AKY591"/>
    </row>
    <row r="592" spans="1:987" ht="16.5" customHeight="1">
      <c r="A592" s="421" t="s">
        <v>401</v>
      </c>
      <c r="B592" s="305"/>
      <c r="C592" s="306"/>
      <c r="D592" s="306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  <c r="ZY592"/>
      <c r="ZZ592"/>
      <c r="AAA592"/>
      <c r="AAB592"/>
      <c r="AAC592"/>
      <c r="AAD592"/>
      <c r="AAE592"/>
      <c r="AAF592"/>
      <c r="AAG592"/>
      <c r="AAH592"/>
      <c r="AAI592"/>
      <c r="AAJ592"/>
      <c r="AAK592"/>
      <c r="AAL592"/>
      <c r="AAM592"/>
      <c r="AAN592"/>
      <c r="AAO592"/>
      <c r="AAP592"/>
      <c r="AAQ592"/>
      <c r="AAR592"/>
      <c r="AAS592"/>
      <c r="AAT592"/>
      <c r="AAU592"/>
      <c r="AAV592"/>
      <c r="AAW592"/>
      <c r="AAX592"/>
      <c r="AAY592"/>
      <c r="AAZ592"/>
      <c r="ABA592"/>
      <c r="ABB592"/>
      <c r="ABC592"/>
      <c r="ABD592"/>
      <c r="ABE592"/>
      <c r="ABF592"/>
      <c r="ABG592"/>
      <c r="ABH592"/>
      <c r="ABI592"/>
      <c r="ABJ592"/>
      <c r="ABK592"/>
      <c r="ABL592"/>
      <c r="ABM592"/>
      <c r="ABN592"/>
      <c r="ABO592"/>
      <c r="ABP592"/>
      <c r="ABQ592"/>
      <c r="ABR592"/>
      <c r="ABS592"/>
      <c r="ABT592"/>
      <c r="ABU592"/>
      <c r="ABV592"/>
      <c r="ABW592"/>
      <c r="ABX592"/>
      <c r="ABY592"/>
      <c r="ABZ592"/>
      <c r="ACA592"/>
      <c r="ACB592"/>
      <c r="ACC592"/>
      <c r="ACD592"/>
      <c r="ACE592"/>
      <c r="ACF592"/>
      <c r="ACG592"/>
      <c r="ACH592"/>
      <c r="ACI592"/>
      <c r="ACJ592"/>
      <c r="ACK592"/>
      <c r="ACL592"/>
      <c r="ACM592"/>
      <c r="ACN592"/>
      <c r="ACO592"/>
      <c r="ACP592"/>
      <c r="ACQ592"/>
      <c r="ACR592"/>
      <c r="ACS592"/>
      <c r="ACT592"/>
      <c r="ACU592"/>
      <c r="ACV592"/>
      <c r="ACW592"/>
      <c r="ACX592"/>
      <c r="ACY592"/>
      <c r="ACZ592"/>
      <c r="ADA592"/>
      <c r="ADB592"/>
      <c r="ADC592"/>
      <c r="ADD592"/>
      <c r="ADE592"/>
      <c r="ADF592"/>
      <c r="ADG592"/>
      <c r="ADH592"/>
      <c r="ADI592"/>
      <c r="ADJ592"/>
      <c r="ADK592"/>
      <c r="ADL592"/>
      <c r="ADM592"/>
      <c r="ADN592"/>
      <c r="ADO592"/>
      <c r="ADP592"/>
      <c r="ADQ592"/>
      <c r="ADR592"/>
      <c r="ADS592"/>
      <c r="ADT592"/>
      <c r="ADU592"/>
      <c r="ADV592"/>
      <c r="ADW592"/>
      <c r="ADX592"/>
      <c r="ADY592"/>
      <c r="ADZ592"/>
      <c r="AEA592"/>
      <c r="AEB592"/>
      <c r="AEC592"/>
      <c r="AED592"/>
      <c r="AEE592"/>
      <c r="AEF592"/>
      <c r="AEG592"/>
      <c r="AEH592"/>
      <c r="AEI592"/>
      <c r="AEJ592"/>
      <c r="AEK592"/>
      <c r="AEL592"/>
      <c r="AEM592"/>
      <c r="AEN592"/>
      <c r="AEO592"/>
      <c r="AEP592"/>
      <c r="AEQ592"/>
      <c r="AER592"/>
      <c r="AES592"/>
      <c r="AET592"/>
      <c r="AEU592"/>
      <c r="AEV592"/>
      <c r="AEW592"/>
      <c r="AEX592"/>
      <c r="AEY592"/>
      <c r="AEZ592"/>
      <c r="AFA592"/>
      <c r="AFB592"/>
      <c r="AFC592"/>
      <c r="AFD592"/>
      <c r="AFE592"/>
      <c r="AFF592"/>
      <c r="AFG592"/>
      <c r="AFH592"/>
      <c r="AFI592"/>
      <c r="AFJ592"/>
      <c r="AFK592"/>
      <c r="AFL592"/>
      <c r="AFM592"/>
      <c r="AFN592"/>
      <c r="AFO592"/>
      <c r="AFP592"/>
      <c r="AFQ592"/>
      <c r="AFR592"/>
      <c r="AFS592"/>
      <c r="AFT592"/>
      <c r="AFU592"/>
      <c r="AFV592"/>
      <c r="AFW592"/>
      <c r="AFX592"/>
      <c r="AFY592"/>
      <c r="AFZ592"/>
      <c r="AGA592"/>
      <c r="AGB592"/>
      <c r="AGC592"/>
      <c r="AGD592"/>
      <c r="AGE592"/>
      <c r="AGF592"/>
      <c r="AGG592"/>
      <c r="AGH592"/>
      <c r="AGI592"/>
      <c r="AGJ592"/>
      <c r="AGK592"/>
      <c r="AGL592"/>
      <c r="AGM592"/>
      <c r="AGN592"/>
      <c r="AGO592"/>
      <c r="AGP592"/>
      <c r="AGQ592"/>
      <c r="AGR592"/>
      <c r="AGS592"/>
      <c r="AGT592"/>
      <c r="AGU592"/>
      <c r="AGV592"/>
      <c r="AGW592"/>
      <c r="AGX592"/>
      <c r="AGY592"/>
      <c r="AGZ592"/>
      <c r="AHA592"/>
      <c r="AHB592"/>
      <c r="AHC592"/>
      <c r="AHD592"/>
      <c r="AHE592"/>
      <c r="AHF592"/>
      <c r="AHG592"/>
      <c r="AHH592"/>
      <c r="AHI592"/>
      <c r="AHJ592"/>
      <c r="AHK592"/>
      <c r="AHL592"/>
      <c r="AHM592"/>
      <c r="AHN592"/>
      <c r="AHO592"/>
      <c r="AHP592"/>
      <c r="AHQ592"/>
      <c r="AHR592"/>
      <c r="AHS592"/>
      <c r="AHT592"/>
      <c r="AHU592"/>
      <c r="AHV592"/>
      <c r="AHW592"/>
      <c r="AHX592"/>
      <c r="AHY592"/>
      <c r="AHZ592"/>
      <c r="AIA592"/>
      <c r="AIB592"/>
      <c r="AIC592"/>
      <c r="AID592"/>
      <c r="AIE592"/>
      <c r="AIF592"/>
      <c r="AIG592"/>
      <c r="AIH592"/>
      <c r="AII592"/>
      <c r="AIJ592"/>
      <c r="AIK592"/>
      <c r="AIL592"/>
      <c r="AIM592"/>
      <c r="AIN592"/>
      <c r="AIO592"/>
      <c r="AIP592"/>
      <c r="AIQ592"/>
      <c r="AIR592"/>
      <c r="AIS592"/>
      <c r="AIT592"/>
      <c r="AIU592"/>
      <c r="AIV592"/>
      <c r="AIW592"/>
      <c r="AIX592"/>
      <c r="AIY592"/>
      <c r="AIZ592"/>
      <c r="AJA592"/>
      <c r="AJB592"/>
      <c r="AJC592"/>
      <c r="AJD592"/>
      <c r="AJE592"/>
      <c r="AJF592"/>
      <c r="AJG592"/>
      <c r="AJH592"/>
      <c r="AJI592"/>
      <c r="AJJ592"/>
      <c r="AJK592"/>
      <c r="AJL592"/>
      <c r="AJM592"/>
      <c r="AJN592"/>
      <c r="AJO592"/>
      <c r="AJP592"/>
      <c r="AJQ592"/>
      <c r="AJR592"/>
      <c r="AJS592"/>
      <c r="AJT592"/>
      <c r="AJU592"/>
      <c r="AJV592"/>
      <c r="AJW592"/>
      <c r="AJX592"/>
      <c r="AJY592"/>
      <c r="AJZ592"/>
      <c r="AKA592"/>
      <c r="AKB592"/>
      <c r="AKC592"/>
      <c r="AKD592"/>
      <c r="AKE592"/>
      <c r="AKF592"/>
      <c r="AKG592"/>
      <c r="AKH592"/>
      <c r="AKI592"/>
      <c r="AKJ592"/>
      <c r="AKK592"/>
      <c r="AKL592"/>
      <c r="AKM592"/>
      <c r="AKN592"/>
      <c r="AKO592"/>
      <c r="AKP592"/>
      <c r="AKQ592"/>
      <c r="AKR592"/>
      <c r="AKS592"/>
      <c r="AKT592"/>
      <c r="AKU592"/>
      <c r="AKV592"/>
      <c r="AKW592"/>
      <c r="AKX592"/>
      <c r="AKY592"/>
    </row>
    <row r="593" spans="1:987">
      <c r="A593" s="421" t="s">
        <v>402</v>
      </c>
      <c r="B593" s="305"/>
      <c r="C593" s="306"/>
      <c r="D593" s="306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  <c r="ZW593"/>
      <c r="ZX593"/>
      <c r="ZY593"/>
      <c r="ZZ593"/>
      <c r="AAA593"/>
      <c r="AAB593"/>
      <c r="AAC593"/>
      <c r="AAD593"/>
      <c r="AAE593"/>
      <c r="AAF593"/>
      <c r="AAG593"/>
      <c r="AAH593"/>
      <c r="AAI593"/>
      <c r="AAJ593"/>
      <c r="AAK593"/>
      <c r="AAL593"/>
      <c r="AAM593"/>
      <c r="AAN593"/>
      <c r="AAO593"/>
      <c r="AAP593"/>
      <c r="AAQ593"/>
      <c r="AAR593"/>
      <c r="AAS593"/>
      <c r="AAT593"/>
      <c r="AAU593"/>
      <c r="AAV593"/>
      <c r="AAW593"/>
      <c r="AAX593"/>
      <c r="AAY593"/>
      <c r="AAZ593"/>
      <c r="ABA593"/>
      <c r="ABB593"/>
      <c r="ABC593"/>
      <c r="ABD593"/>
      <c r="ABE593"/>
      <c r="ABF593"/>
      <c r="ABG593"/>
      <c r="ABH593"/>
      <c r="ABI593"/>
      <c r="ABJ593"/>
      <c r="ABK593"/>
      <c r="ABL593"/>
      <c r="ABM593"/>
      <c r="ABN593"/>
      <c r="ABO593"/>
      <c r="ABP593"/>
      <c r="ABQ593"/>
      <c r="ABR593"/>
      <c r="ABS593"/>
      <c r="ABT593"/>
      <c r="ABU593"/>
      <c r="ABV593"/>
      <c r="ABW593"/>
      <c r="ABX593"/>
      <c r="ABY593"/>
      <c r="ABZ593"/>
      <c r="ACA593"/>
      <c r="ACB593"/>
      <c r="ACC593"/>
      <c r="ACD593"/>
      <c r="ACE593"/>
      <c r="ACF593"/>
      <c r="ACG593"/>
      <c r="ACH593"/>
      <c r="ACI593"/>
      <c r="ACJ593"/>
      <c r="ACK593"/>
      <c r="ACL593"/>
      <c r="ACM593"/>
      <c r="ACN593"/>
      <c r="ACO593"/>
      <c r="ACP593"/>
      <c r="ACQ593"/>
      <c r="ACR593"/>
      <c r="ACS593"/>
      <c r="ACT593"/>
      <c r="ACU593"/>
      <c r="ACV593"/>
      <c r="ACW593"/>
      <c r="ACX593"/>
      <c r="ACY593"/>
      <c r="ACZ593"/>
      <c r="ADA593"/>
      <c r="ADB593"/>
      <c r="ADC593"/>
      <c r="ADD593"/>
      <c r="ADE593"/>
      <c r="ADF593"/>
      <c r="ADG593"/>
      <c r="ADH593"/>
      <c r="ADI593"/>
      <c r="ADJ593"/>
      <c r="ADK593"/>
      <c r="ADL593"/>
      <c r="ADM593"/>
      <c r="ADN593"/>
      <c r="ADO593"/>
      <c r="ADP593"/>
      <c r="ADQ593"/>
      <c r="ADR593"/>
      <c r="ADS593"/>
      <c r="ADT593"/>
      <c r="ADU593"/>
      <c r="ADV593"/>
      <c r="ADW593"/>
      <c r="ADX593"/>
      <c r="ADY593"/>
      <c r="ADZ593"/>
      <c r="AEA593"/>
      <c r="AEB593"/>
      <c r="AEC593"/>
      <c r="AED593"/>
      <c r="AEE593"/>
      <c r="AEF593"/>
      <c r="AEG593"/>
      <c r="AEH593"/>
      <c r="AEI593"/>
      <c r="AEJ593"/>
      <c r="AEK593"/>
      <c r="AEL593"/>
      <c r="AEM593"/>
      <c r="AEN593"/>
      <c r="AEO593"/>
      <c r="AEP593"/>
      <c r="AEQ593"/>
      <c r="AER593"/>
      <c r="AES593"/>
      <c r="AET593"/>
      <c r="AEU593"/>
      <c r="AEV593"/>
      <c r="AEW593"/>
      <c r="AEX593"/>
      <c r="AEY593"/>
      <c r="AEZ593"/>
      <c r="AFA593"/>
      <c r="AFB593"/>
      <c r="AFC593"/>
      <c r="AFD593"/>
      <c r="AFE593"/>
      <c r="AFF593"/>
      <c r="AFG593"/>
      <c r="AFH593"/>
      <c r="AFI593"/>
      <c r="AFJ593"/>
      <c r="AFK593"/>
      <c r="AFL593"/>
      <c r="AFM593"/>
      <c r="AFN593"/>
      <c r="AFO593"/>
      <c r="AFP593"/>
      <c r="AFQ593"/>
      <c r="AFR593"/>
      <c r="AFS593"/>
      <c r="AFT593"/>
      <c r="AFU593"/>
      <c r="AFV593"/>
      <c r="AFW593"/>
      <c r="AFX593"/>
      <c r="AFY593"/>
      <c r="AFZ593"/>
      <c r="AGA593"/>
      <c r="AGB593"/>
      <c r="AGC593"/>
      <c r="AGD593"/>
      <c r="AGE593"/>
      <c r="AGF593"/>
      <c r="AGG593"/>
      <c r="AGH593"/>
      <c r="AGI593"/>
      <c r="AGJ593"/>
      <c r="AGK593"/>
      <c r="AGL593"/>
      <c r="AGM593"/>
      <c r="AGN593"/>
      <c r="AGO593"/>
      <c r="AGP593"/>
      <c r="AGQ593"/>
      <c r="AGR593"/>
      <c r="AGS593"/>
      <c r="AGT593"/>
      <c r="AGU593"/>
      <c r="AGV593"/>
      <c r="AGW593"/>
      <c r="AGX593"/>
      <c r="AGY593"/>
      <c r="AGZ593"/>
      <c r="AHA593"/>
      <c r="AHB593"/>
      <c r="AHC593"/>
      <c r="AHD593"/>
      <c r="AHE593"/>
      <c r="AHF593"/>
      <c r="AHG593"/>
      <c r="AHH593"/>
      <c r="AHI593"/>
      <c r="AHJ593"/>
      <c r="AHK593"/>
      <c r="AHL593"/>
      <c r="AHM593"/>
      <c r="AHN593"/>
      <c r="AHO593"/>
      <c r="AHP593"/>
      <c r="AHQ593"/>
      <c r="AHR593"/>
      <c r="AHS593"/>
      <c r="AHT593"/>
      <c r="AHU593"/>
      <c r="AHV593"/>
      <c r="AHW593"/>
      <c r="AHX593"/>
      <c r="AHY593"/>
      <c r="AHZ593"/>
      <c r="AIA593"/>
      <c r="AIB593"/>
      <c r="AIC593"/>
      <c r="AID593"/>
      <c r="AIE593"/>
      <c r="AIF593"/>
      <c r="AIG593"/>
      <c r="AIH593"/>
      <c r="AII593"/>
      <c r="AIJ593"/>
      <c r="AIK593"/>
      <c r="AIL593"/>
      <c r="AIM593"/>
      <c r="AIN593"/>
      <c r="AIO593"/>
      <c r="AIP593"/>
      <c r="AIQ593"/>
      <c r="AIR593"/>
      <c r="AIS593"/>
      <c r="AIT593"/>
      <c r="AIU593"/>
      <c r="AIV593"/>
      <c r="AIW593"/>
      <c r="AIX593"/>
      <c r="AIY593"/>
      <c r="AIZ593"/>
      <c r="AJA593"/>
      <c r="AJB593"/>
      <c r="AJC593"/>
      <c r="AJD593"/>
      <c r="AJE593"/>
      <c r="AJF593"/>
      <c r="AJG593"/>
      <c r="AJH593"/>
      <c r="AJI593"/>
      <c r="AJJ593"/>
      <c r="AJK593"/>
      <c r="AJL593"/>
      <c r="AJM593"/>
      <c r="AJN593"/>
      <c r="AJO593"/>
      <c r="AJP593"/>
      <c r="AJQ593"/>
      <c r="AJR593"/>
      <c r="AJS593"/>
      <c r="AJT593"/>
      <c r="AJU593"/>
      <c r="AJV593"/>
      <c r="AJW593"/>
      <c r="AJX593"/>
      <c r="AJY593"/>
      <c r="AJZ593"/>
      <c r="AKA593"/>
      <c r="AKB593"/>
      <c r="AKC593"/>
      <c r="AKD593"/>
      <c r="AKE593"/>
      <c r="AKF593"/>
      <c r="AKG593"/>
      <c r="AKH593"/>
      <c r="AKI593"/>
      <c r="AKJ593"/>
      <c r="AKK593"/>
      <c r="AKL593"/>
      <c r="AKM593"/>
      <c r="AKN593"/>
      <c r="AKO593"/>
      <c r="AKP593"/>
      <c r="AKQ593"/>
      <c r="AKR593"/>
      <c r="AKS593"/>
      <c r="AKT593"/>
      <c r="AKU593"/>
      <c r="AKV593"/>
      <c r="AKW593"/>
      <c r="AKX593"/>
      <c r="AKY593"/>
    </row>
    <row r="594" spans="1:987" ht="16.5" customHeight="1">
      <c r="A594" s="421" t="s">
        <v>403</v>
      </c>
      <c r="B594" s="305"/>
      <c r="C594" s="306"/>
      <c r="D594" s="306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  <c r="ZW594"/>
      <c r="ZX594"/>
      <c r="ZY594"/>
      <c r="ZZ594"/>
      <c r="AAA594"/>
      <c r="AAB594"/>
      <c r="AAC594"/>
      <c r="AAD594"/>
      <c r="AAE594"/>
      <c r="AAF594"/>
      <c r="AAG594"/>
      <c r="AAH594"/>
      <c r="AAI594"/>
      <c r="AAJ594"/>
      <c r="AAK594"/>
      <c r="AAL594"/>
      <c r="AAM594"/>
      <c r="AAN594"/>
      <c r="AAO594"/>
      <c r="AAP594"/>
      <c r="AAQ594"/>
      <c r="AAR594"/>
      <c r="AAS594"/>
      <c r="AAT594"/>
      <c r="AAU594"/>
      <c r="AAV594"/>
      <c r="AAW594"/>
      <c r="AAX594"/>
      <c r="AAY594"/>
      <c r="AAZ594"/>
      <c r="ABA594"/>
      <c r="ABB594"/>
      <c r="ABC594"/>
      <c r="ABD594"/>
      <c r="ABE594"/>
      <c r="ABF594"/>
      <c r="ABG594"/>
      <c r="ABH594"/>
      <c r="ABI594"/>
      <c r="ABJ594"/>
      <c r="ABK594"/>
      <c r="ABL594"/>
      <c r="ABM594"/>
      <c r="ABN594"/>
      <c r="ABO594"/>
      <c r="ABP594"/>
      <c r="ABQ594"/>
      <c r="ABR594"/>
      <c r="ABS594"/>
      <c r="ABT594"/>
      <c r="ABU594"/>
      <c r="ABV594"/>
      <c r="ABW594"/>
      <c r="ABX594"/>
      <c r="ABY594"/>
      <c r="ABZ594"/>
      <c r="ACA594"/>
      <c r="ACB594"/>
      <c r="ACC594"/>
      <c r="ACD594"/>
      <c r="ACE594"/>
      <c r="ACF594"/>
      <c r="ACG594"/>
      <c r="ACH594"/>
      <c r="ACI594"/>
      <c r="ACJ594"/>
      <c r="ACK594"/>
      <c r="ACL594"/>
      <c r="ACM594"/>
      <c r="ACN594"/>
      <c r="ACO594"/>
      <c r="ACP594"/>
      <c r="ACQ594"/>
      <c r="ACR594"/>
      <c r="ACS594"/>
      <c r="ACT594"/>
      <c r="ACU594"/>
      <c r="ACV594"/>
      <c r="ACW594"/>
      <c r="ACX594"/>
      <c r="ACY594"/>
      <c r="ACZ594"/>
      <c r="ADA594"/>
      <c r="ADB594"/>
      <c r="ADC594"/>
      <c r="ADD594"/>
      <c r="ADE594"/>
      <c r="ADF594"/>
      <c r="ADG594"/>
      <c r="ADH594"/>
      <c r="ADI594"/>
      <c r="ADJ594"/>
      <c r="ADK594"/>
      <c r="ADL594"/>
      <c r="ADM594"/>
      <c r="ADN594"/>
      <c r="ADO594"/>
      <c r="ADP594"/>
      <c r="ADQ594"/>
      <c r="ADR594"/>
      <c r="ADS594"/>
      <c r="ADT594"/>
      <c r="ADU594"/>
      <c r="ADV594"/>
      <c r="ADW594"/>
      <c r="ADX594"/>
      <c r="ADY594"/>
      <c r="ADZ594"/>
      <c r="AEA594"/>
      <c r="AEB594"/>
      <c r="AEC594"/>
      <c r="AED594"/>
      <c r="AEE594"/>
      <c r="AEF594"/>
      <c r="AEG594"/>
      <c r="AEH594"/>
      <c r="AEI594"/>
      <c r="AEJ594"/>
      <c r="AEK594"/>
      <c r="AEL594"/>
      <c r="AEM594"/>
      <c r="AEN594"/>
      <c r="AEO594"/>
      <c r="AEP594"/>
      <c r="AEQ594"/>
      <c r="AER594"/>
      <c r="AES594"/>
      <c r="AET594"/>
      <c r="AEU594"/>
      <c r="AEV594"/>
      <c r="AEW594"/>
      <c r="AEX594"/>
      <c r="AEY594"/>
      <c r="AEZ594"/>
      <c r="AFA594"/>
      <c r="AFB594"/>
      <c r="AFC594"/>
      <c r="AFD594"/>
      <c r="AFE594"/>
      <c r="AFF594"/>
      <c r="AFG594"/>
      <c r="AFH594"/>
      <c r="AFI594"/>
      <c r="AFJ594"/>
      <c r="AFK594"/>
      <c r="AFL594"/>
      <c r="AFM594"/>
      <c r="AFN594"/>
      <c r="AFO594"/>
      <c r="AFP594"/>
      <c r="AFQ594"/>
      <c r="AFR594"/>
      <c r="AFS594"/>
      <c r="AFT594"/>
      <c r="AFU594"/>
      <c r="AFV594"/>
      <c r="AFW594"/>
      <c r="AFX594"/>
      <c r="AFY594"/>
      <c r="AFZ594"/>
      <c r="AGA594"/>
      <c r="AGB594"/>
      <c r="AGC594"/>
      <c r="AGD594"/>
      <c r="AGE594"/>
      <c r="AGF594"/>
      <c r="AGG594"/>
      <c r="AGH594"/>
      <c r="AGI594"/>
      <c r="AGJ594"/>
      <c r="AGK594"/>
      <c r="AGL594"/>
      <c r="AGM594"/>
      <c r="AGN594"/>
      <c r="AGO594"/>
      <c r="AGP594"/>
      <c r="AGQ594"/>
      <c r="AGR594"/>
      <c r="AGS594"/>
      <c r="AGT594"/>
      <c r="AGU594"/>
      <c r="AGV594"/>
      <c r="AGW594"/>
      <c r="AGX594"/>
      <c r="AGY594"/>
      <c r="AGZ594"/>
      <c r="AHA594"/>
      <c r="AHB594"/>
      <c r="AHC594"/>
      <c r="AHD594"/>
      <c r="AHE594"/>
      <c r="AHF594"/>
      <c r="AHG594"/>
      <c r="AHH594"/>
      <c r="AHI594"/>
      <c r="AHJ594"/>
      <c r="AHK594"/>
      <c r="AHL594"/>
      <c r="AHM594"/>
      <c r="AHN594"/>
      <c r="AHO594"/>
      <c r="AHP594"/>
      <c r="AHQ594"/>
      <c r="AHR594"/>
      <c r="AHS594"/>
      <c r="AHT594"/>
      <c r="AHU594"/>
      <c r="AHV594"/>
      <c r="AHW594"/>
      <c r="AHX594"/>
      <c r="AHY594"/>
      <c r="AHZ594"/>
      <c r="AIA594"/>
      <c r="AIB594"/>
      <c r="AIC594"/>
      <c r="AID594"/>
      <c r="AIE594"/>
      <c r="AIF594"/>
      <c r="AIG594"/>
      <c r="AIH594"/>
      <c r="AII594"/>
      <c r="AIJ594"/>
      <c r="AIK594"/>
      <c r="AIL594"/>
      <c r="AIM594"/>
      <c r="AIN594"/>
      <c r="AIO594"/>
      <c r="AIP594"/>
      <c r="AIQ594"/>
      <c r="AIR594"/>
      <c r="AIS594"/>
      <c r="AIT594"/>
      <c r="AIU594"/>
      <c r="AIV594"/>
      <c r="AIW594"/>
      <c r="AIX594"/>
      <c r="AIY594"/>
      <c r="AIZ594"/>
      <c r="AJA594"/>
      <c r="AJB594"/>
      <c r="AJC594"/>
      <c r="AJD594"/>
      <c r="AJE594"/>
      <c r="AJF594"/>
      <c r="AJG594"/>
      <c r="AJH594"/>
      <c r="AJI594"/>
      <c r="AJJ594"/>
      <c r="AJK594"/>
      <c r="AJL594"/>
      <c r="AJM594"/>
      <c r="AJN594"/>
      <c r="AJO594"/>
      <c r="AJP594"/>
      <c r="AJQ594"/>
      <c r="AJR594"/>
      <c r="AJS594"/>
      <c r="AJT594"/>
      <c r="AJU594"/>
      <c r="AJV594"/>
      <c r="AJW594"/>
      <c r="AJX594"/>
      <c r="AJY594"/>
      <c r="AJZ594"/>
      <c r="AKA594"/>
      <c r="AKB594"/>
      <c r="AKC594"/>
      <c r="AKD594"/>
      <c r="AKE594"/>
      <c r="AKF594"/>
      <c r="AKG594"/>
      <c r="AKH594"/>
      <c r="AKI594"/>
      <c r="AKJ594"/>
      <c r="AKK594"/>
      <c r="AKL594"/>
      <c r="AKM594"/>
      <c r="AKN594"/>
      <c r="AKO594"/>
      <c r="AKP594"/>
      <c r="AKQ594"/>
      <c r="AKR594"/>
      <c r="AKS594"/>
      <c r="AKT594"/>
      <c r="AKU594"/>
      <c r="AKV594"/>
      <c r="AKW594"/>
      <c r="AKX594"/>
      <c r="AKY594"/>
    </row>
    <row r="595" spans="1:987">
      <c r="A595" s="421" t="s">
        <v>404</v>
      </c>
      <c r="B595" s="305"/>
      <c r="C595" s="306"/>
      <c r="D595" s="306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  <c r="ZW595"/>
      <c r="ZX595"/>
      <c r="ZY595"/>
      <c r="ZZ595"/>
      <c r="AAA595"/>
      <c r="AAB595"/>
      <c r="AAC595"/>
      <c r="AAD595"/>
      <c r="AAE595"/>
      <c r="AAF595"/>
      <c r="AAG595"/>
      <c r="AAH595"/>
      <c r="AAI595"/>
      <c r="AAJ595"/>
      <c r="AAK595"/>
      <c r="AAL595"/>
      <c r="AAM595"/>
      <c r="AAN595"/>
      <c r="AAO595"/>
      <c r="AAP595"/>
      <c r="AAQ595"/>
      <c r="AAR595"/>
      <c r="AAS595"/>
      <c r="AAT595"/>
      <c r="AAU595"/>
      <c r="AAV595"/>
      <c r="AAW595"/>
      <c r="AAX595"/>
      <c r="AAY595"/>
      <c r="AAZ595"/>
      <c r="ABA595"/>
      <c r="ABB595"/>
      <c r="ABC595"/>
      <c r="ABD595"/>
      <c r="ABE595"/>
      <c r="ABF595"/>
      <c r="ABG595"/>
      <c r="ABH595"/>
      <c r="ABI595"/>
      <c r="ABJ595"/>
      <c r="ABK595"/>
      <c r="ABL595"/>
      <c r="ABM595"/>
      <c r="ABN595"/>
      <c r="ABO595"/>
      <c r="ABP595"/>
      <c r="ABQ595"/>
      <c r="ABR595"/>
      <c r="ABS595"/>
      <c r="ABT595"/>
      <c r="ABU595"/>
      <c r="ABV595"/>
      <c r="ABW595"/>
      <c r="ABX595"/>
      <c r="ABY595"/>
      <c r="ABZ595"/>
      <c r="ACA595"/>
      <c r="ACB595"/>
      <c r="ACC595"/>
      <c r="ACD595"/>
      <c r="ACE595"/>
      <c r="ACF595"/>
      <c r="ACG595"/>
      <c r="ACH595"/>
      <c r="ACI595"/>
      <c r="ACJ595"/>
      <c r="ACK595"/>
      <c r="ACL595"/>
      <c r="ACM595"/>
      <c r="ACN595"/>
      <c r="ACO595"/>
      <c r="ACP595"/>
      <c r="ACQ595"/>
      <c r="ACR595"/>
      <c r="ACS595"/>
      <c r="ACT595"/>
      <c r="ACU595"/>
      <c r="ACV595"/>
      <c r="ACW595"/>
      <c r="ACX595"/>
      <c r="ACY595"/>
      <c r="ACZ595"/>
      <c r="ADA595"/>
      <c r="ADB595"/>
      <c r="ADC595"/>
      <c r="ADD595"/>
      <c r="ADE595"/>
      <c r="ADF595"/>
      <c r="ADG595"/>
      <c r="ADH595"/>
      <c r="ADI595"/>
      <c r="ADJ595"/>
      <c r="ADK595"/>
      <c r="ADL595"/>
      <c r="ADM595"/>
      <c r="ADN595"/>
      <c r="ADO595"/>
      <c r="ADP595"/>
      <c r="ADQ595"/>
      <c r="ADR595"/>
      <c r="ADS595"/>
      <c r="ADT595"/>
      <c r="ADU595"/>
      <c r="ADV595"/>
      <c r="ADW595"/>
      <c r="ADX595"/>
      <c r="ADY595"/>
      <c r="ADZ595"/>
      <c r="AEA595"/>
      <c r="AEB595"/>
      <c r="AEC595"/>
      <c r="AED595"/>
      <c r="AEE595"/>
      <c r="AEF595"/>
      <c r="AEG595"/>
      <c r="AEH595"/>
      <c r="AEI595"/>
      <c r="AEJ595"/>
      <c r="AEK595"/>
      <c r="AEL595"/>
      <c r="AEM595"/>
      <c r="AEN595"/>
      <c r="AEO595"/>
      <c r="AEP595"/>
      <c r="AEQ595"/>
      <c r="AER595"/>
      <c r="AES595"/>
      <c r="AET595"/>
      <c r="AEU595"/>
      <c r="AEV595"/>
      <c r="AEW595"/>
      <c r="AEX595"/>
      <c r="AEY595"/>
      <c r="AEZ595"/>
      <c r="AFA595"/>
      <c r="AFB595"/>
      <c r="AFC595"/>
      <c r="AFD595"/>
      <c r="AFE595"/>
      <c r="AFF595"/>
      <c r="AFG595"/>
      <c r="AFH595"/>
      <c r="AFI595"/>
      <c r="AFJ595"/>
      <c r="AFK595"/>
      <c r="AFL595"/>
      <c r="AFM595"/>
      <c r="AFN595"/>
      <c r="AFO595"/>
      <c r="AFP595"/>
      <c r="AFQ595"/>
      <c r="AFR595"/>
      <c r="AFS595"/>
      <c r="AFT595"/>
      <c r="AFU595"/>
      <c r="AFV595"/>
      <c r="AFW595"/>
      <c r="AFX595"/>
      <c r="AFY595"/>
      <c r="AFZ595"/>
      <c r="AGA595"/>
      <c r="AGB595"/>
      <c r="AGC595"/>
      <c r="AGD595"/>
      <c r="AGE595"/>
      <c r="AGF595"/>
      <c r="AGG595"/>
      <c r="AGH595"/>
      <c r="AGI595"/>
      <c r="AGJ595"/>
      <c r="AGK595"/>
      <c r="AGL595"/>
      <c r="AGM595"/>
      <c r="AGN595"/>
      <c r="AGO595"/>
      <c r="AGP595"/>
      <c r="AGQ595"/>
      <c r="AGR595"/>
      <c r="AGS595"/>
      <c r="AGT595"/>
      <c r="AGU595"/>
      <c r="AGV595"/>
      <c r="AGW595"/>
      <c r="AGX595"/>
      <c r="AGY595"/>
      <c r="AGZ595"/>
      <c r="AHA595"/>
      <c r="AHB595"/>
      <c r="AHC595"/>
      <c r="AHD595"/>
      <c r="AHE595"/>
      <c r="AHF595"/>
      <c r="AHG595"/>
      <c r="AHH595"/>
      <c r="AHI595"/>
      <c r="AHJ595"/>
      <c r="AHK595"/>
      <c r="AHL595"/>
      <c r="AHM595"/>
      <c r="AHN595"/>
      <c r="AHO595"/>
      <c r="AHP595"/>
      <c r="AHQ595"/>
      <c r="AHR595"/>
      <c r="AHS595"/>
      <c r="AHT595"/>
      <c r="AHU595"/>
      <c r="AHV595"/>
      <c r="AHW595"/>
      <c r="AHX595"/>
      <c r="AHY595"/>
      <c r="AHZ595"/>
      <c r="AIA595"/>
      <c r="AIB595"/>
      <c r="AIC595"/>
      <c r="AID595"/>
      <c r="AIE595"/>
      <c r="AIF595"/>
      <c r="AIG595"/>
      <c r="AIH595"/>
      <c r="AII595"/>
      <c r="AIJ595"/>
      <c r="AIK595"/>
      <c r="AIL595"/>
      <c r="AIM595"/>
      <c r="AIN595"/>
      <c r="AIO595"/>
      <c r="AIP595"/>
      <c r="AIQ595"/>
      <c r="AIR595"/>
      <c r="AIS595"/>
      <c r="AIT595"/>
      <c r="AIU595"/>
      <c r="AIV595"/>
      <c r="AIW595"/>
      <c r="AIX595"/>
      <c r="AIY595"/>
      <c r="AIZ595"/>
      <c r="AJA595"/>
      <c r="AJB595"/>
      <c r="AJC595"/>
      <c r="AJD595"/>
      <c r="AJE595"/>
      <c r="AJF595"/>
      <c r="AJG595"/>
      <c r="AJH595"/>
      <c r="AJI595"/>
      <c r="AJJ595"/>
      <c r="AJK595"/>
      <c r="AJL595"/>
      <c r="AJM595"/>
      <c r="AJN595"/>
      <c r="AJO595"/>
      <c r="AJP595"/>
      <c r="AJQ595"/>
      <c r="AJR595"/>
      <c r="AJS595"/>
      <c r="AJT595"/>
      <c r="AJU595"/>
      <c r="AJV595"/>
      <c r="AJW595"/>
      <c r="AJX595"/>
      <c r="AJY595"/>
      <c r="AJZ595"/>
      <c r="AKA595"/>
      <c r="AKB595"/>
      <c r="AKC595"/>
      <c r="AKD595"/>
      <c r="AKE595"/>
      <c r="AKF595"/>
      <c r="AKG595"/>
      <c r="AKH595"/>
      <c r="AKI595"/>
      <c r="AKJ595"/>
      <c r="AKK595"/>
      <c r="AKL595"/>
      <c r="AKM595"/>
      <c r="AKN595"/>
      <c r="AKO595"/>
      <c r="AKP595"/>
      <c r="AKQ595"/>
      <c r="AKR595"/>
      <c r="AKS595"/>
      <c r="AKT595"/>
      <c r="AKU595"/>
      <c r="AKV595"/>
      <c r="AKW595"/>
      <c r="AKX595"/>
      <c r="AKY595"/>
    </row>
    <row r="596" spans="1:987">
      <c r="A596" s="282" t="s">
        <v>405</v>
      </c>
      <c r="B596" s="305">
        <v>3079</v>
      </c>
      <c r="C596" s="306">
        <v>3620</v>
      </c>
      <c r="D596" s="30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  <c r="ZW596"/>
      <c r="ZX596"/>
      <c r="ZY596"/>
      <c r="ZZ596"/>
      <c r="AAA596"/>
      <c r="AAB596"/>
      <c r="AAC596"/>
      <c r="AAD596"/>
      <c r="AAE596"/>
      <c r="AAF596"/>
      <c r="AAG596"/>
      <c r="AAH596"/>
      <c r="AAI596"/>
      <c r="AAJ596"/>
      <c r="AAK596"/>
      <c r="AAL596"/>
      <c r="AAM596"/>
      <c r="AAN596"/>
      <c r="AAO596"/>
      <c r="AAP596"/>
      <c r="AAQ596"/>
      <c r="AAR596"/>
      <c r="AAS596"/>
      <c r="AAT596"/>
      <c r="AAU596"/>
      <c r="AAV596"/>
      <c r="AAW596"/>
      <c r="AAX596"/>
      <c r="AAY596"/>
      <c r="AAZ596"/>
      <c r="ABA596"/>
      <c r="ABB596"/>
      <c r="ABC596"/>
      <c r="ABD596"/>
      <c r="ABE596"/>
      <c r="ABF596"/>
      <c r="ABG596"/>
      <c r="ABH596"/>
      <c r="ABI596"/>
      <c r="ABJ596"/>
      <c r="ABK596"/>
      <c r="ABL596"/>
      <c r="ABM596"/>
      <c r="ABN596"/>
      <c r="ABO596"/>
      <c r="ABP596"/>
      <c r="ABQ596"/>
      <c r="ABR596"/>
      <c r="ABS596"/>
      <c r="ABT596"/>
      <c r="ABU596"/>
      <c r="ABV596"/>
      <c r="ABW596"/>
      <c r="ABX596"/>
      <c r="ABY596"/>
      <c r="ABZ596"/>
      <c r="ACA596"/>
      <c r="ACB596"/>
      <c r="ACC596"/>
      <c r="ACD596"/>
      <c r="ACE596"/>
      <c r="ACF596"/>
      <c r="ACG596"/>
      <c r="ACH596"/>
      <c r="ACI596"/>
      <c r="ACJ596"/>
      <c r="ACK596"/>
      <c r="ACL596"/>
      <c r="ACM596"/>
      <c r="ACN596"/>
      <c r="ACO596"/>
      <c r="ACP596"/>
      <c r="ACQ596"/>
      <c r="ACR596"/>
      <c r="ACS596"/>
      <c r="ACT596"/>
      <c r="ACU596"/>
      <c r="ACV596"/>
      <c r="ACW596"/>
      <c r="ACX596"/>
      <c r="ACY596"/>
      <c r="ACZ596"/>
      <c r="ADA596"/>
      <c r="ADB596"/>
      <c r="ADC596"/>
      <c r="ADD596"/>
      <c r="ADE596"/>
      <c r="ADF596"/>
      <c r="ADG596"/>
      <c r="ADH596"/>
      <c r="ADI596"/>
      <c r="ADJ596"/>
      <c r="ADK596"/>
      <c r="ADL596"/>
      <c r="ADM596"/>
      <c r="ADN596"/>
      <c r="ADO596"/>
      <c r="ADP596"/>
      <c r="ADQ596"/>
      <c r="ADR596"/>
      <c r="ADS596"/>
      <c r="ADT596"/>
      <c r="ADU596"/>
      <c r="ADV596"/>
      <c r="ADW596"/>
      <c r="ADX596"/>
      <c r="ADY596"/>
      <c r="ADZ596"/>
      <c r="AEA596"/>
      <c r="AEB596"/>
      <c r="AEC596"/>
      <c r="AED596"/>
      <c r="AEE596"/>
      <c r="AEF596"/>
      <c r="AEG596"/>
      <c r="AEH596"/>
      <c r="AEI596"/>
      <c r="AEJ596"/>
      <c r="AEK596"/>
      <c r="AEL596"/>
      <c r="AEM596"/>
      <c r="AEN596"/>
      <c r="AEO596"/>
      <c r="AEP596"/>
      <c r="AEQ596"/>
      <c r="AER596"/>
      <c r="AES596"/>
      <c r="AET596"/>
      <c r="AEU596"/>
      <c r="AEV596"/>
      <c r="AEW596"/>
      <c r="AEX596"/>
      <c r="AEY596"/>
      <c r="AEZ596"/>
      <c r="AFA596"/>
      <c r="AFB596"/>
      <c r="AFC596"/>
      <c r="AFD596"/>
      <c r="AFE596"/>
      <c r="AFF596"/>
      <c r="AFG596"/>
      <c r="AFH596"/>
      <c r="AFI596"/>
      <c r="AFJ596"/>
      <c r="AFK596"/>
      <c r="AFL596"/>
      <c r="AFM596"/>
      <c r="AFN596"/>
      <c r="AFO596"/>
      <c r="AFP596"/>
      <c r="AFQ596"/>
      <c r="AFR596"/>
      <c r="AFS596"/>
      <c r="AFT596"/>
      <c r="AFU596"/>
      <c r="AFV596"/>
      <c r="AFW596"/>
      <c r="AFX596"/>
      <c r="AFY596"/>
      <c r="AFZ596"/>
      <c r="AGA596"/>
      <c r="AGB596"/>
      <c r="AGC596"/>
      <c r="AGD596"/>
      <c r="AGE596"/>
      <c r="AGF596"/>
      <c r="AGG596"/>
      <c r="AGH596"/>
      <c r="AGI596"/>
      <c r="AGJ596"/>
      <c r="AGK596"/>
      <c r="AGL596"/>
      <c r="AGM596"/>
      <c r="AGN596"/>
      <c r="AGO596"/>
      <c r="AGP596"/>
      <c r="AGQ596"/>
      <c r="AGR596"/>
      <c r="AGS596"/>
      <c r="AGT596"/>
      <c r="AGU596"/>
      <c r="AGV596"/>
      <c r="AGW596"/>
      <c r="AGX596"/>
      <c r="AGY596"/>
      <c r="AGZ596"/>
      <c r="AHA596"/>
      <c r="AHB596"/>
      <c r="AHC596"/>
      <c r="AHD596"/>
      <c r="AHE596"/>
      <c r="AHF596"/>
      <c r="AHG596"/>
      <c r="AHH596"/>
      <c r="AHI596"/>
      <c r="AHJ596"/>
      <c r="AHK596"/>
      <c r="AHL596"/>
      <c r="AHM596"/>
      <c r="AHN596"/>
      <c r="AHO596"/>
      <c r="AHP596"/>
      <c r="AHQ596"/>
      <c r="AHR596"/>
      <c r="AHS596"/>
      <c r="AHT596"/>
      <c r="AHU596"/>
      <c r="AHV596"/>
      <c r="AHW596"/>
      <c r="AHX596"/>
      <c r="AHY596"/>
      <c r="AHZ596"/>
      <c r="AIA596"/>
      <c r="AIB596"/>
      <c r="AIC596"/>
      <c r="AID596"/>
      <c r="AIE596"/>
      <c r="AIF596"/>
      <c r="AIG596"/>
      <c r="AIH596"/>
      <c r="AII596"/>
      <c r="AIJ596"/>
      <c r="AIK596"/>
      <c r="AIL596"/>
      <c r="AIM596"/>
      <c r="AIN596"/>
      <c r="AIO596"/>
      <c r="AIP596"/>
      <c r="AIQ596"/>
      <c r="AIR596"/>
      <c r="AIS596"/>
      <c r="AIT596"/>
      <c r="AIU596"/>
      <c r="AIV596"/>
      <c r="AIW596"/>
      <c r="AIX596"/>
      <c r="AIY596"/>
      <c r="AIZ596"/>
      <c r="AJA596"/>
      <c r="AJB596"/>
      <c r="AJC596"/>
      <c r="AJD596"/>
      <c r="AJE596"/>
      <c r="AJF596"/>
      <c r="AJG596"/>
      <c r="AJH596"/>
      <c r="AJI596"/>
      <c r="AJJ596"/>
      <c r="AJK596"/>
      <c r="AJL596"/>
      <c r="AJM596"/>
      <c r="AJN596"/>
      <c r="AJO596"/>
      <c r="AJP596"/>
      <c r="AJQ596"/>
      <c r="AJR596"/>
      <c r="AJS596"/>
      <c r="AJT596"/>
      <c r="AJU596"/>
      <c r="AJV596"/>
      <c r="AJW596"/>
      <c r="AJX596"/>
      <c r="AJY596"/>
      <c r="AJZ596"/>
      <c r="AKA596"/>
      <c r="AKB596"/>
      <c r="AKC596"/>
      <c r="AKD596"/>
      <c r="AKE596"/>
      <c r="AKF596"/>
      <c r="AKG596"/>
      <c r="AKH596"/>
      <c r="AKI596"/>
      <c r="AKJ596"/>
      <c r="AKK596"/>
      <c r="AKL596"/>
      <c r="AKM596"/>
      <c r="AKN596"/>
      <c r="AKO596"/>
      <c r="AKP596"/>
      <c r="AKQ596"/>
      <c r="AKR596"/>
      <c r="AKS596"/>
      <c r="AKT596"/>
      <c r="AKU596"/>
      <c r="AKV596"/>
      <c r="AKW596"/>
      <c r="AKX596"/>
      <c r="AKY596"/>
    </row>
    <row r="597" spans="1:987">
      <c r="A597" s="421" t="s">
        <v>336</v>
      </c>
      <c r="B597" s="305">
        <v>2648</v>
      </c>
      <c r="C597" s="306">
        <v>3620</v>
      </c>
      <c r="D597" s="306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  <c r="ZY597"/>
      <c r="ZZ597"/>
      <c r="AAA597"/>
      <c r="AAB597"/>
      <c r="AAC597"/>
      <c r="AAD597"/>
      <c r="AAE597"/>
      <c r="AAF597"/>
      <c r="AAG597"/>
      <c r="AAH597"/>
      <c r="AAI597"/>
      <c r="AAJ597"/>
      <c r="AAK597"/>
      <c r="AAL597"/>
      <c r="AAM597"/>
      <c r="AAN597"/>
      <c r="AAO597"/>
      <c r="AAP597"/>
      <c r="AAQ597"/>
      <c r="AAR597"/>
      <c r="AAS597"/>
      <c r="AAT597"/>
      <c r="AAU597"/>
      <c r="AAV597"/>
      <c r="AAW597"/>
      <c r="AAX597"/>
      <c r="AAY597"/>
      <c r="AAZ597"/>
      <c r="ABA597"/>
      <c r="ABB597"/>
      <c r="ABC597"/>
      <c r="ABD597"/>
      <c r="ABE597"/>
      <c r="ABF597"/>
      <c r="ABG597"/>
      <c r="ABH597"/>
      <c r="ABI597"/>
      <c r="ABJ597"/>
      <c r="ABK597"/>
      <c r="ABL597"/>
      <c r="ABM597"/>
      <c r="ABN597"/>
      <c r="ABO597"/>
      <c r="ABP597"/>
      <c r="ABQ597"/>
      <c r="ABR597"/>
      <c r="ABS597"/>
      <c r="ABT597"/>
      <c r="ABU597"/>
      <c r="ABV597"/>
      <c r="ABW597"/>
      <c r="ABX597"/>
      <c r="ABY597"/>
      <c r="ABZ597"/>
      <c r="ACA597"/>
      <c r="ACB597"/>
      <c r="ACC597"/>
      <c r="ACD597"/>
      <c r="ACE597"/>
      <c r="ACF597"/>
      <c r="ACG597"/>
      <c r="ACH597"/>
      <c r="ACI597"/>
      <c r="ACJ597"/>
      <c r="ACK597"/>
      <c r="ACL597"/>
      <c r="ACM597"/>
      <c r="ACN597"/>
      <c r="ACO597"/>
      <c r="ACP597"/>
      <c r="ACQ597"/>
      <c r="ACR597"/>
      <c r="ACS597"/>
      <c r="ACT597"/>
      <c r="ACU597"/>
      <c r="ACV597"/>
      <c r="ACW597"/>
      <c r="ACX597"/>
      <c r="ACY597"/>
      <c r="ACZ597"/>
      <c r="ADA597"/>
      <c r="ADB597"/>
      <c r="ADC597"/>
      <c r="ADD597"/>
      <c r="ADE597"/>
      <c r="ADF597"/>
      <c r="ADG597"/>
      <c r="ADH597"/>
      <c r="ADI597"/>
      <c r="ADJ597"/>
      <c r="ADK597"/>
      <c r="ADL597"/>
      <c r="ADM597"/>
      <c r="ADN597"/>
      <c r="ADO597"/>
      <c r="ADP597"/>
      <c r="ADQ597"/>
      <c r="ADR597"/>
      <c r="ADS597"/>
      <c r="ADT597"/>
      <c r="ADU597"/>
      <c r="ADV597"/>
      <c r="ADW597"/>
      <c r="ADX597"/>
      <c r="ADY597"/>
      <c r="ADZ597"/>
      <c r="AEA597"/>
      <c r="AEB597"/>
      <c r="AEC597"/>
      <c r="AED597"/>
      <c r="AEE597"/>
      <c r="AEF597"/>
      <c r="AEG597"/>
      <c r="AEH597"/>
      <c r="AEI597"/>
      <c r="AEJ597"/>
      <c r="AEK597"/>
      <c r="AEL597"/>
      <c r="AEM597"/>
      <c r="AEN597"/>
      <c r="AEO597"/>
      <c r="AEP597"/>
      <c r="AEQ597"/>
      <c r="AER597"/>
      <c r="AES597"/>
      <c r="AET597"/>
      <c r="AEU597"/>
      <c r="AEV597"/>
      <c r="AEW597"/>
      <c r="AEX597"/>
      <c r="AEY597"/>
      <c r="AEZ597"/>
      <c r="AFA597"/>
      <c r="AFB597"/>
      <c r="AFC597"/>
      <c r="AFD597"/>
      <c r="AFE597"/>
      <c r="AFF597"/>
      <c r="AFG597"/>
      <c r="AFH597"/>
      <c r="AFI597"/>
      <c r="AFJ597"/>
      <c r="AFK597"/>
      <c r="AFL597"/>
      <c r="AFM597"/>
      <c r="AFN597"/>
      <c r="AFO597"/>
      <c r="AFP597"/>
      <c r="AFQ597"/>
      <c r="AFR597"/>
      <c r="AFS597"/>
      <c r="AFT597"/>
      <c r="AFU597"/>
      <c r="AFV597"/>
      <c r="AFW597"/>
      <c r="AFX597"/>
      <c r="AFY597"/>
      <c r="AFZ597"/>
      <c r="AGA597"/>
      <c r="AGB597"/>
      <c r="AGC597"/>
      <c r="AGD597"/>
      <c r="AGE597"/>
      <c r="AGF597"/>
      <c r="AGG597"/>
      <c r="AGH597"/>
      <c r="AGI597"/>
      <c r="AGJ597"/>
      <c r="AGK597"/>
      <c r="AGL597"/>
      <c r="AGM597"/>
      <c r="AGN597"/>
      <c r="AGO597"/>
      <c r="AGP597"/>
      <c r="AGQ597"/>
      <c r="AGR597"/>
      <c r="AGS597"/>
      <c r="AGT597"/>
      <c r="AGU597"/>
      <c r="AGV597"/>
      <c r="AGW597"/>
      <c r="AGX597"/>
      <c r="AGY597"/>
      <c r="AGZ597"/>
      <c r="AHA597"/>
      <c r="AHB597"/>
      <c r="AHC597"/>
      <c r="AHD597"/>
      <c r="AHE597"/>
      <c r="AHF597"/>
      <c r="AHG597"/>
      <c r="AHH597"/>
      <c r="AHI597"/>
      <c r="AHJ597"/>
      <c r="AHK597"/>
      <c r="AHL597"/>
      <c r="AHM597"/>
      <c r="AHN597"/>
      <c r="AHO597"/>
      <c r="AHP597"/>
      <c r="AHQ597"/>
      <c r="AHR597"/>
      <c r="AHS597"/>
      <c r="AHT597"/>
      <c r="AHU597"/>
      <c r="AHV597"/>
      <c r="AHW597"/>
      <c r="AHX597"/>
      <c r="AHY597"/>
      <c r="AHZ597"/>
      <c r="AIA597"/>
      <c r="AIB597"/>
      <c r="AIC597"/>
      <c r="AID597"/>
      <c r="AIE597"/>
      <c r="AIF597"/>
      <c r="AIG597"/>
      <c r="AIH597"/>
      <c r="AII597"/>
      <c r="AIJ597"/>
      <c r="AIK597"/>
      <c r="AIL597"/>
      <c r="AIM597"/>
      <c r="AIN597"/>
      <c r="AIO597"/>
      <c r="AIP597"/>
      <c r="AIQ597"/>
      <c r="AIR597"/>
      <c r="AIS597"/>
      <c r="AIT597"/>
      <c r="AIU597"/>
      <c r="AIV597"/>
      <c r="AIW597"/>
      <c r="AIX597"/>
      <c r="AIY597"/>
      <c r="AIZ597"/>
      <c r="AJA597"/>
      <c r="AJB597"/>
      <c r="AJC597"/>
      <c r="AJD597"/>
      <c r="AJE597"/>
      <c r="AJF597"/>
      <c r="AJG597"/>
      <c r="AJH597"/>
      <c r="AJI597"/>
      <c r="AJJ597"/>
      <c r="AJK597"/>
      <c r="AJL597"/>
      <c r="AJM597"/>
      <c r="AJN597"/>
      <c r="AJO597"/>
      <c r="AJP597"/>
      <c r="AJQ597"/>
      <c r="AJR597"/>
      <c r="AJS597"/>
      <c r="AJT597"/>
      <c r="AJU597"/>
      <c r="AJV597"/>
      <c r="AJW597"/>
      <c r="AJX597"/>
      <c r="AJY597"/>
      <c r="AJZ597"/>
      <c r="AKA597"/>
      <c r="AKB597"/>
      <c r="AKC597"/>
      <c r="AKD597"/>
      <c r="AKE597"/>
      <c r="AKF597"/>
      <c r="AKG597"/>
      <c r="AKH597"/>
      <c r="AKI597"/>
      <c r="AKJ597"/>
      <c r="AKK597"/>
      <c r="AKL597"/>
      <c r="AKM597"/>
      <c r="AKN597"/>
      <c r="AKO597"/>
      <c r="AKP597"/>
      <c r="AKQ597"/>
      <c r="AKR597"/>
      <c r="AKS597"/>
      <c r="AKT597"/>
      <c r="AKU597"/>
      <c r="AKV597"/>
      <c r="AKW597"/>
      <c r="AKX597"/>
      <c r="AKY597"/>
    </row>
    <row r="598" spans="1:987">
      <c r="A598" s="421" t="s">
        <v>408</v>
      </c>
      <c r="B598" s="305"/>
      <c r="C598" s="306"/>
      <c r="D598" s="306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  <c r="ZW598"/>
      <c r="ZX598"/>
      <c r="ZY598"/>
      <c r="ZZ598"/>
      <c r="AAA598"/>
      <c r="AAB598"/>
      <c r="AAC598"/>
      <c r="AAD598"/>
      <c r="AAE598"/>
      <c r="AAF598"/>
      <c r="AAG598"/>
      <c r="AAH598"/>
      <c r="AAI598"/>
      <c r="AAJ598"/>
      <c r="AAK598"/>
      <c r="AAL598"/>
      <c r="AAM598"/>
      <c r="AAN598"/>
      <c r="AAO598"/>
      <c r="AAP598"/>
      <c r="AAQ598"/>
      <c r="AAR598"/>
      <c r="AAS598"/>
      <c r="AAT598"/>
      <c r="AAU598"/>
      <c r="AAV598"/>
      <c r="AAW598"/>
      <c r="AAX598"/>
      <c r="AAY598"/>
      <c r="AAZ598"/>
      <c r="ABA598"/>
      <c r="ABB598"/>
      <c r="ABC598"/>
      <c r="ABD598"/>
      <c r="ABE598"/>
      <c r="ABF598"/>
      <c r="ABG598"/>
      <c r="ABH598"/>
      <c r="ABI598"/>
      <c r="ABJ598"/>
      <c r="ABK598"/>
      <c r="ABL598"/>
      <c r="ABM598"/>
      <c r="ABN598"/>
      <c r="ABO598"/>
      <c r="ABP598"/>
      <c r="ABQ598"/>
      <c r="ABR598"/>
      <c r="ABS598"/>
      <c r="ABT598"/>
      <c r="ABU598"/>
      <c r="ABV598"/>
      <c r="ABW598"/>
      <c r="ABX598"/>
      <c r="ABY598"/>
      <c r="ABZ598"/>
      <c r="ACA598"/>
      <c r="ACB598"/>
      <c r="ACC598"/>
      <c r="ACD598"/>
      <c r="ACE598"/>
      <c r="ACF598"/>
      <c r="ACG598"/>
      <c r="ACH598"/>
      <c r="ACI598"/>
      <c r="ACJ598"/>
      <c r="ACK598"/>
      <c r="ACL598"/>
      <c r="ACM598"/>
      <c r="ACN598"/>
      <c r="ACO598"/>
      <c r="ACP598"/>
      <c r="ACQ598"/>
      <c r="ACR598"/>
      <c r="ACS598"/>
      <c r="ACT598"/>
      <c r="ACU598"/>
      <c r="ACV598"/>
      <c r="ACW598"/>
      <c r="ACX598"/>
      <c r="ACY598"/>
      <c r="ACZ598"/>
      <c r="ADA598"/>
      <c r="ADB598"/>
      <c r="ADC598"/>
      <c r="ADD598"/>
      <c r="ADE598"/>
      <c r="ADF598"/>
      <c r="ADG598"/>
      <c r="ADH598"/>
      <c r="ADI598"/>
      <c r="ADJ598"/>
      <c r="ADK598"/>
      <c r="ADL598"/>
      <c r="ADM598"/>
      <c r="ADN598"/>
      <c r="ADO598"/>
      <c r="ADP598"/>
      <c r="ADQ598"/>
      <c r="ADR598"/>
      <c r="ADS598"/>
      <c r="ADT598"/>
      <c r="ADU598"/>
      <c r="ADV598"/>
      <c r="ADW598"/>
      <c r="ADX598"/>
      <c r="ADY598"/>
      <c r="ADZ598"/>
      <c r="AEA598"/>
      <c r="AEB598"/>
      <c r="AEC598"/>
      <c r="AED598"/>
      <c r="AEE598"/>
      <c r="AEF598"/>
      <c r="AEG598"/>
      <c r="AEH598"/>
      <c r="AEI598"/>
      <c r="AEJ598"/>
      <c r="AEK598"/>
      <c r="AEL598"/>
      <c r="AEM598"/>
      <c r="AEN598"/>
      <c r="AEO598"/>
      <c r="AEP598"/>
      <c r="AEQ598"/>
      <c r="AER598"/>
      <c r="AES598"/>
      <c r="AET598"/>
      <c r="AEU598"/>
      <c r="AEV598"/>
      <c r="AEW598"/>
      <c r="AEX598"/>
      <c r="AEY598"/>
      <c r="AEZ598"/>
      <c r="AFA598"/>
      <c r="AFB598"/>
      <c r="AFC598"/>
      <c r="AFD598"/>
      <c r="AFE598"/>
      <c r="AFF598"/>
      <c r="AFG598"/>
      <c r="AFH598"/>
      <c r="AFI598"/>
      <c r="AFJ598"/>
      <c r="AFK598"/>
      <c r="AFL598"/>
      <c r="AFM598"/>
      <c r="AFN598"/>
      <c r="AFO598"/>
      <c r="AFP598"/>
      <c r="AFQ598"/>
      <c r="AFR598"/>
      <c r="AFS598"/>
      <c r="AFT598"/>
      <c r="AFU598"/>
      <c r="AFV598"/>
      <c r="AFW598"/>
      <c r="AFX598"/>
      <c r="AFY598"/>
      <c r="AFZ598"/>
      <c r="AGA598"/>
      <c r="AGB598"/>
      <c r="AGC598"/>
      <c r="AGD598"/>
      <c r="AGE598"/>
      <c r="AGF598"/>
      <c r="AGG598"/>
      <c r="AGH598"/>
      <c r="AGI598"/>
      <c r="AGJ598"/>
      <c r="AGK598"/>
      <c r="AGL598"/>
      <c r="AGM598"/>
      <c r="AGN598"/>
      <c r="AGO598"/>
      <c r="AGP598"/>
      <c r="AGQ598"/>
      <c r="AGR598"/>
      <c r="AGS598"/>
      <c r="AGT598"/>
      <c r="AGU598"/>
      <c r="AGV598"/>
      <c r="AGW598"/>
      <c r="AGX598"/>
      <c r="AGY598"/>
      <c r="AGZ598"/>
      <c r="AHA598"/>
      <c r="AHB598"/>
      <c r="AHC598"/>
      <c r="AHD598"/>
      <c r="AHE598"/>
      <c r="AHF598"/>
      <c r="AHG598"/>
      <c r="AHH598"/>
      <c r="AHI598"/>
      <c r="AHJ598"/>
      <c r="AHK598"/>
      <c r="AHL598"/>
      <c r="AHM598"/>
      <c r="AHN598"/>
      <c r="AHO598"/>
      <c r="AHP598"/>
      <c r="AHQ598"/>
      <c r="AHR598"/>
      <c r="AHS598"/>
      <c r="AHT598"/>
      <c r="AHU598"/>
      <c r="AHV598"/>
      <c r="AHW598"/>
      <c r="AHX598"/>
      <c r="AHY598"/>
      <c r="AHZ598"/>
      <c r="AIA598"/>
      <c r="AIB598"/>
      <c r="AIC598"/>
      <c r="AID598"/>
      <c r="AIE598"/>
      <c r="AIF598"/>
      <c r="AIG598"/>
      <c r="AIH598"/>
      <c r="AII598"/>
      <c r="AIJ598"/>
      <c r="AIK598"/>
      <c r="AIL598"/>
      <c r="AIM598"/>
      <c r="AIN598"/>
      <c r="AIO598"/>
      <c r="AIP598"/>
      <c r="AIQ598"/>
      <c r="AIR598"/>
      <c r="AIS598"/>
      <c r="AIT598"/>
      <c r="AIU598"/>
      <c r="AIV598"/>
      <c r="AIW598"/>
      <c r="AIX598"/>
      <c r="AIY598"/>
      <c r="AIZ598"/>
      <c r="AJA598"/>
      <c r="AJB598"/>
      <c r="AJC598"/>
      <c r="AJD598"/>
      <c r="AJE598"/>
      <c r="AJF598"/>
      <c r="AJG598"/>
      <c r="AJH598"/>
      <c r="AJI598"/>
      <c r="AJJ598"/>
      <c r="AJK598"/>
      <c r="AJL598"/>
      <c r="AJM598"/>
      <c r="AJN598"/>
      <c r="AJO598"/>
      <c r="AJP598"/>
      <c r="AJQ598"/>
      <c r="AJR598"/>
      <c r="AJS598"/>
      <c r="AJT598"/>
      <c r="AJU598"/>
      <c r="AJV598"/>
      <c r="AJW598"/>
      <c r="AJX598"/>
      <c r="AJY598"/>
      <c r="AJZ598"/>
      <c r="AKA598"/>
      <c r="AKB598"/>
      <c r="AKC598"/>
      <c r="AKD598"/>
      <c r="AKE598"/>
      <c r="AKF598"/>
      <c r="AKG598"/>
      <c r="AKH598"/>
      <c r="AKI598"/>
      <c r="AKJ598"/>
      <c r="AKK598"/>
      <c r="AKL598"/>
      <c r="AKM598"/>
      <c r="AKN598"/>
      <c r="AKO598"/>
      <c r="AKP598"/>
      <c r="AKQ598"/>
      <c r="AKR598"/>
      <c r="AKS598"/>
      <c r="AKT598"/>
      <c r="AKU598"/>
      <c r="AKV598"/>
      <c r="AKW598"/>
      <c r="AKX598"/>
      <c r="AKY598"/>
    </row>
    <row r="599" spans="1:987">
      <c r="A599" s="421" t="s">
        <v>409</v>
      </c>
      <c r="B599" s="305">
        <v>2929</v>
      </c>
      <c r="C599" s="306">
        <v>3620</v>
      </c>
      <c r="D599" s="306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  <c r="ZY599"/>
      <c r="ZZ599"/>
      <c r="AAA599"/>
      <c r="AAB599"/>
      <c r="AAC599"/>
      <c r="AAD599"/>
      <c r="AAE599"/>
      <c r="AAF599"/>
      <c r="AAG599"/>
      <c r="AAH599"/>
      <c r="AAI599"/>
      <c r="AAJ599"/>
      <c r="AAK599"/>
      <c r="AAL599"/>
      <c r="AAM599"/>
      <c r="AAN599"/>
      <c r="AAO599"/>
      <c r="AAP599"/>
      <c r="AAQ599"/>
      <c r="AAR599"/>
      <c r="AAS599"/>
      <c r="AAT599"/>
      <c r="AAU599"/>
      <c r="AAV599"/>
      <c r="AAW599"/>
      <c r="AAX599"/>
      <c r="AAY599"/>
      <c r="AAZ599"/>
      <c r="ABA599"/>
      <c r="ABB599"/>
      <c r="ABC599"/>
      <c r="ABD599"/>
      <c r="ABE599"/>
      <c r="ABF599"/>
      <c r="ABG599"/>
      <c r="ABH599"/>
      <c r="ABI599"/>
      <c r="ABJ599"/>
      <c r="ABK599"/>
      <c r="ABL599"/>
      <c r="ABM599"/>
      <c r="ABN599"/>
      <c r="ABO599"/>
      <c r="ABP599"/>
      <c r="ABQ599"/>
      <c r="ABR599"/>
      <c r="ABS599"/>
      <c r="ABT599"/>
      <c r="ABU599"/>
      <c r="ABV599"/>
      <c r="ABW599"/>
      <c r="ABX599"/>
      <c r="ABY599"/>
      <c r="ABZ599"/>
      <c r="ACA599"/>
      <c r="ACB599"/>
      <c r="ACC599"/>
      <c r="ACD599"/>
      <c r="ACE599"/>
      <c r="ACF599"/>
      <c r="ACG599"/>
      <c r="ACH599"/>
      <c r="ACI599"/>
      <c r="ACJ599"/>
      <c r="ACK599"/>
      <c r="ACL599"/>
      <c r="ACM599"/>
      <c r="ACN599"/>
      <c r="ACO599"/>
      <c r="ACP599"/>
      <c r="ACQ599"/>
      <c r="ACR599"/>
      <c r="ACS599"/>
      <c r="ACT599"/>
      <c r="ACU599"/>
      <c r="ACV599"/>
      <c r="ACW599"/>
      <c r="ACX599"/>
      <c r="ACY599"/>
      <c r="ACZ599"/>
      <c r="ADA599"/>
      <c r="ADB599"/>
      <c r="ADC599"/>
      <c r="ADD599"/>
      <c r="ADE599"/>
      <c r="ADF599"/>
      <c r="ADG599"/>
      <c r="ADH599"/>
      <c r="ADI599"/>
      <c r="ADJ599"/>
      <c r="ADK599"/>
      <c r="ADL599"/>
      <c r="ADM599"/>
      <c r="ADN599"/>
      <c r="ADO599"/>
      <c r="ADP599"/>
      <c r="ADQ599"/>
      <c r="ADR599"/>
      <c r="ADS599"/>
      <c r="ADT599"/>
      <c r="ADU599"/>
      <c r="ADV599"/>
      <c r="ADW599"/>
      <c r="ADX599"/>
      <c r="ADY599"/>
      <c r="ADZ599"/>
      <c r="AEA599"/>
      <c r="AEB599"/>
      <c r="AEC599"/>
      <c r="AED599"/>
      <c r="AEE599"/>
      <c r="AEF599"/>
      <c r="AEG599"/>
      <c r="AEH599"/>
      <c r="AEI599"/>
      <c r="AEJ599"/>
      <c r="AEK599"/>
      <c r="AEL599"/>
      <c r="AEM599"/>
      <c r="AEN599"/>
      <c r="AEO599"/>
      <c r="AEP599"/>
      <c r="AEQ599"/>
      <c r="AER599"/>
      <c r="AES599"/>
      <c r="AET599"/>
      <c r="AEU599"/>
      <c r="AEV599"/>
      <c r="AEW599"/>
      <c r="AEX599"/>
      <c r="AEY599"/>
      <c r="AEZ599"/>
      <c r="AFA599"/>
      <c r="AFB599"/>
      <c r="AFC599"/>
      <c r="AFD599"/>
      <c r="AFE599"/>
      <c r="AFF599"/>
      <c r="AFG599"/>
      <c r="AFH599"/>
      <c r="AFI599"/>
      <c r="AFJ599"/>
      <c r="AFK599"/>
      <c r="AFL599"/>
      <c r="AFM599"/>
      <c r="AFN599"/>
      <c r="AFO599"/>
      <c r="AFP599"/>
      <c r="AFQ599"/>
      <c r="AFR599"/>
      <c r="AFS599"/>
      <c r="AFT599"/>
      <c r="AFU599"/>
      <c r="AFV599"/>
      <c r="AFW599"/>
      <c r="AFX599"/>
      <c r="AFY599"/>
      <c r="AFZ599"/>
      <c r="AGA599"/>
      <c r="AGB599"/>
      <c r="AGC599"/>
      <c r="AGD599"/>
      <c r="AGE599"/>
      <c r="AGF599"/>
      <c r="AGG599"/>
      <c r="AGH599"/>
      <c r="AGI599"/>
      <c r="AGJ599"/>
      <c r="AGK599"/>
      <c r="AGL599"/>
      <c r="AGM599"/>
      <c r="AGN599"/>
      <c r="AGO599"/>
      <c r="AGP599"/>
      <c r="AGQ599"/>
      <c r="AGR599"/>
      <c r="AGS599"/>
      <c r="AGT599"/>
      <c r="AGU599"/>
      <c r="AGV599"/>
      <c r="AGW599"/>
      <c r="AGX599"/>
      <c r="AGY599"/>
      <c r="AGZ599"/>
      <c r="AHA599"/>
      <c r="AHB599"/>
      <c r="AHC599"/>
      <c r="AHD599"/>
      <c r="AHE599"/>
      <c r="AHF599"/>
      <c r="AHG599"/>
      <c r="AHH599"/>
      <c r="AHI599"/>
      <c r="AHJ599"/>
      <c r="AHK599"/>
      <c r="AHL599"/>
      <c r="AHM599"/>
      <c r="AHN599"/>
      <c r="AHO599"/>
      <c r="AHP599"/>
      <c r="AHQ599"/>
      <c r="AHR599"/>
      <c r="AHS599"/>
      <c r="AHT599"/>
      <c r="AHU599"/>
      <c r="AHV599"/>
      <c r="AHW599"/>
      <c r="AHX599"/>
      <c r="AHY599"/>
      <c r="AHZ599"/>
      <c r="AIA599"/>
      <c r="AIB599"/>
      <c r="AIC599"/>
      <c r="AID599"/>
      <c r="AIE599"/>
      <c r="AIF599"/>
      <c r="AIG599"/>
      <c r="AIH599"/>
      <c r="AII599"/>
      <c r="AIJ599"/>
      <c r="AIK599"/>
      <c r="AIL599"/>
      <c r="AIM599"/>
      <c r="AIN599"/>
      <c r="AIO599"/>
      <c r="AIP599"/>
      <c r="AIQ599"/>
      <c r="AIR599"/>
      <c r="AIS599"/>
      <c r="AIT599"/>
      <c r="AIU599"/>
      <c r="AIV599"/>
      <c r="AIW599"/>
      <c r="AIX599"/>
      <c r="AIY599"/>
      <c r="AIZ599"/>
      <c r="AJA599"/>
      <c r="AJB599"/>
      <c r="AJC599"/>
      <c r="AJD599"/>
      <c r="AJE599"/>
      <c r="AJF599"/>
      <c r="AJG599"/>
      <c r="AJH599"/>
      <c r="AJI599"/>
      <c r="AJJ599"/>
      <c r="AJK599"/>
      <c r="AJL599"/>
      <c r="AJM599"/>
      <c r="AJN599"/>
      <c r="AJO599"/>
      <c r="AJP599"/>
      <c r="AJQ599"/>
      <c r="AJR599"/>
      <c r="AJS599"/>
      <c r="AJT599"/>
      <c r="AJU599"/>
      <c r="AJV599"/>
      <c r="AJW599"/>
      <c r="AJX599"/>
      <c r="AJY599"/>
      <c r="AJZ599"/>
      <c r="AKA599"/>
      <c r="AKB599"/>
      <c r="AKC599"/>
      <c r="AKD599"/>
      <c r="AKE599"/>
      <c r="AKF599"/>
      <c r="AKG599"/>
      <c r="AKH599"/>
      <c r="AKI599"/>
      <c r="AKJ599"/>
      <c r="AKK599"/>
      <c r="AKL599"/>
      <c r="AKM599"/>
      <c r="AKN599"/>
      <c r="AKO599"/>
      <c r="AKP599"/>
      <c r="AKQ599"/>
      <c r="AKR599"/>
      <c r="AKS599"/>
      <c r="AKT599"/>
      <c r="AKU599"/>
      <c r="AKV599"/>
      <c r="AKW599"/>
      <c r="AKX599"/>
      <c r="AKY599"/>
    </row>
    <row r="600" spans="1:987">
      <c r="A600" s="421" t="s">
        <v>411</v>
      </c>
      <c r="B600" s="305"/>
      <c r="C600" s="306"/>
      <c r="D600" s="306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  <c r="ZW600"/>
      <c r="ZX600"/>
      <c r="ZY600"/>
      <c r="ZZ600"/>
      <c r="AAA600"/>
      <c r="AAB600"/>
      <c r="AAC600"/>
      <c r="AAD600"/>
      <c r="AAE600"/>
      <c r="AAF600"/>
      <c r="AAG600"/>
      <c r="AAH600"/>
      <c r="AAI600"/>
      <c r="AAJ600"/>
      <c r="AAK600"/>
      <c r="AAL600"/>
      <c r="AAM600"/>
      <c r="AAN600"/>
      <c r="AAO600"/>
      <c r="AAP600"/>
      <c r="AAQ600"/>
      <c r="AAR600"/>
      <c r="AAS600"/>
      <c r="AAT600"/>
      <c r="AAU600"/>
      <c r="AAV600"/>
      <c r="AAW600"/>
      <c r="AAX600"/>
      <c r="AAY600"/>
      <c r="AAZ600"/>
      <c r="ABA600"/>
      <c r="ABB600"/>
      <c r="ABC600"/>
      <c r="ABD600"/>
      <c r="ABE600"/>
      <c r="ABF600"/>
      <c r="ABG600"/>
      <c r="ABH600"/>
      <c r="ABI600"/>
      <c r="ABJ600"/>
      <c r="ABK600"/>
      <c r="ABL600"/>
      <c r="ABM600"/>
      <c r="ABN600"/>
      <c r="ABO600"/>
      <c r="ABP600"/>
      <c r="ABQ600"/>
      <c r="ABR600"/>
      <c r="ABS600"/>
      <c r="ABT600"/>
      <c r="ABU600"/>
      <c r="ABV600"/>
      <c r="ABW600"/>
      <c r="ABX600"/>
      <c r="ABY600"/>
      <c r="ABZ600"/>
      <c r="ACA600"/>
      <c r="ACB600"/>
      <c r="ACC600"/>
      <c r="ACD600"/>
      <c r="ACE600"/>
      <c r="ACF600"/>
      <c r="ACG600"/>
      <c r="ACH600"/>
      <c r="ACI600"/>
      <c r="ACJ600"/>
      <c r="ACK600"/>
      <c r="ACL600"/>
      <c r="ACM600"/>
      <c r="ACN600"/>
      <c r="ACO600"/>
      <c r="ACP600"/>
      <c r="ACQ600"/>
      <c r="ACR600"/>
      <c r="ACS600"/>
      <c r="ACT600"/>
      <c r="ACU600"/>
      <c r="ACV600"/>
      <c r="ACW600"/>
      <c r="ACX600"/>
      <c r="ACY600"/>
      <c r="ACZ600"/>
      <c r="ADA600"/>
      <c r="ADB600"/>
      <c r="ADC600"/>
      <c r="ADD600"/>
      <c r="ADE600"/>
      <c r="ADF600"/>
      <c r="ADG600"/>
      <c r="ADH600"/>
      <c r="ADI600"/>
      <c r="ADJ600"/>
      <c r="ADK600"/>
      <c r="ADL600"/>
      <c r="ADM600"/>
      <c r="ADN600"/>
      <c r="ADO600"/>
      <c r="ADP600"/>
      <c r="ADQ600"/>
      <c r="ADR600"/>
      <c r="ADS600"/>
      <c r="ADT600"/>
      <c r="ADU600"/>
      <c r="ADV600"/>
      <c r="ADW600"/>
      <c r="ADX600"/>
      <c r="ADY600"/>
      <c r="ADZ600"/>
      <c r="AEA600"/>
      <c r="AEB600"/>
      <c r="AEC600"/>
      <c r="AED600"/>
      <c r="AEE600"/>
      <c r="AEF600"/>
      <c r="AEG600"/>
      <c r="AEH600"/>
      <c r="AEI600"/>
      <c r="AEJ600"/>
      <c r="AEK600"/>
      <c r="AEL600"/>
      <c r="AEM600"/>
      <c r="AEN600"/>
      <c r="AEO600"/>
      <c r="AEP600"/>
      <c r="AEQ600"/>
      <c r="AER600"/>
      <c r="AES600"/>
      <c r="AET600"/>
      <c r="AEU600"/>
      <c r="AEV600"/>
      <c r="AEW600"/>
      <c r="AEX600"/>
      <c r="AEY600"/>
      <c r="AEZ600"/>
      <c r="AFA600"/>
      <c r="AFB600"/>
      <c r="AFC600"/>
      <c r="AFD600"/>
      <c r="AFE600"/>
      <c r="AFF600"/>
      <c r="AFG600"/>
      <c r="AFH600"/>
      <c r="AFI600"/>
      <c r="AFJ600"/>
      <c r="AFK600"/>
      <c r="AFL600"/>
      <c r="AFM600"/>
      <c r="AFN600"/>
      <c r="AFO600"/>
      <c r="AFP600"/>
      <c r="AFQ600"/>
      <c r="AFR600"/>
      <c r="AFS600"/>
      <c r="AFT600"/>
      <c r="AFU600"/>
      <c r="AFV600"/>
      <c r="AFW600"/>
      <c r="AFX600"/>
      <c r="AFY600"/>
      <c r="AFZ600"/>
      <c r="AGA600"/>
      <c r="AGB600"/>
      <c r="AGC600"/>
      <c r="AGD600"/>
      <c r="AGE600"/>
      <c r="AGF600"/>
      <c r="AGG600"/>
      <c r="AGH600"/>
      <c r="AGI600"/>
      <c r="AGJ600"/>
      <c r="AGK600"/>
      <c r="AGL600"/>
      <c r="AGM600"/>
      <c r="AGN600"/>
      <c r="AGO600"/>
      <c r="AGP600"/>
      <c r="AGQ600"/>
      <c r="AGR600"/>
      <c r="AGS600"/>
      <c r="AGT600"/>
      <c r="AGU600"/>
      <c r="AGV600"/>
      <c r="AGW600"/>
      <c r="AGX600"/>
      <c r="AGY600"/>
      <c r="AGZ600"/>
      <c r="AHA600"/>
      <c r="AHB600"/>
      <c r="AHC600"/>
      <c r="AHD600"/>
      <c r="AHE600"/>
      <c r="AHF600"/>
      <c r="AHG600"/>
      <c r="AHH600"/>
      <c r="AHI600"/>
      <c r="AHJ600"/>
      <c r="AHK600"/>
      <c r="AHL600"/>
      <c r="AHM600"/>
      <c r="AHN600"/>
      <c r="AHO600"/>
      <c r="AHP600"/>
      <c r="AHQ600"/>
      <c r="AHR600"/>
      <c r="AHS600"/>
      <c r="AHT600"/>
      <c r="AHU600"/>
      <c r="AHV600"/>
      <c r="AHW600"/>
      <c r="AHX600"/>
      <c r="AHY600"/>
      <c r="AHZ600"/>
      <c r="AIA600"/>
      <c r="AIB600"/>
      <c r="AIC600"/>
      <c r="AID600"/>
      <c r="AIE600"/>
      <c r="AIF600"/>
      <c r="AIG600"/>
      <c r="AIH600"/>
      <c r="AII600"/>
      <c r="AIJ600"/>
      <c r="AIK600"/>
      <c r="AIL600"/>
      <c r="AIM600"/>
      <c r="AIN600"/>
      <c r="AIO600"/>
      <c r="AIP600"/>
      <c r="AIQ600"/>
      <c r="AIR600"/>
      <c r="AIS600"/>
      <c r="AIT600"/>
      <c r="AIU600"/>
      <c r="AIV600"/>
      <c r="AIW600"/>
      <c r="AIX600"/>
      <c r="AIY600"/>
      <c r="AIZ600"/>
      <c r="AJA600"/>
      <c r="AJB600"/>
      <c r="AJC600"/>
      <c r="AJD600"/>
      <c r="AJE600"/>
      <c r="AJF600"/>
      <c r="AJG600"/>
      <c r="AJH600"/>
      <c r="AJI600"/>
      <c r="AJJ600"/>
      <c r="AJK600"/>
      <c r="AJL600"/>
      <c r="AJM600"/>
      <c r="AJN600"/>
      <c r="AJO600"/>
      <c r="AJP600"/>
      <c r="AJQ600"/>
      <c r="AJR600"/>
      <c r="AJS600"/>
      <c r="AJT600"/>
      <c r="AJU600"/>
      <c r="AJV600"/>
      <c r="AJW600"/>
      <c r="AJX600"/>
      <c r="AJY600"/>
      <c r="AJZ600"/>
      <c r="AKA600"/>
      <c r="AKB600"/>
      <c r="AKC600"/>
      <c r="AKD600"/>
      <c r="AKE600"/>
      <c r="AKF600"/>
      <c r="AKG600"/>
      <c r="AKH600"/>
      <c r="AKI600"/>
      <c r="AKJ600"/>
      <c r="AKK600"/>
      <c r="AKL600"/>
      <c r="AKM600"/>
      <c r="AKN600"/>
      <c r="AKO600"/>
      <c r="AKP600"/>
      <c r="AKQ600"/>
      <c r="AKR600"/>
      <c r="AKS600"/>
      <c r="AKT600"/>
      <c r="AKU600"/>
      <c r="AKV600"/>
      <c r="AKW600"/>
      <c r="AKX600"/>
      <c r="AKY600"/>
    </row>
    <row r="601" spans="1:987">
      <c r="A601" s="519" t="s">
        <v>413</v>
      </c>
      <c r="B601" s="305">
        <v>2981</v>
      </c>
      <c r="C601" s="306">
        <v>3620</v>
      </c>
      <c r="D601" s="306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  <c r="ZY601"/>
      <c r="ZZ601"/>
      <c r="AAA601"/>
      <c r="AAB601"/>
      <c r="AAC601"/>
      <c r="AAD601"/>
      <c r="AAE601"/>
      <c r="AAF601"/>
      <c r="AAG601"/>
      <c r="AAH601"/>
      <c r="AAI601"/>
      <c r="AAJ601"/>
      <c r="AAK601"/>
      <c r="AAL601"/>
      <c r="AAM601"/>
      <c r="AAN601"/>
      <c r="AAO601"/>
      <c r="AAP601"/>
      <c r="AAQ601"/>
      <c r="AAR601"/>
      <c r="AAS601"/>
      <c r="AAT601"/>
      <c r="AAU601"/>
      <c r="AAV601"/>
      <c r="AAW601"/>
      <c r="AAX601"/>
      <c r="AAY601"/>
      <c r="AAZ601"/>
      <c r="ABA601"/>
      <c r="ABB601"/>
      <c r="ABC601"/>
      <c r="ABD601"/>
      <c r="ABE601"/>
      <c r="ABF601"/>
      <c r="ABG601"/>
      <c r="ABH601"/>
      <c r="ABI601"/>
      <c r="ABJ601"/>
      <c r="ABK601"/>
      <c r="ABL601"/>
      <c r="ABM601"/>
      <c r="ABN601"/>
      <c r="ABO601"/>
      <c r="ABP601"/>
      <c r="ABQ601"/>
      <c r="ABR601"/>
      <c r="ABS601"/>
      <c r="ABT601"/>
      <c r="ABU601"/>
      <c r="ABV601"/>
      <c r="ABW601"/>
      <c r="ABX601"/>
      <c r="ABY601"/>
      <c r="ABZ601"/>
      <c r="ACA601"/>
      <c r="ACB601"/>
      <c r="ACC601"/>
      <c r="ACD601"/>
      <c r="ACE601"/>
      <c r="ACF601"/>
      <c r="ACG601"/>
      <c r="ACH601"/>
      <c r="ACI601"/>
      <c r="ACJ601"/>
      <c r="ACK601"/>
      <c r="ACL601"/>
      <c r="ACM601"/>
      <c r="ACN601"/>
      <c r="ACO601"/>
      <c r="ACP601"/>
      <c r="ACQ601"/>
      <c r="ACR601"/>
      <c r="ACS601"/>
      <c r="ACT601"/>
      <c r="ACU601"/>
      <c r="ACV601"/>
      <c r="ACW601"/>
      <c r="ACX601"/>
      <c r="ACY601"/>
      <c r="ACZ601"/>
      <c r="ADA601"/>
      <c r="ADB601"/>
      <c r="ADC601"/>
      <c r="ADD601"/>
      <c r="ADE601"/>
      <c r="ADF601"/>
      <c r="ADG601"/>
      <c r="ADH601"/>
      <c r="ADI601"/>
      <c r="ADJ601"/>
      <c r="ADK601"/>
      <c r="ADL601"/>
      <c r="ADM601"/>
      <c r="ADN601"/>
      <c r="ADO601"/>
      <c r="ADP601"/>
      <c r="ADQ601"/>
      <c r="ADR601"/>
      <c r="ADS601"/>
      <c r="ADT601"/>
      <c r="ADU601"/>
      <c r="ADV601"/>
      <c r="ADW601"/>
      <c r="ADX601"/>
      <c r="ADY601"/>
      <c r="ADZ601"/>
      <c r="AEA601"/>
      <c r="AEB601"/>
      <c r="AEC601"/>
      <c r="AED601"/>
      <c r="AEE601"/>
      <c r="AEF601"/>
      <c r="AEG601"/>
      <c r="AEH601"/>
      <c r="AEI601"/>
      <c r="AEJ601"/>
      <c r="AEK601"/>
      <c r="AEL601"/>
      <c r="AEM601"/>
      <c r="AEN601"/>
      <c r="AEO601"/>
      <c r="AEP601"/>
      <c r="AEQ601"/>
      <c r="AER601"/>
      <c r="AES601"/>
      <c r="AET601"/>
      <c r="AEU601"/>
      <c r="AEV601"/>
      <c r="AEW601"/>
      <c r="AEX601"/>
      <c r="AEY601"/>
      <c r="AEZ601"/>
      <c r="AFA601"/>
      <c r="AFB601"/>
      <c r="AFC601"/>
      <c r="AFD601"/>
      <c r="AFE601"/>
      <c r="AFF601"/>
      <c r="AFG601"/>
      <c r="AFH601"/>
      <c r="AFI601"/>
      <c r="AFJ601"/>
      <c r="AFK601"/>
      <c r="AFL601"/>
      <c r="AFM601"/>
      <c r="AFN601"/>
      <c r="AFO601"/>
      <c r="AFP601"/>
      <c r="AFQ601"/>
      <c r="AFR601"/>
      <c r="AFS601"/>
      <c r="AFT601"/>
      <c r="AFU601"/>
      <c r="AFV601"/>
      <c r="AFW601"/>
      <c r="AFX601"/>
      <c r="AFY601"/>
      <c r="AFZ601"/>
      <c r="AGA601"/>
      <c r="AGB601"/>
      <c r="AGC601"/>
      <c r="AGD601"/>
      <c r="AGE601"/>
      <c r="AGF601"/>
      <c r="AGG601"/>
      <c r="AGH601"/>
      <c r="AGI601"/>
      <c r="AGJ601"/>
      <c r="AGK601"/>
      <c r="AGL601"/>
      <c r="AGM601"/>
      <c r="AGN601"/>
      <c r="AGO601"/>
      <c r="AGP601"/>
      <c r="AGQ601"/>
      <c r="AGR601"/>
      <c r="AGS601"/>
      <c r="AGT601"/>
      <c r="AGU601"/>
      <c r="AGV601"/>
      <c r="AGW601"/>
      <c r="AGX601"/>
      <c r="AGY601"/>
      <c r="AGZ601"/>
      <c r="AHA601"/>
      <c r="AHB601"/>
      <c r="AHC601"/>
      <c r="AHD601"/>
      <c r="AHE601"/>
      <c r="AHF601"/>
      <c r="AHG601"/>
      <c r="AHH601"/>
      <c r="AHI601"/>
      <c r="AHJ601"/>
      <c r="AHK601"/>
      <c r="AHL601"/>
      <c r="AHM601"/>
      <c r="AHN601"/>
      <c r="AHO601"/>
      <c r="AHP601"/>
      <c r="AHQ601"/>
      <c r="AHR601"/>
      <c r="AHS601"/>
      <c r="AHT601"/>
      <c r="AHU601"/>
      <c r="AHV601"/>
      <c r="AHW601"/>
      <c r="AHX601"/>
      <c r="AHY601"/>
      <c r="AHZ601"/>
      <c r="AIA601"/>
      <c r="AIB601"/>
      <c r="AIC601"/>
      <c r="AID601"/>
      <c r="AIE601"/>
      <c r="AIF601"/>
      <c r="AIG601"/>
      <c r="AIH601"/>
      <c r="AII601"/>
      <c r="AIJ601"/>
      <c r="AIK601"/>
      <c r="AIL601"/>
      <c r="AIM601"/>
      <c r="AIN601"/>
      <c r="AIO601"/>
      <c r="AIP601"/>
      <c r="AIQ601"/>
      <c r="AIR601"/>
      <c r="AIS601"/>
      <c r="AIT601"/>
      <c r="AIU601"/>
      <c r="AIV601"/>
      <c r="AIW601"/>
      <c r="AIX601"/>
      <c r="AIY601"/>
      <c r="AIZ601"/>
      <c r="AJA601"/>
      <c r="AJB601"/>
      <c r="AJC601"/>
      <c r="AJD601"/>
      <c r="AJE601"/>
      <c r="AJF601"/>
      <c r="AJG601"/>
      <c r="AJH601"/>
      <c r="AJI601"/>
      <c r="AJJ601"/>
      <c r="AJK601"/>
      <c r="AJL601"/>
      <c r="AJM601"/>
      <c r="AJN601"/>
      <c r="AJO601"/>
      <c r="AJP601"/>
      <c r="AJQ601"/>
      <c r="AJR601"/>
      <c r="AJS601"/>
      <c r="AJT601"/>
      <c r="AJU601"/>
      <c r="AJV601"/>
      <c r="AJW601"/>
      <c r="AJX601"/>
      <c r="AJY601"/>
      <c r="AJZ601"/>
      <c r="AKA601"/>
      <c r="AKB601"/>
      <c r="AKC601"/>
      <c r="AKD601"/>
      <c r="AKE601"/>
      <c r="AKF601"/>
      <c r="AKG601"/>
      <c r="AKH601"/>
      <c r="AKI601"/>
      <c r="AKJ601"/>
      <c r="AKK601"/>
      <c r="AKL601"/>
      <c r="AKM601"/>
      <c r="AKN601"/>
      <c r="AKO601"/>
      <c r="AKP601"/>
      <c r="AKQ601"/>
      <c r="AKR601"/>
      <c r="AKS601"/>
      <c r="AKT601"/>
      <c r="AKU601"/>
      <c r="AKV601"/>
      <c r="AKW601"/>
      <c r="AKX601"/>
      <c r="AKY601"/>
    </row>
    <row r="602" spans="1:987">
      <c r="A602" s="293" t="s">
        <v>337</v>
      </c>
      <c r="B602" s="305">
        <v>2520</v>
      </c>
      <c r="C602" s="306">
        <v>3565</v>
      </c>
      <c r="D602" s="306" t="s">
        <v>338</v>
      </c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  <c r="ZW602"/>
      <c r="ZX602"/>
      <c r="ZY602"/>
      <c r="ZZ602"/>
      <c r="AAA602"/>
      <c r="AAB602"/>
      <c r="AAC602"/>
      <c r="AAD602"/>
      <c r="AAE602"/>
      <c r="AAF602"/>
      <c r="AAG602"/>
      <c r="AAH602"/>
      <c r="AAI602"/>
      <c r="AAJ602"/>
      <c r="AAK602"/>
      <c r="AAL602"/>
      <c r="AAM602"/>
      <c r="AAN602"/>
      <c r="AAO602"/>
      <c r="AAP602"/>
      <c r="AAQ602"/>
      <c r="AAR602"/>
      <c r="AAS602"/>
      <c r="AAT602"/>
      <c r="AAU602"/>
      <c r="AAV602"/>
      <c r="AAW602"/>
      <c r="AAX602"/>
      <c r="AAY602"/>
      <c r="AAZ602"/>
      <c r="ABA602"/>
      <c r="ABB602"/>
      <c r="ABC602"/>
      <c r="ABD602"/>
      <c r="ABE602"/>
      <c r="ABF602"/>
      <c r="ABG602"/>
      <c r="ABH602"/>
      <c r="ABI602"/>
      <c r="ABJ602"/>
      <c r="ABK602"/>
      <c r="ABL602"/>
      <c r="ABM602"/>
      <c r="ABN602"/>
      <c r="ABO602"/>
      <c r="ABP602"/>
      <c r="ABQ602"/>
      <c r="ABR602"/>
      <c r="ABS602"/>
      <c r="ABT602"/>
      <c r="ABU602"/>
      <c r="ABV602"/>
      <c r="ABW602"/>
      <c r="ABX602"/>
      <c r="ABY602"/>
      <c r="ABZ602"/>
      <c r="ACA602"/>
      <c r="ACB602"/>
      <c r="ACC602"/>
      <c r="ACD602"/>
      <c r="ACE602"/>
      <c r="ACF602"/>
      <c r="ACG602"/>
      <c r="ACH602"/>
      <c r="ACI602"/>
      <c r="ACJ602"/>
      <c r="ACK602"/>
      <c r="ACL602"/>
      <c r="ACM602"/>
      <c r="ACN602"/>
      <c r="ACO602"/>
      <c r="ACP602"/>
      <c r="ACQ602"/>
      <c r="ACR602"/>
      <c r="ACS602"/>
      <c r="ACT602"/>
      <c r="ACU602"/>
      <c r="ACV602"/>
      <c r="ACW602"/>
      <c r="ACX602"/>
      <c r="ACY602"/>
      <c r="ACZ602"/>
      <c r="ADA602"/>
      <c r="ADB602"/>
      <c r="ADC602"/>
      <c r="ADD602"/>
      <c r="ADE602"/>
      <c r="ADF602"/>
      <c r="ADG602"/>
      <c r="ADH602"/>
      <c r="ADI602"/>
      <c r="ADJ602"/>
      <c r="ADK602"/>
      <c r="ADL602"/>
      <c r="ADM602"/>
      <c r="ADN602"/>
      <c r="ADO602"/>
      <c r="ADP602"/>
      <c r="ADQ602"/>
      <c r="ADR602"/>
      <c r="ADS602"/>
      <c r="ADT602"/>
      <c r="ADU602"/>
      <c r="ADV602"/>
      <c r="ADW602"/>
      <c r="ADX602"/>
      <c r="ADY602"/>
      <c r="ADZ602"/>
      <c r="AEA602"/>
      <c r="AEB602"/>
      <c r="AEC602"/>
      <c r="AED602"/>
      <c r="AEE602"/>
      <c r="AEF602"/>
      <c r="AEG602"/>
      <c r="AEH602"/>
      <c r="AEI602"/>
      <c r="AEJ602"/>
      <c r="AEK602"/>
      <c r="AEL602"/>
      <c r="AEM602"/>
      <c r="AEN602"/>
      <c r="AEO602"/>
      <c r="AEP602"/>
      <c r="AEQ602"/>
      <c r="AER602"/>
      <c r="AES602"/>
      <c r="AET602"/>
      <c r="AEU602"/>
      <c r="AEV602"/>
      <c r="AEW602"/>
      <c r="AEX602"/>
      <c r="AEY602"/>
      <c r="AEZ602"/>
      <c r="AFA602"/>
      <c r="AFB602"/>
      <c r="AFC602"/>
      <c r="AFD602"/>
      <c r="AFE602"/>
      <c r="AFF602"/>
      <c r="AFG602"/>
      <c r="AFH602"/>
      <c r="AFI602"/>
      <c r="AFJ602"/>
      <c r="AFK602"/>
      <c r="AFL602"/>
      <c r="AFM602"/>
      <c r="AFN602"/>
      <c r="AFO602"/>
      <c r="AFP602"/>
      <c r="AFQ602"/>
      <c r="AFR602"/>
      <c r="AFS602"/>
      <c r="AFT602"/>
      <c r="AFU602"/>
      <c r="AFV602"/>
      <c r="AFW602"/>
      <c r="AFX602"/>
      <c r="AFY602"/>
      <c r="AFZ602"/>
      <c r="AGA602"/>
      <c r="AGB602"/>
      <c r="AGC602"/>
      <c r="AGD602"/>
      <c r="AGE602"/>
      <c r="AGF602"/>
      <c r="AGG602"/>
      <c r="AGH602"/>
      <c r="AGI602"/>
      <c r="AGJ602"/>
      <c r="AGK602"/>
      <c r="AGL602"/>
      <c r="AGM602"/>
      <c r="AGN602"/>
      <c r="AGO602"/>
      <c r="AGP602"/>
      <c r="AGQ602"/>
      <c r="AGR602"/>
      <c r="AGS602"/>
      <c r="AGT602"/>
      <c r="AGU602"/>
      <c r="AGV602"/>
      <c r="AGW602"/>
      <c r="AGX602"/>
      <c r="AGY602"/>
      <c r="AGZ602"/>
      <c r="AHA602"/>
      <c r="AHB602"/>
      <c r="AHC602"/>
      <c r="AHD602"/>
      <c r="AHE602"/>
      <c r="AHF602"/>
      <c r="AHG602"/>
      <c r="AHH602"/>
      <c r="AHI602"/>
      <c r="AHJ602"/>
      <c r="AHK602"/>
      <c r="AHL602"/>
      <c r="AHM602"/>
      <c r="AHN602"/>
      <c r="AHO602"/>
      <c r="AHP602"/>
      <c r="AHQ602"/>
      <c r="AHR602"/>
      <c r="AHS602"/>
      <c r="AHT602"/>
      <c r="AHU602"/>
      <c r="AHV602"/>
      <c r="AHW602"/>
      <c r="AHX602"/>
      <c r="AHY602"/>
      <c r="AHZ602"/>
      <c r="AIA602"/>
      <c r="AIB602"/>
      <c r="AIC602"/>
      <c r="AID602"/>
      <c r="AIE602"/>
      <c r="AIF602"/>
      <c r="AIG602"/>
      <c r="AIH602"/>
      <c r="AII602"/>
      <c r="AIJ602"/>
      <c r="AIK602"/>
      <c r="AIL602"/>
      <c r="AIM602"/>
      <c r="AIN602"/>
      <c r="AIO602"/>
      <c r="AIP602"/>
      <c r="AIQ602"/>
      <c r="AIR602"/>
      <c r="AIS602"/>
      <c r="AIT602"/>
      <c r="AIU602"/>
      <c r="AIV602"/>
      <c r="AIW602"/>
      <c r="AIX602"/>
      <c r="AIY602"/>
      <c r="AIZ602"/>
      <c r="AJA602"/>
      <c r="AJB602"/>
      <c r="AJC602"/>
      <c r="AJD602"/>
      <c r="AJE602"/>
      <c r="AJF602"/>
      <c r="AJG602"/>
      <c r="AJH602"/>
      <c r="AJI602"/>
      <c r="AJJ602"/>
      <c r="AJK602"/>
      <c r="AJL602"/>
      <c r="AJM602"/>
      <c r="AJN602"/>
      <c r="AJO602"/>
      <c r="AJP602"/>
      <c r="AJQ602"/>
      <c r="AJR602"/>
      <c r="AJS602"/>
      <c r="AJT602"/>
      <c r="AJU602"/>
      <c r="AJV602"/>
      <c r="AJW602"/>
      <c r="AJX602"/>
      <c r="AJY602"/>
      <c r="AJZ602"/>
      <c r="AKA602"/>
      <c r="AKB602"/>
      <c r="AKC602"/>
      <c r="AKD602"/>
      <c r="AKE602"/>
      <c r="AKF602"/>
      <c r="AKG602"/>
      <c r="AKH602"/>
      <c r="AKI602"/>
      <c r="AKJ602"/>
      <c r="AKK602"/>
      <c r="AKL602"/>
      <c r="AKM602"/>
      <c r="AKN602"/>
      <c r="AKO602"/>
      <c r="AKP602"/>
      <c r="AKQ602"/>
      <c r="AKR602"/>
      <c r="AKS602"/>
      <c r="AKT602"/>
      <c r="AKU602"/>
      <c r="AKV602"/>
      <c r="AKW602"/>
      <c r="AKX602"/>
      <c r="AKY602"/>
    </row>
    <row r="603" spans="1:987">
      <c r="A603" s="282" t="s">
        <v>415</v>
      </c>
      <c r="B603" s="305"/>
      <c r="C603" s="306"/>
      <c r="D603" s="306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  <c r="ZW603"/>
      <c r="ZX603"/>
      <c r="ZY603"/>
      <c r="ZZ603"/>
      <c r="AAA603"/>
      <c r="AAB603"/>
      <c r="AAC603"/>
      <c r="AAD603"/>
      <c r="AAE603"/>
      <c r="AAF603"/>
      <c r="AAG603"/>
      <c r="AAH603"/>
      <c r="AAI603"/>
      <c r="AAJ603"/>
      <c r="AAK603"/>
      <c r="AAL603"/>
      <c r="AAM603"/>
      <c r="AAN603"/>
      <c r="AAO603"/>
      <c r="AAP603"/>
      <c r="AAQ603"/>
      <c r="AAR603"/>
      <c r="AAS603"/>
      <c r="AAT603"/>
      <c r="AAU603"/>
      <c r="AAV603"/>
      <c r="AAW603"/>
      <c r="AAX603"/>
      <c r="AAY603"/>
      <c r="AAZ603"/>
      <c r="ABA603"/>
      <c r="ABB603"/>
      <c r="ABC603"/>
      <c r="ABD603"/>
      <c r="ABE603"/>
      <c r="ABF603"/>
      <c r="ABG603"/>
      <c r="ABH603"/>
      <c r="ABI603"/>
      <c r="ABJ603"/>
      <c r="ABK603"/>
      <c r="ABL603"/>
      <c r="ABM603"/>
      <c r="ABN603"/>
      <c r="ABO603"/>
      <c r="ABP603"/>
      <c r="ABQ603"/>
      <c r="ABR603"/>
      <c r="ABS603"/>
      <c r="ABT603"/>
      <c r="ABU603"/>
      <c r="ABV603"/>
      <c r="ABW603"/>
      <c r="ABX603"/>
      <c r="ABY603"/>
      <c r="ABZ603"/>
      <c r="ACA603"/>
      <c r="ACB603"/>
      <c r="ACC603"/>
      <c r="ACD603"/>
      <c r="ACE603"/>
      <c r="ACF603"/>
      <c r="ACG603"/>
      <c r="ACH603"/>
      <c r="ACI603"/>
      <c r="ACJ603"/>
      <c r="ACK603"/>
      <c r="ACL603"/>
      <c r="ACM603"/>
      <c r="ACN603"/>
      <c r="ACO603"/>
      <c r="ACP603"/>
      <c r="ACQ603"/>
      <c r="ACR603"/>
      <c r="ACS603"/>
      <c r="ACT603"/>
      <c r="ACU603"/>
      <c r="ACV603"/>
      <c r="ACW603"/>
      <c r="ACX603"/>
      <c r="ACY603"/>
      <c r="ACZ603"/>
      <c r="ADA603"/>
      <c r="ADB603"/>
      <c r="ADC603"/>
      <c r="ADD603"/>
      <c r="ADE603"/>
      <c r="ADF603"/>
      <c r="ADG603"/>
      <c r="ADH603"/>
      <c r="ADI603"/>
      <c r="ADJ603"/>
      <c r="ADK603"/>
      <c r="ADL603"/>
      <c r="ADM603"/>
      <c r="ADN603"/>
      <c r="ADO603"/>
      <c r="ADP603"/>
      <c r="ADQ603"/>
      <c r="ADR603"/>
      <c r="ADS603"/>
      <c r="ADT603"/>
      <c r="ADU603"/>
      <c r="ADV603"/>
      <c r="ADW603"/>
      <c r="ADX603"/>
      <c r="ADY603"/>
      <c r="ADZ603"/>
      <c r="AEA603"/>
      <c r="AEB603"/>
      <c r="AEC603"/>
      <c r="AED603"/>
      <c r="AEE603"/>
      <c r="AEF603"/>
      <c r="AEG603"/>
      <c r="AEH603"/>
      <c r="AEI603"/>
      <c r="AEJ603"/>
      <c r="AEK603"/>
      <c r="AEL603"/>
      <c r="AEM603"/>
      <c r="AEN603"/>
      <c r="AEO603"/>
      <c r="AEP603"/>
      <c r="AEQ603"/>
      <c r="AER603"/>
      <c r="AES603"/>
      <c r="AET603"/>
      <c r="AEU603"/>
      <c r="AEV603"/>
      <c r="AEW603"/>
      <c r="AEX603"/>
      <c r="AEY603"/>
      <c r="AEZ603"/>
      <c r="AFA603"/>
      <c r="AFB603"/>
      <c r="AFC603"/>
      <c r="AFD603"/>
      <c r="AFE603"/>
      <c r="AFF603"/>
      <c r="AFG603"/>
      <c r="AFH603"/>
      <c r="AFI603"/>
      <c r="AFJ603"/>
      <c r="AFK603"/>
      <c r="AFL603"/>
      <c r="AFM603"/>
      <c r="AFN603"/>
      <c r="AFO603"/>
      <c r="AFP603"/>
      <c r="AFQ603"/>
      <c r="AFR603"/>
      <c r="AFS603"/>
      <c r="AFT603"/>
      <c r="AFU603"/>
      <c r="AFV603"/>
      <c r="AFW603"/>
      <c r="AFX603"/>
      <c r="AFY603"/>
      <c r="AFZ603"/>
      <c r="AGA603"/>
      <c r="AGB603"/>
      <c r="AGC603"/>
      <c r="AGD603"/>
      <c r="AGE603"/>
      <c r="AGF603"/>
      <c r="AGG603"/>
      <c r="AGH603"/>
      <c r="AGI603"/>
      <c r="AGJ603"/>
      <c r="AGK603"/>
      <c r="AGL603"/>
      <c r="AGM603"/>
      <c r="AGN603"/>
      <c r="AGO603"/>
      <c r="AGP603"/>
      <c r="AGQ603"/>
      <c r="AGR603"/>
      <c r="AGS603"/>
      <c r="AGT603"/>
      <c r="AGU603"/>
      <c r="AGV603"/>
      <c r="AGW603"/>
      <c r="AGX603"/>
      <c r="AGY603"/>
      <c r="AGZ603"/>
      <c r="AHA603"/>
      <c r="AHB603"/>
      <c r="AHC603"/>
      <c r="AHD603"/>
      <c r="AHE603"/>
      <c r="AHF603"/>
      <c r="AHG603"/>
      <c r="AHH603"/>
      <c r="AHI603"/>
      <c r="AHJ603"/>
      <c r="AHK603"/>
      <c r="AHL603"/>
      <c r="AHM603"/>
      <c r="AHN603"/>
      <c r="AHO603"/>
      <c r="AHP603"/>
      <c r="AHQ603"/>
      <c r="AHR603"/>
      <c r="AHS603"/>
      <c r="AHT603"/>
      <c r="AHU603"/>
      <c r="AHV603"/>
      <c r="AHW603"/>
      <c r="AHX603"/>
      <c r="AHY603"/>
      <c r="AHZ603"/>
      <c r="AIA603"/>
      <c r="AIB603"/>
      <c r="AIC603"/>
      <c r="AID603"/>
      <c r="AIE603"/>
      <c r="AIF603"/>
      <c r="AIG603"/>
      <c r="AIH603"/>
      <c r="AII603"/>
      <c r="AIJ603"/>
      <c r="AIK603"/>
      <c r="AIL603"/>
      <c r="AIM603"/>
      <c r="AIN603"/>
      <c r="AIO603"/>
      <c r="AIP603"/>
      <c r="AIQ603"/>
      <c r="AIR603"/>
      <c r="AIS603"/>
      <c r="AIT603"/>
      <c r="AIU603"/>
      <c r="AIV603"/>
      <c r="AIW603"/>
      <c r="AIX603"/>
      <c r="AIY603"/>
      <c r="AIZ603"/>
      <c r="AJA603"/>
      <c r="AJB603"/>
      <c r="AJC603"/>
      <c r="AJD603"/>
      <c r="AJE603"/>
      <c r="AJF603"/>
      <c r="AJG603"/>
      <c r="AJH603"/>
      <c r="AJI603"/>
      <c r="AJJ603"/>
      <c r="AJK603"/>
      <c r="AJL603"/>
      <c r="AJM603"/>
      <c r="AJN603"/>
      <c r="AJO603"/>
      <c r="AJP603"/>
      <c r="AJQ603"/>
      <c r="AJR603"/>
      <c r="AJS603"/>
      <c r="AJT603"/>
      <c r="AJU603"/>
      <c r="AJV603"/>
      <c r="AJW603"/>
      <c r="AJX603"/>
      <c r="AJY603"/>
      <c r="AJZ603"/>
      <c r="AKA603"/>
      <c r="AKB603"/>
      <c r="AKC603"/>
      <c r="AKD603"/>
      <c r="AKE603"/>
      <c r="AKF603"/>
      <c r="AKG603"/>
      <c r="AKH603"/>
      <c r="AKI603"/>
      <c r="AKJ603"/>
      <c r="AKK603"/>
      <c r="AKL603"/>
      <c r="AKM603"/>
      <c r="AKN603"/>
      <c r="AKO603"/>
      <c r="AKP603"/>
      <c r="AKQ603"/>
      <c r="AKR603"/>
      <c r="AKS603"/>
      <c r="AKT603"/>
      <c r="AKU603"/>
      <c r="AKV603"/>
      <c r="AKW603"/>
      <c r="AKX603"/>
      <c r="AKY603"/>
    </row>
    <row r="604" spans="1:987">
      <c r="A604" s="282" t="s">
        <v>416</v>
      </c>
      <c r="B604" s="305">
        <v>3025</v>
      </c>
      <c r="C604" s="306">
        <v>3620</v>
      </c>
      <c r="D604" s="306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  <c r="ZW604"/>
      <c r="ZX604"/>
      <c r="ZY604"/>
      <c r="ZZ604"/>
      <c r="AAA604"/>
      <c r="AAB604"/>
      <c r="AAC604"/>
      <c r="AAD604"/>
      <c r="AAE604"/>
      <c r="AAF604"/>
      <c r="AAG604"/>
      <c r="AAH604"/>
      <c r="AAI604"/>
      <c r="AAJ604"/>
      <c r="AAK604"/>
      <c r="AAL604"/>
      <c r="AAM604"/>
      <c r="AAN604"/>
      <c r="AAO604"/>
      <c r="AAP604"/>
      <c r="AAQ604"/>
      <c r="AAR604"/>
      <c r="AAS604"/>
      <c r="AAT604"/>
      <c r="AAU604"/>
      <c r="AAV604"/>
      <c r="AAW604"/>
      <c r="AAX604"/>
      <c r="AAY604"/>
      <c r="AAZ604"/>
      <c r="ABA604"/>
      <c r="ABB604"/>
      <c r="ABC604"/>
      <c r="ABD604"/>
      <c r="ABE604"/>
      <c r="ABF604"/>
      <c r="ABG604"/>
      <c r="ABH604"/>
      <c r="ABI604"/>
      <c r="ABJ604"/>
      <c r="ABK604"/>
      <c r="ABL604"/>
      <c r="ABM604"/>
      <c r="ABN604"/>
      <c r="ABO604"/>
      <c r="ABP604"/>
      <c r="ABQ604"/>
      <c r="ABR604"/>
      <c r="ABS604"/>
      <c r="ABT604"/>
      <c r="ABU604"/>
      <c r="ABV604"/>
      <c r="ABW604"/>
      <c r="ABX604"/>
      <c r="ABY604"/>
      <c r="ABZ604"/>
      <c r="ACA604"/>
      <c r="ACB604"/>
      <c r="ACC604"/>
      <c r="ACD604"/>
      <c r="ACE604"/>
      <c r="ACF604"/>
      <c r="ACG604"/>
      <c r="ACH604"/>
      <c r="ACI604"/>
      <c r="ACJ604"/>
      <c r="ACK604"/>
      <c r="ACL604"/>
      <c r="ACM604"/>
      <c r="ACN604"/>
      <c r="ACO604"/>
      <c r="ACP604"/>
      <c r="ACQ604"/>
      <c r="ACR604"/>
      <c r="ACS604"/>
      <c r="ACT604"/>
      <c r="ACU604"/>
      <c r="ACV604"/>
      <c r="ACW604"/>
      <c r="ACX604"/>
      <c r="ACY604"/>
      <c r="ACZ604"/>
      <c r="ADA604"/>
      <c r="ADB604"/>
      <c r="ADC604"/>
      <c r="ADD604"/>
      <c r="ADE604"/>
      <c r="ADF604"/>
      <c r="ADG604"/>
      <c r="ADH604"/>
      <c r="ADI604"/>
      <c r="ADJ604"/>
      <c r="ADK604"/>
      <c r="ADL604"/>
      <c r="ADM604"/>
      <c r="ADN604"/>
      <c r="ADO604"/>
      <c r="ADP604"/>
      <c r="ADQ604"/>
      <c r="ADR604"/>
      <c r="ADS604"/>
      <c r="ADT604"/>
      <c r="ADU604"/>
      <c r="ADV604"/>
      <c r="ADW604"/>
      <c r="ADX604"/>
      <c r="ADY604"/>
      <c r="ADZ604"/>
      <c r="AEA604"/>
      <c r="AEB604"/>
      <c r="AEC604"/>
      <c r="AED604"/>
      <c r="AEE604"/>
      <c r="AEF604"/>
      <c r="AEG604"/>
      <c r="AEH604"/>
      <c r="AEI604"/>
      <c r="AEJ604"/>
      <c r="AEK604"/>
      <c r="AEL604"/>
      <c r="AEM604"/>
      <c r="AEN604"/>
      <c r="AEO604"/>
      <c r="AEP604"/>
      <c r="AEQ604"/>
      <c r="AER604"/>
      <c r="AES604"/>
      <c r="AET604"/>
      <c r="AEU604"/>
      <c r="AEV604"/>
      <c r="AEW604"/>
      <c r="AEX604"/>
      <c r="AEY604"/>
      <c r="AEZ604"/>
      <c r="AFA604"/>
      <c r="AFB604"/>
      <c r="AFC604"/>
      <c r="AFD604"/>
      <c r="AFE604"/>
      <c r="AFF604"/>
      <c r="AFG604"/>
      <c r="AFH604"/>
      <c r="AFI604"/>
      <c r="AFJ604"/>
      <c r="AFK604"/>
      <c r="AFL604"/>
      <c r="AFM604"/>
      <c r="AFN604"/>
      <c r="AFO604"/>
      <c r="AFP604"/>
      <c r="AFQ604"/>
      <c r="AFR604"/>
      <c r="AFS604"/>
      <c r="AFT604"/>
      <c r="AFU604"/>
      <c r="AFV604"/>
      <c r="AFW604"/>
      <c r="AFX604"/>
      <c r="AFY604"/>
      <c r="AFZ604"/>
      <c r="AGA604"/>
      <c r="AGB604"/>
      <c r="AGC604"/>
      <c r="AGD604"/>
      <c r="AGE604"/>
      <c r="AGF604"/>
      <c r="AGG604"/>
      <c r="AGH604"/>
      <c r="AGI604"/>
      <c r="AGJ604"/>
      <c r="AGK604"/>
      <c r="AGL604"/>
      <c r="AGM604"/>
      <c r="AGN604"/>
      <c r="AGO604"/>
      <c r="AGP604"/>
      <c r="AGQ604"/>
      <c r="AGR604"/>
      <c r="AGS604"/>
      <c r="AGT604"/>
      <c r="AGU604"/>
      <c r="AGV604"/>
      <c r="AGW604"/>
      <c r="AGX604"/>
      <c r="AGY604"/>
      <c r="AGZ604"/>
      <c r="AHA604"/>
      <c r="AHB604"/>
      <c r="AHC604"/>
      <c r="AHD604"/>
      <c r="AHE604"/>
      <c r="AHF604"/>
      <c r="AHG604"/>
      <c r="AHH604"/>
      <c r="AHI604"/>
      <c r="AHJ604"/>
      <c r="AHK604"/>
      <c r="AHL604"/>
      <c r="AHM604"/>
      <c r="AHN604"/>
      <c r="AHO604"/>
      <c r="AHP604"/>
      <c r="AHQ604"/>
      <c r="AHR604"/>
      <c r="AHS604"/>
      <c r="AHT604"/>
      <c r="AHU604"/>
      <c r="AHV604"/>
      <c r="AHW604"/>
      <c r="AHX604"/>
      <c r="AHY604"/>
      <c r="AHZ604"/>
      <c r="AIA604"/>
      <c r="AIB604"/>
      <c r="AIC604"/>
      <c r="AID604"/>
      <c r="AIE604"/>
      <c r="AIF604"/>
      <c r="AIG604"/>
      <c r="AIH604"/>
      <c r="AII604"/>
      <c r="AIJ604"/>
      <c r="AIK604"/>
      <c r="AIL604"/>
      <c r="AIM604"/>
      <c r="AIN604"/>
      <c r="AIO604"/>
      <c r="AIP604"/>
      <c r="AIQ604"/>
      <c r="AIR604"/>
      <c r="AIS604"/>
      <c r="AIT604"/>
      <c r="AIU604"/>
      <c r="AIV604"/>
      <c r="AIW604"/>
      <c r="AIX604"/>
      <c r="AIY604"/>
      <c r="AIZ604"/>
      <c r="AJA604"/>
      <c r="AJB604"/>
      <c r="AJC604"/>
      <c r="AJD604"/>
      <c r="AJE604"/>
      <c r="AJF604"/>
      <c r="AJG604"/>
      <c r="AJH604"/>
      <c r="AJI604"/>
      <c r="AJJ604"/>
      <c r="AJK604"/>
      <c r="AJL604"/>
      <c r="AJM604"/>
      <c r="AJN604"/>
      <c r="AJO604"/>
      <c r="AJP604"/>
      <c r="AJQ604"/>
      <c r="AJR604"/>
      <c r="AJS604"/>
      <c r="AJT604"/>
      <c r="AJU604"/>
      <c r="AJV604"/>
      <c r="AJW604"/>
      <c r="AJX604"/>
      <c r="AJY604"/>
      <c r="AJZ604"/>
      <c r="AKA604"/>
      <c r="AKB604"/>
      <c r="AKC604"/>
      <c r="AKD604"/>
      <c r="AKE604"/>
      <c r="AKF604"/>
      <c r="AKG604"/>
      <c r="AKH604"/>
      <c r="AKI604"/>
      <c r="AKJ604"/>
      <c r="AKK604"/>
      <c r="AKL604"/>
      <c r="AKM604"/>
      <c r="AKN604"/>
      <c r="AKO604"/>
      <c r="AKP604"/>
      <c r="AKQ604"/>
      <c r="AKR604"/>
      <c r="AKS604"/>
      <c r="AKT604"/>
      <c r="AKU604"/>
      <c r="AKV604"/>
      <c r="AKW604"/>
      <c r="AKX604"/>
      <c r="AKY604"/>
    </row>
    <row r="605" spans="1:987">
      <c r="A605" s="282" t="s">
        <v>417</v>
      </c>
      <c r="B605" s="305">
        <v>3173</v>
      </c>
      <c r="C605" s="306">
        <v>3620</v>
      </c>
      <c r="D605" s="306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  <c r="ZW605"/>
      <c r="ZX605"/>
      <c r="ZY605"/>
      <c r="ZZ605"/>
      <c r="AAA605"/>
      <c r="AAB605"/>
      <c r="AAC605"/>
      <c r="AAD605"/>
      <c r="AAE605"/>
      <c r="AAF605"/>
      <c r="AAG605"/>
      <c r="AAH605"/>
      <c r="AAI605"/>
      <c r="AAJ605"/>
      <c r="AAK605"/>
      <c r="AAL605"/>
      <c r="AAM605"/>
      <c r="AAN605"/>
      <c r="AAO605"/>
      <c r="AAP605"/>
      <c r="AAQ605"/>
      <c r="AAR605"/>
      <c r="AAS605"/>
      <c r="AAT605"/>
      <c r="AAU605"/>
      <c r="AAV605"/>
      <c r="AAW605"/>
      <c r="AAX605"/>
      <c r="AAY605"/>
      <c r="AAZ605"/>
      <c r="ABA605"/>
      <c r="ABB605"/>
      <c r="ABC605"/>
      <c r="ABD605"/>
      <c r="ABE605"/>
      <c r="ABF605"/>
      <c r="ABG605"/>
      <c r="ABH605"/>
      <c r="ABI605"/>
      <c r="ABJ605"/>
      <c r="ABK605"/>
      <c r="ABL605"/>
      <c r="ABM605"/>
      <c r="ABN605"/>
      <c r="ABO605"/>
      <c r="ABP605"/>
      <c r="ABQ605"/>
      <c r="ABR605"/>
      <c r="ABS605"/>
      <c r="ABT605"/>
      <c r="ABU605"/>
      <c r="ABV605"/>
      <c r="ABW605"/>
      <c r="ABX605"/>
      <c r="ABY605"/>
      <c r="ABZ605"/>
      <c r="ACA605"/>
      <c r="ACB605"/>
      <c r="ACC605"/>
      <c r="ACD605"/>
      <c r="ACE605"/>
      <c r="ACF605"/>
      <c r="ACG605"/>
      <c r="ACH605"/>
      <c r="ACI605"/>
      <c r="ACJ605"/>
      <c r="ACK605"/>
      <c r="ACL605"/>
      <c r="ACM605"/>
      <c r="ACN605"/>
      <c r="ACO605"/>
      <c r="ACP605"/>
      <c r="ACQ605"/>
      <c r="ACR605"/>
      <c r="ACS605"/>
      <c r="ACT605"/>
      <c r="ACU605"/>
      <c r="ACV605"/>
      <c r="ACW605"/>
      <c r="ACX605"/>
      <c r="ACY605"/>
      <c r="ACZ605"/>
      <c r="ADA605"/>
      <c r="ADB605"/>
      <c r="ADC605"/>
      <c r="ADD605"/>
      <c r="ADE605"/>
      <c r="ADF605"/>
      <c r="ADG605"/>
      <c r="ADH605"/>
      <c r="ADI605"/>
      <c r="ADJ605"/>
      <c r="ADK605"/>
      <c r="ADL605"/>
      <c r="ADM605"/>
      <c r="ADN605"/>
      <c r="ADO605"/>
      <c r="ADP605"/>
      <c r="ADQ605"/>
      <c r="ADR605"/>
      <c r="ADS605"/>
      <c r="ADT605"/>
      <c r="ADU605"/>
      <c r="ADV605"/>
      <c r="ADW605"/>
      <c r="ADX605"/>
      <c r="ADY605"/>
      <c r="ADZ605"/>
      <c r="AEA605"/>
      <c r="AEB605"/>
      <c r="AEC605"/>
      <c r="AED605"/>
      <c r="AEE605"/>
      <c r="AEF605"/>
      <c r="AEG605"/>
      <c r="AEH605"/>
      <c r="AEI605"/>
      <c r="AEJ605"/>
      <c r="AEK605"/>
      <c r="AEL605"/>
      <c r="AEM605"/>
      <c r="AEN605"/>
      <c r="AEO605"/>
      <c r="AEP605"/>
      <c r="AEQ605"/>
      <c r="AER605"/>
      <c r="AES605"/>
      <c r="AET605"/>
      <c r="AEU605"/>
      <c r="AEV605"/>
      <c r="AEW605"/>
      <c r="AEX605"/>
      <c r="AEY605"/>
      <c r="AEZ605"/>
      <c r="AFA605"/>
      <c r="AFB605"/>
      <c r="AFC605"/>
      <c r="AFD605"/>
      <c r="AFE605"/>
      <c r="AFF605"/>
      <c r="AFG605"/>
      <c r="AFH605"/>
      <c r="AFI605"/>
      <c r="AFJ605"/>
      <c r="AFK605"/>
      <c r="AFL605"/>
      <c r="AFM605"/>
      <c r="AFN605"/>
      <c r="AFO605"/>
      <c r="AFP605"/>
      <c r="AFQ605"/>
      <c r="AFR605"/>
      <c r="AFS605"/>
      <c r="AFT605"/>
      <c r="AFU605"/>
      <c r="AFV605"/>
      <c r="AFW605"/>
      <c r="AFX605"/>
      <c r="AFY605"/>
      <c r="AFZ605"/>
      <c r="AGA605"/>
      <c r="AGB605"/>
      <c r="AGC605"/>
      <c r="AGD605"/>
      <c r="AGE605"/>
      <c r="AGF605"/>
      <c r="AGG605"/>
      <c r="AGH605"/>
      <c r="AGI605"/>
      <c r="AGJ605"/>
      <c r="AGK605"/>
      <c r="AGL605"/>
      <c r="AGM605"/>
      <c r="AGN605"/>
      <c r="AGO605"/>
      <c r="AGP605"/>
      <c r="AGQ605"/>
      <c r="AGR605"/>
      <c r="AGS605"/>
      <c r="AGT605"/>
      <c r="AGU605"/>
      <c r="AGV605"/>
      <c r="AGW605"/>
      <c r="AGX605"/>
      <c r="AGY605"/>
      <c r="AGZ605"/>
      <c r="AHA605"/>
      <c r="AHB605"/>
      <c r="AHC605"/>
      <c r="AHD605"/>
      <c r="AHE605"/>
      <c r="AHF605"/>
      <c r="AHG605"/>
      <c r="AHH605"/>
      <c r="AHI605"/>
      <c r="AHJ605"/>
      <c r="AHK605"/>
      <c r="AHL605"/>
      <c r="AHM605"/>
      <c r="AHN605"/>
      <c r="AHO605"/>
      <c r="AHP605"/>
      <c r="AHQ605"/>
      <c r="AHR605"/>
      <c r="AHS605"/>
      <c r="AHT605"/>
      <c r="AHU605"/>
      <c r="AHV605"/>
      <c r="AHW605"/>
      <c r="AHX605"/>
      <c r="AHY605"/>
      <c r="AHZ605"/>
      <c r="AIA605"/>
      <c r="AIB605"/>
      <c r="AIC605"/>
      <c r="AID605"/>
      <c r="AIE605"/>
      <c r="AIF605"/>
      <c r="AIG605"/>
      <c r="AIH605"/>
      <c r="AII605"/>
      <c r="AIJ605"/>
      <c r="AIK605"/>
      <c r="AIL605"/>
      <c r="AIM605"/>
      <c r="AIN605"/>
      <c r="AIO605"/>
      <c r="AIP605"/>
      <c r="AIQ605"/>
      <c r="AIR605"/>
      <c r="AIS605"/>
      <c r="AIT605"/>
      <c r="AIU605"/>
      <c r="AIV605"/>
      <c r="AIW605"/>
      <c r="AIX605"/>
      <c r="AIY605"/>
      <c r="AIZ605"/>
      <c r="AJA605"/>
      <c r="AJB605"/>
      <c r="AJC605"/>
      <c r="AJD605"/>
      <c r="AJE605"/>
      <c r="AJF605"/>
      <c r="AJG605"/>
      <c r="AJH605"/>
      <c r="AJI605"/>
      <c r="AJJ605"/>
      <c r="AJK605"/>
      <c r="AJL605"/>
      <c r="AJM605"/>
      <c r="AJN605"/>
      <c r="AJO605"/>
      <c r="AJP605"/>
      <c r="AJQ605"/>
      <c r="AJR605"/>
      <c r="AJS605"/>
      <c r="AJT605"/>
      <c r="AJU605"/>
      <c r="AJV605"/>
      <c r="AJW605"/>
      <c r="AJX605"/>
      <c r="AJY605"/>
      <c r="AJZ605"/>
      <c r="AKA605"/>
      <c r="AKB605"/>
      <c r="AKC605"/>
      <c r="AKD605"/>
      <c r="AKE605"/>
      <c r="AKF605"/>
      <c r="AKG605"/>
      <c r="AKH605"/>
      <c r="AKI605"/>
      <c r="AKJ605"/>
      <c r="AKK605"/>
      <c r="AKL605"/>
      <c r="AKM605"/>
      <c r="AKN605"/>
      <c r="AKO605"/>
      <c r="AKP605"/>
      <c r="AKQ605"/>
      <c r="AKR605"/>
      <c r="AKS605"/>
      <c r="AKT605"/>
      <c r="AKU605"/>
      <c r="AKV605"/>
      <c r="AKW605"/>
      <c r="AKX605"/>
      <c r="AKY605"/>
    </row>
    <row r="606" spans="1:987">
      <c r="A606" s="293" t="s">
        <v>418</v>
      </c>
      <c r="B606" s="305">
        <v>3232</v>
      </c>
      <c r="C606" s="306">
        <v>2000</v>
      </c>
      <c r="D606" s="306" t="s">
        <v>2046</v>
      </c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  <c r="ZY606"/>
      <c r="ZZ606"/>
      <c r="AAA606"/>
      <c r="AAB606"/>
      <c r="AAC606"/>
      <c r="AAD606"/>
      <c r="AAE606"/>
      <c r="AAF606"/>
      <c r="AAG606"/>
      <c r="AAH606"/>
      <c r="AAI606"/>
      <c r="AAJ606"/>
      <c r="AAK606"/>
      <c r="AAL606"/>
      <c r="AAM606"/>
      <c r="AAN606"/>
      <c r="AAO606"/>
      <c r="AAP606"/>
      <c r="AAQ606"/>
      <c r="AAR606"/>
      <c r="AAS606"/>
      <c r="AAT606"/>
      <c r="AAU606"/>
      <c r="AAV606"/>
      <c r="AAW606"/>
      <c r="AAX606"/>
      <c r="AAY606"/>
      <c r="AAZ606"/>
      <c r="ABA606"/>
      <c r="ABB606"/>
      <c r="ABC606"/>
      <c r="ABD606"/>
      <c r="ABE606"/>
      <c r="ABF606"/>
      <c r="ABG606"/>
      <c r="ABH606"/>
      <c r="ABI606"/>
      <c r="ABJ606"/>
      <c r="ABK606"/>
      <c r="ABL606"/>
      <c r="ABM606"/>
      <c r="ABN606"/>
      <c r="ABO606"/>
      <c r="ABP606"/>
      <c r="ABQ606"/>
      <c r="ABR606"/>
      <c r="ABS606"/>
      <c r="ABT606"/>
      <c r="ABU606"/>
      <c r="ABV606"/>
      <c r="ABW606"/>
      <c r="ABX606"/>
      <c r="ABY606"/>
      <c r="ABZ606"/>
      <c r="ACA606"/>
      <c r="ACB606"/>
      <c r="ACC606"/>
      <c r="ACD606"/>
      <c r="ACE606"/>
      <c r="ACF606"/>
      <c r="ACG606"/>
      <c r="ACH606"/>
      <c r="ACI606"/>
      <c r="ACJ606"/>
      <c r="ACK606"/>
      <c r="ACL606"/>
      <c r="ACM606"/>
      <c r="ACN606"/>
      <c r="ACO606"/>
      <c r="ACP606"/>
      <c r="ACQ606"/>
      <c r="ACR606"/>
      <c r="ACS606"/>
      <c r="ACT606"/>
      <c r="ACU606"/>
      <c r="ACV606"/>
      <c r="ACW606"/>
      <c r="ACX606"/>
      <c r="ACY606"/>
      <c r="ACZ606"/>
      <c r="ADA606"/>
      <c r="ADB606"/>
      <c r="ADC606"/>
      <c r="ADD606"/>
      <c r="ADE606"/>
      <c r="ADF606"/>
      <c r="ADG606"/>
      <c r="ADH606"/>
      <c r="ADI606"/>
      <c r="ADJ606"/>
      <c r="ADK606"/>
      <c r="ADL606"/>
      <c r="ADM606"/>
      <c r="ADN606"/>
      <c r="ADO606"/>
      <c r="ADP606"/>
      <c r="ADQ606"/>
      <c r="ADR606"/>
      <c r="ADS606"/>
      <c r="ADT606"/>
      <c r="ADU606"/>
      <c r="ADV606"/>
      <c r="ADW606"/>
      <c r="ADX606"/>
      <c r="ADY606"/>
      <c r="ADZ606"/>
      <c r="AEA606"/>
      <c r="AEB606"/>
      <c r="AEC606"/>
      <c r="AED606"/>
      <c r="AEE606"/>
      <c r="AEF606"/>
      <c r="AEG606"/>
      <c r="AEH606"/>
      <c r="AEI606"/>
      <c r="AEJ606"/>
      <c r="AEK606"/>
      <c r="AEL606"/>
      <c r="AEM606"/>
      <c r="AEN606"/>
      <c r="AEO606"/>
      <c r="AEP606"/>
      <c r="AEQ606"/>
      <c r="AER606"/>
      <c r="AES606"/>
      <c r="AET606"/>
      <c r="AEU606"/>
      <c r="AEV606"/>
      <c r="AEW606"/>
      <c r="AEX606"/>
      <c r="AEY606"/>
      <c r="AEZ606"/>
      <c r="AFA606"/>
      <c r="AFB606"/>
      <c r="AFC606"/>
      <c r="AFD606"/>
      <c r="AFE606"/>
      <c r="AFF606"/>
      <c r="AFG606"/>
      <c r="AFH606"/>
      <c r="AFI606"/>
      <c r="AFJ606"/>
      <c r="AFK606"/>
      <c r="AFL606"/>
      <c r="AFM606"/>
      <c r="AFN606"/>
      <c r="AFO606"/>
      <c r="AFP606"/>
      <c r="AFQ606"/>
      <c r="AFR606"/>
      <c r="AFS606"/>
      <c r="AFT606"/>
      <c r="AFU606"/>
      <c r="AFV606"/>
      <c r="AFW606"/>
      <c r="AFX606"/>
      <c r="AFY606"/>
      <c r="AFZ606"/>
      <c r="AGA606"/>
      <c r="AGB606"/>
      <c r="AGC606"/>
      <c r="AGD606"/>
      <c r="AGE606"/>
      <c r="AGF606"/>
      <c r="AGG606"/>
      <c r="AGH606"/>
      <c r="AGI606"/>
      <c r="AGJ606"/>
      <c r="AGK606"/>
      <c r="AGL606"/>
      <c r="AGM606"/>
      <c r="AGN606"/>
      <c r="AGO606"/>
      <c r="AGP606"/>
      <c r="AGQ606"/>
      <c r="AGR606"/>
      <c r="AGS606"/>
      <c r="AGT606"/>
      <c r="AGU606"/>
      <c r="AGV606"/>
      <c r="AGW606"/>
      <c r="AGX606"/>
      <c r="AGY606"/>
      <c r="AGZ606"/>
      <c r="AHA606"/>
      <c r="AHB606"/>
      <c r="AHC606"/>
      <c r="AHD606"/>
      <c r="AHE606"/>
      <c r="AHF606"/>
      <c r="AHG606"/>
      <c r="AHH606"/>
      <c r="AHI606"/>
      <c r="AHJ606"/>
      <c r="AHK606"/>
      <c r="AHL606"/>
      <c r="AHM606"/>
      <c r="AHN606"/>
      <c r="AHO606"/>
      <c r="AHP606"/>
      <c r="AHQ606"/>
      <c r="AHR606"/>
      <c r="AHS606"/>
      <c r="AHT606"/>
      <c r="AHU606"/>
      <c r="AHV606"/>
      <c r="AHW606"/>
      <c r="AHX606"/>
      <c r="AHY606"/>
      <c r="AHZ606"/>
      <c r="AIA606"/>
      <c r="AIB606"/>
      <c r="AIC606"/>
      <c r="AID606"/>
      <c r="AIE606"/>
      <c r="AIF606"/>
      <c r="AIG606"/>
      <c r="AIH606"/>
      <c r="AII606"/>
      <c r="AIJ606"/>
      <c r="AIK606"/>
      <c r="AIL606"/>
      <c r="AIM606"/>
      <c r="AIN606"/>
      <c r="AIO606"/>
      <c r="AIP606"/>
      <c r="AIQ606"/>
      <c r="AIR606"/>
      <c r="AIS606"/>
      <c r="AIT606"/>
      <c r="AIU606"/>
      <c r="AIV606"/>
      <c r="AIW606"/>
      <c r="AIX606"/>
      <c r="AIY606"/>
      <c r="AIZ606"/>
      <c r="AJA606"/>
      <c r="AJB606"/>
      <c r="AJC606"/>
      <c r="AJD606"/>
      <c r="AJE606"/>
      <c r="AJF606"/>
      <c r="AJG606"/>
      <c r="AJH606"/>
      <c r="AJI606"/>
      <c r="AJJ606"/>
      <c r="AJK606"/>
      <c r="AJL606"/>
      <c r="AJM606"/>
      <c r="AJN606"/>
      <c r="AJO606"/>
      <c r="AJP606"/>
      <c r="AJQ606"/>
      <c r="AJR606"/>
      <c r="AJS606"/>
      <c r="AJT606"/>
      <c r="AJU606"/>
      <c r="AJV606"/>
      <c r="AJW606"/>
      <c r="AJX606"/>
      <c r="AJY606"/>
      <c r="AJZ606"/>
      <c r="AKA606"/>
      <c r="AKB606"/>
      <c r="AKC606"/>
      <c r="AKD606"/>
      <c r="AKE606"/>
      <c r="AKF606"/>
      <c r="AKG606"/>
      <c r="AKH606"/>
      <c r="AKI606"/>
      <c r="AKJ606"/>
      <c r="AKK606"/>
      <c r="AKL606"/>
      <c r="AKM606"/>
      <c r="AKN606"/>
      <c r="AKO606"/>
      <c r="AKP606"/>
      <c r="AKQ606"/>
      <c r="AKR606"/>
      <c r="AKS606"/>
      <c r="AKT606"/>
      <c r="AKU606"/>
      <c r="AKV606"/>
      <c r="AKW606"/>
      <c r="AKX606"/>
      <c r="AKY606"/>
    </row>
    <row r="607" spans="1:987">
      <c r="A607" s="282" t="s">
        <v>419</v>
      </c>
      <c r="B607" s="305"/>
      <c r="C607" s="306"/>
      <c r="D607" s="306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  <c r="ZY607"/>
      <c r="ZZ607"/>
      <c r="AAA607"/>
      <c r="AAB607"/>
      <c r="AAC607"/>
      <c r="AAD607"/>
      <c r="AAE607"/>
      <c r="AAF607"/>
      <c r="AAG607"/>
      <c r="AAH607"/>
      <c r="AAI607"/>
      <c r="AAJ607"/>
      <c r="AAK607"/>
      <c r="AAL607"/>
      <c r="AAM607"/>
      <c r="AAN607"/>
      <c r="AAO607"/>
      <c r="AAP607"/>
      <c r="AAQ607"/>
      <c r="AAR607"/>
      <c r="AAS607"/>
      <c r="AAT607"/>
      <c r="AAU607"/>
      <c r="AAV607"/>
      <c r="AAW607"/>
      <c r="AAX607"/>
      <c r="AAY607"/>
      <c r="AAZ607"/>
      <c r="ABA607"/>
      <c r="ABB607"/>
      <c r="ABC607"/>
      <c r="ABD607"/>
      <c r="ABE607"/>
      <c r="ABF607"/>
      <c r="ABG607"/>
      <c r="ABH607"/>
      <c r="ABI607"/>
      <c r="ABJ607"/>
      <c r="ABK607"/>
      <c r="ABL607"/>
      <c r="ABM607"/>
      <c r="ABN607"/>
      <c r="ABO607"/>
      <c r="ABP607"/>
      <c r="ABQ607"/>
      <c r="ABR607"/>
      <c r="ABS607"/>
      <c r="ABT607"/>
      <c r="ABU607"/>
      <c r="ABV607"/>
      <c r="ABW607"/>
      <c r="ABX607"/>
      <c r="ABY607"/>
      <c r="ABZ607"/>
      <c r="ACA607"/>
      <c r="ACB607"/>
      <c r="ACC607"/>
      <c r="ACD607"/>
      <c r="ACE607"/>
      <c r="ACF607"/>
      <c r="ACG607"/>
      <c r="ACH607"/>
      <c r="ACI607"/>
      <c r="ACJ607"/>
      <c r="ACK607"/>
      <c r="ACL607"/>
      <c r="ACM607"/>
      <c r="ACN607"/>
      <c r="ACO607"/>
      <c r="ACP607"/>
      <c r="ACQ607"/>
      <c r="ACR607"/>
      <c r="ACS607"/>
      <c r="ACT607"/>
      <c r="ACU607"/>
      <c r="ACV607"/>
      <c r="ACW607"/>
      <c r="ACX607"/>
      <c r="ACY607"/>
      <c r="ACZ607"/>
      <c r="ADA607"/>
      <c r="ADB607"/>
      <c r="ADC607"/>
      <c r="ADD607"/>
      <c r="ADE607"/>
      <c r="ADF607"/>
      <c r="ADG607"/>
      <c r="ADH607"/>
      <c r="ADI607"/>
      <c r="ADJ607"/>
      <c r="ADK607"/>
      <c r="ADL607"/>
      <c r="ADM607"/>
      <c r="ADN607"/>
      <c r="ADO607"/>
      <c r="ADP607"/>
      <c r="ADQ607"/>
      <c r="ADR607"/>
      <c r="ADS607"/>
      <c r="ADT607"/>
      <c r="ADU607"/>
      <c r="ADV607"/>
      <c r="ADW607"/>
      <c r="ADX607"/>
      <c r="ADY607"/>
      <c r="ADZ607"/>
      <c r="AEA607"/>
      <c r="AEB607"/>
      <c r="AEC607"/>
      <c r="AED607"/>
      <c r="AEE607"/>
      <c r="AEF607"/>
      <c r="AEG607"/>
      <c r="AEH607"/>
      <c r="AEI607"/>
      <c r="AEJ607"/>
      <c r="AEK607"/>
      <c r="AEL607"/>
      <c r="AEM607"/>
      <c r="AEN607"/>
      <c r="AEO607"/>
      <c r="AEP607"/>
      <c r="AEQ607"/>
      <c r="AER607"/>
      <c r="AES607"/>
      <c r="AET607"/>
      <c r="AEU607"/>
      <c r="AEV607"/>
      <c r="AEW607"/>
      <c r="AEX607"/>
      <c r="AEY607"/>
      <c r="AEZ607"/>
      <c r="AFA607"/>
      <c r="AFB607"/>
      <c r="AFC607"/>
      <c r="AFD607"/>
      <c r="AFE607"/>
      <c r="AFF607"/>
      <c r="AFG607"/>
      <c r="AFH607"/>
      <c r="AFI607"/>
      <c r="AFJ607"/>
      <c r="AFK607"/>
      <c r="AFL607"/>
      <c r="AFM607"/>
      <c r="AFN607"/>
      <c r="AFO607"/>
      <c r="AFP607"/>
      <c r="AFQ607"/>
      <c r="AFR607"/>
      <c r="AFS607"/>
      <c r="AFT607"/>
      <c r="AFU607"/>
      <c r="AFV607"/>
      <c r="AFW607"/>
      <c r="AFX607"/>
      <c r="AFY607"/>
      <c r="AFZ607"/>
      <c r="AGA607"/>
      <c r="AGB607"/>
      <c r="AGC607"/>
      <c r="AGD607"/>
      <c r="AGE607"/>
      <c r="AGF607"/>
      <c r="AGG607"/>
      <c r="AGH607"/>
      <c r="AGI607"/>
      <c r="AGJ607"/>
      <c r="AGK607"/>
      <c r="AGL607"/>
      <c r="AGM607"/>
      <c r="AGN607"/>
      <c r="AGO607"/>
      <c r="AGP607"/>
      <c r="AGQ607"/>
      <c r="AGR607"/>
      <c r="AGS607"/>
      <c r="AGT607"/>
      <c r="AGU607"/>
      <c r="AGV607"/>
      <c r="AGW607"/>
      <c r="AGX607"/>
      <c r="AGY607"/>
      <c r="AGZ607"/>
      <c r="AHA607"/>
      <c r="AHB607"/>
      <c r="AHC607"/>
      <c r="AHD607"/>
      <c r="AHE607"/>
      <c r="AHF607"/>
      <c r="AHG607"/>
      <c r="AHH607"/>
      <c r="AHI607"/>
      <c r="AHJ607"/>
      <c r="AHK607"/>
      <c r="AHL607"/>
      <c r="AHM607"/>
      <c r="AHN607"/>
      <c r="AHO607"/>
      <c r="AHP607"/>
      <c r="AHQ607"/>
      <c r="AHR607"/>
      <c r="AHS607"/>
      <c r="AHT607"/>
      <c r="AHU607"/>
      <c r="AHV607"/>
      <c r="AHW607"/>
      <c r="AHX607"/>
      <c r="AHY607"/>
      <c r="AHZ607"/>
      <c r="AIA607"/>
      <c r="AIB607"/>
      <c r="AIC607"/>
      <c r="AID607"/>
      <c r="AIE607"/>
      <c r="AIF607"/>
      <c r="AIG607"/>
      <c r="AIH607"/>
      <c r="AII607"/>
      <c r="AIJ607"/>
      <c r="AIK607"/>
      <c r="AIL607"/>
      <c r="AIM607"/>
      <c r="AIN607"/>
      <c r="AIO607"/>
      <c r="AIP607"/>
      <c r="AIQ607"/>
      <c r="AIR607"/>
      <c r="AIS607"/>
      <c r="AIT607"/>
      <c r="AIU607"/>
      <c r="AIV607"/>
      <c r="AIW607"/>
      <c r="AIX607"/>
      <c r="AIY607"/>
      <c r="AIZ607"/>
      <c r="AJA607"/>
      <c r="AJB607"/>
      <c r="AJC607"/>
      <c r="AJD607"/>
      <c r="AJE607"/>
      <c r="AJF607"/>
      <c r="AJG607"/>
      <c r="AJH607"/>
      <c r="AJI607"/>
      <c r="AJJ607"/>
      <c r="AJK607"/>
      <c r="AJL607"/>
      <c r="AJM607"/>
      <c r="AJN607"/>
      <c r="AJO607"/>
      <c r="AJP607"/>
      <c r="AJQ607"/>
      <c r="AJR607"/>
      <c r="AJS607"/>
      <c r="AJT607"/>
      <c r="AJU607"/>
      <c r="AJV607"/>
      <c r="AJW607"/>
      <c r="AJX607"/>
      <c r="AJY607"/>
      <c r="AJZ607"/>
      <c r="AKA607"/>
      <c r="AKB607"/>
      <c r="AKC607"/>
      <c r="AKD607"/>
      <c r="AKE607"/>
      <c r="AKF607"/>
      <c r="AKG607"/>
      <c r="AKH607"/>
      <c r="AKI607"/>
      <c r="AKJ607"/>
      <c r="AKK607"/>
      <c r="AKL607"/>
      <c r="AKM607"/>
      <c r="AKN607"/>
      <c r="AKO607"/>
      <c r="AKP607"/>
      <c r="AKQ607"/>
      <c r="AKR607"/>
      <c r="AKS607"/>
      <c r="AKT607"/>
      <c r="AKU607"/>
      <c r="AKV607"/>
      <c r="AKW607"/>
      <c r="AKX607"/>
      <c r="AKY607"/>
    </row>
    <row r="608" spans="1:987">
      <c r="A608" s="282" t="s">
        <v>421</v>
      </c>
      <c r="B608" s="305"/>
      <c r="C608" s="306"/>
      <c r="D608" s="306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  <c r="ZY608"/>
      <c r="ZZ608"/>
      <c r="AAA608"/>
      <c r="AAB608"/>
      <c r="AAC608"/>
      <c r="AAD608"/>
      <c r="AAE608"/>
      <c r="AAF608"/>
      <c r="AAG608"/>
      <c r="AAH608"/>
      <c r="AAI608"/>
      <c r="AAJ608"/>
      <c r="AAK608"/>
      <c r="AAL608"/>
      <c r="AAM608"/>
      <c r="AAN608"/>
      <c r="AAO608"/>
      <c r="AAP608"/>
      <c r="AAQ608"/>
      <c r="AAR608"/>
      <c r="AAS608"/>
      <c r="AAT608"/>
      <c r="AAU608"/>
      <c r="AAV608"/>
      <c r="AAW608"/>
      <c r="AAX608"/>
      <c r="AAY608"/>
      <c r="AAZ608"/>
      <c r="ABA608"/>
      <c r="ABB608"/>
      <c r="ABC608"/>
      <c r="ABD608"/>
      <c r="ABE608"/>
      <c r="ABF608"/>
      <c r="ABG608"/>
      <c r="ABH608"/>
      <c r="ABI608"/>
      <c r="ABJ608"/>
      <c r="ABK608"/>
      <c r="ABL608"/>
      <c r="ABM608"/>
      <c r="ABN608"/>
      <c r="ABO608"/>
      <c r="ABP608"/>
      <c r="ABQ608"/>
      <c r="ABR608"/>
      <c r="ABS608"/>
      <c r="ABT608"/>
      <c r="ABU608"/>
      <c r="ABV608"/>
      <c r="ABW608"/>
      <c r="ABX608"/>
      <c r="ABY608"/>
      <c r="ABZ608"/>
      <c r="ACA608"/>
      <c r="ACB608"/>
      <c r="ACC608"/>
      <c r="ACD608"/>
      <c r="ACE608"/>
      <c r="ACF608"/>
      <c r="ACG608"/>
      <c r="ACH608"/>
      <c r="ACI608"/>
      <c r="ACJ608"/>
      <c r="ACK608"/>
      <c r="ACL608"/>
      <c r="ACM608"/>
      <c r="ACN608"/>
      <c r="ACO608"/>
      <c r="ACP608"/>
      <c r="ACQ608"/>
      <c r="ACR608"/>
      <c r="ACS608"/>
      <c r="ACT608"/>
      <c r="ACU608"/>
      <c r="ACV608"/>
      <c r="ACW608"/>
      <c r="ACX608"/>
      <c r="ACY608"/>
      <c r="ACZ608"/>
      <c r="ADA608"/>
      <c r="ADB608"/>
      <c r="ADC608"/>
      <c r="ADD608"/>
      <c r="ADE608"/>
      <c r="ADF608"/>
      <c r="ADG608"/>
      <c r="ADH608"/>
      <c r="ADI608"/>
      <c r="ADJ608"/>
      <c r="ADK608"/>
      <c r="ADL608"/>
      <c r="ADM608"/>
      <c r="ADN608"/>
      <c r="ADO608"/>
      <c r="ADP608"/>
      <c r="ADQ608"/>
      <c r="ADR608"/>
      <c r="ADS608"/>
      <c r="ADT608"/>
      <c r="ADU608"/>
      <c r="ADV608"/>
      <c r="ADW608"/>
      <c r="ADX608"/>
      <c r="ADY608"/>
      <c r="ADZ608"/>
      <c r="AEA608"/>
      <c r="AEB608"/>
      <c r="AEC608"/>
      <c r="AED608"/>
      <c r="AEE608"/>
      <c r="AEF608"/>
      <c r="AEG608"/>
      <c r="AEH608"/>
      <c r="AEI608"/>
      <c r="AEJ608"/>
      <c r="AEK608"/>
      <c r="AEL608"/>
      <c r="AEM608"/>
      <c r="AEN608"/>
      <c r="AEO608"/>
      <c r="AEP608"/>
      <c r="AEQ608"/>
      <c r="AER608"/>
      <c r="AES608"/>
      <c r="AET608"/>
      <c r="AEU608"/>
      <c r="AEV608"/>
      <c r="AEW608"/>
      <c r="AEX608"/>
      <c r="AEY608"/>
      <c r="AEZ608"/>
      <c r="AFA608"/>
      <c r="AFB608"/>
      <c r="AFC608"/>
      <c r="AFD608"/>
      <c r="AFE608"/>
      <c r="AFF608"/>
      <c r="AFG608"/>
      <c r="AFH608"/>
      <c r="AFI608"/>
      <c r="AFJ608"/>
      <c r="AFK608"/>
      <c r="AFL608"/>
      <c r="AFM608"/>
      <c r="AFN608"/>
      <c r="AFO608"/>
      <c r="AFP608"/>
      <c r="AFQ608"/>
      <c r="AFR608"/>
      <c r="AFS608"/>
      <c r="AFT608"/>
      <c r="AFU608"/>
      <c r="AFV608"/>
      <c r="AFW608"/>
      <c r="AFX608"/>
      <c r="AFY608"/>
      <c r="AFZ608"/>
      <c r="AGA608"/>
      <c r="AGB608"/>
      <c r="AGC608"/>
      <c r="AGD608"/>
      <c r="AGE608"/>
      <c r="AGF608"/>
      <c r="AGG608"/>
      <c r="AGH608"/>
      <c r="AGI608"/>
      <c r="AGJ608"/>
      <c r="AGK608"/>
      <c r="AGL608"/>
      <c r="AGM608"/>
      <c r="AGN608"/>
      <c r="AGO608"/>
      <c r="AGP608"/>
      <c r="AGQ608"/>
      <c r="AGR608"/>
      <c r="AGS608"/>
      <c r="AGT608"/>
      <c r="AGU608"/>
      <c r="AGV608"/>
      <c r="AGW608"/>
      <c r="AGX608"/>
      <c r="AGY608"/>
      <c r="AGZ608"/>
      <c r="AHA608"/>
      <c r="AHB608"/>
      <c r="AHC608"/>
      <c r="AHD608"/>
      <c r="AHE608"/>
      <c r="AHF608"/>
      <c r="AHG608"/>
      <c r="AHH608"/>
      <c r="AHI608"/>
      <c r="AHJ608"/>
      <c r="AHK608"/>
      <c r="AHL608"/>
      <c r="AHM608"/>
      <c r="AHN608"/>
      <c r="AHO608"/>
      <c r="AHP608"/>
      <c r="AHQ608"/>
      <c r="AHR608"/>
      <c r="AHS608"/>
      <c r="AHT608"/>
      <c r="AHU608"/>
      <c r="AHV608"/>
      <c r="AHW608"/>
      <c r="AHX608"/>
      <c r="AHY608"/>
      <c r="AHZ608"/>
      <c r="AIA608"/>
      <c r="AIB608"/>
      <c r="AIC608"/>
      <c r="AID608"/>
      <c r="AIE608"/>
      <c r="AIF608"/>
      <c r="AIG608"/>
      <c r="AIH608"/>
      <c r="AII608"/>
      <c r="AIJ608"/>
      <c r="AIK608"/>
      <c r="AIL608"/>
      <c r="AIM608"/>
      <c r="AIN608"/>
      <c r="AIO608"/>
      <c r="AIP608"/>
      <c r="AIQ608"/>
      <c r="AIR608"/>
      <c r="AIS608"/>
      <c r="AIT608"/>
      <c r="AIU608"/>
      <c r="AIV608"/>
      <c r="AIW608"/>
      <c r="AIX608"/>
      <c r="AIY608"/>
      <c r="AIZ608"/>
      <c r="AJA608"/>
      <c r="AJB608"/>
      <c r="AJC608"/>
      <c r="AJD608"/>
      <c r="AJE608"/>
      <c r="AJF608"/>
      <c r="AJG608"/>
      <c r="AJH608"/>
      <c r="AJI608"/>
      <c r="AJJ608"/>
      <c r="AJK608"/>
      <c r="AJL608"/>
      <c r="AJM608"/>
      <c r="AJN608"/>
      <c r="AJO608"/>
      <c r="AJP608"/>
      <c r="AJQ608"/>
      <c r="AJR608"/>
      <c r="AJS608"/>
      <c r="AJT608"/>
      <c r="AJU608"/>
      <c r="AJV608"/>
      <c r="AJW608"/>
      <c r="AJX608"/>
      <c r="AJY608"/>
      <c r="AJZ608"/>
      <c r="AKA608"/>
      <c r="AKB608"/>
      <c r="AKC608"/>
      <c r="AKD608"/>
      <c r="AKE608"/>
      <c r="AKF608"/>
      <c r="AKG608"/>
      <c r="AKH608"/>
      <c r="AKI608"/>
      <c r="AKJ608"/>
      <c r="AKK608"/>
      <c r="AKL608"/>
      <c r="AKM608"/>
      <c r="AKN608"/>
      <c r="AKO608"/>
      <c r="AKP608"/>
      <c r="AKQ608"/>
      <c r="AKR608"/>
      <c r="AKS608"/>
      <c r="AKT608"/>
      <c r="AKU608"/>
      <c r="AKV608"/>
      <c r="AKW608"/>
      <c r="AKX608"/>
      <c r="AKY608"/>
    </row>
    <row r="609" spans="1:987">
      <c r="A609" s="282"/>
      <c r="B609" s="305"/>
      <c r="C609" s="306"/>
      <c r="D609" s="306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  <c r="ZW609"/>
      <c r="ZX609"/>
      <c r="ZY609"/>
      <c r="ZZ609"/>
      <c r="AAA609"/>
      <c r="AAB609"/>
      <c r="AAC609"/>
      <c r="AAD609"/>
      <c r="AAE609"/>
      <c r="AAF609"/>
      <c r="AAG609"/>
      <c r="AAH609"/>
      <c r="AAI609"/>
      <c r="AAJ609"/>
      <c r="AAK609"/>
      <c r="AAL609"/>
      <c r="AAM609"/>
      <c r="AAN609"/>
      <c r="AAO609"/>
      <c r="AAP609"/>
      <c r="AAQ609"/>
      <c r="AAR609"/>
      <c r="AAS609"/>
      <c r="AAT609"/>
      <c r="AAU609"/>
      <c r="AAV609"/>
      <c r="AAW609"/>
      <c r="AAX609"/>
      <c r="AAY609"/>
      <c r="AAZ609"/>
      <c r="ABA609"/>
      <c r="ABB609"/>
      <c r="ABC609"/>
      <c r="ABD609"/>
      <c r="ABE609"/>
      <c r="ABF609"/>
      <c r="ABG609"/>
      <c r="ABH609"/>
      <c r="ABI609"/>
      <c r="ABJ609"/>
      <c r="ABK609"/>
      <c r="ABL609"/>
      <c r="ABM609"/>
      <c r="ABN609"/>
      <c r="ABO609"/>
      <c r="ABP609"/>
      <c r="ABQ609"/>
      <c r="ABR609"/>
      <c r="ABS609"/>
      <c r="ABT609"/>
      <c r="ABU609"/>
      <c r="ABV609"/>
      <c r="ABW609"/>
      <c r="ABX609"/>
      <c r="ABY609"/>
      <c r="ABZ609"/>
      <c r="ACA609"/>
      <c r="ACB609"/>
      <c r="ACC609"/>
      <c r="ACD609"/>
      <c r="ACE609"/>
      <c r="ACF609"/>
      <c r="ACG609"/>
      <c r="ACH609"/>
      <c r="ACI609"/>
      <c r="ACJ609"/>
      <c r="ACK609"/>
      <c r="ACL609"/>
      <c r="ACM609"/>
      <c r="ACN609"/>
      <c r="ACO609"/>
      <c r="ACP609"/>
      <c r="ACQ609"/>
      <c r="ACR609"/>
      <c r="ACS609"/>
      <c r="ACT609"/>
      <c r="ACU609"/>
      <c r="ACV609"/>
      <c r="ACW609"/>
      <c r="ACX609"/>
      <c r="ACY609"/>
      <c r="ACZ609"/>
      <c r="ADA609"/>
      <c r="ADB609"/>
      <c r="ADC609"/>
      <c r="ADD609"/>
      <c r="ADE609"/>
      <c r="ADF609"/>
      <c r="ADG609"/>
      <c r="ADH609"/>
      <c r="ADI609"/>
      <c r="ADJ609"/>
      <c r="ADK609"/>
      <c r="ADL609"/>
      <c r="ADM609"/>
      <c r="ADN609"/>
      <c r="ADO609"/>
      <c r="ADP609"/>
      <c r="ADQ609"/>
      <c r="ADR609"/>
      <c r="ADS609"/>
      <c r="ADT609"/>
      <c r="ADU609"/>
      <c r="ADV609"/>
      <c r="ADW609"/>
      <c r="ADX609"/>
      <c r="ADY609"/>
      <c r="ADZ609"/>
      <c r="AEA609"/>
      <c r="AEB609"/>
      <c r="AEC609"/>
      <c r="AED609"/>
      <c r="AEE609"/>
      <c r="AEF609"/>
      <c r="AEG609"/>
      <c r="AEH609"/>
      <c r="AEI609"/>
      <c r="AEJ609"/>
      <c r="AEK609"/>
      <c r="AEL609"/>
      <c r="AEM609"/>
      <c r="AEN609"/>
      <c r="AEO609"/>
      <c r="AEP609"/>
      <c r="AEQ609"/>
      <c r="AER609"/>
      <c r="AES609"/>
      <c r="AET609"/>
      <c r="AEU609"/>
      <c r="AEV609"/>
      <c r="AEW609"/>
      <c r="AEX609"/>
      <c r="AEY609"/>
      <c r="AEZ609"/>
      <c r="AFA609"/>
      <c r="AFB609"/>
      <c r="AFC609"/>
      <c r="AFD609"/>
      <c r="AFE609"/>
      <c r="AFF609"/>
      <c r="AFG609"/>
      <c r="AFH609"/>
      <c r="AFI609"/>
      <c r="AFJ609"/>
      <c r="AFK609"/>
      <c r="AFL609"/>
      <c r="AFM609"/>
      <c r="AFN609"/>
      <c r="AFO609"/>
      <c r="AFP609"/>
      <c r="AFQ609"/>
      <c r="AFR609"/>
      <c r="AFS609"/>
      <c r="AFT609"/>
      <c r="AFU609"/>
      <c r="AFV609"/>
      <c r="AFW609"/>
      <c r="AFX609"/>
      <c r="AFY609"/>
      <c r="AFZ609"/>
      <c r="AGA609"/>
      <c r="AGB609"/>
      <c r="AGC609"/>
      <c r="AGD609"/>
      <c r="AGE609"/>
      <c r="AGF609"/>
      <c r="AGG609"/>
      <c r="AGH609"/>
      <c r="AGI609"/>
      <c r="AGJ609"/>
      <c r="AGK609"/>
      <c r="AGL609"/>
      <c r="AGM609"/>
      <c r="AGN609"/>
      <c r="AGO609"/>
      <c r="AGP609"/>
      <c r="AGQ609"/>
      <c r="AGR609"/>
      <c r="AGS609"/>
      <c r="AGT609"/>
      <c r="AGU609"/>
      <c r="AGV609"/>
      <c r="AGW609"/>
      <c r="AGX609"/>
      <c r="AGY609"/>
      <c r="AGZ609"/>
      <c r="AHA609"/>
      <c r="AHB609"/>
      <c r="AHC609"/>
      <c r="AHD609"/>
      <c r="AHE609"/>
      <c r="AHF609"/>
      <c r="AHG609"/>
      <c r="AHH609"/>
      <c r="AHI609"/>
      <c r="AHJ609"/>
      <c r="AHK609"/>
      <c r="AHL609"/>
      <c r="AHM609"/>
      <c r="AHN609"/>
      <c r="AHO609"/>
      <c r="AHP609"/>
      <c r="AHQ609"/>
      <c r="AHR609"/>
      <c r="AHS609"/>
      <c r="AHT609"/>
      <c r="AHU609"/>
      <c r="AHV609"/>
      <c r="AHW609"/>
      <c r="AHX609"/>
      <c r="AHY609"/>
      <c r="AHZ609"/>
      <c r="AIA609"/>
      <c r="AIB609"/>
      <c r="AIC609"/>
      <c r="AID609"/>
      <c r="AIE609"/>
      <c r="AIF609"/>
      <c r="AIG609"/>
      <c r="AIH609"/>
      <c r="AII609"/>
      <c r="AIJ609"/>
      <c r="AIK609"/>
      <c r="AIL609"/>
      <c r="AIM609"/>
      <c r="AIN609"/>
      <c r="AIO609"/>
      <c r="AIP609"/>
      <c r="AIQ609"/>
      <c r="AIR609"/>
      <c r="AIS609"/>
      <c r="AIT609"/>
      <c r="AIU609"/>
      <c r="AIV609"/>
      <c r="AIW609"/>
      <c r="AIX609"/>
      <c r="AIY609"/>
      <c r="AIZ609"/>
      <c r="AJA609"/>
      <c r="AJB609"/>
      <c r="AJC609"/>
      <c r="AJD609"/>
      <c r="AJE609"/>
      <c r="AJF609"/>
      <c r="AJG609"/>
      <c r="AJH609"/>
      <c r="AJI609"/>
      <c r="AJJ609"/>
      <c r="AJK609"/>
      <c r="AJL609"/>
      <c r="AJM609"/>
      <c r="AJN609"/>
      <c r="AJO609"/>
      <c r="AJP609"/>
      <c r="AJQ609"/>
      <c r="AJR609"/>
      <c r="AJS609"/>
      <c r="AJT609"/>
      <c r="AJU609"/>
      <c r="AJV609"/>
      <c r="AJW609"/>
      <c r="AJX609"/>
      <c r="AJY609"/>
      <c r="AJZ609"/>
      <c r="AKA609"/>
      <c r="AKB609"/>
      <c r="AKC609"/>
      <c r="AKD609"/>
      <c r="AKE609"/>
      <c r="AKF609"/>
      <c r="AKG609"/>
      <c r="AKH609"/>
      <c r="AKI609"/>
      <c r="AKJ609"/>
      <c r="AKK609"/>
      <c r="AKL609"/>
      <c r="AKM609"/>
      <c r="AKN609"/>
      <c r="AKO609"/>
      <c r="AKP609"/>
      <c r="AKQ609"/>
      <c r="AKR609"/>
      <c r="AKS609"/>
      <c r="AKT609"/>
      <c r="AKU609"/>
      <c r="AKV609"/>
      <c r="AKW609"/>
      <c r="AKX609"/>
      <c r="AKY609"/>
    </row>
    <row r="610" spans="1:987">
      <c r="A610" s="282"/>
      <c r="B610" s="305"/>
      <c r="C610" s="306"/>
      <c r="D610" s="306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  <c r="ZW610"/>
      <c r="ZX610"/>
      <c r="ZY610"/>
      <c r="ZZ610"/>
      <c r="AAA610"/>
      <c r="AAB610"/>
      <c r="AAC610"/>
      <c r="AAD610"/>
      <c r="AAE610"/>
      <c r="AAF610"/>
      <c r="AAG610"/>
      <c r="AAH610"/>
      <c r="AAI610"/>
      <c r="AAJ610"/>
      <c r="AAK610"/>
      <c r="AAL610"/>
      <c r="AAM610"/>
      <c r="AAN610"/>
      <c r="AAO610"/>
      <c r="AAP610"/>
      <c r="AAQ610"/>
      <c r="AAR610"/>
      <c r="AAS610"/>
      <c r="AAT610"/>
      <c r="AAU610"/>
      <c r="AAV610"/>
      <c r="AAW610"/>
      <c r="AAX610"/>
      <c r="AAY610"/>
      <c r="AAZ610"/>
      <c r="ABA610"/>
      <c r="ABB610"/>
      <c r="ABC610"/>
      <c r="ABD610"/>
      <c r="ABE610"/>
      <c r="ABF610"/>
      <c r="ABG610"/>
      <c r="ABH610"/>
      <c r="ABI610"/>
      <c r="ABJ610"/>
      <c r="ABK610"/>
      <c r="ABL610"/>
      <c r="ABM610"/>
      <c r="ABN610"/>
      <c r="ABO610"/>
      <c r="ABP610"/>
      <c r="ABQ610"/>
      <c r="ABR610"/>
      <c r="ABS610"/>
      <c r="ABT610"/>
      <c r="ABU610"/>
      <c r="ABV610"/>
      <c r="ABW610"/>
      <c r="ABX610"/>
      <c r="ABY610"/>
      <c r="ABZ610"/>
      <c r="ACA610"/>
      <c r="ACB610"/>
      <c r="ACC610"/>
      <c r="ACD610"/>
      <c r="ACE610"/>
      <c r="ACF610"/>
      <c r="ACG610"/>
      <c r="ACH610"/>
      <c r="ACI610"/>
      <c r="ACJ610"/>
      <c r="ACK610"/>
      <c r="ACL610"/>
      <c r="ACM610"/>
      <c r="ACN610"/>
      <c r="ACO610"/>
      <c r="ACP610"/>
      <c r="ACQ610"/>
      <c r="ACR610"/>
      <c r="ACS610"/>
      <c r="ACT610"/>
      <c r="ACU610"/>
      <c r="ACV610"/>
      <c r="ACW610"/>
      <c r="ACX610"/>
      <c r="ACY610"/>
      <c r="ACZ610"/>
      <c r="ADA610"/>
      <c r="ADB610"/>
      <c r="ADC610"/>
      <c r="ADD610"/>
      <c r="ADE610"/>
      <c r="ADF610"/>
      <c r="ADG610"/>
      <c r="ADH610"/>
      <c r="ADI610"/>
      <c r="ADJ610"/>
      <c r="ADK610"/>
      <c r="ADL610"/>
      <c r="ADM610"/>
      <c r="ADN610"/>
      <c r="ADO610"/>
      <c r="ADP610"/>
      <c r="ADQ610"/>
      <c r="ADR610"/>
      <c r="ADS610"/>
      <c r="ADT610"/>
      <c r="ADU610"/>
      <c r="ADV610"/>
      <c r="ADW610"/>
      <c r="ADX610"/>
      <c r="ADY610"/>
      <c r="ADZ610"/>
      <c r="AEA610"/>
      <c r="AEB610"/>
      <c r="AEC610"/>
      <c r="AED610"/>
      <c r="AEE610"/>
      <c r="AEF610"/>
      <c r="AEG610"/>
      <c r="AEH610"/>
      <c r="AEI610"/>
      <c r="AEJ610"/>
      <c r="AEK610"/>
      <c r="AEL610"/>
      <c r="AEM610"/>
      <c r="AEN610"/>
      <c r="AEO610"/>
      <c r="AEP610"/>
      <c r="AEQ610"/>
      <c r="AER610"/>
      <c r="AES610"/>
      <c r="AET610"/>
      <c r="AEU610"/>
      <c r="AEV610"/>
      <c r="AEW610"/>
      <c r="AEX610"/>
      <c r="AEY610"/>
      <c r="AEZ610"/>
      <c r="AFA610"/>
      <c r="AFB610"/>
      <c r="AFC610"/>
      <c r="AFD610"/>
      <c r="AFE610"/>
      <c r="AFF610"/>
      <c r="AFG610"/>
      <c r="AFH610"/>
      <c r="AFI610"/>
      <c r="AFJ610"/>
      <c r="AFK610"/>
      <c r="AFL610"/>
      <c r="AFM610"/>
      <c r="AFN610"/>
      <c r="AFO610"/>
      <c r="AFP610"/>
      <c r="AFQ610"/>
      <c r="AFR610"/>
      <c r="AFS610"/>
      <c r="AFT610"/>
      <c r="AFU610"/>
      <c r="AFV610"/>
      <c r="AFW610"/>
      <c r="AFX610"/>
      <c r="AFY610"/>
      <c r="AFZ610"/>
      <c r="AGA610"/>
      <c r="AGB610"/>
      <c r="AGC610"/>
      <c r="AGD610"/>
      <c r="AGE610"/>
      <c r="AGF610"/>
      <c r="AGG610"/>
      <c r="AGH610"/>
      <c r="AGI610"/>
      <c r="AGJ610"/>
      <c r="AGK610"/>
      <c r="AGL610"/>
      <c r="AGM610"/>
      <c r="AGN610"/>
      <c r="AGO610"/>
      <c r="AGP610"/>
      <c r="AGQ610"/>
      <c r="AGR610"/>
      <c r="AGS610"/>
      <c r="AGT610"/>
      <c r="AGU610"/>
      <c r="AGV610"/>
      <c r="AGW610"/>
      <c r="AGX610"/>
      <c r="AGY610"/>
      <c r="AGZ610"/>
      <c r="AHA610"/>
      <c r="AHB610"/>
      <c r="AHC610"/>
      <c r="AHD610"/>
      <c r="AHE610"/>
      <c r="AHF610"/>
      <c r="AHG610"/>
      <c r="AHH610"/>
      <c r="AHI610"/>
      <c r="AHJ610"/>
      <c r="AHK610"/>
      <c r="AHL610"/>
      <c r="AHM610"/>
      <c r="AHN610"/>
      <c r="AHO610"/>
      <c r="AHP610"/>
      <c r="AHQ610"/>
      <c r="AHR610"/>
      <c r="AHS610"/>
      <c r="AHT610"/>
      <c r="AHU610"/>
      <c r="AHV610"/>
      <c r="AHW610"/>
      <c r="AHX610"/>
      <c r="AHY610"/>
      <c r="AHZ610"/>
      <c r="AIA610"/>
      <c r="AIB610"/>
      <c r="AIC610"/>
      <c r="AID610"/>
      <c r="AIE610"/>
      <c r="AIF610"/>
      <c r="AIG610"/>
      <c r="AIH610"/>
      <c r="AII610"/>
      <c r="AIJ610"/>
      <c r="AIK610"/>
      <c r="AIL610"/>
      <c r="AIM610"/>
      <c r="AIN610"/>
      <c r="AIO610"/>
      <c r="AIP610"/>
      <c r="AIQ610"/>
      <c r="AIR610"/>
      <c r="AIS610"/>
      <c r="AIT610"/>
      <c r="AIU610"/>
      <c r="AIV610"/>
      <c r="AIW610"/>
      <c r="AIX610"/>
      <c r="AIY610"/>
      <c r="AIZ610"/>
      <c r="AJA610"/>
      <c r="AJB610"/>
      <c r="AJC610"/>
      <c r="AJD610"/>
      <c r="AJE610"/>
      <c r="AJF610"/>
      <c r="AJG610"/>
      <c r="AJH610"/>
      <c r="AJI610"/>
      <c r="AJJ610"/>
      <c r="AJK610"/>
      <c r="AJL610"/>
      <c r="AJM610"/>
      <c r="AJN610"/>
      <c r="AJO610"/>
      <c r="AJP610"/>
      <c r="AJQ610"/>
      <c r="AJR610"/>
      <c r="AJS610"/>
      <c r="AJT610"/>
      <c r="AJU610"/>
      <c r="AJV610"/>
      <c r="AJW610"/>
      <c r="AJX610"/>
      <c r="AJY610"/>
      <c r="AJZ610"/>
      <c r="AKA610"/>
      <c r="AKB610"/>
      <c r="AKC610"/>
      <c r="AKD610"/>
      <c r="AKE610"/>
      <c r="AKF610"/>
      <c r="AKG610"/>
      <c r="AKH610"/>
      <c r="AKI610"/>
      <c r="AKJ610"/>
      <c r="AKK610"/>
      <c r="AKL610"/>
      <c r="AKM610"/>
      <c r="AKN610"/>
      <c r="AKO610"/>
      <c r="AKP610"/>
      <c r="AKQ610"/>
      <c r="AKR610"/>
      <c r="AKS610"/>
      <c r="AKT610"/>
      <c r="AKU610"/>
      <c r="AKV610"/>
      <c r="AKW610"/>
      <c r="AKX610"/>
      <c r="AKY610"/>
    </row>
    <row r="611" spans="1:987">
      <c r="A611" s="282"/>
      <c r="B611" s="329"/>
      <c r="C611" s="306">
        <f>SUM(C2:C604)</f>
        <v>2010155</v>
      </c>
      <c r="D611" s="330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  <c r="ZW611"/>
      <c r="ZX611"/>
      <c r="ZY611"/>
      <c r="ZZ611"/>
      <c r="AAA611"/>
      <c r="AAB611"/>
      <c r="AAC611"/>
      <c r="AAD611"/>
      <c r="AAE611"/>
      <c r="AAF611"/>
      <c r="AAG611"/>
      <c r="AAH611"/>
      <c r="AAI611"/>
      <c r="AAJ611"/>
      <c r="AAK611"/>
      <c r="AAL611"/>
      <c r="AAM611"/>
      <c r="AAN611"/>
      <c r="AAO611"/>
      <c r="AAP611"/>
      <c r="AAQ611"/>
      <c r="AAR611"/>
      <c r="AAS611"/>
      <c r="AAT611"/>
      <c r="AAU611"/>
      <c r="AAV611"/>
      <c r="AAW611"/>
      <c r="AAX611"/>
      <c r="AAY611"/>
      <c r="AAZ611"/>
      <c r="ABA611"/>
      <c r="ABB611"/>
      <c r="ABC611"/>
      <c r="ABD611"/>
      <c r="ABE611"/>
      <c r="ABF611"/>
      <c r="ABG611"/>
      <c r="ABH611"/>
      <c r="ABI611"/>
      <c r="ABJ611"/>
      <c r="ABK611"/>
      <c r="ABL611"/>
      <c r="ABM611"/>
      <c r="ABN611"/>
      <c r="ABO611"/>
      <c r="ABP611"/>
      <c r="ABQ611"/>
      <c r="ABR611"/>
      <c r="ABS611"/>
      <c r="ABT611"/>
      <c r="ABU611"/>
      <c r="ABV611"/>
      <c r="ABW611"/>
      <c r="ABX611"/>
      <c r="ABY611"/>
      <c r="ABZ611"/>
      <c r="ACA611"/>
      <c r="ACB611"/>
      <c r="ACC611"/>
      <c r="ACD611"/>
      <c r="ACE611"/>
      <c r="ACF611"/>
      <c r="ACG611"/>
      <c r="ACH611"/>
      <c r="ACI611"/>
      <c r="ACJ611"/>
      <c r="ACK611"/>
      <c r="ACL611"/>
      <c r="ACM611"/>
      <c r="ACN611"/>
      <c r="ACO611"/>
      <c r="ACP611"/>
      <c r="ACQ611"/>
      <c r="ACR611"/>
      <c r="ACS611"/>
      <c r="ACT611"/>
      <c r="ACU611"/>
      <c r="ACV611"/>
      <c r="ACW611"/>
      <c r="ACX611"/>
      <c r="ACY611"/>
      <c r="ACZ611"/>
      <c r="ADA611"/>
      <c r="ADB611"/>
      <c r="ADC611"/>
      <c r="ADD611"/>
      <c r="ADE611"/>
      <c r="ADF611"/>
      <c r="ADG611"/>
      <c r="ADH611"/>
      <c r="ADI611"/>
      <c r="ADJ611"/>
      <c r="ADK611"/>
      <c r="ADL611"/>
      <c r="ADM611"/>
      <c r="ADN611"/>
      <c r="ADO611"/>
      <c r="ADP611"/>
      <c r="ADQ611"/>
      <c r="ADR611"/>
      <c r="ADS611"/>
      <c r="ADT611"/>
      <c r="ADU611"/>
      <c r="ADV611"/>
      <c r="ADW611"/>
      <c r="ADX611"/>
      <c r="ADY611"/>
      <c r="ADZ611"/>
      <c r="AEA611"/>
      <c r="AEB611"/>
      <c r="AEC611"/>
      <c r="AED611"/>
      <c r="AEE611"/>
      <c r="AEF611"/>
      <c r="AEG611"/>
      <c r="AEH611"/>
      <c r="AEI611"/>
      <c r="AEJ611"/>
      <c r="AEK611"/>
      <c r="AEL611"/>
      <c r="AEM611"/>
      <c r="AEN611"/>
      <c r="AEO611"/>
      <c r="AEP611"/>
      <c r="AEQ611"/>
      <c r="AER611"/>
      <c r="AES611"/>
      <c r="AET611"/>
      <c r="AEU611"/>
      <c r="AEV611"/>
      <c r="AEW611"/>
      <c r="AEX611"/>
      <c r="AEY611"/>
      <c r="AEZ611"/>
      <c r="AFA611"/>
      <c r="AFB611"/>
      <c r="AFC611"/>
      <c r="AFD611"/>
      <c r="AFE611"/>
      <c r="AFF611"/>
      <c r="AFG611"/>
      <c r="AFH611"/>
      <c r="AFI611"/>
      <c r="AFJ611"/>
      <c r="AFK611"/>
      <c r="AFL611"/>
      <c r="AFM611"/>
      <c r="AFN611"/>
      <c r="AFO611"/>
      <c r="AFP611"/>
      <c r="AFQ611"/>
      <c r="AFR611"/>
      <c r="AFS611"/>
      <c r="AFT611"/>
      <c r="AFU611"/>
      <c r="AFV611"/>
      <c r="AFW611"/>
      <c r="AFX611"/>
      <c r="AFY611"/>
      <c r="AFZ611"/>
      <c r="AGA611"/>
      <c r="AGB611"/>
      <c r="AGC611"/>
      <c r="AGD611"/>
      <c r="AGE611"/>
      <c r="AGF611"/>
      <c r="AGG611"/>
      <c r="AGH611"/>
      <c r="AGI611"/>
      <c r="AGJ611"/>
      <c r="AGK611"/>
      <c r="AGL611"/>
      <c r="AGM611"/>
      <c r="AGN611"/>
      <c r="AGO611"/>
      <c r="AGP611"/>
      <c r="AGQ611"/>
      <c r="AGR611"/>
      <c r="AGS611"/>
      <c r="AGT611"/>
      <c r="AGU611"/>
      <c r="AGV611"/>
      <c r="AGW611"/>
      <c r="AGX611"/>
      <c r="AGY611"/>
      <c r="AGZ611"/>
      <c r="AHA611"/>
      <c r="AHB611"/>
      <c r="AHC611"/>
      <c r="AHD611"/>
      <c r="AHE611"/>
      <c r="AHF611"/>
      <c r="AHG611"/>
      <c r="AHH611"/>
      <c r="AHI611"/>
      <c r="AHJ611"/>
      <c r="AHK611"/>
      <c r="AHL611"/>
      <c r="AHM611"/>
      <c r="AHN611"/>
      <c r="AHO611"/>
      <c r="AHP611"/>
      <c r="AHQ611"/>
      <c r="AHR611"/>
      <c r="AHS611"/>
      <c r="AHT611"/>
      <c r="AHU611"/>
      <c r="AHV611"/>
      <c r="AHW611"/>
      <c r="AHX611"/>
      <c r="AHY611"/>
      <c r="AHZ611"/>
      <c r="AIA611"/>
      <c r="AIB611"/>
      <c r="AIC611"/>
      <c r="AID611"/>
      <c r="AIE611"/>
      <c r="AIF611"/>
      <c r="AIG611"/>
      <c r="AIH611"/>
      <c r="AII611"/>
      <c r="AIJ611"/>
      <c r="AIK611"/>
      <c r="AIL611"/>
      <c r="AIM611"/>
      <c r="AIN611"/>
      <c r="AIO611"/>
      <c r="AIP611"/>
      <c r="AIQ611"/>
      <c r="AIR611"/>
      <c r="AIS611"/>
      <c r="AIT611"/>
      <c r="AIU611"/>
      <c r="AIV611"/>
      <c r="AIW611"/>
      <c r="AIX611"/>
      <c r="AIY611"/>
      <c r="AIZ611"/>
      <c r="AJA611"/>
      <c r="AJB611"/>
      <c r="AJC611"/>
      <c r="AJD611"/>
      <c r="AJE611"/>
      <c r="AJF611"/>
      <c r="AJG611"/>
      <c r="AJH611"/>
      <c r="AJI611"/>
      <c r="AJJ611"/>
      <c r="AJK611"/>
      <c r="AJL611"/>
      <c r="AJM611"/>
      <c r="AJN611"/>
      <c r="AJO611"/>
      <c r="AJP611"/>
      <c r="AJQ611"/>
      <c r="AJR611"/>
      <c r="AJS611"/>
      <c r="AJT611"/>
      <c r="AJU611"/>
      <c r="AJV611"/>
      <c r="AJW611"/>
      <c r="AJX611"/>
      <c r="AJY611"/>
      <c r="AJZ611"/>
      <c r="AKA611"/>
      <c r="AKB611"/>
      <c r="AKC611"/>
      <c r="AKD611"/>
      <c r="AKE611"/>
      <c r="AKF611"/>
      <c r="AKG611"/>
      <c r="AKH611"/>
      <c r="AKI611"/>
      <c r="AKJ611"/>
      <c r="AKK611"/>
      <c r="AKL611"/>
      <c r="AKM611"/>
      <c r="AKN611"/>
      <c r="AKO611"/>
      <c r="AKP611"/>
      <c r="AKQ611"/>
      <c r="AKR611"/>
      <c r="AKS611"/>
      <c r="AKT611"/>
      <c r="AKU611"/>
      <c r="AKV611"/>
      <c r="AKW611"/>
      <c r="AKX611"/>
      <c r="AKY611"/>
    </row>
    <row r="612" spans="1:987">
      <c r="B612" s="431"/>
      <c r="C612" s="13"/>
      <c r="D612" s="13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  <c r="ZW612"/>
      <c r="ZX612"/>
      <c r="ZY612"/>
      <c r="ZZ612"/>
      <c r="AAA612"/>
      <c r="AAB612"/>
      <c r="AAC612"/>
      <c r="AAD612"/>
      <c r="AAE612"/>
      <c r="AAF612"/>
      <c r="AAG612"/>
      <c r="AAH612"/>
      <c r="AAI612"/>
      <c r="AAJ612"/>
      <c r="AAK612"/>
      <c r="AAL612"/>
      <c r="AAM612"/>
      <c r="AAN612"/>
      <c r="AAO612"/>
      <c r="AAP612"/>
      <c r="AAQ612"/>
      <c r="AAR612"/>
      <c r="AAS612"/>
      <c r="AAT612"/>
      <c r="AAU612"/>
      <c r="AAV612"/>
      <c r="AAW612"/>
      <c r="AAX612"/>
      <c r="AAY612"/>
      <c r="AAZ612"/>
      <c r="ABA612"/>
      <c r="ABB612"/>
      <c r="ABC612"/>
      <c r="ABD612"/>
      <c r="ABE612"/>
      <c r="ABF612"/>
      <c r="ABG612"/>
      <c r="ABH612"/>
      <c r="ABI612"/>
      <c r="ABJ612"/>
      <c r="ABK612"/>
      <c r="ABL612"/>
      <c r="ABM612"/>
      <c r="ABN612"/>
      <c r="ABO612"/>
      <c r="ABP612"/>
      <c r="ABQ612"/>
      <c r="ABR612"/>
      <c r="ABS612"/>
      <c r="ABT612"/>
      <c r="ABU612"/>
      <c r="ABV612"/>
      <c r="ABW612"/>
      <c r="ABX612"/>
      <c r="ABY612"/>
      <c r="ABZ612"/>
      <c r="ACA612"/>
      <c r="ACB612"/>
      <c r="ACC612"/>
      <c r="ACD612"/>
      <c r="ACE612"/>
      <c r="ACF612"/>
      <c r="ACG612"/>
      <c r="ACH612"/>
      <c r="ACI612"/>
      <c r="ACJ612"/>
      <c r="ACK612"/>
      <c r="ACL612"/>
      <c r="ACM612"/>
      <c r="ACN612"/>
      <c r="ACO612"/>
      <c r="ACP612"/>
      <c r="ACQ612"/>
      <c r="ACR612"/>
      <c r="ACS612"/>
      <c r="ACT612"/>
      <c r="ACU612"/>
      <c r="ACV612"/>
      <c r="ACW612"/>
      <c r="ACX612"/>
      <c r="ACY612"/>
      <c r="ACZ612"/>
      <c r="ADA612"/>
      <c r="ADB612"/>
      <c r="ADC612"/>
      <c r="ADD612"/>
      <c r="ADE612"/>
      <c r="ADF612"/>
      <c r="ADG612"/>
      <c r="ADH612"/>
      <c r="ADI612"/>
      <c r="ADJ612"/>
      <c r="ADK612"/>
      <c r="ADL612"/>
      <c r="ADM612"/>
      <c r="ADN612"/>
      <c r="ADO612"/>
      <c r="ADP612"/>
      <c r="ADQ612"/>
      <c r="ADR612"/>
      <c r="ADS612"/>
      <c r="ADT612"/>
      <c r="ADU612"/>
      <c r="ADV612"/>
      <c r="ADW612"/>
      <c r="ADX612"/>
      <c r="ADY612"/>
      <c r="ADZ612"/>
      <c r="AEA612"/>
      <c r="AEB612"/>
      <c r="AEC612"/>
      <c r="AED612"/>
      <c r="AEE612"/>
      <c r="AEF612"/>
      <c r="AEG612"/>
      <c r="AEH612"/>
      <c r="AEI612"/>
      <c r="AEJ612"/>
      <c r="AEK612"/>
      <c r="AEL612"/>
      <c r="AEM612"/>
      <c r="AEN612"/>
      <c r="AEO612"/>
      <c r="AEP612"/>
      <c r="AEQ612"/>
      <c r="AER612"/>
      <c r="AES612"/>
      <c r="AET612"/>
      <c r="AEU612"/>
      <c r="AEV612"/>
      <c r="AEW612"/>
      <c r="AEX612"/>
      <c r="AEY612"/>
      <c r="AEZ612"/>
      <c r="AFA612"/>
      <c r="AFB612"/>
      <c r="AFC612"/>
      <c r="AFD612"/>
      <c r="AFE612"/>
      <c r="AFF612"/>
      <c r="AFG612"/>
      <c r="AFH612"/>
      <c r="AFI612"/>
      <c r="AFJ612"/>
      <c r="AFK612"/>
      <c r="AFL612"/>
      <c r="AFM612"/>
      <c r="AFN612"/>
      <c r="AFO612"/>
      <c r="AFP612"/>
      <c r="AFQ612"/>
      <c r="AFR612"/>
      <c r="AFS612"/>
      <c r="AFT612"/>
      <c r="AFU612"/>
      <c r="AFV612"/>
      <c r="AFW612"/>
      <c r="AFX612"/>
      <c r="AFY612"/>
      <c r="AFZ612"/>
      <c r="AGA612"/>
      <c r="AGB612"/>
      <c r="AGC612"/>
      <c r="AGD612"/>
      <c r="AGE612"/>
      <c r="AGF612"/>
      <c r="AGG612"/>
      <c r="AGH612"/>
      <c r="AGI612"/>
      <c r="AGJ612"/>
      <c r="AGK612"/>
      <c r="AGL612"/>
      <c r="AGM612"/>
      <c r="AGN612"/>
      <c r="AGO612"/>
      <c r="AGP612"/>
      <c r="AGQ612"/>
      <c r="AGR612"/>
      <c r="AGS612"/>
      <c r="AGT612"/>
      <c r="AGU612"/>
      <c r="AGV612"/>
      <c r="AGW612"/>
      <c r="AGX612"/>
      <c r="AGY612"/>
      <c r="AGZ612"/>
      <c r="AHA612"/>
      <c r="AHB612"/>
      <c r="AHC612"/>
      <c r="AHD612"/>
      <c r="AHE612"/>
      <c r="AHF612"/>
      <c r="AHG612"/>
      <c r="AHH612"/>
      <c r="AHI612"/>
      <c r="AHJ612"/>
      <c r="AHK612"/>
      <c r="AHL612"/>
      <c r="AHM612"/>
      <c r="AHN612"/>
      <c r="AHO612"/>
      <c r="AHP612"/>
      <c r="AHQ612"/>
      <c r="AHR612"/>
      <c r="AHS612"/>
      <c r="AHT612"/>
      <c r="AHU612"/>
      <c r="AHV612"/>
      <c r="AHW612"/>
      <c r="AHX612"/>
      <c r="AHY612"/>
      <c r="AHZ612"/>
      <c r="AIA612"/>
      <c r="AIB612"/>
      <c r="AIC612"/>
      <c r="AID612"/>
      <c r="AIE612"/>
      <c r="AIF612"/>
      <c r="AIG612"/>
      <c r="AIH612"/>
      <c r="AII612"/>
      <c r="AIJ612"/>
      <c r="AIK612"/>
      <c r="AIL612"/>
      <c r="AIM612"/>
      <c r="AIN612"/>
      <c r="AIO612"/>
      <c r="AIP612"/>
      <c r="AIQ612"/>
      <c r="AIR612"/>
      <c r="AIS612"/>
      <c r="AIT612"/>
      <c r="AIU612"/>
      <c r="AIV612"/>
      <c r="AIW612"/>
      <c r="AIX612"/>
      <c r="AIY612"/>
      <c r="AIZ612"/>
      <c r="AJA612"/>
      <c r="AJB612"/>
      <c r="AJC612"/>
      <c r="AJD612"/>
      <c r="AJE612"/>
      <c r="AJF612"/>
      <c r="AJG612"/>
      <c r="AJH612"/>
      <c r="AJI612"/>
      <c r="AJJ612"/>
      <c r="AJK612"/>
      <c r="AJL612"/>
      <c r="AJM612"/>
      <c r="AJN612"/>
      <c r="AJO612"/>
      <c r="AJP612"/>
      <c r="AJQ612"/>
      <c r="AJR612"/>
      <c r="AJS612"/>
      <c r="AJT612"/>
      <c r="AJU612"/>
      <c r="AJV612"/>
      <c r="AJW612"/>
      <c r="AJX612"/>
      <c r="AJY612"/>
      <c r="AJZ612"/>
      <c r="AKA612"/>
      <c r="AKB612"/>
      <c r="AKC612"/>
      <c r="AKD612"/>
      <c r="AKE612"/>
      <c r="AKF612"/>
      <c r="AKG612"/>
      <c r="AKH612"/>
      <c r="AKI612"/>
      <c r="AKJ612"/>
      <c r="AKK612"/>
      <c r="AKL612"/>
      <c r="AKM612"/>
      <c r="AKN612"/>
      <c r="AKO612"/>
      <c r="AKP612"/>
      <c r="AKQ612"/>
      <c r="AKR612"/>
      <c r="AKS612"/>
      <c r="AKT612"/>
      <c r="AKU612"/>
      <c r="AKV612"/>
      <c r="AKW612"/>
      <c r="AKX612"/>
      <c r="AKY612"/>
    </row>
    <row r="614" spans="1:987">
      <c r="C614" s="435"/>
      <c r="D614" s="435"/>
    </row>
    <row r="615" spans="1:987"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  <c r="ZW615"/>
      <c r="ZX615"/>
      <c r="ZY615"/>
      <c r="ZZ615"/>
      <c r="AAA615"/>
      <c r="AAB615"/>
      <c r="AAC615"/>
      <c r="AAD615"/>
      <c r="AAE615"/>
      <c r="AAF615"/>
      <c r="AAG615"/>
      <c r="AAH615"/>
      <c r="AAI615"/>
      <c r="AAJ615"/>
      <c r="AAK615"/>
      <c r="AAL615"/>
      <c r="AAM615"/>
      <c r="AAN615"/>
      <c r="AAO615"/>
      <c r="AAP615"/>
      <c r="AAQ615"/>
      <c r="AAR615"/>
      <c r="AAS615"/>
      <c r="AAT615"/>
      <c r="AAU615"/>
      <c r="AAV615"/>
      <c r="AAW615"/>
      <c r="AAX615"/>
      <c r="AAY615"/>
      <c r="AAZ615"/>
      <c r="ABA615"/>
      <c r="ABB615"/>
      <c r="ABC615"/>
      <c r="ABD615"/>
      <c r="ABE615"/>
      <c r="ABF615"/>
      <c r="ABG615"/>
      <c r="ABH615"/>
      <c r="ABI615"/>
      <c r="ABJ615"/>
      <c r="ABK615"/>
      <c r="ABL615"/>
      <c r="ABM615"/>
      <c r="ABN615"/>
      <c r="ABO615"/>
      <c r="ABP615"/>
      <c r="ABQ615"/>
      <c r="ABR615"/>
      <c r="ABS615"/>
      <c r="ABT615"/>
      <c r="ABU615"/>
      <c r="ABV615"/>
      <c r="ABW615"/>
      <c r="ABX615"/>
      <c r="ABY615"/>
      <c r="ABZ615"/>
      <c r="ACA615"/>
      <c r="ACB615"/>
      <c r="ACC615"/>
      <c r="ACD615"/>
      <c r="ACE615"/>
      <c r="ACF615"/>
      <c r="ACG615"/>
      <c r="ACH615"/>
      <c r="ACI615"/>
      <c r="ACJ615"/>
      <c r="ACK615"/>
      <c r="ACL615"/>
      <c r="ACM615"/>
      <c r="ACN615"/>
      <c r="ACO615"/>
      <c r="ACP615"/>
      <c r="ACQ615"/>
      <c r="ACR615"/>
      <c r="ACS615"/>
      <c r="ACT615"/>
      <c r="ACU615"/>
      <c r="ACV615"/>
      <c r="ACW615"/>
      <c r="ACX615"/>
      <c r="ACY615"/>
      <c r="ACZ615"/>
      <c r="ADA615"/>
      <c r="ADB615"/>
      <c r="ADC615"/>
      <c r="ADD615"/>
      <c r="ADE615"/>
      <c r="ADF615"/>
      <c r="ADG615"/>
      <c r="ADH615"/>
      <c r="ADI615"/>
      <c r="ADJ615"/>
      <c r="ADK615"/>
      <c r="ADL615"/>
      <c r="ADM615"/>
      <c r="ADN615"/>
      <c r="ADO615"/>
      <c r="ADP615"/>
      <c r="ADQ615"/>
      <c r="ADR615"/>
      <c r="ADS615"/>
      <c r="ADT615"/>
      <c r="ADU615"/>
      <c r="ADV615"/>
      <c r="ADW615"/>
      <c r="ADX615"/>
      <c r="ADY615"/>
      <c r="ADZ615"/>
      <c r="AEA615"/>
      <c r="AEB615"/>
      <c r="AEC615"/>
      <c r="AED615"/>
      <c r="AEE615"/>
      <c r="AEF615"/>
      <c r="AEG615"/>
      <c r="AEH615"/>
      <c r="AEI615"/>
      <c r="AEJ615"/>
      <c r="AEK615"/>
      <c r="AEL615"/>
      <c r="AEM615"/>
      <c r="AEN615"/>
      <c r="AEO615"/>
      <c r="AEP615"/>
      <c r="AEQ615"/>
      <c r="AER615"/>
      <c r="AES615"/>
      <c r="AET615"/>
      <c r="AEU615"/>
      <c r="AEV615"/>
      <c r="AEW615"/>
      <c r="AEX615"/>
      <c r="AEY615"/>
      <c r="AEZ615"/>
      <c r="AFA615"/>
      <c r="AFB615"/>
      <c r="AFC615"/>
      <c r="AFD615"/>
      <c r="AFE615"/>
      <c r="AFF615"/>
      <c r="AFG615"/>
      <c r="AFH615"/>
      <c r="AFI615"/>
      <c r="AFJ615"/>
      <c r="AFK615"/>
      <c r="AFL615"/>
      <c r="AFM615"/>
      <c r="AFN615"/>
      <c r="AFO615"/>
      <c r="AFP615"/>
      <c r="AFQ615"/>
      <c r="AFR615"/>
      <c r="AFS615"/>
      <c r="AFT615"/>
      <c r="AFU615"/>
      <c r="AFV615"/>
      <c r="AFW615"/>
      <c r="AFX615"/>
      <c r="AFY615"/>
      <c r="AFZ615"/>
      <c r="AGA615"/>
      <c r="AGB615"/>
      <c r="AGC615"/>
      <c r="AGD615"/>
      <c r="AGE615"/>
      <c r="AGF615"/>
      <c r="AGG615"/>
      <c r="AGH615"/>
      <c r="AGI615"/>
      <c r="AGJ615"/>
      <c r="AGK615"/>
      <c r="AGL615"/>
      <c r="AGM615"/>
      <c r="AGN615"/>
      <c r="AGO615"/>
      <c r="AGP615"/>
      <c r="AGQ615"/>
      <c r="AGR615"/>
      <c r="AGS615"/>
      <c r="AGT615"/>
      <c r="AGU615"/>
      <c r="AGV615"/>
      <c r="AGW615"/>
      <c r="AGX615"/>
      <c r="AGY615"/>
      <c r="AGZ615"/>
      <c r="AHA615"/>
      <c r="AHB615"/>
      <c r="AHC615"/>
      <c r="AHD615"/>
      <c r="AHE615"/>
      <c r="AHF615"/>
      <c r="AHG615"/>
      <c r="AHH615"/>
      <c r="AHI615"/>
      <c r="AHJ615"/>
      <c r="AHK615"/>
      <c r="AHL615"/>
      <c r="AHM615"/>
      <c r="AHN615"/>
      <c r="AHO615"/>
      <c r="AHP615"/>
      <c r="AHQ615"/>
      <c r="AHR615"/>
      <c r="AHS615"/>
      <c r="AHT615"/>
      <c r="AHU615"/>
      <c r="AHV615"/>
      <c r="AHW615"/>
      <c r="AHX615"/>
      <c r="AHY615"/>
      <c r="AHZ615"/>
      <c r="AIA615"/>
      <c r="AIB615"/>
      <c r="AIC615"/>
      <c r="AID615"/>
      <c r="AIE615"/>
      <c r="AIF615"/>
      <c r="AIG615"/>
      <c r="AIH615"/>
      <c r="AII615"/>
      <c r="AIJ615"/>
      <c r="AIK615"/>
      <c r="AIL615"/>
      <c r="AIM615"/>
      <c r="AIN615"/>
      <c r="AIO615"/>
      <c r="AIP615"/>
      <c r="AIQ615"/>
      <c r="AIR615"/>
      <c r="AIS615"/>
      <c r="AIT615"/>
      <c r="AIU615"/>
      <c r="AIV615"/>
      <c r="AIW615"/>
      <c r="AIX615"/>
      <c r="AIY615"/>
      <c r="AIZ615"/>
      <c r="AJA615"/>
      <c r="AJB615"/>
      <c r="AJC615"/>
      <c r="AJD615"/>
      <c r="AJE615"/>
      <c r="AJF615"/>
      <c r="AJG615"/>
      <c r="AJH615"/>
      <c r="AJI615"/>
      <c r="AJJ615"/>
      <c r="AJK615"/>
      <c r="AJL615"/>
      <c r="AJM615"/>
      <c r="AJN615"/>
      <c r="AJO615"/>
      <c r="AJP615"/>
      <c r="AJQ615"/>
      <c r="AJR615"/>
      <c r="AJS615"/>
      <c r="AJT615"/>
      <c r="AJU615"/>
      <c r="AJV615"/>
      <c r="AJW615"/>
      <c r="AJX615"/>
      <c r="AJY615"/>
      <c r="AJZ615"/>
      <c r="AKA615"/>
      <c r="AKB615"/>
      <c r="AKC615"/>
      <c r="AKD615"/>
      <c r="AKE615"/>
      <c r="AKF615"/>
      <c r="AKG615"/>
      <c r="AKH615"/>
      <c r="AKI615"/>
      <c r="AKJ615"/>
      <c r="AKK615"/>
      <c r="AKL615"/>
      <c r="AKM615"/>
      <c r="AKN615"/>
      <c r="AKO615"/>
      <c r="AKP615"/>
      <c r="AKQ615"/>
      <c r="AKR615"/>
      <c r="AKS615"/>
      <c r="AKT615"/>
      <c r="AKU615"/>
      <c r="AKV615"/>
      <c r="AKW615"/>
      <c r="AKX615"/>
      <c r="AKY615"/>
    </row>
    <row r="616" spans="1:987">
      <c r="B616" s="431"/>
      <c r="C616" s="13"/>
      <c r="D616" s="13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  <c r="ZW616"/>
      <c r="ZX616"/>
      <c r="ZY616"/>
      <c r="ZZ616"/>
      <c r="AAA616"/>
      <c r="AAB616"/>
      <c r="AAC616"/>
      <c r="AAD616"/>
      <c r="AAE616"/>
      <c r="AAF616"/>
      <c r="AAG616"/>
      <c r="AAH616"/>
      <c r="AAI616"/>
      <c r="AAJ616"/>
      <c r="AAK616"/>
      <c r="AAL616"/>
      <c r="AAM616"/>
      <c r="AAN616"/>
      <c r="AAO616"/>
      <c r="AAP616"/>
      <c r="AAQ616"/>
      <c r="AAR616"/>
      <c r="AAS616"/>
      <c r="AAT616"/>
      <c r="AAU616"/>
      <c r="AAV616"/>
      <c r="AAW616"/>
      <c r="AAX616"/>
      <c r="AAY616"/>
      <c r="AAZ616"/>
      <c r="ABA616"/>
      <c r="ABB616"/>
      <c r="ABC616"/>
      <c r="ABD616"/>
      <c r="ABE616"/>
      <c r="ABF616"/>
      <c r="ABG616"/>
      <c r="ABH616"/>
      <c r="ABI616"/>
      <c r="ABJ616"/>
      <c r="ABK616"/>
      <c r="ABL616"/>
      <c r="ABM616"/>
      <c r="ABN616"/>
      <c r="ABO616"/>
      <c r="ABP616"/>
      <c r="ABQ616"/>
      <c r="ABR616"/>
      <c r="ABS616"/>
      <c r="ABT616"/>
      <c r="ABU616"/>
      <c r="ABV616"/>
      <c r="ABW616"/>
      <c r="ABX616"/>
      <c r="ABY616"/>
      <c r="ABZ616"/>
      <c r="ACA616"/>
      <c r="ACB616"/>
      <c r="ACC616"/>
      <c r="ACD616"/>
      <c r="ACE616"/>
      <c r="ACF616"/>
      <c r="ACG616"/>
      <c r="ACH616"/>
      <c r="ACI616"/>
      <c r="ACJ616"/>
      <c r="ACK616"/>
      <c r="ACL616"/>
      <c r="ACM616"/>
      <c r="ACN616"/>
      <c r="ACO616"/>
      <c r="ACP616"/>
      <c r="ACQ616"/>
      <c r="ACR616"/>
      <c r="ACS616"/>
      <c r="ACT616"/>
      <c r="ACU616"/>
      <c r="ACV616"/>
      <c r="ACW616"/>
      <c r="ACX616"/>
      <c r="ACY616"/>
      <c r="ACZ616"/>
      <c r="ADA616"/>
      <c r="ADB616"/>
      <c r="ADC616"/>
      <c r="ADD616"/>
      <c r="ADE616"/>
      <c r="ADF616"/>
      <c r="ADG616"/>
      <c r="ADH616"/>
      <c r="ADI616"/>
      <c r="ADJ616"/>
      <c r="ADK616"/>
      <c r="ADL616"/>
      <c r="ADM616"/>
      <c r="ADN616"/>
      <c r="ADO616"/>
      <c r="ADP616"/>
      <c r="ADQ616"/>
      <c r="ADR616"/>
      <c r="ADS616"/>
      <c r="ADT616"/>
      <c r="ADU616"/>
      <c r="ADV616"/>
      <c r="ADW616"/>
      <c r="ADX616"/>
      <c r="ADY616"/>
      <c r="ADZ616"/>
      <c r="AEA616"/>
      <c r="AEB616"/>
      <c r="AEC616"/>
      <c r="AED616"/>
      <c r="AEE616"/>
      <c r="AEF616"/>
      <c r="AEG616"/>
      <c r="AEH616"/>
      <c r="AEI616"/>
      <c r="AEJ616"/>
      <c r="AEK616"/>
      <c r="AEL616"/>
      <c r="AEM616"/>
      <c r="AEN616"/>
      <c r="AEO616"/>
      <c r="AEP616"/>
      <c r="AEQ616"/>
      <c r="AER616"/>
      <c r="AES616"/>
      <c r="AET616"/>
      <c r="AEU616"/>
      <c r="AEV616"/>
      <c r="AEW616"/>
      <c r="AEX616"/>
      <c r="AEY616"/>
      <c r="AEZ616"/>
      <c r="AFA616"/>
      <c r="AFB616"/>
      <c r="AFC616"/>
      <c r="AFD616"/>
      <c r="AFE616"/>
      <c r="AFF616"/>
      <c r="AFG616"/>
      <c r="AFH616"/>
      <c r="AFI616"/>
      <c r="AFJ616"/>
      <c r="AFK616"/>
      <c r="AFL616"/>
      <c r="AFM616"/>
      <c r="AFN616"/>
      <c r="AFO616"/>
      <c r="AFP616"/>
      <c r="AFQ616"/>
      <c r="AFR616"/>
      <c r="AFS616"/>
      <c r="AFT616"/>
      <c r="AFU616"/>
      <c r="AFV616"/>
      <c r="AFW616"/>
      <c r="AFX616"/>
      <c r="AFY616"/>
      <c r="AFZ616"/>
      <c r="AGA616"/>
      <c r="AGB616"/>
      <c r="AGC616"/>
      <c r="AGD616"/>
      <c r="AGE616"/>
      <c r="AGF616"/>
      <c r="AGG616"/>
      <c r="AGH616"/>
      <c r="AGI616"/>
      <c r="AGJ616"/>
      <c r="AGK616"/>
      <c r="AGL616"/>
      <c r="AGM616"/>
      <c r="AGN616"/>
      <c r="AGO616"/>
      <c r="AGP616"/>
      <c r="AGQ616"/>
      <c r="AGR616"/>
      <c r="AGS616"/>
      <c r="AGT616"/>
      <c r="AGU616"/>
      <c r="AGV616"/>
      <c r="AGW616"/>
      <c r="AGX616"/>
      <c r="AGY616"/>
      <c r="AGZ616"/>
      <c r="AHA616"/>
      <c r="AHB616"/>
      <c r="AHC616"/>
      <c r="AHD616"/>
      <c r="AHE616"/>
      <c r="AHF616"/>
      <c r="AHG616"/>
      <c r="AHH616"/>
      <c r="AHI616"/>
      <c r="AHJ616"/>
      <c r="AHK616"/>
      <c r="AHL616"/>
      <c r="AHM616"/>
      <c r="AHN616"/>
      <c r="AHO616"/>
      <c r="AHP616"/>
      <c r="AHQ616"/>
      <c r="AHR616"/>
      <c r="AHS616"/>
      <c r="AHT616"/>
      <c r="AHU616"/>
      <c r="AHV616"/>
      <c r="AHW616"/>
      <c r="AHX616"/>
      <c r="AHY616"/>
      <c r="AHZ616"/>
      <c r="AIA616"/>
      <c r="AIB616"/>
      <c r="AIC616"/>
      <c r="AID616"/>
      <c r="AIE616"/>
      <c r="AIF616"/>
      <c r="AIG616"/>
      <c r="AIH616"/>
      <c r="AII616"/>
      <c r="AIJ616"/>
      <c r="AIK616"/>
      <c r="AIL616"/>
      <c r="AIM616"/>
      <c r="AIN616"/>
      <c r="AIO616"/>
      <c r="AIP616"/>
      <c r="AIQ616"/>
      <c r="AIR616"/>
      <c r="AIS616"/>
      <c r="AIT616"/>
      <c r="AIU616"/>
      <c r="AIV616"/>
      <c r="AIW616"/>
      <c r="AIX616"/>
      <c r="AIY616"/>
      <c r="AIZ616"/>
      <c r="AJA616"/>
      <c r="AJB616"/>
      <c r="AJC616"/>
      <c r="AJD616"/>
      <c r="AJE616"/>
      <c r="AJF616"/>
      <c r="AJG616"/>
      <c r="AJH616"/>
      <c r="AJI616"/>
      <c r="AJJ616"/>
      <c r="AJK616"/>
      <c r="AJL616"/>
      <c r="AJM616"/>
      <c r="AJN616"/>
      <c r="AJO616"/>
      <c r="AJP616"/>
      <c r="AJQ616"/>
      <c r="AJR616"/>
      <c r="AJS616"/>
      <c r="AJT616"/>
      <c r="AJU616"/>
      <c r="AJV616"/>
      <c r="AJW616"/>
      <c r="AJX616"/>
      <c r="AJY616"/>
      <c r="AJZ616"/>
      <c r="AKA616"/>
      <c r="AKB616"/>
      <c r="AKC616"/>
      <c r="AKD616"/>
      <c r="AKE616"/>
      <c r="AKF616"/>
      <c r="AKG616"/>
      <c r="AKH616"/>
      <c r="AKI616"/>
      <c r="AKJ616"/>
      <c r="AKK616"/>
      <c r="AKL616"/>
      <c r="AKM616"/>
      <c r="AKN616"/>
      <c r="AKO616"/>
      <c r="AKP616"/>
      <c r="AKQ616"/>
      <c r="AKR616"/>
      <c r="AKS616"/>
      <c r="AKT616"/>
      <c r="AKU616"/>
      <c r="AKV616"/>
      <c r="AKW616"/>
      <c r="AKX616"/>
      <c r="AKY616"/>
    </row>
    <row r="617" spans="1:987">
      <c r="B617" s="431"/>
      <c r="C617" s="13"/>
      <c r="D617" s="13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  <c r="ZW617"/>
      <c r="ZX617"/>
      <c r="ZY617"/>
      <c r="ZZ617"/>
      <c r="AAA617"/>
      <c r="AAB617"/>
      <c r="AAC617"/>
      <c r="AAD617"/>
      <c r="AAE617"/>
      <c r="AAF617"/>
      <c r="AAG617"/>
      <c r="AAH617"/>
      <c r="AAI617"/>
      <c r="AAJ617"/>
      <c r="AAK617"/>
      <c r="AAL617"/>
      <c r="AAM617"/>
      <c r="AAN617"/>
      <c r="AAO617"/>
      <c r="AAP617"/>
      <c r="AAQ617"/>
      <c r="AAR617"/>
      <c r="AAS617"/>
      <c r="AAT617"/>
      <c r="AAU617"/>
      <c r="AAV617"/>
      <c r="AAW617"/>
      <c r="AAX617"/>
      <c r="AAY617"/>
      <c r="AAZ617"/>
      <c r="ABA617"/>
      <c r="ABB617"/>
      <c r="ABC617"/>
      <c r="ABD617"/>
      <c r="ABE617"/>
      <c r="ABF617"/>
      <c r="ABG617"/>
      <c r="ABH617"/>
      <c r="ABI617"/>
      <c r="ABJ617"/>
      <c r="ABK617"/>
      <c r="ABL617"/>
      <c r="ABM617"/>
      <c r="ABN617"/>
      <c r="ABO617"/>
      <c r="ABP617"/>
      <c r="ABQ617"/>
      <c r="ABR617"/>
      <c r="ABS617"/>
      <c r="ABT617"/>
      <c r="ABU617"/>
      <c r="ABV617"/>
      <c r="ABW617"/>
      <c r="ABX617"/>
      <c r="ABY617"/>
      <c r="ABZ617"/>
      <c r="ACA617"/>
      <c r="ACB617"/>
      <c r="ACC617"/>
      <c r="ACD617"/>
      <c r="ACE617"/>
      <c r="ACF617"/>
      <c r="ACG617"/>
      <c r="ACH617"/>
      <c r="ACI617"/>
      <c r="ACJ617"/>
      <c r="ACK617"/>
      <c r="ACL617"/>
      <c r="ACM617"/>
      <c r="ACN617"/>
      <c r="ACO617"/>
      <c r="ACP617"/>
      <c r="ACQ617"/>
      <c r="ACR617"/>
      <c r="ACS617"/>
      <c r="ACT617"/>
      <c r="ACU617"/>
      <c r="ACV617"/>
      <c r="ACW617"/>
      <c r="ACX617"/>
      <c r="ACY617"/>
      <c r="ACZ617"/>
      <c r="ADA617"/>
      <c r="ADB617"/>
      <c r="ADC617"/>
      <c r="ADD617"/>
      <c r="ADE617"/>
      <c r="ADF617"/>
      <c r="ADG617"/>
      <c r="ADH617"/>
      <c r="ADI617"/>
      <c r="ADJ617"/>
      <c r="ADK617"/>
      <c r="ADL617"/>
      <c r="ADM617"/>
      <c r="ADN617"/>
      <c r="ADO617"/>
      <c r="ADP617"/>
      <c r="ADQ617"/>
      <c r="ADR617"/>
      <c r="ADS617"/>
      <c r="ADT617"/>
      <c r="ADU617"/>
      <c r="ADV617"/>
      <c r="ADW617"/>
      <c r="ADX617"/>
      <c r="ADY617"/>
      <c r="ADZ617"/>
      <c r="AEA617"/>
      <c r="AEB617"/>
      <c r="AEC617"/>
      <c r="AED617"/>
      <c r="AEE617"/>
      <c r="AEF617"/>
      <c r="AEG617"/>
      <c r="AEH617"/>
      <c r="AEI617"/>
      <c r="AEJ617"/>
      <c r="AEK617"/>
      <c r="AEL617"/>
      <c r="AEM617"/>
      <c r="AEN617"/>
      <c r="AEO617"/>
      <c r="AEP617"/>
      <c r="AEQ617"/>
      <c r="AER617"/>
      <c r="AES617"/>
      <c r="AET617"/>
      <c r="AEU617"/>
      <c r="AEV617"/>
      <c r="AEW617"/>
      <c r="AEX617"/>
      <c r="AEY617"/>
      <c r="AEZ617"/>
      <c r="AFA617"/>
      <c r="AFB617"/>
      <c r="AFC617"/>
      <c r="AFD617"/>
      <c r="AFE617"/>
      <c r="AFF617"/>
      <c r="AFG617"/>
      <c r="AFH617"/>
      <c r="AFI617"/>
      <c r="AFJ617"/>
      <c r="AFK617"/>
      <c r="AFL617"/>
      <c r="AFM617"/>
      <c r="AFN617"/>
      <c r="AFO617"/>
      <c r="AFP617"/>
      <c r="AFQ617"/>
      <c r="AFR617"/>
      <c r="AFS617"/>
      <c r="AFT617"/>
      <c r="AFU617"/>
      <c r="AFV617"/>
      <c r="AFW617"/>
      <c r="AFX617"/>
      <c r="AFY617"/>
      <c r="AFZ617"/>
      <c r="AGA617"/>
      <c r="AGB617"/>
      <c r="AGC617"/>
      <c r="AGD617"/>
      <c r="AGE617"/>
      <c r="AGF617"/>
      <c r="AGG617"/>
      <c r="AGH617"/>
      <c r="AGI617"/>
      <c r="AGJ617"/>
      <c r="AGK617"/>
      <c r="AGL617"/>
      <c r="AGM617"/>
      <c r="AGN617"/>
      <c r="AGO617"/>
      <c r="AGP617"/>
      <c r="AGQ617"/>
      <c r="AGR617"/>
      <c r="AGS617"/>
      <c r="AGT617"/>
      <c r="AGU617"/>
      <c r="AGV617"/>
      <c r="AGW617"/>
      <c r="AGX617"/>
      <c r="AGY617"/>
      <c r="AGZ617"/>
      <c r="AHA617"/>
      <c r="AHB617"/>
      <c r="AHC617"/>
      <c r="AHD617"/>
      <c r="AHE617"/>
      <c r="AHF617"/>
      <c r="AHG617"/>
      <c r="AHH617"/>
      <c r="AHI617"/>
      <c r="AHJ617"/>
      <c r="AHK617"/>
      <c r="AHL617"/>
      <c r="AHM617"/>
      <c r="AHN617"/>
      <c r="AHO617"/>
      <c r="AHP617"/>
      <c r="AHQ617"/>
      <c r="AHR617"/>
      <c r="AHS617"/>
      <c r="AHT617"/>
      <c r="AHU617"/>
      <c r="AHV617"/>
      <c r="AHW617"/>
      <c r="AHX617"/>
      <c r="AHY617"/>
      <c r="AHZ617"/>
      <c r="AIA617"/>
      <c r="AIB617"/>
      <c r="AIC617"/>
      <c r="AID617"/>
      <c r="AIE617"/>
      <c r="AIF617"/>
      <c r="AIG617"/>
      <c r="AIH617"/>
      <c r="AII617"/>
      <c r="AIJ617"/>
      <c r="AIK617"/>
      <c r="AIL617"/>
      <c r="AIM617"/>
      <c r="AIN617"/>
      <c r="AIO617"/>
      <c r="AIP617"/>
      <c r="AIQ617"/>
      <c r="AIR617"/>
      <c r="AIS617"/>
      <c r="AIT617"/>
      <c r="AIU617"/>
      <c r="AIV617"/>
      <c r="AIW617"/>
      <c r="AIX617"/>
      <c r="AIY617"/>
      <c r="AIZ617"/>
      <c r="AJA617"/>
      <c r="AJB617"/>
      <c r="AJC617"/>
      <c r="AJD617"/>
      <c r="AJE617"/>
      <c r="AJF617"/>
      <c r="AJG617"/>
      <c r="AJH617"/>
      <c r="AJI617"/>
      <c r="AJJ617"/>
      <c r="AJK617"/>
      <c r="AJL617"/>
      <c r="AJM617"/>
      <c r="AJN617"/>
      <c r="AJO617"/>
      <c r="AJP617"/>
      <c r="AJQ617"/>
      <c r="AJR617"/>
      <c r="AJS617"/>
      <c r="AJT617"/>
      <c r="AJU617"/>
      <c r="AJV617"/>
      <c r="AJW617"/>
      <c r="AJX617"/>
      <c r="AJY617"/>
      <c r="AJZ617"/>
      <c r="AKA617"/>
      <c r="AKB617"/>
      <c r="AKC617"/>
      <c r="AKD617"/>
      <c r="AKE617"/>
      <c r="AKF617"/>
      <c r="AKG617"/>
      <c r="AKH617"/>
      <c r="AKI617"/>
      <c r="AKJ617"/>
      <c r="AKK617"/>
      <c r="AKL617"/>
      <c r="AKM617"/>
      <c r="AKN617"/>
      <c r="AKO617"/>
      <c r="AKP617"/>
      <c r="AKQ617"/>
      <c r="AKR617"/>
      <c r="AKS617"/>
      <c r="AKT617"/>
      <c r="AKU617"/>
      <c r="AKV617"/>
      <c r="AKW617"/>
      <c r="AKX617"/>
      <c r="AKY617"/>
    </row>
    <row r="618" spans="1:987">
      <c r="B618" s="431"/>
      <c r="C618" s="13"/>
      <c r="D618" s="13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  <c r="ZW618"/>
      <c r="ZX618"/>
      <c r="ZY618"/>
      <c r="ZZ618"/>
      <c r="AAA618"/>
      <c r="AAB618"/>
      <c r="AAC618"/>
      <c r="AAD618"/>
      <c r="AAE618"/>
      <c r="AAF618"/>
      <c r="AAG618"/>
      <c r="AAH618"/>
      <c r="AAI618"/>
      <c r="AAJ618"/>
      <c r="AAK618"/>
      <c r="AAL618"/>
      <c r="AAM618"/>
      <c r="AAN618"/>
      <c r="AAO618"/>
      <c r="AAP618"/>
      <c r="AAQ618"/>
      <c r="AAR618"/>
      <c r="AAS618"/>
      <c r="AAT618"/>
      <c r="AAU618"/>
      <c r="AAV618"/>
      <c r="AAW618"/>
      <c r="AAX618"/>
      <c r="AAY618"/>
      <c r="AAZ618"/>
      <c r="ABA618"/>
      <c r="ABB618"/>
      <c r="ABC618"/>
      <c r="ABD618"/>
      <c r="ABE618"/>
      <c r="ABF618"/>
      <c r="ABG618"/>
      <c r="ABH618"/>
      <c r="ABI618"/>
      <c r="ABJ618"/>
      <c r="ABK618"/>
      <c r="ABL618"/>
      <c r="ABM618"/>
      <c r="ABN618"/>
      <c r="ABO618"/>
      <c r="ABP618"/>
      <c r="ABQ618"/>
      <c r="ABR618"/>
      <c r="ABS618"/>
      <c r="ABT618"/>
      <c r="ABU618"/>
      <c r="ABV618"/>
      <c r="ABW618"/>
      <c r="ABX618"/>
      <c r="ABY618"/>
      <c r="ABZ618"/>
      <c r="ACA618"/>
      <c r="ACB618"/>
      <c r="ACC618"/>
      <c r="ACD618"/>
      <c r="ACE618"/>
      <c r="ACF618"/>
      <c r="ACG618"/>
      <c r="ACH618"/>
      <c r="ACI618"/>
      <c r="ACJ618"/>
      <c r="ACK618"/>
      <c r="ACL618"/>
      <c r="ACM618"/>
      <c r="ACN618"/>
      <c r="ACO618"/>
      <c r="ACP618"/>
      <c r="ACQ618"/>
      <c r="ACR618"/>
      <c r="ACS618"/>
      <c r="ACT618"/>
      <c r="ACU618"/>
      <c r="ACV618"/>
      <c r="ACW618"/>
      <c r="ACX618"/>
      <c r="ACY618"/>
      <c r="ACZ618"/>
      <c r="ADA618"/>
      <c r="ADB618"/>
      <c r="ADC618"/>
      <c r="ADD618"/>
      <c r="ADE618"/>
      <c r="ADF618"/>
      <c r="ADG618"/>
      <c r="ADH618"/>
      <c r="ADI618"/>
      <c r="ADJ618"/>
      <c r="ADK618"/>
      <c r="ADL618"/>
      <c r="ADM618"/>
      <c r="ADN618"/>
      <c r="ADO618"/>
      <c r="ADP618"/>
      <c r="ADQ618"/>
      <c r="ADR618"/>
      <c r="ADS618"/>
      <c r="ADT618"/>
      <c r="ADU618"/>
      <c r="ADV618"/>
      <c r="ADW618"/>
      <c r="ADX618"/>
      <c r="ADY618"/>
      <c r="ADZ618"/>
      <c r="AEA618"/>
      <c r="AEB618"/>
      <c r="AEC618"/>
      <c r="AED618"/>
      <c r="AEE618"/>
      <c r="AEF618"/>
      <c r="AEG618"/>
      <c r="AEH618"/>
      <c r="AEI618"/>
      <c r="AEJ618"/>
      <c r="AEK618"/>
      <c r="AEL618"/>
      <c r="AEM618"/>
      <c r="AEN618"/>
      <c r="AEO618"/>
      <c r="AEP618"/>
      <c r="AEQ618"/>
      <c r="AER618"/>
      <c r="AES618"/>
      <c r="AET618"/>
      <c r="AEU618"/>
      <c r="AEV618"/>
      <c r="AEW618"/>
      <c r="AEX618"/>
      <c r="AEY618"/>
      <c r="AEZ618"/>
      <c r="AFA618"/>
      <c r="AFB618"/>
      <c r="AFC618"/>
      <c r="AFD618"/>
      <c r="AFE618"/>
      <c r="AFF618"/>
      <c r="AFG618"/>
      <c r="AFH618"/>
      <c r="AFI618"/>
      <c r="AFJ618"/>
      <c r="AFK618"/>
      <c r="AFL618"/>
      <c r="AFM618"/>
      <c r="AFN618"/>
      <c r="AFO618"/>
      <c r="AFP618"/>
      <c r="AFQ618"/>
      <c r="AFR618"/>
      <c r="AFS618"/>
      <c r="AFT618"/>
      <c r="AFU618"/>
      <c r="AFV618"/>
      <c r="AFW618"/>
      <c r="AFX618"/>
      <c r="AFY618"/>
      <c r="AFZ618"/>
      <c r="AGA618"/>
      <c r="AGB618"/>
      <c r="AGC618"/>
      <c r="AGD618"/>
      <c r="AGE618"/>
      <c r="AGF618"/>
      <c r="AGG618"/>
      <c r="AGH618"/>
      <c r="AGI618"/>
      <c r="AGJ618"/>
      <c r="AGK618"/>
      <c r="AGL618"/>
      <c r="AGM618"/>
      <c r="AGN618"/>
      <c r="AGO618"/>
      <c r="AGP618"/>
      <c r="AGQ618"/>
      <c r="AGR618"/>
      <c r="AGS618"/>
      <c r="AGT618"/>
      <c r="AGU618"/>
      <c r="AGV618"/>
      <c r="AGW618"/>
      <c r="AGX618"/>
      <c r="AGY618"/>
      <c r="AGZ618"/>
      <c r="AHA618"/>
      <c r="AHB618"/>
      <c r="AHC618"/>
      <c r="AHD618"/>
      <c r="AHE618"/>
      <c r="AHF618"/>
      <c r="AHG618"/>
      <c r="AHH618"/>
      <c r="AHI618"/>
      <c r="AHJ618"/>
      <c r="AHK618"/>
      <c r="AHL618"/>
      <c r="AHM618"/>
      <c r="AHN618"/>
      <c r="AHO618"/>
      <c r="AHP618"/>
      <c r="AHQ618"/>
      <c r="AHR618"/>
      <c r="AHS618"/>
      <c r="AHT618"/>
      <c r="AHU618"/>
      <c r="AHV618"/>
      <c r="AHW618"/>
      <c r="AHX618"/>
      <c r="AHY618"/>
      <c r="AHZ618"/>
      <c r="AIA618"/>
      <c r="AIB618"/>
      <c r="AIC618"/>
      <c r="AID618"/>
      <c r="AIE618"/>
      <c r="AIF618"/>
      <c r="AIG618"/>
      <c r="AIH618"/>
      <c r="AII618"/>
      <c r="AIJ618"/>
      <c r="AIK618"/>
      <c r="AIL618"/>
      <c r="AIM618"/>
      <c r="AIN618"/>
      <c r="AIO618"/>
      <c r="AIP618"/>
      <c r="AIQ618"/>
      <c r="AIR618"/>
      <c r="AIS618"/>
      <c r="AIT618"/>
      <c r="AIU618"/>
      <c r="AIV618"/>
      <c r="AIW618"/>
      <c r="AIX618"/>
      <c r="AIY618"/>
      <c r="AIZ618"/>
      <c r="AJA618"/>
      <c r="AJB618"/>
      <c r="AJC618"/>
      <c r="AJD618"/>
      <c r="AJE618"/>
      <c r="AJF618"/>
      <c r="AJG618"/>
      <c r="AJH618"/>
      <c r="AJI618"/>
      <c r="AJJ618"/>
      <c r="AJK618"/>
      <c r="AJL618"/>
      <c r="AJM618"/>
      <c r="AJN618"/>
      <c r="AJO618"/>
      <c r="AJP618"/>
      <c r="AJQ618"/>
      <c r="AJR618"/>
      <c r="AJS618"/>
      <c r="AJT618"/>
      <c r="AJU618"/>
      <c r="AJV618"/>
      <c r="AJW618"/>
      <c r="AJX618"/>
      <c r="AJY618"/>
      <c r="AJZ618"/>
      <c r="AKA618"/>
      <c r="AKB618"/>
      <c r="AKC618"/>
      <c r="AKD618"/>
      <c r="AKE618"/>
      <c r="AKF618"/>
      <c r="AKG618"/>
      <c r="AKH618"/>
      <c r="AKI618"/>
      <c r="AKJ618"/>
      <c r="AKK618"/>
      <c r="AKL618"/>
      <c r="AKM618"/>
      <c r="AKN618"/>
      <c r="AKO618"/>
      <c r="AKP618"/>
      <c r="AKQ618"/>
      <c r="AKR618"/>
      <c r="AKS618"/>
      <c r="AKT618"/>
      <c r="AKU618"/>
      <c r="AKV618"/>
      <c r="AKW618"/>
      <c r="AKX618"/>
      <c r="AKY618"/>
    </row>
    <row r="619" spans="1:987">
      <c r="A619" s="442"/>
      <c r="B619" s="431"/>
      <c r="C619" s="13"/>
      <c r="D619" s="13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  <c r="ZY619"/>
      <c r="ZZ619"/>
      <c r="AAA619"/>
      <c r="AAB619"/>
      <c r="AAC619"/>
      <c r="AAD619"/>
      <c r="AAE619"/>
      <c r="AAF619"/>
      <c r="AAG619"/>
      <c r="AAH619"/>
      <c r="AAI619"/>
      <c r="AAJ619"/>
      <c r="AAK619"/>
      <c r="AAL619"/>
      <c r="AAM619"/>
      <c r="AAN619"/>
      <c r="AAO619"/>
      <c r="AAP619"/>
      <c r="AAQ619"/>
      <c r="AAR619"/>
      <c r="AAS619"/>
      <c r="AAT619"/>
      <c r="AAU619"/>
      <c r="AAV619"/>
      <c r="AAW619"/>
      <c r="AAX619"/>
      <c r="AAY619"/>
      <c r="AAZ619"/>
      <c r="ABA619"/>
      <c r="ABB619"/>
      <c r="ABC619"/>
      <c r="ABD619"/>
      <c r="ABE619"/>
      <c r="ABF619"/>
      <c r="ABG619"/>
      <c r="ABH619"/>
      <c r="ABI619"/>
      <c r="ABJ619"/>
      <c r="ABK619"/>
      <c r="ABL619"/>
      <c r="ABM619"/>
      <c r="ABN619"/>
      <c r="ABO619"/>
      <c r="ABP619"/>
      <c r="ABQ619"/>
      <c r="ABR619"/>
      <c r="ABS619"/>
      <c r="ABT619"/>
      <c r="ABU619"/>
      <c r="ABV619"/>
      <c r="ABW619"/>
      <c r="ABX619"/>
      <c r="ABY619"/>
      <c r="ABZ619"/>
      <c r="ACA619"/>
      <c r="ACB619"/>
      <c r="ACC619"/>
      <c r="ACD619"/>
      <c r="ACE619"/>
      <c r="ACF619"/>
      <c r="ACG619"/>
      <c r="ACH619"/>
      <c r="ACI619"/>
      <c r="ACJ619"/>
      <c r="ACK619"/>
      <c r="ACL619"/>
      <c r="ACM619"/>
      <c r="ACN619"/>
      <c r="ACO619"/>
      <c r="ACP619"/>
      <c r="ACQ619"/>
      <c r="ACR619"/>
      <c r="ACS619"/>
      <c r="ACT619"/>
      <c r="ACU619"/>
      <c r="ACV619"/>
      <c r="ACW619"/>
      <c r="ACX619"/>
      <c r="ACY619"/>
      <c r="ACZ619"/>
      <c r="ADA619"/>
      <c r="ADB619"/>
      <c r="ADC619"/>
      <c r="ADD619"/>
      <c r="ADE619"/>
      <c r="ADF619"/>
      <c r="ADG619"/>
      <c r="ADH619"/>
      <c r="ADI619"/>
      <c r="ADJ619"/>
      <c r="ADK619"/>
      <c r="ADL619"/>
      <c r="ADM619"/>
      <c r="ADN619"/>
      <c r="ADO619"/>
      <c r="ADP619"/>
      <c r="ADQ619"/>
      <c r="ADR619"/>
      <c r="ADS619"/>
      <c r="ADT619"/>
      <c r="ADU619"/>
      <c r="ADV619"/>
      <c r="ADW619"/>
      <c r="ADX619"/>
      <c r="ADY619"/>
      <c r="ADZ619"/>
      <c r="AEA619"/>
      <c r="AEB619"/>
      <c r="AEC619"/>
      <c r="AED619"/>
      <c r="AEE619"/>
      <c r="AEF619"/>
      <c r="AEG619"/>
      <c r="AEH619"/>
      <c r="AEI619"/>
      <c r="AEJ619"/>
      <c r="AEK619"/>
      <c r="AEL619"/>
      <c r="AEM619"/>
      <c r="AEN619"/>
      <c r="AEO619"/>
      <c r="AEP619"/>
      <c r="AEQ619"/>
      <c r="AER619"/>
      <c r="AES619"/>
      <c r="AET619"/>
      <c r="AEU619"/>
      <c r="AEV619"/>
      <c r="AEW619"/>
      <c r="AEX619"/>
      <c r="AEY619"/>
      <c r="AEZ619"/>
      <c r="AFA619"/>
      <c r="AFB619"/>
      <c r="AFC619"/>
      <c r="AFD619"/>
      <c r="AFE619"/>
      <c r="AFF619"/>
      <c r="AFG619"/>
      <c r="AFH619"/>
      <c r="AFI619"/>
      <c r="AFJ619"/>
      <c r="AFK619"/>
      <c r="AFL619"/>
      <c r="AFM619"/>
      <c r="AFN619"/>
      <c r="AFO619"/>
      <c r="AFP619"/>
      <c r="AFQ619"/>
      <c r="AFR619"/>
      <c r="AFS619"/>
      <c r="AFT619"/>
      <c r="AFU619"/>
      <c r="AFV619"/>
      <c r="AFW619"/>
      <c r="AFX619"/>
      <c r="AFY619"/>
      <c r="AFZ619"/>
      <c r="AGA619"/>
      <c r="AGB619"/>
      <c r="AGC619"/>
      <c r="AGD619"/>
      <c r="AGE619"/>
      <c r="AGF619"/>
      <c r="AGG619"/>
      <c r="AGH619"/>
      <c r="AGI619"/>
      <c r="AGJ619"/>
      <c r="AGK619"/>
      <c r="AGL619"/>
      <c r="AGM619"/>
      <c r="AGN619"/>
      <c r="AGO619"/>
      <c r="AGP619"/>
      <c r="AGQ619"/>
      <c r="AGR619"/>
      <c r="AGS619"/>
      <c r="AGT619"/>
      <c r="AGU619"/>
      <c r="AGV619"/>
      <c r="AGW619"/>
      <c r="AGX619"/>
      <c r="AGY619"/>
      <c r="AGZ619"/>
      <c r="AHA619"/>
      <c r="AHB619"/>
      <c r="AHC619"/>
      <c r="AHD619"/>
      <c r="AHE619"/>
      <c r="AHF619"/>
      <c r="AHG619"/>
      <c r="AHH619"/>
      <c r="AHI619"/>
      <c r="AHJ619"/>
      <c r="AHK619"/>
      <c r="AHL619"/>
      <c r="AHM619"/>
      <c r="AHN619"/>
      <c r="AHO619"/>
      <c r="AHP619"/>
      <c r="AHQ619"/>
      <c r="AHR619"/>
      <c r="AHS619"/>
      <c r="AHT619"/>
      <c r="AHU619"/>
      <c r="AHV619"/>
      <c r="AHW619"/>
      <c r="AHX619"/>
      <c r="AHY619"/>
      <c r="AHZ619"/>
      <c r="AIA619"/>
      <c r="AIB619"/>
      <c r="AIC619"/>
      <c r="AID619"/>
      <c r="AIE619"/>
      <c r="AIF619"/>
      <c r="AIG619"/>
      <c r="AIH619"/>
      <c r="AII619"/>
      <c r="AIJ619"/>
      <c r="AIK619"/>
      <c r="AIL619"/>
      <c r="AIM619"/>
      <c r="AIN619"/>
      <c r="AIO619"/>
      <c r="AIP619"/>
      <c r="AIQ619"/>
      <c r="AIR619"/>
      <c r="AIS619"/>
      <c r="AIT619"/>
      <c r="AIU619"/>
      <c r="AIV619"/>
      <c r="AIW619"/>
      <c r="AIX619"/>
      <c r="AIY619"/>
      <c r="AIZ619"/>
      <c r="AJA619"/>
      <c r="AJB619"/>
      <c r="AJC619"/>
      <c r="AJD619"/>
      <c r="AJE619"/>
      <c r="AJF619"/>
      <c r="AJG619"/>
      <c r="AJH619"/>
      <c r="AJI619"/>
      <c r="AJJ619"/>
      <c r="AJK619"/>
      <c r="AJL619"/>
      <c r="AJM619"/>
      <c r="AJN619"/>
      <c r="AJO619"/>
      <c r="AJP619"/>
      <c r="AJQ619"/>
      <c r="AJR619"/>
      <c r="AJS619"/>
      <c r="AJT619"/>
      <c r="AJU619"/>
      <c r="AJV619"/>
      <c r="AJW619"/>
      <c r="AJX619"/>
      <c r="AJY619"/>
      <c r="AJZ619"/>
      <c r="AKA619"/>
      <c r="AKB619"/>
      <c r="AKC619"/>
      <c r="AKD619"/>
      <c r="AKE619"/>
      <c r="AKF619"/>
      <c r="AKG619"/>
      <c r="AKH619"/>
      <c r="AKI619"/>
      <c r="AKJ619"/>
      <c r="AKK619"/>
      <c r="AKL619"/>
      <c r="AKM619"/>
      <c r="AKN619"/>
      <c r="AKO619"/>
      <c r="AKP619"/>
      <c r="AKQ619"/>
      <c r="AKR619"/>
      <c r="AKS619"/>
      <c r="AKT619"/>
      <c r="AKU619"/>
      <c r="AKV619"/>
      <c r="AKW619"/>
      <c r="AKX619"/>
      <c r="AKY619"/>
    </row>
    <row r="620" spans="1:987">
      <c r="A620" s="444"/>
      <c r="B620" s="431"/>
      <c r="C620" s="13"/>
      <c r="D620" s="13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  <c r="ZW620"/>
      <c r="ZX620"/>
      <c r="ZY620"/>
      <c r="ZZ620"/>
      <c r="AAA620"/>
      <c r="AAB620"/>
      <c r="AAC620"/>
      <c r="AAD620"/>
      <c r="AAE620"/>
      <c r="AAF620"/>
      <c r="AAG620"/>
      <c r="AAH620"/>
      <c r="AAI620"/>
      <c r="AAJ620"/>
      <c r="AAK620"/>
      <c r="AAL620"/>
      <c r="AAM620"/>
      <c r="AAN620"/>
      <c r="AAO620"/>
      <c r="AAP620"/>
      <c r="AAQ620"/>
      <c r="AAR620"/>
      <c r="AAS620"/>
      <c r="AAT620"/>
      <c r="AAU620"/>
      <c r="AAV620"/>
      <c r="AAW620"/>
      <c r="AAX620"/>
      <c r="AAY620"/>
      <c r="AAZ620"/>
      <c r="ABA620"/>
      <c r="ABB620"/>
      <c r="ABC620"/>
      <c r="ABD620"/>
      <c r="ABE620"/>
      <c r="ABF620"/>
      <c r="ABG620"/>
      <c r="ABH620"/>
      <c r="ABI620"/>
      <c r="ABJ620"/>
      <c r="ABK620"/>
      <c r="ABL620"/>
      <c r="ABM620"/>
      <c r="ABN620"/>
      <c r="ABO620"/>
      <c r="ABP620"/>
      <c r="ABQ620"/>
      <c r="ABR620"/>
      <c r="ABS620"/>
      <c r="ABT620"/>
      <c r="ABU620"/>
      <c r="ABV620"/>
      <c r="ABW620"/>
      <c r="ABX620"/>
      <c r="ABY620"/>
      <c r="ABZ620"/>
      <c r="ACA620"/>
      <c r="ACB620"/>
      <c r="ACC620"/>
      <c r="ACD620"/>
      <c r="ACE620"/>
      <c r="ACF620"/>
      <c r="ACG620"/>
      <c r="ACH620"/>
      <c r="ACI620"/>
      <c r="ACJ620"/>
      <c r="ACK620"/>
      <c r="ACL620"/>
      <c r="ACM620"/>
      <c r="ACN620"/>
      <c r="ACO620"/>
      <c r="ACP620"/>
      <c r="ACQ620"/>
      <c r="ACR620"/>
      <c r="ACS620"/>
      <c r="ACT620"/>
      <c r="ACU620"/>
      <c r="ACV620"/>
      <c r="ACW620"/>
      <c r="ACX620"/>
      <c r="ACY620"/>
      <c r="ACZ620"/>
      <c r="ADA620"/>
      <c r="ADB620"/>
      <c r="ADC620"/>
      <c r="ADD620"/>
      <c r="ADE620"/>
      <c r="ADF620"/>
      <c r="ADG620"/>
      <c r="ADH620"/>
      <c r="ADI620"/>
      <c r="ADJ620"/>
      <c r="ADK620"/>
      <c r="ADL620"/>
      <c r="ADM620"/>
      <c r="ADN620"/>
      <c r="ADO620"/>
      <c r="ADP620"/>
      <c r="ADQ620"/>
      <c r="ADR620"/>
      <c r="ADS620"/>
      <c r="ADT620"/>
      <c r="ADU620"/>
      <c r="ADV620"/>
      <c r="ADW620"/>
      <c r="ADX620"/>
      <c r="ADY620"/>
      <c r="ADZ620"/>
      <c r="AEA620"/>
      <c r="AEB620"/>
      <c r="AEC620"/>
      <c r="AED620"/>
      <c r="AEE620"/>
      <c r="AEF620"/>
      <c r="AEG620"/>
      <c r="AEH620"/>
      <c r="AEI620"/>
      <c r="AEJ620"/>
      <c r="AEK620"/>
      <c r="AEL620"/>
      <c r="AEM620"/>
      <c r="AEN620"/>
      <c r="AEO620"/>
      <c r="AEP620"/>
      <c r="AEQ620"/>
      <c r="AER620"/>
      <c r="AES620"/>
      <c r="AET620"/>
      <c r="AEU620"/>
      <c r="AEV620"/>
      <c r="AEW620"/>
      <c r="AEX620"/>
      <c r="AEY620"/>
      <c r="AEZ620"/>
      <c r="AFA620"/>
      <c r="AFB620"/>
      <c r="AFC620"/>
      <c r="AFD620"/>
      <c r="AFE620"/>
      <c r="AFF620"/>
      <c r="AFG620"/>
      <c r="AFH620"/>
      <c r="AFI620"/>
      <c r="AFJ620"/>
      <c r="AFK620"/>
      <c r="AFL620"/>
      <c r="AFM620"/>
      <c r="AFN620"/>
      <c r="AFO620"/>
      <c r="AFP620"/>
      <c r="AFQ620"/>
      <c r="AFR620"/>
      <c r="AFS620"/>
      <c r="AFT620"/>
      <c r="AFU620"/>
      <c r="AFV620"/>
      <c r="AFW620"/>
      <c r="AFX620"/>
      <c r="AFY620"/>
      <c r="AFZ620"/>
      <c r="AGA620"/>
      <c r="AGB620"/>
      <c r="AGC620"/>
      <c r="AGD620"/>
      <c r="AGE620"/>
      <c r="AGF620"/>
      <c r="AGG620"/>
      <c r="AGH620"/>
      <c r="AGI620"/>
      <c r="AGJ620"/>
      <c r="AGK620"/>
      <c r="AGL620"/>
      <c r="AGM620"/>
      <c r="AGN620"/>
      <c r="AGO620"/>
      <c r="AGP620"/>
      <c r="AGQ620"/>
      <c r="AGR620"/>
      <c r="AGS620"/>
      <c r="AGT620"/>
      <c r="AGU620"/>
      <c r="AGV620"/>
      <c r="AGW620"/>
      <c r="AGX620"/>
      <c r="AGY620"/>
      <c r="AGZ620"/>
      <c r="AHA620"/>
      <c r="AHB620"/>
      <c r="AHC620"/>
      <c r="AHD620"/>
      <c r="AHE620"/>
      <c r="AHF620"/>
      <c r="AHG620"/>
      <c r="AHH620"/>
      <c r="AHI620"/>
      <c r="AHJ620"/>
      <c r="AHK620"/>
      <c r="AHL620"/>
      <c r="AHM620"/>
      <c r="AHN620"/>
      <c r="AHO620"/>
      <c r="AHP620"/>
      <c r="AHQ620"/>
      <c r="AHR620"/>
      <c r="AHS620"/>
      <c r="AHT620"/>
      <c r="AHU620"/>
      <c r="AHV620"/>
      <c r="AHW620"/>
      <c r="AHX620"/>
      <c r="AHY620"/>
      <c r="AHZ620"/>
      <c r="AIA620"/>
      <c r="AIB620"/>
      <c r="AIC620"/>
      <c r="AID620"/>
      <c r="AIE620"/>
      <c r="AIF620"/>
      <c r="AIG620"/>
      <c r="AIH620"/>
      <c r="AII620"/>
      <c r="AIJ620"/>
      <c r="AIK620"/>
      <c r="AIL620"/>
      <c r="AIM620"/>
      <c r="AIN620"/>
      <c r="AIO620"/>
      <c r="AIP620"/>
      <c r="AIQ620"/>
      <c r="AIR620"/>
      <c r="AIS620"/>
      <c r="AIT620"/>
      <c r="AIU620"/>
      <c r="AIV620"/>
      <c r="AIW620"/>
      <c r="AIX620"/>
      <c r="AIY620"/>
      <c r="AIZ620"/>
      <c r="AJA620"/>
      <c r="AJB620"/>
      <c r="AJC620"/>
      <c r="AJD620"/>
      <c r="AJE620"/>
      <c r="AJF620"/>
      <c r="AJG620"/>
      <c r="AJH620"/>
      <c r="AJI620"/>
      <c r="AJJ620"/>
      <c r="AJK620"/>
      <c r="AJL620"/>
      <c r="AJM620"/>
      <c r="AJN620"/>
      <c r="AJO620"/>
      <c r="AJP620"/>
      <c r="AJQ620"/>
      <c r="AJR620"/>
      <c r="AJS620"/>
      <c r="AJT620"/>
      <c r="AJU620"/>
      <c r="AJV620"/>
      <c r="AJW620"/>
      <c r="AJX620"/>
      <c r="AJY620"/>
      <c r="AJZ620"/>
      <c r="AKA620"/>
      <c r="AKB620"/>
      <c r="AKC620"/>
      <c r="AKD620"/>
      <c r="AKE620"/>
      <c r="AKF620"/>
      <c r="AKG620"/>
      <c r="AKH620"/>
      <c r="AKI620"/>
      <c r="AKJ620"/>
      <c r="AKK620"/>
      <c r="AKL620"/>
      <c r="AKM620"/>
      <c r="AKN620"/>
      <c r="AKO620"/>
      <c r="AKP620"/>
      <c r="AKQ620"/>
      <c r="AKR620"/>
      <c r="AKS620"/>
      <c r="AKT620"/>
      <c r="AKU620"/>
      <c r="AKV620"/>
      <c r="AKW620"/>
      <c r="AKX620"/>
      <c r="AKY620"/>
    </row>
    <row r="621" spans="1:987">
      <c r="A621" s="445"/>
      <c r="B621" s="431"/>
      <c r="C621" s="13"/>
      <c r="D621" s="13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  <c r="ZY621"/>
      <c r="ZZ621"/>
      <c r="AAA621"/>
      <c r="AAB621"/>
      <c r="AAC621"/>
      <c r="AAD621"/>
      <c r="AAE621"/>
      <c r="AAF621"/>
      <c r="AAG621"/>
      <c r="AAH621"/>
      <c r="AAI621"/>
      <c r="AAJ621"/>
      <c r="AAK621"/>
      <c r="AAL621"/>
      <c r="AAM621"/>
      <c r="AAN621"/>
      <c r="AAO621"/>
      <c r="AAP621"/>
      <c r="AAQ621"/>
      <c r="AAR621"/>
      <c r="AAS621"/>
      <c r="AAT621"/>
      <c r="AAU621"/>
      <c r="AAV621"/>
      <c r="AAW621"/>
      <c r="AAX621"/>
      <c r="AAY621"/>
      <c r="AAZ621"/>
      <c r="ABA621"/>
      <c r="ABB621"/>
      <c r="ABC621"/>
      <c r="ABD621"/>
      <c r="ABE621"/>
      <c r="ABF621"/>
      <c r="ABG621"/>
      <c r="ABH621"/>
      <c r="ABI621"/>
      <c r="ABJ621"/>
      <c r="ABK621"/>
      <c r="ABL621"/>
      <c r="ABM621"/>
      <c r="ABN621"/>
      <c r="ABO621"/>
      <c r="ABP621"/>
      <c r="ABQ621"/>
      <c r="ABR621"/>
      <c r="ABS621"/>
      <c r="ABT621"/>
      <c r="ABU621"/>
      <c r="ABV621"/>
      <c r="ABW621"/>
      <c r="ABX621"/>
      <c r="ABY621"/>
      <c r="ABZ621"/>
      <c r="ACA621"/>
      <c r="ACB621"/>
      <c r="ACC621"/>
      <c r="ACD621"/>
      <c r="ACE621"/>
      <c r="ACF621"/>
      <c r="ACG621"/>
      <c r="ACH621"/>
      <c r="ACI621"/>
      <c r="ACJ621"/>
      <c r="ACK621"/>
      <c r="ACL621"/>
      <c r="ACM621"/>
      <c r="ACN621"/>
      <c r="ACO621"/>
      <c r="ACP621"/>
      <c r="ACQ621"/>
      <c r="ACR621"/>
      <c r="ACS621"/>
      <c r="ACT621"/>
      <c r="ACU621"/>
      <c r="ACV621"/>
      <c r="ACW621"/>
      <c r="ACX621"/>
      <c r="ACY621"/>
      <c r="ACZ621"/>
      <c r="ADA621"/>
      <c r="ADB621"/>
      <c r="ADC621"/>
      <c r="ADD621"/>
      <c r="ADE621"/>
      <c r="ADF621"/>
      <c r="ADG621"/>
      <c r="ADH621"/>
      <c r="ADI621"/>
      <c r="ADJ621"/>
      <c r="ADK621"/>
      <c r="ADL621"/>
      <c r="ADM621"/>
      <c r="ADN621"/>
      <c r="ADO621"/>
      <c r="ADP621"/>
      <c r="ADQ621"/>
      <c r="ADR621"/>
      <c r="ADS621"/>
      <c r="ADT621"/>
      <c r="ADU621"/>
      <c r="ADV621"/>
      <c r="ADW621"/>
      <c r="ADX621"/>
      <c r="ADY621"/>
      <c r="ADZ621"/>
      <c r="AEA621"/>
      <c r="AEB621"/>
      <c r="AEC621"/>
      <c r="AED621"/>
      <c r="AEE621"/>
      <c r="AEF621"/>
      <c r="AEG621"/>
      <c r="AEH621"/>
      <c r="AEI621"/>
      <c r="AEJ621"/>
      <c r="AEK621"/>
      <c r="AEL621"/>
      <c r="AEM621"/>
      <c r="AEN621"/>
      <c r="AEO621"/>
      <c r="AEP621"/>
      <c r="AEQ621"/>
      <c r="AER621"/>
      <c r="AES621"/>
      <c r="AET621"/>
      <c r="AEU621"/>
      <c r="AEV621"/>
      <c r="AEW621"/>
      <c r="AEX621"/>
      <c r="AEY621"/>
      <c r="AEZ621"/>
      <c r="AFA621"/>
      <c r="AFB621"/>
      <c r="AFC621"/>
      <c r="AFD621"/>
      <c r="AFE621"/>
      <c r="AFF621"/>
      <c r="AFG621"/>
      <c r="AFH621"/>
      <c r="AFI621"/>
      <c r="AFJ621"/>
      <c r="AFK621"/>
      <c r="AFL621"/>
      <c r="AFM621"/>
      <c r="AFN621"/>
      <c r="AFO621"/>
      <c r="AFP621"/>
      <c r="AFQ621"/>
      <c r="AFR621"/>
      <c r="AFS621"/>
      <c r="AFT621"/>
      <c r="AFU621"/>
      <c r="AFV621"/>
      <c r="AFW621"/>
      <c r="AFX621"/>
      <c r="AFY621"/>
      <c r="AFZ621"/>
      <c r="AGA621"/>
      <c r="AGB621"/>
      <c r="AGC621"/>
      <c r="AGD621"/>
      <c r="AGE621"/>
      <c r="AGF621"/>
      <c r="AGG621"/>
      <c r="AGH621"/>
      <c r="AGI621"/>
      <c r="AGJ621"/>
      <c r="AGK621"/>
      <c r="AGL621"/>
      <c r="AGM621"/>
      <c r="AGN621"/>
      <c r="AGO621"/>
      <c r="AGP621"/>
      <c r="AGQ621"/>
      <c r="AGR621"/>
      <c r="AGS621"/>
      <c r="AGT621"/>
      <c r="AGU621"/>
      <c r="AGV621"/>
      <c r="AGW621"/>
      <c r="AGX621"/>
      <c r="AGY621"/>
      <c r="AGZ621"/>
      <c r="AHA621"/>
      <c r="AHB621"/>
      <c r="AHC621"/>
      <c r="AHD621"/>
      <c r="AHE621"/>
      <c r="AHF621"/>
      <c r="AHG621"/>
      <c r="AHH621"/>
      <c r="AHI621"/>
      <c r="AHJ621"/>
      <c r="AHK621"/>
      <c r="AHL621"/>
      <c r="AHM621"/>
      <c r="AHN621"/>
      <c r="AHO621"/>
      <c r="AHP621"/>
      <c r="AHQ621"/>
      <c r="AHR621"/>
      <c r="AHS621"/>
      <c r="AHT621"/>
      <c r="AHU621"/>
      <c r="AHV621"/>
      <c r="AHW621"/>
      <c r="AHX621"/>
      <c r="AHY621"/>
      <c r="AHZ621"/>
      <c r="AIA621"/>
      <c r="AIB621"/>
      <c r="AIC621"/>
      <c r="AID621"/>
      <c r="AIE621"/>
      <c r="AIF621"/>
      <c r="AIG621"/>
      <c r="AIH621"/>
      <c r="AII621"/>
      <c r="AIJ621"/>
      <c r="AIK621"/>
      <c r="AIL621"/>
      <c r="AIM621"/>
      <c r="AIN621"/>
      <c r="AIO621"/>
      <c r="AIP621"/>
      <c r="AIQ621"/>
      <c r="AIR621"/>
      <c r="AIS621"/>
      <c r="AIT621"/>
      <c r="AIU621"/>
      <c r="AIV621"/>
      <c r="AIW621"/>
      <c r="AIX621"/>
      <c r="AIY621"/>
      <c r="AIZ621"/>
      <c r="AJA621"/>
      <c r="AJB621"/>
      <c r="AJC621"/>
      <c r="AJD621"/>
      <c r="AJE621"/>
      <c r="AJF621"/>
      <c r="AJG621"/>
      <c r="AJH621"/>
      <c r="AJI621"/>
      <c r="AJJ621"/>
      <c r="AJK621"/>
      <c r="AJL621"/>
      <c r="AJM621"/>
      <c r="AJN621"/>
      <c r="AJO621"/>
      <c r="AJP621"/>
      <c r="AJQ621"/>
      <c r="AJR621"/>
      <c r="AJS621"/>
      <c r="AJT621"/>
      <c r="AJU621"/>
      <c r="AJV621"/>
      <c r="AJW621"/>
      <c r="AJX621"/>
      <c r="AJY621"/>
      <c r="AJZ621"/>
      <c r="AKA621"/>
      <c r="AKB621"/>
      <c r="AKC621"/>
      <c r="AKD621"/>
      <c r="AKE621"/>
      <c r="AKF621"/>
      <c r="AKG621"/>
      <c r="AKH621"/>
      <c r="AKI621"/>
      <c r="AKJ621"/>
      <c r="AKK621"/>
      <c r="AKL621"/>
      <c r="AKM621"/>
      <c r="AKN621"/>
      <c r="AKO621"/>
      <c r="AKP621"/>
      <c r="AKQ621"/>
      <c r="AKR621"/>
      <c r="AKS621"/>
      <c r="AKT621"/>
      <c r="AKU621"/>
      <c r="AKV621"/>
      <c r="AKW621"/>
      <c r="AKX621"/>
      <c r="AKY621"/>
    </row>
    <row r="622" spans="1:987">
      <c r="A622" s="447"/>
      <c r="B622" s="431"/>
      <c r="C622" s="13"/>
      <c r="D622" s="13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  <c r="ZW622"/>
      <c r="ZX622"/>
      <c r="ZY622"/>
      <c r="ZZ622"/>
      <c r="AAA622"/>
      <c r="AAB622"/>
      <c r="AAC622"/>
      <c r="AAD622"/>
      <c r="AAE622"/>
      <c r="AAF622"/>
      <c r="AAG622"/>
      <c r="AAH622"/>
      <c r="AAI622"/>
      <c r="AAJ622"/>
      <c r="AAK622"/>
      <c r="AAL622"/>
      <c r="AAM622"/>
      <c r="AAN622"/>
      <c r="AAO622"/>
      <c r="AAP622"/>
      <c r="AAQ622"/>
      <c r="AAR622"/>
      <c r="AAS622"/>
      <c r="AAT622"/>
      <c r="AAU622"/>
      <c r="AAV622"/>
      <c r="AAW622"/>
      <c r="AAX622"/>
      <c r="AAY622"/>
      <c r="AAZ622"/>
      <c r="ABA622"/>
      <c r="ABB622"/>
      <c r="ABC622"/>
      <c r="ABD622"/>
      <c r="ABE622"/>
      <c r="ABF622"/>
      <c r="ABG622"/>
      <c r="ABH622"/>
      <c r="ABI622"/>
      <c r="ABJ622"/>
      <c r="ABK622"/>
      <c r="ABL622"/>
      <c r="ABM622"/>
      <c r="ABN622"/>
      <c r="ABO622"/>
      <c r="ABP622"/>
      <c r="ABQ622"/>
      <c r="ABR622"/>
      <c r="ABS622"/>
      <c r="ABT622"/>
      <c r="ABU622"/>
      <c r="ABV622"/>
      <c r="ABW622"/>
      <c r="ABX622"/>
      <c r="ABY622"/>
      <c r="ABZ622"/>
      <c r="ACA622"/>
      <c r="ACB622"/>
      <c r="ACC622"/>
      <c r="ACD622"/>
      <c r="ACE622"/>
      <c r="ACF622"/>
      <c r="ACG622"/>
      <c r="ACH622"/>
      <c r="ACI622"/>
      <c r="ACJ622"/>
      <c r="ACK622"/>
      <c r="ACL622"/>
      <c r="ACM622"/>
      <c r="ACN622"/>
      <c r="ACO622"/>
      <c r="ACP622"/>
      <c r="ACQ622"/>
      <c r="ACR622"/>
      <c r="ACS622"/>
      <c r="ACT622"/>
      <c r="ACU622"/>
      <c r="ACV622"/>
      <c r="ACW622"/>
      <c r="ACX622"/>
      <c r="ACY622"/>
      <c r="ACZ622"/>
      <c r="ADA622"/>
      <c r="ADB622"/>
      <c r="ADC622"/>
      <c r="ADD622"/>
      <c r="ADE622"/>
      <c r="ADF622"/>
      <c r="ADG622"/>
      <c r="ADH622"/>
      <c r="ADI622"/>
      <c r="ADJ622"/>
      <c r="ADK622"/>
      <c r="ADL622"/>
      <c r="ADM622"/>
      <c r="ADN622"/>
      <c r="ADO622"/>
      <c r="ADP622"/>
      <c r="ADQ622"/>
      <c r="ADR622"/>
      <c r="ADS622"/>
      <c r="ADT622"/>
      <c r="ADU622"/>
      <c r="ADV622"/>
      <c r="ADW622"/>
      <c r="ADX622"/>
      <c r="ADY622"/>
      <c r="ADZ622"/>
      <c r="AEA622"/>
      <c r="AEB622"/>
      <c r="AEC622"/>
      <c r="AED622"/>
      <c r="AEE622"/>
      <c r="AEF622"/>
      <c r="AEG622"/>
      <c r="AEH622"/>
      <c r="AEI622"/>
      <c r="AEJ622"/>
      <c r="AEK622"/>
      <c r="AEL622"/>
      <c r="AEM622"/>
      <c r="AEN622"/>
      <c r="AEO622"/>
      <c r="AEP622"/>
      <c r="AEQ622"/>
      <c r="AER622"/>
      <c r="AES622"/>
      <c r="AET622"/>
      <c r="AEU622"/>
      <c r="AEV622"/>
      <c r="AEW622"/>
      <c r="AEX622"/>
      <c r="AEY622"/>
      <c r="AEZ622"/>
      <c r="AFA622"/>
      <c r="AFB622"/>
      <c r="AFC622"/>
      <c r="AFD622"/>
      <c r="AFE622"/>
      <c r="AFF622"/>
      <c r="AFG622"/>
      <c r="AFH622"/>
      <c r="AFI622"/>
      <c r="AFJ622"/>
      <c r="AFK622"/>
      <c r="AFL622"/>
      <c r="AFM622"/>
      <c r="AFN622"/>
      <c r="AFO622"/>
      <c r="AFP622"/>
      <c r="AFQ622"/>
      <c r="AFR622"/>
      <c r="AFS622"/>
      <c r="AFT622"/>
      <c r="AFU622"/>
      <c r="AFV622"/>
      <c r="AFW622"/>
      <c r="AFX622"/>
      <c r="AFY622"/>
      <c r="AFZ622"/>
      <c r="AGA622"/>
      <c r="AGB622"/>
      <c r="AGC622"/>
      <c r="AGD622"/>
      <c r="AGE622"/>
      <c r="AGF622"/>
      <c r="AGG622"/>
      <c r="AGH622"/>
      <c r="AGI622"/>
      <c r="AGJ622"/>
      <c r="AGK622"/>
      <c r="AGL622"/>
      <c r="AGM622"/>
      <c r="AGN622"/>
      <c r="AGO622"/>
      <c r="AGP622"/>
      <c r="AGQ622"/>
      <c r="AGR622"/>
      <c r="AGS622"/>
      <c r="AGT622"/>
      <c r="AGU622"/>
      <c r="AGV622"/>
      <c r="AGW622"/>
      <c r="AGX622"/>
      <c r="AGY622"/>
      <c r="AGZ622"/>
      <c r="AHA622"/>
      <c r="AHB622"/>
      <c r="AHC622"/>
      <c r="AHD622"/>
      <c r="AHE622"/>
      <c r="AHF622"/>
      <c r="AHG622"/>
      <c r="AHH622"/>
      <c r="AHI622"/>
      <c r="AHJ622"/>
      <c r="AHK622"/>
      <c r="AHL622"/>
      <c r="AHM622"/>
      <c r="AHN622"/>
      <c r="AHO622"/>
      <c r="AHP622"/>
      <c r="AHQ622"/>
      <c r="AHR622"/>
      <c r="AHS622"/>
      <c r="AHT622"/>
      <c r="AHU622"/>
      <c r="AHV622"/>
      <c r="AHW622"/>
      <c r="AHX622"/>
      <c r="AHY622"/>
      <c r="AHZ622"/>
      <c r="AIA622"/>
      <c r="AIB622"/>
      <c r="AIC622"/>
      <c r="AID622"/>
      <c r="AIE622"/>
      <c r="AIF622"/>
      <c r="AIG622"/>
      <c r="AIH622"/>
      <c r="AII622"/>
      <c r="AIJ622"/>
      <c r="AIK622"/>
      <c r="AIL622"/>
      <c r="AIM622"/>
      <c r="AIN622"/>
      <c r="AIO622"/>
      <c r="AIP622"/>
      <c r="AIQ622"/>
      <c r="AIR622"/>
      <c r="AIS622"/>
      <c r="AIT622"/>
      <c r="AIU622"/>
      <c r="AIV622"/>
      <c r="AIW622"/>
      <c r="AIX622"/>
      <c r="AIY622"/>
      <c r="AIZ622"/>
      <c r="AJA622"/>
      <c r="AJB622"/>
      <c r="AJC622"/>
      <c r="AJD622"/>
      <c r="AJE622"/>
      <c r="AJF622"/>
      <c r="AJG622"/>
      <c r="AJH622"/>
      <c r="AJI622"/>
      <c r="AJJ622"/>
      <c r="AJK622"/>
      <c r="AJL622"/>
      <c r="AJM622"/>
      <c r="AJN622"/>
      <c r="AJO622"/>
      <c r="AJP622"/>
      <c r="AJQ622"/>
      <c r="AJR622"/>
      <c r="AJS622"/>
      <c r="AJT622"/>
      <c r="AJU622"/>
      <c r="AJV622"/>
      <c r="AJW622"/>
      <c r="AJX622"/>
      <c r="AJY622"/>
      <c r="AJZ622"/>
      <c r="AKA622"/>
      <c r="AKB622"/>
      <c r="AKC622"/>
      <c r="AKD622"/>
      <c r="AKE622"/>
      <c r="AKF622"/>
      <c r="AKG622"/>
      <c r="AKH622"/>
      <c r="AKI622"/>
      <c r="AKJ622"/>
      <c r="AKK622"/>
      <c r="AKL622"/>
      <c r="AKM622"/>
      <c r="AKN622"/>
      <c r="AKO622"/>
      <c r="AKP622"/>
      <c r="AKQ622"/>
      <c r="AKR622"/>
      <c r="AKS622"/>
      <c r="AKT622"/>
      <c r="AKU622"/>
      <c r="AKV622"/>
      <c r="AKW622"/>
      <c r="AKX622"/>
      <c r="AKY622"/>
    </row>
    <row r="623" spans="1:987">
      <c r="A623" s="447"/>
      <c r="B623" s="431"/>
      <c r="C623" s="13"/>
      <c r="D623" s="1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  <c r="ZY623"/>
      <c r="ZZ623"/>
      <c r="AAA623"/>
      <c r="AAB623"/>
      <c r="AAC623"/>
      <c r="AAD623"/>
      <c r="AAE623"/>
      <c r="AAF623"/>
      <c r="AAG623"/>
      <c r="AAH623"/>
      <c r="AAI623"/>
      <c r="AAJ623"/>
      <c r="AAK623"/>
      <c r="AAL623"/>
      <c r="AAM623"/>
      <c r="AAN623"/>
      <c r="AAO623"/>
      <c r="AAP623"/>
      <c r="AAQ623"/>
      <c r="AAR623"/>
      <c r="AAS623"/>
      <c r="AAT623"/>
      <c r="AAU623"/>
      <c r="AAV623"/>
      <c r="AAW623"/>
      <c r="AAX623"/>
      <c r="AAY623"/>
      <c r="AAZ623"/>
      <c r="ABA623"/>
      <c r="ABB623"/>
      <c r="ABC623"/>
      <c r="ABD623"/>
      <c r="ABE623"/>
      <c r="ABF623"/>
      <c r="ABG623"/>
      <c r="ABH623"/>
      <c r="ABI623"/>
      <c r="ABJ623"/>
      <c r="ABK623"/>
      <c r="ABL623"/>
      <c r="ABM623"/>
      <c r="ABN623"/>
      <c r="ABO623"/>
      <c r="ABP623"/>
      <c r="ABQ623"/>
      <c r="ABR623"/>
      <c r="ABS623"/>
      <c r="ABT623"/>
      <c r="ABU623"/>
      <c r="ABV623"/>
      <c r="ABW623"/>
      <c r="ABX623"/>
      <c r="ABY623"/>
      <c r="ABZ623"/>
      <c r="ACA623"/>
      <c r="ACB623"/>
      <c r="ACC623"/>
      <c r="ACD623"/>
      <c r="ACE623"/>
      <c r="ACF623"/>
      <c r="ACG623"/>
      <c r="ACH623"/>
      <c r="ACI623"/>
      <c r="ACJ623"/>
      <c r="ACK623"/>
      <c r="ACL623"/>
      <c r="ACM623"/>
      <c r="ACN623"/>
      <c r="ACO623"/>
      <c r="ACP623"/>
      <c r="ACQ623"/>
      <c r="ACR623"/>
      <c r="ACS623"/>
      <c r="ACT623"/>
      <c r="ACU623"/>
      <c r="ACV623"/>
      <c r="ACW623"/>
      <c r="ACX623"/>
      <c r="ACY623"/>
      <c r="ACZ623"/>
      <c r="ADA623"/>
      <c r="ADB623"/>
      <c r="ADC623"/>
      <c r="ADD623"/>
      <c r="ADE623"/>
      <c r="ADF623"/>
      <c r="ADG623"/>
      <c r="ADH623"/>
      <c r="ADI623"/>
      <c r="ADJ623"/>
      <c r="ADK623"/>
      <c r="ADL623"/>
      <c r="ADM623"/>
      <c r="ADN623"/>
      <c r="ADO623"/>
      <c r="ADP623"/>
      <c r="ADQ623"/>
      <c r="ADR623"/>
      <c r="ADS623"/>
      <c r="ADT623"/>
      <c r="ADU623"/>
      <c r="ADV623"/>
      <c r="ADW623"/>
      <c r="ADX623"/>
      <c r="ADY623"/>
      <c r="ADZ623"/>
      <c r="AEA623"/>
      <c r="AEB623"/>
      <c r="AEC623"/>
      <c r="AED623"/>
      <c r="AEE623"/>
      <c r="AEF623"/>
      <c r="AEG623"/>
      <c r="AEH623"/>
      <c r="AEI623"/>
      <c r="AEJ623"/>
      <c r="AEK623"/>
      <c r="AEL623"/>
      <c r="AEM623"/>
      <c r="AEN623"/>
      <c r="AEO623"/>
      <c r="AEP623"/>
      <c r="AEQ623"/>
      <c r="AER623"/>
      <c r="AES623"/>
      <c r="AET623"/>
      <c r="AEU623"/>
      <c r="AEV623"/>
      <c r="AEW623"/>
      <c r="AEX623"/>
      <c r="AEY623"/>
      <c r="AEZ623"/>
      <c r="AFA623"/>
      <c r="AFB623"/>
      <c r="AFC623"/>
      <c r="AFD623"/>
      <c r="AFE623"/>
      <c r="AFF623"/>
      <c r="AFG623"/>
      <c r="AFH623"/>
      <c r="AFI623"/>
      <c r="AFJ623"/>
      <c r="AFK623"/>
      <c r="AFL623"/>
      <c r="AFM623"/>
      <c r="AFN623"/>
      <c r="AFO623"/>
      <c r="AFP623"/>
      <c r="AFQ623"/>
      <c r="AFR623"/>
      <c r="AFS623"/>
      <c r="AFT623"/>
      <c r="AFU623"/>
      <c r="AFV623"/>
      <c r="AFW623"/>
      <c r="AFX623"/>
      <c r="AFY623"/>
      <c r="AFZ623"/>
      <c r="AGA623"/>
      <c r="AGB623"/>
      <c r="AGC623"/>
      <c r="AGD623"/>
      <c r="AGE623"/>
      <c r="AGF623"/>
      <c r="AGG623"/>
      <c r="AGH623"/>
      <c r="AGI623"/>
      <c r="AGJ623"/>
      <c r="AGK623"/>
      <c r="AGL623"/>
      <c r="AGM623"/>
      <c r="AGN623"/>
      <c r="AGO623"/>
      <c r="AGP623"/>
      <c r="AGQ623"/>
      <c r="AGR623"/>
      <c r="AGS623"/>
      <c r="AGT623"/>
      <c r="AGU623"/>
      <c r="AGV623"/>
      <c r="AGW623"/>
      <c r="AGX623"/>
      <c r="AGY623"/>
      <c r="AGZ623"/>
      <c r="AHA623"/>
      <c r="AHB623"/>
      <c r="AHC623"/>
      <c r="AHD623"/>
      <c r="AHE623"/>
      <c r="AHF623"/>
      <c r="AHG623"/>
      <c r="AHH623"/>
      <c r="AHI623"/>
      <c r="AHJ623"/>
      <c r="AHK623"/>
      <c r="AHL623"/>
      <c r="AHM623"/>
      <c r="AHN623"/>
      <c r="AHO623"/>
      <c r="AHP623"/>
      <c r="AHQ623"/>
      <c r="AHR623"/>
      <c r="AHS623"/>
      <c r="AHT623"/>
      <c r="AHU623"/>
      <c r="AHV623"/>
      <c r="AHW623"/>
      <c r="AHX623"/>
      <c r="AHY623"/>
      <c r="AHZ623"/>
      <c r="AIA623"/>
      <c r="AIB623"/>
      <c r="AIC623"/>
      <c r="AID623"/>
      <c r="AIE623"/>
      <c r="AIF623"/>
      <c r="AIG623"/>
      <c r="AIH623"/>
      <c r="AII623"/>
      <c r="AIJ623"/>
      <c r="AIK623"/>
      <c r="AIL623"/>
      <c r="AIM623"/>
      <c r="AIN623"/>
      <c r="AIO623"/>
      <c r="AIP623"/>
      <c r="AIQ623"/>
      <c r="AIR623"/>
      <c r="AIS623"/>
      <c r="AIT623"/>
      <c r="AIU623"/>
      <c r="AIV623"/>
      <c r="AIW623"/>
      <c r="AIX623"/>
      <c r="AIY623"/>
      <c r="AIZ623"/>
      <c r="AJA623"/>
      <c r="AJB623"/>
      <c r="AJC623"/>
      <c r="AJD623"/>
      <c r="AJE623"/>
      <c r="AJF623"/>
      <c r="AJG623"/>
      <c r="AJH623"/>
      <c r="AJI623"/>
      <c r="AJJ623"/>
      <c r="AJK623"/>
      <c r="AJL623"/>
      <c r="AJM623"/>
      <c r="AJN623"/>
      <c r="AJO623"/>
      <c r="AJP623"/>
      <c r="AJQ623"/>
      <c r="AJR623"/>
      <c r="AJS623"/>
      <c r="AJT623"/>
      <c r="AJU623"/>
      <c r="AJV623"/>
      <c r="AJW623"/>
      <c r="AJX623"/>
      <c r="AJY623"/>
      <c r="AJZ623"/>
      <c r="AKA623"/>
      <c r="AKB623"/>
      <c r="AKC623"/>
      <c r="AKD623"/>
      <c r="AKE623"/>
      <c r="AKF623"/>
      <c r="AKG623"/>
      <c r="AKH623"/>
      <c r="AKI623"/>
      <c r="AKJ623"/>
      <c r="AKK623"/>
      <c r="AKL623"/>
      <c r="AKM623"/>
      <c r="AKN623"/>
      <c r="AKO623"/>
      <c r="AKP623"/>
      <c r="AKQ623"/>
      <c r="AKR623"/>
      <c r="AKS623"/>
      <c r="AKT623"/>
      <c r="AKU623"/>
      <c r="AKV623"/>
      <c r="AKW623"/>
      <c r="AKX623"/>
      <c r="AKY623"/>
    </row>
    <row r="624" spans="1:987">
      <c r="B624" s="431"/>
      <c r="C624" s="13"/>
      <c r="D624" s="13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  <c r="ZW624"/>
      <c r="ZX624"/>
      <c r="ZY624"/>
      <c r="ZZ624"/>
      <c r="AAA624"/>
      <c r="AAB624"/>
      <c r="AAC624"/>
      <c r="AAD624"/>
      <c r="AAE624"/>
      <c r="AAF624"/>
      <c r="AAG624"/>
      <c r="AAH624"/>
      <c r="AAI624"/>
      <c r="AAJ624"/>
      <c r="AAK624"/>
      <c r="AAL624"/>
      <c r="AAM624"/>
      <c r="AAN624"/>
      <c r="AAO624"/>
      <c r="AAP624"/>
      <c r="AAQ624"/>
      <c r="AAR624"/>
      <c r="AAS624"/>
      <c r="AAT624"/>
      <c r="AAU624"/>
      <c r="AAV624"/>
      <c r="AAW624"/>
      <c r="AAX624"/>
      <c r="AAY624"/>
      <c r="AAZ624"/>
      <c r="ABA624"/>
      <c r="ABB624"/>
      <c r="ABC624"/>
      <c r="ABD624"/>
      <c r="ABE624"/>
      <c r="ABF624"/>
      <c r="ABG624"/>
      <c r="ABH624"/>
      <c r="ABI624"/>
      <c r="ABJ624"/>
      <c r="ABK624"/>
      <c r="ABL624"/>
      <c r="ABM624"/>
      <c r="ABN624"/>
      <c r="ABO624"/>
      <c r="ABP624"/>
      <c r="ABQ624"/>
      <c r="ABR624"/>
      <c r="ABS624"/>
      <c r="ABT624"/>
      <c r="ABU624"/>
      <c r="ABV624"/>
      <c r="ABW624"/>
      <c r="ABX624"/>
      <c r="ABY624"/>
      <c r="ABZ624"/>
      <c r="ACA624"/>
      <c r="ACB624"/>
      <c r="ACC624"/>
      <c r="ACD624"/>
      <c r="ACE624"/>
      <c r="ACF624"/>
      <c r="ACG624"/>
      <c r="ACH624"/>
      <c r="ACI624"/>
      <c r="ACJ624"/>
      <c r="ACK624"/>
      <c r="ACL624"/>
      <c r="ACM624"/>
      <c r="ACN624"/>
      <c r="ACO624"/>
      <c r="ACP624"/>
      <c r="ACQ624"/>
      <c r="ACR624"/>
      <c r="ACS624"/>
      <c r="ACT624"/>
      <c r="ACU624"/>
      <c r="ACV624"/>
      <c r="ACW624"/>
      <c r="ACX624"/>
      <c r="ACY624"/>
      <c r="ACZ624"/>
      <c r="ADA624"/>
      <c r="ADB624"/>
      <c r="ADC624"/>
      <c r="ADD624"/>
      <c r="ADE624"/>
      <c r="ADF624"/>
      <c r="ADG624"/>
      <c r="ADH624"/>
      <c r="ADI624"/>
      <c r="ADJ624"/>
      <c r="ADK624"/>
      <c r="ADL624"/>
      <c r="ADM624"/>
      <c r="ADN624"/>
      <c r="ADO624"/>
      <c r="ADP624"/>
      <c r="ADQ624"/>
      <c r="ADR624"/>
      <c r="ADS624"/>
      <c r="ADT624"/>
      <c r="ADU624"/>
      <c r="ADV624"/>
      <c r="ADW624"/>
      <c r="ADX624"/>
      <c r="ADY624"/>
      <c r="ADZ624"/>
      <c r="AEA624"/>
      <c r="AEB624"/>
      <c r="AEC624"/>
      <c r="AED624"/>
      <c r="AEE624"/>
      <c r="AEF624"/>
      <c r="AEG624"/>
      <c r="AEH624"/>
      <c r="AEI624"/>
      <c r="AEJ624"/>
      <c r="AEK624"/>
      <c r="AEL624"/>
      <c r="AEM624"/>
      <c r="AEN624"/>
      <c r="AEO624"/>
      <c r="AEP624"/>
      <c r="AEQ624"/>
      <c r="AER624"/>
      <c r="AES624"/>
      <c r="AET624"/>
      <c r="AEU624"/>
      <c r="AEV624"/>
      <c r="AEW624"/>
      <c r="AEX624"/>
      <c r="AEY624"/>
      <c r="AEZ624"/>
      <c r="AFA624"/>
      <c r="AFB624"/>
      <c r="AFC624"/>
      <c r="AFD624"/>
      <c r="AFE624"/>
      <c r="AFF624"/>
      <c r="AFG624"/>
      <c r="AFH624"/>
      <c r="AFI624"/>
      <c r="AFJ624"/>
      <c r="AFK624"/>
      <c r="AFL624"/>
      <c r="AFM624"/>
      <c r="AFN624"/>
      <c r="AFO624"/>
      <c r="AFP624"/>
      <c r="AFQ624"/>
      <c r="AFR624"/>
      <c r="AFS624"/>
      <c r="AFT624"/>
      <c r="AFU624"/>
      <c r="AFV624"/>
      <c r="AFW624"/>
      <c r="AFX624"/>
      <c r="AFY624"/>
      <c r="AFZ624"/>
      <c r="AGA624"/>
      <c r="AGB624"/>
      <c r="AGC624"/>
      <c r="AGD624"/>
      <c r="AGE624"/>
      <c r="AGF624"/>
      <c r="AGG624"/>
      <c r="AGH624"/>
      <c r="AGI624"/>
      <c r="AGJ624"/>
      <c r="AGK624"/>
      <c r="AGL624"/>
      <c r="AGM624"/>
      <c r="AGN624"/>
      <c r="AGO624"/>
      <c r="AGP624"/>
      <c r="AGQ624"/>
      <c r="AGR624"/>
      <c r="AGS624"/>
      <c r="AGT624"/>
      <c r="AGU624"/>
      <c r="AGV624"/>
      <c r="AGW624"/>
      <c r="AGX624"/>
      <c r="AGY624"/>
      <c r="AGZ624"/>
      <c r="AHA624"/>
      <c r="AHB624"/>
      <c r="AHC624"/>
      <c r="AHD624"/>
      <c r="AHE624"/>
      <c r="AHF624"/>
      <c r="AHG624"/>
      <c r="AHH624"/>
      <c r="AHI624"/>
      <c r="AHJ624"/>
      <c r="AHK624"/>
      <c r="AHL624"/>
      <c r="AHM624"/>
      <c r="AHN624"/>
      <c r="AHO624"/>
      <c r="AHP624"/>
      <c r="AHQ624"/>
      <c r="AHR624"/>
      <c r="AHS624"/>
      <c r="AHT624"/>
      <c r="AHU624"/>
      <c r="AHV624"/>
      <c r="AHW624"/>
      <c r="AHX624"/>
      <c r="AHY624"/>
      <c r="AHZ624"/>
      <c r="AIA624"/>
      <c r="AIB624"/>
      <c r="AIC624"/>
      <c r="AID624"/>
      <c r="AIE624"/>
      <c r="AIF624"/>
      <c r="AIG624"/>
      <c r="AIH624"/>
      <c r="AII624"/>
      <c r="AIJ624"/>
      <c r="AIK624"/>
      <c r="AIL624"/>
      <c r="AIM624"/>
      <c r="AIN624"/>
      <c r="AIO624"/>
      <c r="AIP624"/>
      <c r="AIQ624"/>
      <c r="AIR624"/>
      <c r="AIS624"/>
      <c r="AIT624"/>
      <c r="AIU624"/>
      <c r="AIV624"/>
      <c r="AIW624"/>
      <c r="AIX624"/>
      <c r="AIY624"/>
      <c r="AIZ624"/>
      <c r="AJA624"/>
      <c r="AJB624"/>
      <c r="AJC624"/>
      <c r="AJD624"/>
      <c r="AJE624"/>
      <c r="AJF624"/>
      <c r="AJG624"/>
      <c r="AJH624"/>
      <c r="AJI624"/>
      <c r="AJJ624"/>
      <c r="AJK624"/>
      <c r="AJL624"/>
      <c r="AJM624"/>
      <c r="AJN624"/>
      <c r="AJO624"/>
      <c r="AJP624"/>
      <c r="AJQ624"/>
      <c r="AJR624"/>
      <c r="AJS624"/>
      <c r="AJT624"/>
      <c r="AJU624"/>
      <c r="AJV624"/>
      <c r="AJW624"/>
      <c r="AJX624"/>
      <c r="AJY624"/>
      <c r="AJZ624"/>
      <c r="AKA624"/>
      <c r="AKB624"/>
      <c r="AKC624"/>
      <c r="AKD624"/>
      <c r="AKE624"/>
      <c r="AKF624"/>
      <c r="AKG624"/>
      <c r="AKH624"/>
      <c r="AKI624"/>
      <c r="AKJ624"/>
      <c r="AKK624"/>
      <c r="AKL624"/>
      <c r="AKM624"/>
      <c r="AKN624"/>
      <c r="AKO624"/>
      <c r="AKP624"/>
      <c r="AKQ624"/>
      <c r="AKR624"/>
      <c r="AKS624"/>
      <c r="AKT624"/>
      <c r="AKU624"/>
      <c r="AKV624"/>
      <c r="AKW624"/>
      <c r="AKX624"/>
      <c r="AKY624"/>
    </row>
    <row r="625" spans="1:987">
      <c r="A625" s="356"/>
      <c r="B625" s="431"/>
      <c r="C625" s="13"/>
      <c r="D625" s="13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  <c r="ZW625"/>
      <c r="ZX625"/>
      <c r="ZY625"/>
      <c r="ZZ625"/>
      <c r="AAA625"/>
      <c r="AAB625"/>
      <c r="AAC625"/>
      <c r="AAD625"/>
      <c r="AAE625"/>
      <c r="AAF625"/>
      <c r="AAG625"/>
      <c r="AAH625"/>
      <c r="AAI625"/>
      <c r="AAJ625"/>
      <c r="AAK625"/>
      <c r="AAL625"/>
      <c r="AAM625"/>
      <c r="AAN625"/>
      <c r="AAO625"/>
      <c r="AAP625"/>
      <c r="AAQ625"/>
      <c r="AAR625"/>
      <c r="AAS625"/>
      <c r="AAT625"/>
      <c r="AAU625"/>
      <c r="AAV625"/>
      <c r="AAW625"/>
      <c r="AAX625"/>
      <c r="AAY625"/>
      <c r="AAZ625"/>
      <c r="ABA625"/>
      <c r="ABB625"/>
      <c r="ABC625"/>
      <c r="ABD625"/>
      <c r="ABE625"/>
      <c r="ABF625"/>
      <c r="ABG625"/>
      <c r="ABH625"/>
      <c r="ABI625"/>
      <c r="ABJ625"/>
      <c r="ABK625"/>
      <c r="ABL625"/>
      <c r="ABM625"/>
      <c r="ABN625"/>
      <c r="ABO625"/>
      <c r="ABP625"/>
      <c r="ABQ625"/>
      <c r="ABR625"/>
      <c r="ABS625"/>
      <c r="ABT625"/>
      <c r="ABU625"/>
      <c r="ABV625"/>
      <c r="ABW625"/>
      <c r="ABX625"/>
      <c r="ABY625"/>
      <c r="ABZ625"/>
      <c r="ACA625"/>
      <c r="ACB625"/>
      <c r="ACC625"/>
      <c r="ACD625"/>
      <c r="ACE625"/>
      <c r="ACF625"/>
      <c r="ACG625"/>
      <c r="ACH625"/>
      <c r="ACI625"/>
      <c r="ACJ625"/>
      <c r="ACK625"/>
      <c r="ACL625"/>
      <c r="ACM625"/>
      <c r="ACN625"/>
      <c r="ACO625"/>
      <c r="ACP625"/>
      <c r="ACQ625"/>
      <c r="ACR625"/>
      <c r="ACS625"/>
      <c r="ACT625"/>
      <c r="ACU625"/>
      <c r="ACV625"/>
      <c r="ACW625"/>
      <c r="ACX625"/>
      <c r="ACY625"/>
      <c r="ACZ625"/>
      <c r="ADA625"/>
      <c r="ADB625"/>
      <c r="ADC625"/>
      <c r="ADD625"/>
      <c r="ADE625"/>
      <c r="ADF625"/>
      <c r="ADG625"/>
      <c r="ADH625"/>
      <c r="ADI625"/>
      <c r="ADJ625"/>
      <c r="ADK625"/>
      <c r="ADL625"/>
      <c r="ADM625"/>
      <c r="ADN625"/>
      <c r="ADO625"/>
      <c r="ADP625"/>
      <c r="ADQ625"/>
      <c r="ADR625"/>
      <c r="ADS625"/>
      <c r="ADT625"/>
      <c r="ADU625"/>
      <c r="ADV625"/>
      <c r="ADW625"/>
      <c r="ADX625"/>
      <c r="ADY625"/>
      <c r="ADZ625"/>
      <c r="AEA625"/>
      <c r="AEB625"/>
      <c r="AEC625"/>
      <c r="AED625"/>
      <c r="AEE625"/>
      <c r="AEF625"/>
      <c r="AEG625"/>
      <c r="AEH625"/>
      <c r="AEI625"/>
      <c r="AEJ625"/>
      <c r="AEK625"/>
      <c r="AEL625"/>
      <c r="AEM625"/>
      <c r="AEN625"/>
      <c r="AEO625"/>
      <c r="AEP625"/>
      <c r="AEQ625"/>
      <c r="AER625"/>
      <c r="AES625"/>
      <c r="AET625"/>
      <c r="AEU625"/>
      <c r="AEV625"/>
      <c r="AEW625"/>
      <c r="AEX625"/>
      <c r="AEY625"/>
      <c r="AEZ625"/>
      <c r="AFA625"/>
      <c r="AFB625"/>
      <c r="AFC625"/>
      <c r="AFD625"/>
      <c r="AFE625"/>
      <c r="AFF625"/>
      <c r="AFG625"/>
      <c r="AFH625"/>
      <c r="AFI625"/>
      <c r="AFJ625"/>
      <c r="AFK625"/>
      <c r="AFL625"/>
      <c r="AFM625"/>
      <c r="AFN625"/>
      <c r="AFO625"/>
      <c r="AFP625"/>
      <c r="AFQ625"/>
      <c r="AFR625"/>
      <c r="AFS625"/>
      <c r="AFT625"/>
      <c r="AFU625"/>
      <c r="AFV625"/>
      <c r="AFW625"/>
      <c r="AFX625"/>
      <c r="AFY625"/>
      <c r="AFZ625"/>
      <c r="AGA625"/>
      <c r="AGB625"/>
      <c r="AGC625"/>
      <c r="AGD625"/>
      <c r="AGE625"/>
      <c r="AGF625"/>
      <c r="AGG625"/>
      <c r="AGH625"/>
      <c r="AGI625"/>
      <c r="AGJ625"/>
      <c r="AGK625"/>
      <c r="AGL625"/>
      <c r="AGM625"/>
      <c r="AGN625"/>
      <c r="AGO625"/>
      <c r="AGP625"/>
      <c r="AGQ625"/>
      <c r="AGR625"/>
      <c r="AGS625"/>
      <c r="AGT625"/>
      <c r="AGU625"/>
      <c r="AGV625"/>
      <c r="AGW625"/>
      <c r="AGX625"/>
      <c r="AGY625"/>
      <c r="AGZ625"/>
      <c r="AHA625"/>
      <c r="AHB625"/>
      <c r="AHC625"/>
      <c r="AHD625"/>
      <c r="AHE625"/>
      <c r="AHF625"/>
      <c r="AHG625"/>
      <c r="AHH625"/>
      <c r="AHI625"/>
      <c r="AHJ625"/>
      <c r="AHK625"/>
      <c r="AHL625"/>
      <c r="AHM625"/>
      <c r="AHN625"/>
      <c r="AHO625"/>
      <c r="AHP625"/>
      <c r="AHQ625"/>
      <c r="AHR625"/>
      <c r="AHS625"/>
      <c r="AHT625"/>
      <c r="AHU625"/>
      <c r="AHV625"/>
      <c r="AHW625"/>
      <c r="AHX625"/>
      <c r="AHY625"/>
      <c r="AHZ625"/>
      <c r="AIA625"/>
      <c r="AIB625"/>
      <c r="AIC625"/>
      <c r="AID625"/>
      <c r="AIE625"/>
      <c r="AIF625"/>
      <c r="AIG625"/>
      <c r="AIH625"/>
      <c r="AII625"/>
      <c r="AIJ625"/>
      <c r="AIK625"/>
      <c r="AIL625"/>
      <c r="AIM625"/>
      <c r="AIN625"/>
      <c r="AIO625"/>
      <c r="AIP625"/>
      <c r="AIQ625"/>
      <c r="AIR625"/>
      <c r="AIS625"/>
      <c r="AIT625"/>
      <c r="AIU625"/>
      <c r="AIV625"/>
      <c r="AIW625"/>
      <c r="AIX625"/>
      <c r="AIY625"/>
      <c r="AIZ625"/>
      <c r="AJA625"/>
      <c r="AJB625"/>
      <c r="AJC625"/>
      <c r="AJD625"/>
      <c r="AJE625"/>
      <c r="AJF625"/>
      <c r="AJG625"/>
      <c r="AJH625"/>
      <c r="AJI625"/>
      <c r="AJJ625"/>
      <c r="AJK625"/>
      <c r="AJL625"/>
      <c r="AJM625"/>
      <c r="AJN625"/>
      <c r="AJO625"/>
      <c r="AJP625"/>
      <c r="AJQ625"/>
      <c r="AJR625"/>
      <c r="AJS625"/>
      <c r="AJT625"/>
      <c r="AJU625"/>
      <c r="AJV625"/>
      <c r="AJW625"/>
      <c r="AJX625"/>
      <c r="AJY625"/>
      <c r="AJZ625"/>
      <c r="AKA625"/>
      <c r="AKB625"/>
      <c r="AKC625"/>
      <c r="AKD625"/>
      <c r="AKE625"/>
      <c r="AKF625"/>
      <c r="AKG625"/>
      <c r="AKH625"/>
      <c r="AKI625"/>
      <c r="AKJ625"/>
      <c r="AKK625"/>
      <c r="AKL625"/>
      <c r="AKM625"/>
      <c r="AKN625"/>
      <c r="AKO625"/>
      <c r="AKP625"/>
      <c r="AKQ625"/>
      <c r="AKR625"/>
      <c r="AKS625"/>
      <c r="AKT625"/>
      <c r="AKU625"/>
      <c r="AKV625"/>
      <c r="AKW625"/>
      <c r="AKX625"/>
      <c r="AKY625"/>
    </row>
    <row r="626" spans="1:987">
      <c r="A626" s="442"/>
      <c r="B626" s="431"/>
      <c r="C626" s="13"/>
      <c r="D626" s="13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  <c r="ZW626"/>
      <c r="ZX626"/>
      <c r="ZY626"/>
      <c r="ZZ626"/>
      <c r="AAA626"/>
      <c r="AAB626"/>
      <c r="AAC626"/>
      <c r="AAD626"/>
      <c r="AAE626"/>
      <c r="AAF626"/>
      <c r="AAG626"/>
      <c r="AAH626"/>
      <c r="AAI626"/>
      <c r="AAJ626"/>
      <c r="AAK626"/>
      <c r="AAL626"/>
      <c r="AAM626"/>
      <c r="AAN626"/>
      <c r="AAO626"/>
      <c r="AAP626"/>
      <c r="AAQ626"/>
      <c r="AAR626"/>
      <c r="AAS626"/>
      <c r="AAT626"/>
      <c r="AAU626"/>
      <c r="AAV626"/>
      <c r="AAW626"/>
      <c r="AAX626"/>
      <c r="AAY626"/>
      <c r="AAZ626"/>
      <c r="ABA626"/>
      <c r="ABB626"/>
      <c r="ABC626"/>
      <c r="ABD626"/>
      <c r="ABE626"/>
      <c r="ABF626"/>
      <c r="ABG626"/>
      <c r="ABH626"/>
      <c r="ABI626"/>
      <c r="ABJ626"/>
      <c r="ABK626"/>
      <c r="ABL626"/>
      <c r="ABM626"/>
      <c r="ABN626"/>
      <c r="ABO626"/>
      <c r="ABP626"/>
      <c r="ABQ626"/>
      <c r="ABR626"/>
      <c r="ABS626"/>
      <c r="ABT626"/>
      <c r="ABU626"/>
      <c r="ABV626"/>
      <c r="ABW626"/>
      <c r="ABX626"/>
      <c r="ABY626"/>
      <c r="ABZ626"/>
      <c r="ACA626"/>
      <c r="ACB626"/>
      <c r="ACC626"/>
      <c r="ACD626"/>
      <c r="ACE626"/>
      <c r="ACF626"/>
      <c r="ACG626"/>
      <c r="ACH626"/>
      <c r="ACI626"/>
      <c r="ACJ626"/>
      <c r="ACK626"/>
      <c r="ACL626"/>
      <c r="ACM626"/>
      <c r="ACN626"/>
      <c r="ACO626"/>
      <c r="ACP626"/>
      <c r="ACQ626"/>
      <c r="ACR626"/>
      <c r="ACS626"/>
      <c r="ACT626"/>
      <c r="ACU626"/>
      <c r="ACV626"/>
      <c r="ACW626"/>
      <c r="ACX626"/>
      <c r="ACY626"/>
      <c r="ACZ626"/>
      <c r="ADA626"/>
      <c r="ADB626"/>
      <c r="ADC626"/>
      <c r="ADD626"/>
      <c r="ADE626"/>
      <c r="ADF626"/>
      <c r="ADG626"/>
      <c r="ADH626"/>
      <c r="ADI626"/>
      <c r="ADJ626"/>
      <c r="ADK626"/>
      <c r="ADL626"/>
      <c r="ADM626"/>
      <c r="ADN626"/>
      <c r="ADO626"/>
      <c r="ADP626"/>
      <c r="ADQ626"/>
      <c r="ADR626"/>
      <c r="ADS626"/>
      <c r="ADT626"/>
      <c r="ADU626"/>
      <c r="ADV626"/>
      <c r="ADW626"/>
      <c r="ADX626"/>
      <c r="ADY626"/>
      <c r="ADZ626"/>
      <c r="AEA626"/>
      <c r="AEB626"/>
      <c r="AEC626"/>
      <c r="AED626"/>
      <c r="AEE626"/>
      <c r="AEF626"/>
      <c r="AEG626"/>
      <c r="AEH626"/>
      <c r="AEI626"/>
      <c r="AEJ626"/>
      <c r="AEK626"/>
      <c r="AEL626"/>
      <c r="AEM626"/>
      <c r="AEN626"/>
      <c r="AEO626"/>
      <c r="AEP626"/>
      <c r="AEQ626"/>
      <c r="AER626"/>
      <c r="AES626"/>
      <c r="AET626"/>
      <c r="AEU626"/>
      <c r="AEV626"/>
      <c r="AEW626"/>
      <c r="AEX626"/>
      <c r="AEY626"/>
      <c r="AEZ626"/>
      <c r="AFA626"/>
      <c r="AFB626"/>
      <c r="AFC626"/>
      <c r="AFD626"/>
      <c r="AFE626"/>
      <c r="AFF626"/>
      <c r="AFG626"/>
      <c r="AFH626"/>
      <c r="AFI626"/>
      <c r="AFJ626"/>
      <c r="AFK626"/>
      <c r="AFL626"/>
      <c r="AFM626"/>
      <c r="AFN626"/>
      <c r="AFO626"/>
      <c r="AFP626"/>
      <c r="AFQ626"/>
      <c r="AFR626"/>
      <c r="AFS626"/>
      <c r="AFT626"/>
      <c r="AFU626"/>
      <c r="AFV626"/>
      <c r="AFW626"/>
      <c r="AFX626"/>
      <c r="AFY626"/>
      <c r="AFZ626"/>
      <c r="AGA626"/>
      <c r="AGB626"/>
      <c r="AGC626"/>
      <c r="AGD626"/>
      <c r="AGE626"/>
      <c r="AGF626"/>
      <c r="AGG626"/>
      <c r="AGH626"/>
      <c r="AGI626"/>
      <c r="AGJ626"/>
      <c r="AGK626"/>
      <c r="AGL626"/>
      <c r="AGM626"/>
      <c r="AGN626"/>
      <c r="AGO626"/>
      <c r="AGP626"/>
      <c r="AGQ626"/>
      <c r="AGR626"/>
      <c r="AGS626"/>
      <c r="AGT626"/>
      <c r="AGU626"/>
      <c r="AGV626"/>
      <c r="AGW626"/>
      <c r="AGX626"/>
      <c r="AGY626"/>
      <c r="AGZ626"/>
      <c r="AHA626"/>
      <c r="AHB626"/>
      <c r="AHC626"/>
      <c r="AHD626"/>
      <c r="AHE626"/>
      <c r="AHF626"/>
      <c r="AHG626"/>
      <c r="AHH626"/>
      <c r="AHI626"/>
      <c r="AHJ626"/>
      <c r="AHK626"/>
      <c r="AHL626"/>
      <c r="AHM626"/>
      <c r="AHN626"/>
      <c r="AHO626"/>
      <c r="AHP626"/>
      <c r="AHQ626"/>
      <c r="AHR626"/>
      <c r="AHS626"/>
      <c r="AHT626"/>
      <c r="AHU626"/>
      <c r="AHV626"/>
      <c r="AHW626"/>
      <c r="AHX626"/>
      <c r="AHY626"/>
      <c r="AHZ626"/>
      <c r="AIA626"/>
      <c r="AIB626"/>
      <c r="AIC626"/>
      <c r="AID626"/>
      <c r="AIE626"/>
      <c r="AIF626"/>
      <c r="AIG626"/>
      <c r="AIH626"/>
      <c r="AII626"/>
      <c r="AIJ626"/>
      <c r="AIK626"/>
      <c r="AIL626"/>
      <c r="AIM626"/>
      <c r="AIN626"/>
      <c r="AIO626"/>
      <c r="AIP626"/>
      <c r="AIQ626"/>
      <c r="AIR626"/>
      <c r="AIS626"/>
      <c r="AIT626"/>
      <c r="AIU626"/>
      <c r="AIV626"/>
      <c r="AIW626"/>
      <c r="AIX626"/>
      <c r="AIY626"/>
      <c r="AIZ626"/>
      <c r="AJA626"/>
      <c r="AJB626"/>
      <c r="AJC626"/>
      <c r="AJD626"/>
      <c r="AJE626"/>
      <c r="AJF626"/>
      <c r="AJG626"/>
      <c r="AJH626"/>
      <c r="AJI626"/>
      <c r="AJJ626"/>
      <c r="AJK626"/>
      <c r="AJL626"/>
      <c r="AJM626"/>
      <c r="AJN626"/>
      <c r="AJO626"/>
      <c r="AJP626"/>
      <c r="AJQ626"/>
      <c r="AJR626"/>
      <c r="AJS626"/>
      <c r="AJT626"/>
      <c r="AJU626"/>
      <c r="AJV626"/>
      <c r="AJW626"/>
      <c r="AJX626"/>
      <c r="AJY626"/>
      <c r="AJZ626"/>
      <c r="AKA626"/>
      <c r="AKB626"/>
      <c r="AKC626"/>
      <c r="AKD626"/>
      <c r="AKE626"/>
      <c r="AKF626"/>
      <c r="AKG626"/>
      <c r="AKH626"/>
      <c r="AKI626"/>
      <c r="AKJ626"/>
      <c r="AKK626"/>
      <c r="AKL626"/>
      <c r="AKM626"/>
      <c r="AKN626"/>
      <c r="AKO626"/>
      <c r="AKP626"/>
      <c r="AKQ626"/>
      <c r="AKR626"/>
      <c r="AKS626"/>
      <c r="AKT626"/>
      <c r="AKU626"/>
      <c r="AKV626"/>
      <c r="AKW626"/>
      <c r="AKX626"/>
      <c r="AKY626"/>
    </row>
    <row r="627" spans="1:987">
      <c r="B627" s="431"/>
      <c r="C627" s="13"/>
      <c r="D627" s="13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  <c r="ZW627"/>
      <c r="ZX627"/>
      <c r="ZY627"/>
      <c r="ZZ627"/>
      <c r="AAA627"/>
      <c r="AAB627"/>
      <c r="AAC627"/>
      <c r="AAD627"/>
      <c r="AAE627"/>
      <c r="AAF627"/>
      <c r="AAG627"/>
      <c r="AAH627"/>
      <c r="AAI627"/>
      <c r="AAJ627"/>
      <c r="AAK627"/>
      <c r="AAL627"/>
      <c r="AAM627"/>
      <c r="AAN627"/>
      <c r="AAO627"/>
      <c r="AAP627"/>
      <c r="AAQ627"/>
      <c r="AAR627"/>
      <c r="AAS627"/>
      <c r="AAT627"/>
      <c r="AAU627"/>
      <c r="AAV627"/>
      <c r="AAW627"/>
      <c r="AAX627"/>
      <c r="AAY627"/>
      <c r="AAZ627"/>
      <c r="ABA627"/>
      <c r="ABB627"/>
      <c r="ABC627"/>
      <c r="ABD627"/>
      <c r="ABE627"/>
      <c r="ABF627"/>
      <c r="ABG627"/>
      <c r="ABH627"/>
      <c r="ABI627"/>
      <c r="ABJ627"/>
      <c r="ABK627"/>
      <c r="ABL627"/>
      <c r="ABM627"/>
      <c r="ABN627"/>
      <c r="ABO627"/>
      <c r="ABP627"/>
      <c r="ABQ627"/>
      <c r="ABR627"/>
      <c r="ABS627"/>
      <c r="ABT627"/>
      <c r="ABU627"/>
      <c r="ABV627"/>
      <c r="ABW627"/>
      <c r="ABX627"/>
      <c r="ABY627"/>
      <c r="ABZ627"/>
      <c r="ACA627"/>
      <c r="ACB627"/>
      <c r="ACC627"/>
      <c r="ACD627"/>
      <c r="ACE627"/>
      <c r="ACF627"/>
      <c r="ACG627"/>
      <c r="ACH627"/>
      <c r="ACI627"/>
      <c r="ACJ627"/>
      <c r="ACK627"/>
      <c r="ACL627"/>
      <c r="ACM627"/>
      <c r="ACN627"/>
      <c r="ACO627"/>
      <c r="ACP627"/>
      <c r="ACQ627"/>
      <c r="ACR627"/>
      <c r="ACS627"/>
      <c r="ACT627"/>
      <c r="ACU627"/>
      <c r="ACV627"/>
      <c r="ACW627"/>
      <c r="ACX627"/>
      <c r="ACY627"/>
      <c r="ACZ627"/>
      <c r="ADA627"/>
      <c r="ADB627"/>
      <c r="ADC627"/>
      <c r="ADD627"/>
      <c r="ADE627"/>
      <c r="ADF627"/>
      <c r="ADG627"/>
      <c r="ADH627"/>
      <c r="ADI627"/>
      <c r="ADJ627"/>
      <c r="ADK627"/>
      <c r="ADL627"/>
      <c r="ADM627"/>
      <c r="ADN627"/>
      <c r="ADO627"/>
      <c r="ADP627"/>
      <c r="ADQ627"/>
      <c r="ADR627"/>
      <c r="ADS627"/>
      <c r="ADT627"/>
      <c r="ADU627"/>
      <c r="ADV627"/>
      <c r="ADW627"/>
      <c r="ADX627"/>
      <c r="ADY627"/>
      <c r="ADZ627"/>
      <c r="AEA627"/>
      <c r="AEB627"/>
      <c r="AEC627"/>
      <c r="AED627"/>
      <c r="AEE627"/>
      <c r="AEF627"/>
      <c r="AEG627"/>
      <c r="AEH627"/>
      <c r="AEI627"/>
      <c r="AEJ627"/>
      <c r="AEK627"/>
      <c r="AEL627"/>
      <c r="AEM627"/>
      <c r="AEN627"/>
      <c r="AEO627"/>
      <c r="AEP627"/>
      <c r="AEQ627"/>
      <c r="AER627"/>
      <c r="AES627"/>
      <c r="AET627"/>
      <c r="AEU627"/>
      <c r="AEV627"/>
      <c r="AEW627"/>
      <c r="AEX627"/>
      <c r="AEY627"/>
      <c r="AEZ627"/>
      <c r="AFA627"/>
      <c r="AFB627"/>
      <c r="AFC627"/>
      <c r="AFD627"/>
      <c r="AFE627"/>
      <c r="AFF627"/>
      <c r="AFG627"/>
      <c r="AFH627"/>
      <c r="AFI627"/>
      <c r="AFJ627"/>
      <c r="AFK627"/>
      <c r="AFL627"/>
      <c r="AFM627"/>
      <c r="AFN627"/>
      <c r="AFO627"/>
      <c r="AFP627"/>
      <c r="AFQ627"/>
      <c r="AFR627"/>
      <c r="AFS627"/>
      <c r="AFT627"/>
      <c r="AFU627"/>
      <c r="AFV627"/>
      <c r="AFW627"/>
      <c r="AFX627"/>
      <c r="AFY627"/>
      <c r="AFZ627"/>
      <c r="AGA627"/>
      <c r="AGB627"/>
      <c r="AGC627"/>
      <c r="AGD627"/>
      <c r="AGE627"/>
      <c r="AGF627"/>
      <c r="AGG627"/>
      <c r="AGH627"/>
      <c r="AGI627"/>
      <c r="AGJ627"/>
      <c r="AGK627"/>
      <c r="AGL627"/>
      <c r="AGM627"/>
      <c r="AGN627"/>
      <c r="AGO627"/>
      <c r="AGP627"/>
      <c r="AGQ627"/>
      <c r="AGR627"/>
      <c r="AGS627"/>
      <c r="AGT627"/>
      <c r="AGU627"/>
      <c r="AGV627"/>
      <c r="AGW627"/>
      <c r="AGX627"/>
      <c r="AGY627"/>
      <c r="AGZ627"/>
      <c r="AHA627"/>
      <c r="AHB627"/>
      <c r="AHC627"/>
      <c r="AHD627"/>
      <c r="AHE627"/>
      <c r="AHF627"/>
      <c r="AHG627"/>
      <c r="AHH627"/>
      <c r="AHI627"/>
      <c r="AHJ627"/>
      <c r="AHK627"/>
      <c r="AHL627"/>
      <c r="AHM627"/>
      <c r="AHN627"/>
      <c r="AHO627"/>
      <c r="AHP627"/>
      <c r="AHQ627"/>
      <c r="AHR627"/>
      <c r="AHS627"/>
      <c r="AHT627"/>
      <c r="AHU627"/>
      <c r="AHV627"/>
      <c r="AHW627"/>
      <c r="AHX627"/>
      <c r="AHY627"/>
      <c r="AHZ627"/>
      <c r="AIA627"/>
      <c r="AIB627"/>
      <c r="AIC627"/>
      <c r="AID627"/>
      <c r="AIE627"/>
      <c r="AIF627"/>
      <c r="AIG627"/>
      <c r="AIH627"/>
      <c r="AII627"/>
      <c r="AIJ627"/>
      <c r="AIK627"/>
      <c r="AIL627"/>
      <c r="AIM627"/>
      <c r="AIN627"/>
      <c r="AIO627"/>
      <c r="AIP627"/>
      <c r="AIQ627"/>
      <c r="AIR627"/>
      <c r="AIS627"/>
      <c r="AIT627"/>
      <c r="AIU627"/>
      <c r="AIV627"/>
      <c r="AIW627"/>
      <c r="AIX627"/>
      <c r="AIY627"/>
      <c r="AIZ627"/>
      <c r="AJA627"/>
      <c r="AJB627"/>
      <c r="AJC627"/>
      <c r="AJD627"/>
      <c r="AJE627"/>
      <c r="AJF627"/>
      <c r="AJG627"/>
      <c r="AJH627"/>
      <c r="AJI627"/>
      <c r="AJJ627"/>
      <c r="AJK627"/>
      <c r="AJL627"/>
      <c r="AJM627"/>
      <c r="AJN627"/>
      <c r="AJO627"/>
      <c r="AJP627"/>
      <c r="AJQ627"/>
      <c r="AJR627"/>
      <c r="AJS627"/>
      <c r="AJT627"/>
      <c r="AJU627"/>
      <c r="AJV627"/>
      <c r="AJW627"/>
      <c r="AJX627"/>
      <c r="AJY627"/>
      <c r="AJZ627"/>
      <c r="AKA627"/>
      <c r="AKB627"/>
      <c r="AKC627"/>
      <c r="AKD627"/>
      <c r="AKE627"/>
      <c r="AKF627"/>
      <c r="AKG627"/>
      <c r="AKH627"/>
      <c r="AKI627"/>
      <c r="AKJ627"/>
      <c r="AKK627"/>
      <c r="AKL627"/>
      <c r="AKM627"/>
      <c r="AKN627"/>
      <c r="AKO627"/>
      <c r="AKP627"/>
      <c r="AKQ627"/>
      <c r="AKR627"/>
      <c r="AKS627"/>
      <c r="AKT627"/>
      <c r="AKU627"/>
      <c r="AKV627"/>
      <c r="AKW627"/>
      <c r="AKX627"/>
      <c r="AKY627"/>
    </row>
    <row r="628" spans="1:987">
      <c r="A628" s="449"/>
      <c r="B628" s="431"/>
      <c r="C628" s="13"/>
      <c r="D628" s="13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  <c r="ZY628"/>
      <c r="ZZ628"/>
      <c r="AAA628"/>
      <c r="AAB628"/>
      <c r="AAC628"/>
      <c r="AAD628"/>
      <c r="AAE628"/>
      <c r="AAF628"/>
      <c r="AAG628"/>
      <c r="AAH628"/>
      <c r="AAI628"/>
      <c r="AAJ628"/>
      <c r="AAK628"/>
      <c r="AAL628"/>
      <c r="AAM628"/>
      <c r="AAN628"/>
      <c r="AAO628"/>
      <c r="AAP628"/>
      <c r="AAQ628"/>
      <c r="AAR628"/>
      <c r="AAS628"/>
      <c r="AAT628"/>
      <c r="AAU628"/>
      <c r="AAV628"/>
      <c r="AAW628"/>
      <c r="AAX628"/>
      <c r="AAY628"/>
      <c r="AAZ628"/>
      <c r="ABA628"/>
      <c r="ABB628"/>
      <c r="ABC628"/>
      <c r="ABD628"/>
      <c r="ABE628"/>
      <c r="ABF628"/>
      <c r="ABG628"/>
      <c r="ABH628"/>
      <c r="ABI628"/>
      <c r="ABJ628"/>
      <c r="ABK628"/>
      <c r="ABL628"/>
      <c r="ABM628"/>
      <c r="ABN628"/>
      <c r="ABO628"/>
      <c r="ABP628"/>
      <c r="ABQ628"/>
      <c r="ABR628"/>
      <c r="ABS628"/>
      <c r="ABT628"/>
      <c r="ABU628"/>
      <c r="ABV628"/>
      <c r="ABW628"/>
      <c r="ABX628"/>
      <c r="ABY628"/>
      <c r="ABZ628"/>
      <c r="ACA628"/>
      <c r="ACB628"/>
      <c r="ACC628"/>
      <c r="ACD628"/>
      <c r="ACE628"/>
      <c r="ACF628"/>
      <c r="ACG628"/>
      <c r="ACH628"/>
      <c r="ACI628"/>
      <c r="ACJ628"/>
      <c r="ACK628"/>
      <c r="ACL628"/>
      <c r="ACM628"/>
      <c r="ACN628"/>
      <c r="ACO628"/>
      <c r="ACP628"/>
      <c r="ACQ628"/>
      <c r="ACR628"/>
      <c r="ACS628"/>
      <c r="ACT628"/>
      <c r="ACU628"/>
      <c r="ACV628"/>
      <c r="ACW628"/>
      <c r="ACX628"/>
      <c r="ACY628"/>
      <c r="ACZ628"/>
      <c r="ADA628"/>
      <c r="ADB628"/>
      <c r="ADC628"/>
      <c r="ADD628"/>
      <c r="ADE628"/>
      <c r="ADF628"/>
      <c r="ADG628"/>
      <c r="ADH628"/>
      <c r="ADI628"/>
      <c r="ADJ628"/>
      <c r="ADK628"/>
      <c r="ADL628"/>
      <c r="ADM628"/>
      <c r="ADN628"/>
      <c r="ADO628"/>
      <c r="ADP628"/>
      <c r="ADQ628"/>
      <c r="ADR628"/>
      <c r="ADS628"/>
      <c r="ADT628"/>
      <c r="ADU628"/>
      <c r="ADV628"/>
      <c r="ADW628"/>
      <c r="ADX628"/>
      <c r="ADY628"/>
      <c r="ADZ628"/>
      <c r="AEA628"/>
      <c r="AEB628"/>
      <c r="AEC628"/>
      <c r="AED628"/>
      <c r="AEE628"/>
      <c r="AEF628"/>
      <c r="AEG628"/>
      <c r="AEH628"/>
      <c r="AEI628"/>
      <c r="AEJ628"/>
      <c r="AEK628"/>
      <c r="AEL628"/>
      <c r="AEM628"/>
      <c r="AEN628"/>
      <c r="AEO628"/>
      <c r="AEP628"/>
      <c r="AEQ628"/>
      <c r="AER628"/>
      <c r="AES628"/>
      <c r="AET628"/>
      <c r="AEU628"/>
      <c r="AEV628"/>
      <c r="AEW628"/>
      <c r="AEX628"/>
      <c r="AEY628"/>
      <c r="AEZ628"/>
      <c r="AFA628"/>
      <c r="AFB628"/>
      <c r="AFC628"/>
      <c r="AFD628"/>
      <c r="AFE628"/>
      <c r="AFF628"/>
      <c r="AFG628"/>
      <c r="AFH628"/>
      <c r="AFI628"/>
      <c r="AFJ628"/>
      <c r="AFK628"/>
      <c r="AFL628"/>
      <c r="AFM628"/>
      <c r="AFN628"/>
      <c r="AFO628"/>
      <c r="AFP628"/>
      <c r="AFQ628"/>
      <c r="AFR628"/>
      <c r="AFS628"/>
      <c r="AFT628"/>
      <c r="AFU628"/>
      <c r="AFV628"/>
      <c r="AFW628"/>
      <c r="AFX628"/>
      <c r="AFY628"/>
      <c r="AFZ628"/>
      <c r="AGA628"/>
      <c r="AGB628"/>
      <c r="AGC628"/>
      <c r="AGD628"/>
      <c r="AGE628"/>
      <c r="AGF628"/>
      <c r="AGG628"/>
      <c r="AGH628"/>
      <c r="AGI628"/>
      <c r="AGJ628"/>
      <c r="AGK628"/>
      <c r="AGL628"/>
      <c r="AGM628"/>
      <c r="AGN628"/>
      <c r="AGO628"/>
      <c r="AGP628"/>
      <c r="AGQ628"/>
      <c r="AGR628"/>
      <c r="AGS628"/>
      <c r="AGT628"/>
      <c r="AGU628"/>
      <c r="AGV628"/>
      <c r="AGW628"/>
      <c r="AGX628"/>
      <c r="AGY628"/>
      <c r="AGZ628"/>
      <c r="AHA628"/>
      <c r="AHB628"/>
      <c r="AHC628"/>
      <c r="AHD628"/>
      <c r="AHE628"/>
      <c r="AHF628"/>
      <c r="AHG628"/>
      <c r="AHH628"/>
      <c r="AHI628"/>
      <c r="AHJ628"/>
      <c r="AHK628"/>
      <c r="AHL628"/>
      <c r="AHM628"/>
      <c r="AHN628"/>
      <c r="AHO628"/>
      <c r="AHP628"/>
      <c r="AHQ628"/>
      <c r="AHR628"/>
      <c r="AHS628"/>
      <c r="AHT628"/>
      <c r="AHU628"/>
      <c r="AHV628"/>
      <c r="AHW628"/>
      <c r="AHX628"/>
      <c r="AHY628"/>
      <c r="AHZ628"/>
      <c r="AIA628"/>
      <c r="AIB628"/>
      <c r="AIC628"/>
      <c r="AID628"/>
      <c r="AIE628"/>
      <c r="AIF628"/>
      <c r="AIG628"/>
      <c r="AIH628"/>
      <c r="AII628"/>
      <c r="AIJ628"/>
      <c r="AIK628"/>
      <c r="AIL628"/>
      <c r="AIM628"/>
      <c r="AIN628"/>
      <c r="AIO628"/>
      <c r="AIP628"/>
      <c r="AIQ628"/>
      <c r="AIR628"/>
      <c r="AIS628"/>
      <c r="AIT628"/>
      <c r="AIU628"/>
      <c r="AIV628"/>
      <c r="AIW628"/>
      <c r="AIX628"/>
      <c r="AIY628"/>
      <c r="AIZ628"/>
      <c r="AJA628"/>
      <c r="AJB628"/>
      <c r="AJC628"/>
      <c r="AJD628"/>
      <c r="AJE628"/>
      <c r="AJF628"/>
      <c r="AJG628"/>
      <c r="AJH628"/>
      <c r="AJI628"/>
      <c r="AJJ628"/>
      <c r="AJK628"/>
      <c r="AJL628"/>
      <c r="AJM628"/>
      <c r="AJN628"/>
      <c r="AJO628"/>
      <c r="AJP628"/>
      <c r="AJQ628"/>
      <c r="AJR628"/>
      <c r="AJS628"/>
      <c r="AJT628"/>
      <c r="AJU628"/>
      <c r="AJV628"/>
      <c r="AJW628"/>
      <c r="AJX628"/>
      <c r="AJY628"/>
      <c r="AJZ628"/>
      <c r="AKA628"/>
      <c r="AKB628"/>
      <c r="AKC628"/>
      <c r="AKD628"/>
      <c r="AKE628"/>
      <c r="AKF628"/>
      <c r="AKG628"/>
      <c r="AKH628"/>
      <c r="AKI628"/>
      <c r="AKJ628"/>
      <c r="AKK628"/>
      <c r="AKL628"/>
      <c r="AKM628"/>
      <c r="AKN628"/>
      <c r="AKO628"/>
      <c r="AKP628"/>
      <c r="AKQ628"/>
      <c r="AKR628"/>
      <c r="AKS628"/>
      <c r="AKT628"/>
      <c r="AKU628"/>
      <c r="AKV628"/>
      <c r="AKW628"/>
      <c r="AKX628"/>
      <c r="AKY628"/>
    </row>
    <row r="629" spans="1:987">
      <c r="A629" s="356"/>
      <c r="B629" s="431"/>
      <c r="C629" s="13"/>
      <c r="D629" s="13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  <c r="ZW629"/>
      <c r="ZX629"/>
      <c r="ZY629"/>
      <c r="ZZ629"/>
      <c r="AAA629"/>
      <c r="AAB629"/>
      <c r="AAC629"/>
      <c r="AAD629"/>
      <c r="AAE629"/>
      <c r="AAF629"/>
      <c r="AAG629"/>
      <c r="AAH629"/>
      <c r="AAI629"/>
      <c r="AAJ629"/>
      <c r="AAK629"/>
      <c r="AAL629"/>
      <c r="AAM629"/>
      <c r="AAN629"/>
      <c r="AAO629"/>
      <c r="AAP629"/>
      <c r="AAQ629"/>
      <c r="AAR629"/>
      <c r="AAS629"/>
      <c r="AAT629"/>
      <c r="AAU629"/>
      <c r="AAV629"/>
      <c r="AAW629"/>
      <c r="AAX629"/>
      <c r="AAY629"/>
      <c r="AAZ629"/>
      <c r="ABA629"/>
      <c r="ABB629"/>
      <c r="ABC629"/>
      <c r="ABD629"/>
      <c r="ABE629"/>
      <c r="ABF629"/>
      <c r="ABG629"/>
      <c r="ABH629"/>
      <c r="ABI629"/>
      <c r="ABJ629"/>
      <c r="ABK629"/>
      <c r="ABL629"/>
      <c r="ABM629"/>
      <c r="ABN629"/>
      <c r="ABO629"/>
      <c r="ABP629"/>
      <c r="ABQ629"/>
      <c r="ABR629"/>
      <c r="ABS629"/>
      <c r="ABT629"/>
      <c r="ABU629"/>
      <c r="ABV629"/>
      <c r="ABW629"/>
      <c r="ABX629"/>
      <c r="ABY629"/>
      <c r="ABZ629"/>
      <c r="ACA629"/>
      <c r="ACB629"/>
      <c r="ACC629"/>
      <c r="ACD629"/>
      <c r="ACE629"/>
      <c r="ACF629"/>
      <c r="ACG629"/>
      <c r="ACH629"/>
      <c r="ACI629"/>
      <c r="ACJ629"/>
      <c r="ACK629"/>
      <c r="ACL629"/>
      <c r="ACM629"/>
      <c r="ACN629"/>
      <c r="ACO629"/>
      <c r="ACP629"/>
      <c r="ACQ629"/>
      <c r="ACR629"/>
      <c r="ACS629"/>
      <c r="ACT629"/>
      <c r="ACU629"/>
      <c r="ACV629"/>
      <c r="ACW629"/>
      <c r="ACX629"/>
      <c r="ACY629"/>
      <c r="ACZ629"/>
      <c r="ADA629"/>
      <c r="ADB629"/>
      <c r="ADC629"/>
      <c r="ADD629"/>
      <c r="ADE629"/>
      <c r="ADF629"/>
      <c r="ADG629"/>
      <c r="ADH629"/>
      <c r="ADI629"/>
      <c r="ADJ629"/>
      <c r="ADK629"/>
      <c r="ADL629"/>
      <c r="ADM629"/>
      <c r="ADN629"/>
      <c r="ADO629"/>
      <c r="ADP629"/>
      <c r="ADQ629"/>
      <c r="ADR629"/>
      <c r="ADS629"/>
      <c r="ADT629"/>
      <c r="ADU629"/>
      <c r="ADV629"/>
      <c r="ADW629"/>
      <c r="ADX629"/>
      <c r="ADY629"/>
      <c r="ADZ629"/>
      <c r="AEA629"/>
      <c r="AEB629"/>
      <c r="AEC629"/>
      <c r="AED629"/>
      <c r="AEE629"/>
      <c r="AEF629"/>
      <c r="AEG629"/>
      <c r="AEH629"/>
      <c r="AEI629"/>
      <c r="AEJ629"/>
      <c r="AEK629"/>
      <c r="AEL629"/>
      <c r="AEM629"/>
      <c r="AEN629"/>
      <c r="AEO629"/>
      <c r="AEP629"/>
      <c r="AEQ629"/>
      <c r="AER629"/>
      <c r="AES629"/>
      <c r="AET629"/>
      <c r="AEU629"/>
      <c r="AEV629"/>
      <c r="AEW629"/>
      <c r="AEX629"/>
      <c r="AEY629"/>
      <c r="AEZ629"/>
      <c r="AFA629"/>
      <c r="AFB629"/>
      <c r="AFC629"/>
      <c r="AFD629"/>
      <c r="AFE629"/>
      <c r="AFF629"/>
      <c r="AFG629"/>
      <c r="AFH629"/>
      <c r="AFI629"/>
      <c r="AFJ629"/>
      <c r="AFK629"/>
      <c r="AFL629"/>
      <c r="AFM629"/>
      <c r="AFN629"/>
      <c r="AFO629"/>
      <c r="AFP629"/>
      <c r="AFQ629"/>
      <c r="AFR629"/>
      <c r="AFS629"/>
      <c r="AFT629"/>
      <c r="AFU629"/>
      <c r="AFV629"/>
      <c r="AFW629"/>
      <c r="AFX629"/>
      <c r="AFY629"/>
      <c r="AFZ629"/>
      <c r="AGA629"/>
      <c r="AGB629"/>
      <c r="AGC629"/>
      <c r="AGD629"/>
      <c r="AGE629"/>
      <c r="AGF629"/>
      <c r="AGG629"/>
      <c r="AGH629"/>
      <c r="AGI629"/>
      <c r="AGJ629"/>
      <c r="AGK629"/>
      <c r="AGL629"/>
      <c r="AGM629"/>
      <c r="AGN629"/>
      <c r="AGO629"/>
      <c r="AGP629"/>
      <c r="AGQ629"/>
      <c r="AGR629"/>
      <c r="AGS629"/>
      <c r="AGT629"/>
      <c r="AGU629"/>
      <c r="AGV629"/>
      <c r="AGW629"/>
      <c r="AGX629"/>
      <c r="AGY629"/>
      <c r="AGZ629"/>
      <c r="AHA629"/>
      <c r="AHB629"/>
      <c r="AHC629"/>
      <c r="AHD629"/>
      <c r="AHE629"/>
      <c r="AHF629"/>
      <c r="AHG629"/>
      <c r="AHH629"/>
      <c r="AHI629"/>
      <c r="AHJ629"/>
      <c r="AHK629"/>
      <c r="AHL629"/>
      <c r="AHM629"/>
      <c r="AHN629"/>
      <c r="AHO629"/>
      <c r="AHP629"/>
      <c r="AHQ629"/>
      <c r="AHR629"/>
      <c r="AHS629"/>
      <c r="AHT629"/>
      <c r="AHU629"/>
      <c r="AHV629"/>
      <c r="AHW629"/>
      <c r="AHX629"/>
      <c r="AHY629"/>
      <c r="AHZ629"/>
      <c r="AIA629"/>
      <c r="AIB629"/>
      <c r="AIC629"/>
      <c r="AID629"/>
      <c r="AIE629"/>
      <c r="AIF629"/>
      <c r="AIG629"/>
      <c r="AIH629"/>
      <c r="AII629"/>
      <c r="AIJ629"/>
      <c r="AIK629"/>
      <c r="AIL629"/>
      <c r="AIM629"/>
      <c r="AIN629"/>
      <c r="AIO629"/>
      <c r="AIP629"/>
      <c r="AIQ629"/>
      <c r="AIR629"/>
      <c r="AIS629"/>
      <c r="AIT629"/>
      <c r="AIU629"/>
      <c r="AIV629"/>
      <c r="AIW629"/>
      <c r="AIX629"/>
      <c r="AIY629"/>
      <c r="AIZ629"/>
      <c r="AJA629"/>
      <c r="AJB629"/>
      <c r="AJC629"/>
      <c r="AJD629"/>
      <c r="AJE629"/>
      <c r="AJF629"/>
      <c r="AJG629"/>
      <c r="AJH629"/>
      <c r="AJI629"/>
      <c r="AJJ629"/>
      <c r="AJK629"/>
      <c r="AJL629"/>
      <c r="AJM629"/>
      <c r="AJN629"/>
      <c r="AJO629"/>
      <c r="AJP629"/>
      <c r="AJQ629"/>
      <c r="AJR629"/>
      <c r="AJS629"/>
      <c r="AJT629"/>
      <c r="AJU629"/>
      <c r="AJV629"/>
      <c r="AJW629"/>
      <c r="AJX629"/>
      <c r="AJY629"/>
      <c r="AJZ629"/>
      <c r="AKA629"/>
      <c r="AKB629"/>
      <c r="AKC629"/>
      <c r="AKD629"/>
      <c r="AKE629"/>
      <c r="AKF629"/>
      <c r="AKG629"/>
      <c r="AKH629"/>
      <c r="AKI629"/>
      <c r="AKJ629"/>
      <c r="AKK629"/>
      <c r="AKL629"/>
      <c r="AKM629"/>
      <c r="AKN629"/>
      <c r="AKO629"/>
      <c r="AKP629"/>
      <c r="AKQ629"/>
      <c r="AKR629"/>
      <c r="AKS629"/>
      <c r="AKT629"/>
      <c r="AKU629"/>
      <c r="AKV629"/>
      <c r="AKW629"/>
      <c r="AKX629"/>
      <c r="AKY629"/>
    </row>
    <row r="630" spans="1:987">
      <c r="B630" s="431"/>
      <c r="C630" s="13"/>
      <c r="D630" s="13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  <c r="ZW630"/>
      <c r="ZX630"/>
      <c r="ZY630"/>
      <c r="ZZ630"/>
      <c r="AAA630"/>
      <c r="AAB630"/>
      <c r="AAC630"/>
      <c r="AAD630"/>
      <c r="AAE630"/>
      <c r="AAF630"/>
      <c r="AAG630"/>
      <c r="AAH630"/>
      <c r="AAI630"/>
      <c r="AAJ630"/>
      <c r="AAK630"/>
      <c r="AAL630"/>
      <c r="AAM630"/>
      <c r="AAN630"/>
      <c r="AAO630"/>
      <c r="AAP630"/>
      <c r="AAQ630"/>
      <c r="AAR630"/>
      <c r="AAS630"/>
      <c r="AAT630"/>
      <c r="AAU630"/>
      <c r="AAV630"/>
      <c r="AAW630"/>
      <c r="AAX630"/>
      <c r="AAY630"/>
      <c r="AAZ630"/>
      <c r="ABA630"/>
      <c r="ABB630"/>
      <c r="ABC630"/>
      <c r="ABD630"/>
      <c r="ABE630"/>
      <c r="ABF630"/>
      <c r="ABG630"/>
      <c r="ABH630"/>
      <c r="ABI630"/>
      <c r="ABJ630"/>
      <c r="ABK630"/>
      <c r="ABL630"/>
      <c r="ABM630"/>
      <c r="ABN630"/>
      <c r="ABO630"/>
      <c r="ABP630"/>
      <c r="ABQ630"/>
      <c r="ABR630"/>
      <c r="ABS630"/>
      <c r="ABT630"/>
      <c r="ABU630"/>
      <c r="ABV630"/>
      <c r="ABW630"/>
      <c r="ABX630"/>
      <c r="ABY630"/>
      <c r="ABZ630"/>
      <c r="ACA630"/>
      <c r="ACB630"/>
      <c r="ACC630"/>
      <c r="ACD630"/>
      <c r="ACE630"/>
      <c r="ACF630"/>
      <c r="ACG630"/>
      <c r="ACH630"/>
      <c r="ACI630"/>
      <c r="ACJ630"/>
      <c r="ACK630"/>
      <c r="ACL630"/>
      <c r="ACM630"/>
      <c r="ACN630"/>
      <c r="ACO630"/>
      <c r="ACP630"/>
      <c r="ACQ630"/>
      <c r="ACR630"/>
      <c r="ACS630"/>
      <c r="ACT630"/>
      <c r="ACU630"/>
      <c r="ACV630"/>
      <c r="ACW630"/>
      <c r="ACX630"/>
      <c r="ACY630"/>
      <c r="ACZ630"/>
      <c r="ADA630"/>
      <c r="ADB630"/>
      <c r="ADC630"/>
      <c r="ADD630"/>
      <c r="ADE630"/>
      <c r="ADF630"/>
      <c r="ADG630"/>
      <c r="ADH630"/>
      <c r="ADI630"/>
      <c r="ADJ630"/>
      <c r="ADK630"/>
      <c r="ADL630"/>
      <c r="ADM630"/>
      <c r="ADN630"/>
      <c r="ADO630"/>
      <c r="ADP630"/>
      <c r="ADQ630"/>
      <c r="ADR630"/>
      <c r="ADS630"/>
      <c r="ADT630"/>
      <c r="ADU630"/>
      <c r="ADV630"/>
      <c r="ADW630"/>
      <c r="ADX630"/>
      <c r="ADY630"/>
      <c r="ADZ630"/>
      <c r="AEA630"/>
      <c r="AEB630"/>
      <c r="AEC630"/>
      <c r="AED630"/>
      <c r="AEE630"/>
      <c r="AEF630"/>
      <c r="AEG630"/>
      <c r="AEH630"/>
      <c r="AEI630"/>
      <c r="AEJ630"/>
      <c r="AEK630"/>
      <c r="AEL630"/>
      <c r="AEM630"/>
      <c r="AEN630"/>
      <c r="AEO630"/>
      <c r="AEP630"/>
      <c r="AEQ630"/>
      <c r="AER630"/>
      <c r="AES630"/>
      <c r="AET630"/>
      <c r="AEU630"/>
      <c r="AEV630"/>
      <c r="AEW630"/>
      <c r="AEX630"/>
      <c r="AEY630"/>
      <c r="AEZ630"/>
      <c r="AFA630"/>
      <c r="AFB630"/>
      <c r="AFC630"/>
      <c r="AFD630"/>
      <c r="AFE630"/>
      <c r="AFF630"/>
      <c r="AFG630"/>
      <c r="AFH630"/>
      <c r="AFI630"/>
      <c r="AFJ630"/>
      <c r="AFK630"/>
      <c r="AFL630"/>
      <c r="AFM630"/>
      <c r="AFN630"/>
      <c r="AFO630"/>
      <c r="AFP630"/>
      <c r="AFQ630"/>
      <c r="AFR630"/>
      <c r="AFS630"/>
      <c r="AFT630"/>
      <c r="AFU630"/>
      <c r="AFV630"/>
      <c r="AFW630"/>
      <c r="AFX630"/>
      <c r="AFY630"/>
      <c r="AFZ630"/>
      <c r="AGA630"/>
      <c r="AGB630"/>
      <c r="AGC630"/>
      <c r="AGD630"/>
      <c r="AGE630"/>
      <c r="AGF630"/>
      <c r="AGG630"/>
      <c r="AGH630"/>
      <c r="AGI630"/>
      <c r="AGJ630"/>
      <c r="AGK630"/>
      <c r="AGL630"/>
      <c r="AGM630"/>
      <c r="AGN630"/>
      <c r="AGO630"/>
      <c r="AGP630"/>
      <c r="AGQ630"/>
      <c r="AGR630"/>
      <c r="AGS630"/>
      <c r="AGT630"/>
      <c r="AGU630"/>
      <c r="AGV630"/>
      <c r="AGW630"/>
      <c r="AGX630"/>
      <c r="AGY630"/>
      <c r="AGZ630"/>
      <c r="AHA630"/>
      <c r="AHB630"/>
      <c r="AHC630"/>
      <c r="AHD630"/>
      <c r="AHE630"/>
      <c r="AHF630"/>
      <c r="AHG630"/>
      <c r="AHH630"/>
      <c r="AHI630"/>
      <c r="AHJ630"/>
      <c r="AHK630"/>
      <c r="AHL630"/>
      <c r="AHM630"/>
      <c r="AHN630"/>
      <c r="AHO630"/>
      <c r="AHP630"/>
      <c r="AHQ630"/>
      <c r="AHR630"/>
      <c r="AHS630"/>
      <c r="AHT630"/>
      <c r="AHU630"/>
      <c r="AHV630"/>
      <c r="AHW630"/>
      <c r="AHX630"/>
      <c r="AHY630"/>
      <c r="AHZ630"/>
      <c r="AIA630"/>
      <c r="AIB630"/>
      <c r="AIC630"/>
      <c r="AID630"/>
      <c r="AIE630"/>
      <c r="AIF630"/>
      <c r="AIG630"/>
      <c r="AIH630"/>
      <c r="AII630"/>
      <c r="AIJ630"/>
      <c r="AIK630"/>
      <c r="AIL630"/>
      <c r="AIM630"/>
      <c r="AIN630"/>
      <c r="AIO630"/>
      <c r="AIP630"/>
      <c r="AIQ630"/>
      <c r="AIR630"/>
      <c r="AIS630"/>
      <c r="AIT630"/>
      <c r="AIU630"/>
      <c r="AIV630"/>
      <c r="AIW630"/>
      <c r="AIX630"/>
      <c r="AIY630"/>
      <c r="AIZ630"/>
      <c r="AJA630"/>
      <c r="AJB630"/>
      <c r="AJC630"/>
      <c r="AJD630"/>
      <c r="AJE630"/>
      <c r="AJF630"/>
      <c r="AJG630"/>
      <c r="AJH630"/>
      <c r="AJI630"/>
      <c r="AJJ630"/>
      <c r="AJK630"/>
      <c r="AJL630"/>
      <c r="AJM630"/>
      <c r="AJN630"/>
      <c r="AJO630"/>
      <c r="AJP630"/>
      <c r="AJQ630"/>
      <c r="AJR630"/>
      <c r="AJS630"/>
      <c r="AJT630"/>
      <c r="AJU630"/>
      <c r="AJV630"/>
      <c r="AJW630"/>
      <c r="AJX630"/>
      <c r="AJY630"/>
      <c r="AJZ630"/>
      <c r="AKA630"/>
      <c r="AKB630"/>
      <c r="AKC630"/>
      <c r="AKD630"/>
      <c r="AKE630"/>
      <c r="AKF630"/>
      <c r="AKG630"/>
      <c r="AKH630"/>
      <c r="AKI630"/>
      <c r="AKJ630"/>
      <c r="AKK630"/>
      <c r="AKL630"/>
      <c r="AKM630"/>
      <c r="AKN630"/>
      <c r="AKO630"/>
      <c r="AKP630"/>
      <c r="AKQ630"/>
      <c r="AKR630"/>
      <c r="AKS630"/>
      <c r="AKT630"/>
      <c r="AKU630"/>
      <c r="AKV630"/>
      <c r="AKW630"/>
      <c r="AKX630"/>
      <c r="AKY630"/>
    </row>
    <row r="631" spans="1:987">
      <c r="B631" s="431"/>
      <c r="C631" s="13"/>
      <c r="D631" s="13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  <c r="VW631"/>
      <c r="VX631"/>
      <c r="VY631"/>
      <c r="VZ631"/>
      <c r="WA631"/>
      <c r="WB631"/>
      <c r="WC631"/>
      <c r="WD631"/>
      <c r="WE631"/>
      <c r="WF631"/>
      <c r="WG631"/>
      <c r="WH631"/>
      <c r="WI631"/>
      <c r="WJ631"/>
      <c r="WK631"/>
      <c r="WL631"/>
      <c r="WM631"/>
      <c r="WN631"/>
      <c r="WO631"/>
      <c r="WP631"/>
      <c r="WQ631"/>
      <c r="WR631"/>
      <c r="WS631"/>
      <c r="WT631"/>
      <c r="WU631"/>
      <c r="WV631"/>
      <c r="WW631"/>
      <c r="WX631"/>
      <c r="WY631"/>
      <c r="WZ631"/>
      <c r="XA631"/>
      <c r="XB631"/>
      <c r="XC631"/>
      <c r="XD631"/>
      <c r="XE631"/>
      <c r="XF631"/>
      <c r="XG631"/>
      <c r="XH631"/>
      <c r="XI631"/>
      <c r="XJ631"/>
      <c r="XK631"/>
      <c r="XL631"/>
      <c r="XM631"/>
      <c r="XN631"/>
      <c r="XO631"/>
      <c r="XP631"/>
      <c r="XQ631"/>
      <c r="XR631"/>
      <c r="XS631"/>
      <c r="XT631"/>
      <c r="XU631"/>
      <c r="XV631"/>
      <c r="XW631"/>
      <c r="XX631"/>
      <c r="XY631"/>
      <c r="XZ631"/>
      <c r="YA631"/>
      <c r="YB631"/>
      <c r="YC631"/>
      <c r="YD631"/>
      <c r="YE631"/>
      <c r="YF631"/>
      <c r="YG631"/>
      <c r="YH631"/>
      <c r="YI631"/>
      <c r="YJ631"/>
      <c r="YK631"/>
      <c r="YL631"/>
      <c r="YM631"/>
      <c r="YN631"/>
      <c r="YO631"/>
      <c r="YP631"/>
      <c r="YQ631"/>
      <c r="YR631"/>
      <c r="YS631"/>
      <c r="YT631"/>
      <c r="YU631"/>
      <c r="YV631"/>
      <c r="YW631"/>
      <c r="YX631"/>
      <c r="YY631"/>
      <c r="YZ631"/>
      <c r="ZA631"/>
      <c r="ZB631"/>
      <c r="ZC631"/>
      <c r="ZD631"/>
      <c r="ZE631"/>
      <c r="ZF631"/>
      <c r="ZG631"/>
      <c r="ZH631"/>
      <c r="ZI631"/>
      <c r="ZJ631"/>
      <c r="ZK631"/>
      <c r="ZL631"/>
      <c r="ZM631"/>
      <c r="ZN631"/>
      <c r="ZO631"/>
      <c r="ZP631"/>
      <c r="ZQ631"/>
      <c r="ZR631"/>
      <c r="ZS631"/>
      <c r="ZT631"/>
      <c r="ZU631"/>
      <c r="ZV631"/>
      <c r="ZW631"/>
      <c r="ZX631"/>
      <c r="ZY631"/>
      <c r="ZZ631"/>
      <c r="AAA631"/>
      <c r="AAB631"/>
      <c r="AAC631"/>
      <c r="AAD631"/>
      <c r="AAE631"/>
      <c r="AAF631"/>
      <c r="AAG631"/>
      <c r="AAH631"/>
      <c r="AAI631"/>
      <c r="AAJ631"/>
      <c r="AAK631"/>
      <c r="AAL631"/>
      <c r="AAM631"/>
      <c r="AAN631"/>
      <c r="AAO631"/>
      <c r="AAP631"/>
      <c r="AAQ631"/>
      <c r="AAR631"/>
      <c r="AAS631"/>
      <c r="AAT631"/>
      <c r="AAU631"/>
      <c r="AAV631"/>
      <c r="AAW631"/>
      <c r="AAX631"/>
      <c r="AAY631"/>
      <c r="AAZ631"/>
      <c r="ABA631"/>
      <c r="ABB631"/>
      <c r="ABC631"/>
      <c r="ABD631"/>
      <c r="ABE631"/>
      <c r="ABF631"/>
      <c r="ABG631"/>
      <c r="ABH631"/>
      <c r="ABI631"/>
      <c r="ABJ631"/>
      <c r="ABK631"/>
      <c r="ABL631"/>
      <c r="ABM631"/>
      <c r="ABN631"/>
      <c r="ABO631"/>
      <c r="ABP631"/>
      <c r="ABQ631"/>
      <c r="ABR631"/>
      <c r="ABS631"/>
      <c r="ABT631"/>
      <c r="ABU631"/>
      <c r="ABV631"/>
      <c r="ABW631"/>
      <c r="ABX631"/>
      <c r="ABY631"/>
      <c r="ABZ631"/>
      <c r="ACA631"/>
      <c r="ACB631"/>
      <c r="ACC631"/>
      <c r="ACD631"/>
      <c r="ACE631"/>
      <c r="ACF631"/>
      <c r="ACG631"/>
      <c r="ACH631"/>
      <c r="ACI631"/>
      <c r="ACJ631"/>
      <c r="ACK631"/>
      <c r="ACL631"/>
      <c r="ACM631"/>
      <c r="ACN631"/>
      <c r="ACO631"/>
      <c r="ACP631"/>
      <c r="ACQ631"/>
      <c r="ACR631"/>
      <c r="ACS631"/>
      <c r="ACT631"/>
      <c r="ACU631"/>
      <c r="ACV631"/>
      <c r="ACW631"/>
      <c r="ACX631"/>
      <c r="ACY631"/>
      <c r="ACZ631"/>
      <c r="ADA631"/>
      <c r="ADB631"/>
      <c r="ADC631"/>
      <c r="ADD631"/>
      <c r="ADE631"/>
      <c r="ADF631"/>
      <c r="ADG631"/>
      <c r="ADH631"/>
      <c r="ADI631"/>
      <c r="ADJ631"/>
      <c r="ADK631"/>
      <c r="ADL631"/>
      <c r="ADM631"/>
      <c r="ADN631"/>
      <c r="ADO631"/>
      <c r="ADP631"/>
      <c r="ADQ631"/>
      <c r="ADR631"/>
      <c r="ADS631"/>
      <c r="ADT631"/>
      <c r="ADU631"/>
      <c r="ADV631"/>
      <c r="ADW631"/>
      <c r="ADX631"/>
      <c r="ADY631"/>
      <c r="ADZ631"/>
      <c r="AEA631"/>
      <c r="AEB631"/>
      <c r="AEC631"/>
      <c r="AED631"/>
      <c r="AEE631"/>
      <c r="AEF631"/>
      <c r="AEG631"/>
      <c r="AEH631"/>
      <c r="AEI631"/>
      <c r="AEJ631"/>
      <c r="AEK631"/>
      <c r="AEL631"/>
      <c r="AEM631"/>
      <c r="AEN631"/>
      <c r="AEO631"/>
      <c r="AEP631"/>
      <c r="AEQ631"/>
      <c r="AER631"/>
      <c r="AES631"/>
      <c r="AET631"/>
      <c r="AEU631"/>
      <c r="AEV631"/>
      <c r="AEW631"/>
      <c r="AEX631"/>
      <c r="AEY631"/>
      <c r="AEZ631"/>
      <c r="AFA631"/>
      <c r="AFB631"/>
      <c r="AFC631"/>
      <c r="AFD631"/>
      <c r="AFE631"/>
      <c r="AFF631"/>
      <c r="AFG631"/>
      <c r="AFH631"/>
      <c r="AFI631"/>
      <c r="AFJ631"/>
      <c r="AFK631"/>
      <c r="AFL631"/>
      <c r="AFM631"/>
      <c r="AFN631"/>
      <c r="AFO631"/>
      <c r="AFP631"/>
      <c r="AFQ631"/>
      <c r="AFR631"/>
      <c r="AFS631"/>
      <c r="AFT631"/>
      <c r="AFU631"/>
      <c r="AFV631"/>
      <c r="AFW631"/>
      <c r="AFX631"/>
      <c r="AFY631"/>
      <c r="AFZ631"/>
      <c r="AGA631"/>
      <c r="AGB631"/>
      <c r="AGC631"/>
      <c r="AGD631"/>
      <c r="AGE631"/>
      <c r="AGF631"/>
      <c r="AGG631"/>
      <c r="AGH631"/>
      <c r="AGI631"/>
      <c r="AGJ631"/>
      <c r="AGK631"/>
      <c r="AGL631"/>
      <c r="AGM631"/>
      <c r="AGN631"/>
      <c r="AGO631"/>
      <c r="AGP631"/>
      <c r="AGQ631"/>
      <c r="AGR631"/>
      <c r="AGS631"/>
      <c r="AGT631"/>
      <c r="AGU631"/>
      <c r="AGV631"/>
      <c r="AGW631"/>
      <c r="AGX631"/>
      <c r="AGY631"/>
      <c r="AGZ631"/>
      <c r="AHA631"/>
      <c r="AHB631"/>
      <c r="AHC631"/>
      <c r="AHD631"/>
      <c r="AHE631"/>
      <c r="AHF631"/>
      <c r="AHG631"/>
      <c r="AHH631"/>
      <c r="AHI631"/>
      <c r="AHJ631"/>
      <c r="AHK631"/>
      <c r="AHL631"/>
      <c r="AHM631"/>
      <c r="AHN631"/>
      <c r="AHO631"/>
      <c r="AHP631"/>
      <c r="AHQ631"/>
      <c r="AHR631"/>
      <c r="AHS631"/>
      <c r="AHT631"/>
      <c r="AHU631"/>
      <c r="AHV631"/>
      <c r="AHW631"/>
      <c r="AHX631"/>
      <c r="AHY631"/>
      <c r="AHZ631"/>
      <c r="AIA631"/>
      <c r="AIB631"/>
      <c r="AIC631"/>
      <c r="AID631"/>
      <c r="AIE631"/>
      <c r="AIF631"/>
      <c r="AIG631"/>
      <c r="AIH631"/>
      <c r="AII631"/>
      <c r="AIJ631"/>
      <c r="AIK631"/>
      <c r="AIL631"/>
      <c r="AIM631"/>
      <c r="AIN631"/>
      <c r="AIO631"/>
      <c r="AIP631"/>
      <c r="AIQ631"/>
      <c r="AIR631"/>
      <c r="AIS631"/>
      <c r="AIT631"/>
      <c r="AIU631"/>
      <c r="AIV631"/>
      <c r="AIW631"/>
      <c r="AIX631"/>
      <c r="AIY631"/>
      <c r="AIZ631"/>
      <c r="AJA631"/>
      <c r="AJB631"/>
      <c r="AJC631"/>
      <c r="AJD631"/>
      <c r="AJE631"/>
      <c r="AJF631"/>
      <c r="AJG631"/>
      <c r="AJH631"/>
      <c r="AJI631"/>
      <c r="AJJ631"/>
      <c r="AJK631"/>
      <c r="AJL631"/>
      <c r="AJM631"/>
      <c r="AJN631"/>
      <c r="AJO631"/>
      <c r="AJP631"/>
      <c r="AJQ631"/>
      <c r="AJR631"/>
      <c r="AJS631"/>
      <c r="AJT631"/>
      <c r="AJU631"/>
      <c r="AJV631"/>
      <c r="AJW631"/>
      <c r="AJX631"/>
      <c r="AJY631"/>
      <c r="AJZ631"/>
      <c r="AKA631"/>
      <c r="AKB631"/>
      <c r="AKC631"/>
      <c r="AKD631"/>
      <c r="AKE631"/>
      <c r="AKF631"/>
      <c r="AKG631"/>
      <c r="AKH631"/>
      <c r="AKI631"/>
      <c r="AKJ631"/>
      <c r="AKK631"/>
      <c r="AKL631"/>
      <c r="AKM631"/>
      <c r="AKN631"/>
      <c r="AKO631"/>
      <c r="AKP631"/>
      <c r="AKQ631"/>
      <c r="AKR631"/>
      <c r="AKS631"/>
      <c r="AKT631"/>
      <c r="AKU631"/>
      <c r="AKV631"/>
      <c r="AKW631"/>
      <c r="AKX631"/>
      <c r="AKY631"/>
    </row>
    <row r="632" spans="1:987">
      <c r="B632" s="431"/>
      <c r="C632" s="13"/>
      <c r="D632" s="13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  <c r="ZW632"/>
      <c r="ZX632"/>
      <c r="ZY632"/>
      <c r="ZZ632"/>
      <c r="AAA632"/>
      <c r="AAB632"/>
      <c r="AAC632"/>
      <c r="AAD632"/>
      <c r="AAE632"/>
      <c r="AAF632"/>
      <c r="AAG632"/>
      <c r="AAH632"/>
      <c r="AAI632"/>
      <c r="AAJ632"/>
      <c r="AAK632"/>
      <c r="AAL632"/>
      <c r="AAM632"/>
      <c r="AAN632"/>
      <c r="AAO632"/>
      <c r="AAP632"/>
      <c r="AAQ632"/>
      <c r="AAR632"/>
      <c r="AAS632"/>
      <c r="AAT632"/>
      <c r="AAU632"/>
      <c r="AAV632"/>
      <c r="AAW632"/>
      <c r="AAX632"/>
      <c r="AAY632"/>
      <c r="AAZ632"/>
      <c r="ABA632"/>
      <c r="ABB632"/>
      <c r="ABC632"/>
      <c r="ABD632"/>
      <c r="ABE632"/>
      <c r="ABF632"/>
      <c r="ABG632"/>
      <c r="ABH632"/>
      <c r="ABI632"/>
      <c r="ABJ632"/>
      <c r="ABK632"/>
      <c r="ABL632"/>
      <c r="ABM632"/>
      <c r="ABN632"/>
      <c r="ABO632"/>
      <c r="ABP632"/>
      <c r="ABQ632"/>
      <c r="ABR632"/>
      <c r="ABS632"/>
      <c r="ABT632"/>
      <c r="ABU632"/>
      <c r="ABV632"/>
      <c r="ABW632"/>
      <c r="ABX632"/>
      <c r="ABY632"/>
      <c r="ABZ632"/>
      <c r="ACA632"/>
      <c r="ACB632"/>
      <c r="ACC632"/>
      <c r="ACD632"/>
      <c r="ACE632"/>
      <c r="ACF632"/>
      <c r="ACG632"/>
      <c r="ACH632"/>
      <c r="ACI632"/>
      <c r="ACJ632"/>
      <c r="ACK632"/>
      <c r="ACL632"/>
      <c r="ACM632"/>
      <c r="ACN632"/>
      <c r="ACO632"/>
      <c r="ACP632"/>
      <c r="ACQ632"/>
      <c r="ACR632"/>
      <c r="ACS632"/>
      <c r="ACT632"/>
      <c r="ACU632"/>
      <c r="ACV632"/>
      <c r="ACW632"/>
      <c r="ACX632"/>
      <c r="ACY632"/>
      <c r="ACZ632"/>
      <c r="ADA632"/>
      <c r="ADB632"/>
      <c r="ADC632"/>
      <c r="ADD632"/>
      <c r="ADE632"/>
      <c r="ADF632"/>
      <c r="ADG632"/>
      <c r="ADH632"/>
      <c r="ADI632"/>
      <c r="ADJ632"/>
      <c r="ADK632"/>
      <c r="ADL632"/>
      <c r="ADM632"/>
      <c r="ADN632"/>
      <c r="ADO632"/>
      <c r="ADP632"/>
      <c r="ADQ632"/>
      <c r="ADR632"/>
      <c r="ADS632"/>
      <c r="ADT632"/>
      <c r="ADU632"/>
      <c r="ADV632"/>
      <c r="ADW632"/>
      <c r="ADX632"/>
      <c r="ADY632"/>
      <c r="ADZ632"/>
      <c r="AEA632"/>
      <c r="AEB632"/>
      <c r="AEC632"/>
      <c r="AED632"/>
      <c r="AEE632"/>
      <c r="AEF632"/>
      <c r="AEG632"/>
      <c r="AEH632"/>
      <c r="AEI632"/>
      <c r="AEJ632"/>
      <c r="AEK632"/>
      <c r="AEL632"/>
      <c r="AEM632"/>
      <c r="AEN632"/>
      <c r="AEO632"/>
      <c r="AEP632"/>
      <c r="AEQ632"/>
      <c r="AER632"/>
      <c r="AES632"/>
      <c r="AET632"/>
      <c r="AEU632"/>
      <c r="AEV632"/>
      <c r="AEW632"/>
      <c r="AEX632"/>
      <c r="AEY632"/>
      <c r="AEZ632"/>
      <c r="AFA632"/>
      <c r="AFB632"/>
      <c r="AFC632"/>
      <c r="AFD632"/>
      <c r="AFE632"/>
      <c r="AFF632"/>
      <c r="AFG632"/>
      <c r="AFH632"/>
      <c r="AFI632"/>
      <c r="AFJ632"/>
      <c r="AFK632"/>
      <c r="AFL632"/>
      <c r="AFM632"/>
      <c r="AFN632"/>
      <c r="AFO632"/>
      <c r="AFP632"/>
      <c r="AFQ632"/>
      <c r="AFR632"/>
      <c r="AFS632"/>
      <c r="AFT632"/>
      <c r="AFU632"/>
      <c r="AFV632"/>
      <c r="AFW632"/>
      <c r="AFX632"/>
      <c r="AFY632"/>
      <c r="AFZ632"/>
      <c r="AGA632"/>
      <c r="AGB632"/>
      <c r="AGC632"/>
      <c r="AGD632"/>
      <c r="AGE632"/>
      <c r="AGF632"/>
      <c r="AGG632"/>
      <c r="AGH632"/>
      <c r="AGI632"/>
      <c r="AGJ632"/>
      <c r="AGK632"/>
      <c r="AGL632"/>
      <c r="AGM632"/>
      <c r="AGN632"/>
      <c r="AGO632"/>
      <c r="AGP632"/>
      <c r="AGQ632"/>
      <c r="AGR632"/>
      <c r="AGS632"/>
      <c r="AGT632"/>
      <c r="AGU632"/>
      <c r="AGV632"/>
      <c r="AGW632"/>
      <c r="AGX632"/>
      <c r="AGY632"/>
      <c r="AGZ632"/>
      <c r="AHA632"/>
      <c r="AHB632"/>
      <c r="AHC632"/>
      <c r="AHD632"/>
      <c r="AHE632"/>
      <c r="AHF632"/>
      <c r="AHG632"/>
      <c r="AHH632"/>
      <c r="AHI632"/>
      <c r="AHJ632"/>
      <c r="AHK632"/>
      <c r="AHL632"/>
      <c r="AHM632"/>
      <c r="AHN632"/>
      <c r="AHO632"/>
      <c r="AHP632"/>
      <c r="AHQ632"/>
      <c r="AHR632"/>
      <c r="AHS632"/>
      <c r="AHT632"/>
      <c r="AHU632"/>
      <c r="AHV632"/>
      <c r="AHW632"/>
      <c r="AHX632"/>
      <c r="AHY632"/>
      <c r="AHZ632"/>
      <c r="AIA632"/>
      <c r="AIB632"/>
      <c r="AIC632"/>
      <c r="AID632"/>
      <c r="AIE632"/>
      <c r="AIF632"/>
      <c r="AIG632"/>
      <c r="AIH632"/>
      <c r="AII632"/>
      <c r="AIJ632"/>
      <c r="AIK632"/>
      <c r="AIL632"/>
      <c r="AIM632"/>
      <c r="AIN632"/>
      <c r="AIO632"/>
      <c r="AIP632"/>
      <c r="AIQ632"/>
      <c r="AIR632"/>
      <c r="AIS632"/>
      <c r="AIT632"/>
      <c r="AIU632"/>
      <c r="AIV632"/>
      <c r="AIW632"/>
      <c r="AIX632"/>
      <c r="AIY632"/>
      <c r="AIZ632"/>
      <c r="AJA632"/>
      <c r="AJB632"/>
      <c r="AJC632"/>
      <c r="AJD632"/>
      <c r="AJE632"/>
      <c r="AJF632"/>
      <c r="AJG632"/>
      <c r="AJH632"/>
      <c r="AJI632"/>
      <c r="AJJ632"/>
      <c r="AJK632"/>
      <c r="AJL632"/>
      <c r="AJM632"/>
      <c r="AJN632"/>
      <c r="AJO632"/>
      <c r="AJP632"/>
      <c r="AJQ632"/>
      <c r="AJR632"/>
      <c r="AJS632"/>
      <c r="AJT632"/>
      <c r="AJU632"/>
      <c r="AJV632"/>
      <c r="AJW632"/>
      <c r="AJX632"/>
      <c r="AJY632"/>
      <c r="AJZ632"/>
      <c r="AKA632"/>
      <c r="AKB632"/>
      <c r="AKC632"/>
      <c r="AKD632"/>
      <c r="AKE632"/>
      <c r="AKF632"/>
      <c r="AKG632"/>
      <c r="AKH632"/>
      <c r="AKI632"/>
      <c r="AKJ632"/>
      <c r="AKK632"/>
      <c r="AKL632"/>
      <c r="AKM632"/>
      <c r="AKN632"/>
      <c r="AKO632"/>
      <c r="AKP632"/>
      <c r="AKQ632"/>
      <c r="AKR632"/>
      <c r="AKS632"/>
      <c r="AKT632"/>
      <c r="AKU632"/>
      <c r="AKV632"/>
      <c r="AKW632"/>
      <c r="AKX632"/>
      <c r="AKY632"/>
    </row>
    <row r="633" spans="1:987">
      <c r="B633" s="431"/>
      <c r="C633" s="13"/>
      <c r="D633" s="1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  <c r="ZW633"/>
      <c r="ZX633"/>
      <c r="ZY633"/>
      <c r="ZZ633"/>
      <c r="AAA633"/>
      <c r="AAB633"/>
      <c r="AAC633"/>
      <c r="AAD633"/>
      <c r="AAE633"/>
      <c r="AAF633"/>
      <c r="AAG633"/>
      <c r="AAH633"/>
      <c r="AAI633"/>
      <c r="AAJ633"/>
      <c r="AAK633"/>
      <c r="AAL633"/>
      <c r="AAM633"/>
      <c r="AAN633"/>
      <c r="AAO633"/>
      <c r="AAP633"/>
      <c r="AAQ633"/>
      <c r="AAR633"/>
      <c r="AAS633"/>
      <c r="AAT633"/>
      <c r="AAU633"/>
      <c r="AAV633"/>
      <c r="AAW633"/>
      <c r="AAX633"/>
      <c r="AAY633"/>
      <c r="AAZ633"/>
      <c r="ABA633"/>
      <c r="ABB633"/>
      <c r="ABC633"/>
      <c r="ABD633"/>
      <c r="ABE633"/>
      <c r="ABF633"/>
      <c r="ABG633"/>
      <c r="ABH633"/>
      <c r="ABI633"/>
      <c r="ABJ633"/>
      <c r="ABK633"/>
      <c r="ABL633"/>
      <c r="ABM633"/>
      <c r="ABN633"/>
      <c r="ABO633"/>
      <c r="ABP633"/>
      <c r="ABQ633"/>
      <c r="ABR633"/>
      <c r="ABS633"/>
      <c r="ABT633"/>
      <c r="ABU633"/>
      <c r="ABV633"/>
      <c r="ABW633"/>
      <c r="ABX633"/>
      <c r="ABY633"/>
      <c r="ABZ633"/>
      <c r="ACA633"/>
      <c r="ACB633"/>
      <c r="ACC633"/>
      <c r="ACD633"/>
      <c r="ACE633"/>
      <c r="ACF633"/>
      <c r="ACG633"/>
      <c r="ACH633"/>
      <c r="ACI633"/>
      <c r="ACJ633"/>
      <c r="ACK633"/>
      <c r="ACL633"/>
      <c r="ACM633"/>
      <c r="ACN633"/>
      <c r="ACO633"/>
      <c r="ACP633"/>
      <c r="ACQ633"/>
      <c r="ACR633"/>
      <c r="ACS633"/>
      <c r="ACT633"/>
      <c r="ACU633"/>
      <c r="ACV633"/>
      <c r="ACW633"/>
      <c r="ACX633"/>
      <c r="ACY633"/>
      <c r="ACZ633"/>
      <c r="ADA633"/>
      <c r="ADB633"/>
      <c r="ADC633"/>
      <c r="ADD633"/>
      <c r="ADE633"/>
      <c r="ADF633"/>
      <c r="ADG633"/>
      <c r="ADH633"/>
      <c r="ADI633"/>
      <c r="ADJ633"/>
      <c r="ADK633"/>
      <c r="ADL633"/>
      <c r="ADM633"/>
      <c r="ADN633"/>
      <c r="ADO633"/>
      <c r="ADP633"/>
      <c r="ADQ633"/>
      <c r="ADR633"/>
      <c r="ADS633"/>
      <c r="ADT633"/>
      <c r="ADU633"/>
      <c r="ADV633"/>
      <c r="ADW633"/>
      <c r="ADX633"/>
      <c r="ADY633"/>
      <c r="ADZ633"/>
      <c r="AEA633"/>
      <c r="AEB633"/>
      <c r="AEC633"/>
      <c r="AED633"/>
      <c r="AEE633"/>
      <c r="AEF633"/>
      <c r="AEG633"/>
      <c r="AEH633"/>
      <c r="AEI633"/>
      <c r="AEJ633"/>
      <c r="AEK633"/>
      <c r="AEL633"/>
      <c r="AEM633"/>
      <c r="AEN633"/>
      <c r="AEO633"/>
      <c r="AEP633"/>
      <c r="AEQ633"/>
      <c r="AER633"/>
      <c r="AES633"/>
      <c r="AET633"/>
      <c r="AEU633"/>
      <c r="AEV633"/>
      <c r="AEW633"/>
      <c r="AEX633"/>
      <c r="AEY633"/>
      <c r="AEZ633"/>
      <c r="AFA633"/>
      <c r="AFB633"/>
      <c r="AFC633"/>
      <c r="AFD633"/>
      <c r="AFE633"/>
      <c r="AFF633"/>
      <c r="AFG633"/>
      <c r="AFH633"/>
      <c r="AFI633"/>
      <c r="AFJ633"/>
      <c r="AFK633"/>
      <c r="AFL633"/>
      <c r="AFM633"/>
      <c r="AFN633"/>
      <c r="AFO633"/>
      <c r="AFP633"/>
      <c r="AFQ633"/>
      <c r="AFR633"/>
      <c r="AFS633"/>
      <c r="AFT633"/>
      <c r="AFU633"/>
      <c r="AFV633"/>
      <c r="AFW633"/>
      <c r="AFX633"/>
      <c r="AFY633"/>
      <c r="AFZ633"/>
      <c r="AGA633"/>
      <c r="AGB633"/>
      <c r="AGC633"/>
      <c r="AGD633"/>
      <c r="AGE633"/>
      <c r="AGF633"/>
      <c r="AGG633"/>
      <c r="AGH633"/>
      <c r="AGI633"/>
      <c r="AGJ633"/>
      <c r="AGK633"/>
      <c r="AGL633"/>
      <c r="AGM633"/>
      <c r="AGN633"/>
      <c r="AGO633"/>
      <c r="AGP633"/>
      <c r="AGQ633"/>
      <c r="AGR633"/>
      <c r="AGS633"/>
      <c r="AGT633"/>
      <c r="AGU633"/>
      <c r="AGV633"/>
      <c r="AGW633"/>
      <c r="AGX633"/>
      <c r="AGY633"/>
      <c r="AGZ633"/>
      <c r="AHA633"/>
      <c r="AHB633"/>
      <c r="AHC633"/>
      <c r="AHD633"/>
      <c r="AHE633"/>
      <c r="AHF633"/>
      <c r="AHG633"/>
      <c r="AHH633"/>
      <c r="AHI633"/>
      <c r="AHJ633"/>
      <c r="AHK633"/>
      <c r="AHL633"/>
      <c r="AHM633"/>
      <c r="AHN633"/>
      <c r="AHO633"/>
      <c r="AHP633"/>
      <c r="AHQ633"/>
      <c r="AHR633"/>
      <c r="AHS633"/>
      <c r="AHT633"/>
      <c r="AHU633"/>
      <c r="AHV633"/>
      <c r="AHW633"/>
      <c r="AHX633"/>
      <c r="AHY633"/>
      <c r="AHZ633"/>
      <c r="AIA633"/>
      <c r="AIB633"/>
      <c r="AIC633"/>
      <c r="AID633"/>
      <c r="AIE633"/>
      <c r="AIF633"/>
      <c r="AIG633"/>
      <c r="AIH633"/>
      <c r="AII633"/>
      <c r="AIJ633"/>
      <c r="AIK633"/>
      <c r="AIL633"/>
      <c r="AIM633"/>
      <c r="AIN633"/>
      <c r="AIO633"/>
      <c r="AIP633"/>
      <c r="AIQ633"/>
      <c r="AIR633"/>
      <c r="AIS633"/>
      <c r="AIT633"/>
      <c r="AIU633"/>
      <c r="AIV633"/>
      <c r="AIW633"/>
      <c r="AIX633"/>
      <c r="AIY633"/>
      <c r="AIZ633"/>
      <c r="AJA633"/>
      <c r="AJB633"/>
      <c r="AJC633"/>
      <c r="AJD633"/>
      <c r="AJE633"/>
      <c r="AJF633"/>
      <c r="AJG633"/>
      <c r="AJH633"/>
      <c r="AJI633"/>
      <c r="AJJ633"/>
      <c r="AJK633"/>
      <c r="AJL633"/>
      <c r="AJM633"/>
      <c r="AJN633"/>
      <c r="AJO633"/>
      <c r="AJP633"/>
      <c r="AJQ633"/>
      <c r="AJR633"/>
      <c r="AJS633"/>
      <c r="AJT633"/>
      <c r="AJU633"/>
      <c r="AJV633"/>
      <c r="AJW633"/>
      <c r="AJX633"/>
      <c r="AJY633"/>
      <c r="AJZ633"/>
      <c r="AKA633"/>
      <c r="AKB633"/>
      <c r="AKC633"/>
      <c r="AKD633"/>
      <c r="AKE633"/>
      <c r="AKF633"/>
      <c r="AKG633"/>
      <c r="AKH633"/>
      <c r="AKI633"/>
      <c r="AKJ633"/>
      <c r="AKK633"/>
      <c r="AKL633"/>
      <c r="AKM633"/>
      <c r="AKN633"/>
      <c r="AKO633"/>
      <c r="AKP633"/>
      <c r="AKQ633"/>
      <c r="AKR633"/>
      <c r="AKS633"/>
      <c r="AKT633"/>
      <c r="AKU633"/>
      <c r="AKV633"/>
      <c r="AKW633"/>
      <c r="AKX633"/>
      <c r="AKY633"/>
    </row>
    <row r="634" spans="1:987">
      <c r="B634" s="431"/>
      <c r="C634" s="13"/>
      <c r="D634" s="13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  <c r="ZW634"/>
      <c r="ZX634"/>
      <c r="ZY634"/>
      <c r="ZZ634"/>
      <c r="AAA634"/>
      <c r="AAB634"/>
      <c r="AAC634"/>
      <c r="AAD634"/>
      <c r="AAE634"/>
      <c r="AAF634"/>
      <c r="AAG634"/>
      <c r="AAH634"/>
      <c r="AAI634"/>
      <c r="AAJ634"/>
      <c r="AAK634"/>
      <c r="AAL634"/>
      <c r="AAM634"/>
      <c r="AAN634"/>
      <c r="AAO634"/>
      <c r="AAP634"/>
      <c r="AAQ634"/>
      <c r="AAR634"/>
      <c r="AAS634"/>
      <c r="AAT634"/>
      <c r="AAU634"/>
      <c r="AAV634"/>
      <c r="AAW634"/>
      <c r="AAX634"/>
      <c r="AAY634"/>
      <c r="AAZ634"/>
      <c r="ABA634"/>
      <c r="ABB634"/>
      <c r="ABC634"/>
      <c r="ABD634"/>
      <c r="ABE634"/>
      <c r="ABF634"/>
      <c r="ABG634"/>
      <c r="ABH634"/>
      <c r="ABI634"/>
      <c r="ABJ634"/>
      <c r="ABK634"/>
      <c r="ABL634"/>
      <c r="ABM634"/>
      <c r="ABN634"/>
      <c r="ABO634"/>
      <c r="ABP634"/>
      <c r="ABQ634"/>
      <c r="ABR634"/>
      <c r="ABS634"/>
      <c r="ABT634"/>
      <c r="ABU634"/>
      <c r="ABV634"/>
      <c r="ABW634"/>
      <c r="ABX634"/>
      <c r="ABY634"/>
      <c r="ABZ634"/>
      <c r="ACA634"/>
      <c r="ACB634"/>
      <c r="ACC634"/>
      <c r="ACD634"/>
      <c r="ACE634"/>
      <c r="ACF634"/>
      <c r="ACG634"/>
      <c r="ACH634"/>
      <c r="ACI634"/>
      <c r="ACJ634"/>
      <c r="ACK634"/>
      <c r="ACL634"/>
      <c r="ACM634"/>
      <c r="ACN634"/>
      <c r="ACO634"/>
      <c r="ACP634"/>
      <c r="ACQ634"/>
      <c r="ACR634"/>
      <c r="ACS634"/>
      <c r="ACT634"/>
      <c r="ACU634"/>
      <c r="ACV634"/>
      <c r="ACW634"/>
      <c r="ACX634"/>
      <c r="ACY634"/>
      <c r="ACZ634"/>
      <c r="ADA634"/>
      <c r="ADB634"/>
      <c r="ADC634"/>
      <c r="ADD634"/>
      <c r="ADE634"/>
      <c r="ADF634"/>
      <c r="ADG634"/>
      <c r="ADH634"/>
      <c r="ADI634"/>
      <c r="ADJ634"/>
      <c r="ADK634"/>
      <c r="ADL634"/>
      <c r="ADM634"/>
      <c r="ADN634"/>
      <c r="ADO634"/>
      <c r="ADP634"/>
      <c r="ADQ634"/>
      <c r="ADR634"/>
      <c r="ADS634"/>
      <c r="ADT634"/>
      <c r="ADU634"/>
      <c r="ADV634"/>
      <c r="ADW634"/>
      <c r="ADX634"/>
      <c r="ADY634"/>
      <c r="ADZ634"/>
      <c r="AEA634"/>
      <c r="AEB634"/>
      <c r="AEC634"/>
      <c r="AED634"/>
      <c r="AEE634"/>
      <c r="AEF634"/>
      <c r="AEG634"/>
      <c r="AEH634"/>
      <c r="AEI634"/>
      <c r="AEJ634"/>
      <c r="AEK634"/>
      <c r="AEL634"/>
      <c r="AEM634"/>
      <c r="AEN634"/>
      <c r="AEO634"/>
      <c r="AEP634"/>
      <c r="AEQ634"/>
      <c r="AER634"/>
      <c r="AES634"/>
      <c r="AET634"/>
      <c r="AEU634"/>
      <c r="AEV634"/>
      <c r="AEW634"/>
      <c r="AEX634"/>
      <c r="AEY634"/>
      <c r="AEZ634"/>
      <c r="AFA634"/>
      <c r="AFB634"/>
      <c r="AFC634"/>
      <c r="AFD634"/>
      <c r="AFE634"/>
      <c r="AFF634"/>
      <c r="AFG634"/>
      <c r="AFH634"/>
      <c r="AFI634"/>
      <c r="AFJ634"/>
      <c r="AFK634"/>
      <c r="AFL634"/>
      <c r="AFM634"/>
      <c r="AFN634"/>
      <c r="AFO634"/>
      <c r="AFP634"/>
      <c r="AFQ634"/>
      <c r="AFR634"/>
      <c r="AFS634"/>
      <c r="AFT634"/>
      <c r="AFU634"/>
      <c r="AFV634"/>
      <c r="AFW634"/>
      <c r="AFX634"/>
      <c r="AFY634"/>
      <c r="AFZ634"/>
      <c r="AGA634"/>
      <c r="AGB634"/>
      <c r="AGC634"/>
      <c r="AGD634"/>
      <c r="AGE634"/>
      <c r="AGF634"/>
      <c r="AGG634"/>
      <c r="AGH634"/>
      <c r="AGI634"/>
      <c r="AGJ634"/>
      <c r="AGK634"/>
      <c r="AGL634"/>
      <c r="AGM634"/>
      <c r="AGN634"/>
      <c r="AGO634"/>
      <c r="AGP634"/>
      <c r="AGQ634"/>
      <c r="AGR634"/>
      <c r="AGS634"/>
      <c r="AGT634"/>
      <c r="AGU634"/>
      <c r="AGV634"/>
      <c r="AGW634"/>
      <c r="AGX634"/>
      <c r="AGY634"/>
      <c r="AGZ634"/>
      <c r="AHA634"/>
      <c r="AHB634"/>
      <c r="AHC634"/>
      <c r="AHD634"/>
      <c r="AHE634"/>
      <c r="AHF634"/>
      <c r="AHG634"/>
      <c r="AHH634"/>
      <c r="AHI634"/>
      <c r="AHJ634"/>
      <c r="AHK634"/>
      <c r="AHL634"/>
      <c r="AHM634"/>
      <c r="AHN634"/>
      <c r="AHO634"/>
      <c r="AHP634"/>
      <c r="AHQ634"/>
      <c r="AHR634"/>
      <c r="AHS634"/>
      <c r="AHT634"/>
      <c r="AHU634"/>
      <c r="AHV634"/>
      <c r="AHW634"/>
      <c r="AHX634"/>
      <c r="AHY634"/>
      <c r="AHZ634"/>
      <c r="AIA634"/>
      <c r="AIB634"/>
      <c r="AIC634"/>
      <c r="AID634"/>
      <c r="AIE634"/>
      <c r="AIF634"/>
      <c r="AIG634"/>
      <c r="AIH634"/>
      <c r="AII634"/>
      <c r="AIJ634"/>
      <c r="AIK634"/>
      <c r="AIL634"/>
      <c r="AIM634"/>
      <c r="AIN634"/>
      <c r="AIO634"/>
      <c r="AIP634"/>
      <c r="AIQ634"/>
      <c r="AIR634"/>
      <c r="AIS634"/>
      <c r="AIT634"/>
      <c r="AIU634"/>
      <c r="AIV634"/>
      <c r="AIW634"/>
      <c r="AIX634"/>
      <c r="AIY634"/>
      <c r="AIZ634"/>
      <c r="AJA634"/>
      <c r="AJB634"/>
      <c r="AJC634"/>
      <c r="AJD634"/>
      <c r="AJE634"/>
      <c r="AJF634"/>
      <c r="AJG634"/>
      <c r="AJH634"/>
      <c r="AJI634"/>
      <c r="AJJ634"/>
      <c r="AJK634"/>
      <c r="AJL634"/>
      <c r="AJM634"/>
      <c r="AJN634"/>
      <c r="AJO634"/>
      <c r="AJP634"/>
      <c r="AJQ634"/>
      <c r="AJR634"/>
      <c r="AJS634"/>
      <c r="AJT634"/>
      <c r="AJU634"/>
      <c r="AJV634"/>
      <c r="AJW634"/>
      <c r="AJX634"/>
      <c r="AJY634"/>
      <c r="AJZ634"/>
      <c r="AKA634"/>
      <c r="AKB634"/>
      <c r="AKC634"/>
      <c r="AKD634"/>
      <c r="AKE634"/>
      <c r="AKF634"/>
      <c r="AKG634"/>
      <c r="AKH634"/>
      <c r="AKI634"/>
      <c r="AKJ634"/>
      <c r="AKK634"/>
      <c r="AKL634"/>
      <c r="AKM634"/>
      <c r="AKN634"/>
      <c r="AKO634"/>
      <c r="AKP634"/>
      <c r="AKQ634"/>
      <c r="AKR634"/>
      <c r="AKS634"/>
      <c r="AKT634"/>
      <c r="AKU634"/>
      <c r="AKV634"/>
      <c r="AKW634"/>
      <c r="AKX634"/>
      <c r="AKY634"/>
    </row>
    <row r="635" spans="1:987">
      <c r="B635" s="431"/>
      <c r="C635" s="13"/>
      <c r="D635" s="13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  <c r="ZW635"/>
      <c r="ZX635"/>
      <c r="ZY635"/>
      <c r="ZZ635"/>
      <c r="AAA635"/>
      <c r="AAB635"/>
      <c r="AAC635"/>
      <c r="AAD635"/>
      <c r="AAE635"/>
      <c r="AAF635"/>
      <c r="AAG635"/>
      <c r="AAH635"/>
      <c r="AAI635"/>
      <c r="AAJ635"/>
      <c r="AAK635"/>
      <c r="AAL635"/>
      <c r="AAM635"/>
      <c r="AAN635"/>
      <c r="AAO635"/>
      <c r="AAP635"/>
      <c r="AAQ635"/>
      <c r="AAR635"/>
      <c r="AAS635"/>
      <c r="AAT635"/>
      <c r="AAU635"/>
      <c r="AAV635"/>
      <c r="AAW635"/>
      <c r="AAX635"/>
      <c r="AAY635"/>
      <c r="AAZ635"/>
      <c r="ABA635"/>
      <c r="ABB635"/>
      <c r="ABC635"/>
      <c r="ABD635"/>
      <c r="ABE635"/>
      <c r="ABF635"/>
      <c r="ABG635"/>
      <c r="ABH635"/>
      <c r="ABI635"/>
      <c r="ABJ635"/>
      <c r="ABK635"/>
      <c r="ABL635"/>
      <c r="ABM635"/>
      <c r="ABN635"/>
      <c r="ABO635"/>
      <c r="ABP635"/>
      <c r="ABQ635"/>
      <c r="ABR635"/>
      <c r="ABS635"/>
      <c r="ABT635"/>
      <c r="ABU635"/>
      <c r="ABV635"/>
      <c r="ABW635"/>
      <c r="ABX635"/>
      <c r="ABY635"/>
      <c r="ABZ635"/>
      <c r="ACA635"/>
      <c r="ACB635"/>
      <c r="ACC635"/>
      <c r="ACD635"/>
      <c r="ACE635"/>
      <c r="ACF635"/>
      <c r="ACG635"/>
      <c r="ACH635"/>
      <c r="ACI635"/>
      <c r="ACJ635"/>
      <c r="ACK635"/>
      <c r="ACL635"/>
      <c r="ACM635"/>
      <c r="ACN635"/>
      <c r="ACO635"/>
      <c r="ACP635"/>
      <c r="ACQ635"/>
      <c r="ACR635"/>
      <c r="ACS635"/>
      <c r="ACT635"/>
      <c r="ACU635"/>
      <c r="ACV635"/>
      <c r="ACW635"/>
      <c r="ACX635"/>
      <c r="ACY635"/>
      <c r="ACZ635"/>
      <c r="ADA635"/>
      <c r="ADB635"/>
      <c r="ADC635"/>
      <c r="ADD635"/>
      <c r="ADE635"/>
      <c r="ADF635"/>
      <c r="ADG635"/>
      <c r="ADH635"/>
      <c r="ADI635"/>
      <c r="ADJ635"/>
      <c r="ADK635"/>
      <c r="ADL635"/>
      <c r="ADM635"/>
      <c r="ADN635"/>
      <c r="ADO635"/>
      <c r="ADP635"/>
      <c r="ADQ635"/>
      <c r="ADR635"/>
      <c r="ADS635"/>
      <c r="ADT635"/>
      <c r="ADU635"/>
      <c r="ADV635"/>
      <c r="ADW635"/>
      <c r="ADX635"/>
      <c r="ADY635"/>
      <c r="ADZ635"/>
      <c r="AEA635"/>
      <c r="AEB635"/>
      <c r="AEC635"/>
      <c r="AED635"/>
      <c r="AEE635"/>
      <c r="AEF635"/>
      <c r="AEG635"/>
      <c r="AEH635"/>
      <c r="AEI635"/>
      <c r="AEJ635"/>
      <c r="AEK635"/>
      <c r="AEL635"/>
      <c r="AEM635"/>
      <c r="AEN635"/>
      <c r="AEO635"/>
      <c r="AEP635"/>
      <c r="AEQ635"/>
      <c r="AER635"/>
      <c r="AES635"/>
      <c r="AET635"/>
      <c r="AEU635"/>
      <c r="AEV635"/>
      <c r="AEW635"/>
      <c r="AEX635"/>
      <c r="AEY635"/>
      <c r="AEZ635"/>
      <c r="AFA635"/>
      <c r="AFB635"/>
      <c r="AFC635"/>
      <c r="AFD635"/>
      <c r="AFE635"/>
      <c r="AFF635"/>
      <c r="AFG635"/>
      <c r="AFH635"/>
      <c r="AFI635"/>
      <c r="AFJ635"/>
      <c r="AFK635"/>
      <c r="AFL635"/>
      <c r="AFM635"/>
      <c r="AFN635"/>
      <c r="AFO635"/>
      <c r="AFP635"/>
      <c r="AFQ635"/>
      <c r="AFR635"/>
      <c r="AFS635"/>
      <c r="AFT635"/>
      <c r="AFU635"/>
      <c r="AFV635"/>
      <c r="AFW635"/>
      <c r="AFX635"/>
      <c r="AFY635"/>
      <c r="AFZ635"/>
      <c r="AGA635"/>
      <c r="AGB635"/>
      <c r="AGC635"/>
      <c r="AGD635"/>
      <c r="AGE635"/>
      <c r="AGF635"/>
      <c r="AGG635"/>
      <c r="AGH635"/>
      <c r="AGI635"/>
      <c r="AGJ635"/>
      <c r="AGK635"/>
      <c r="AGL635"/>
      <c r="AGM635"/>
      <c r="AGN635"/>
      <c r="AGO635"/>
      <c r="AGP635"/>
      <c r="AGQ635"/>
      <c r="AGR635"/>
      <c r="AGS635"/>
      <c r="AGT635"/>
      <c r="AGU635"/>
      <c r="AGV635"/>
      <c r="AGW635"/>
      <c r="AGX635"/>
      <c r="AGY635"/>
      <c r="AGZ635"/>
      <c r="AHA635"/>
      <c r="AHB635"/>
      <c r="AHC635"/>
      <c r="AHD635"/>
      <c r="AHE635"/>
      <c r="AHF635"/>
      <c r="AHG635"/>
      <c r="AHH635"/>
      <c r="AHI635"/>
      <c r="AHJ635"/>
      <c r="AHK635"/>
      <c r="AHL635"/>
      <c r="AHM635"/>
      <c r="AHN635"/>
      <c r="AHO635"/>
      <c r="AHP635"/>
      <c r="AHQ635"/>
      <c r="AHR635"/>
      <c r="AHS635"/>
      <c r="AHT635"/>
      <c r="AHU635"/>
      <c r="AHV635"/>
      <c r="AHW635"/>
      <c r="AHX635"/>
      <c r="AHY635"/>
      <c r="AHZ635"/>
      <c r="AIA635"/>
      <c r="AIB635"/>
      <c r="AIC635"/>
      <c r="AID635"/>
      <c r="AIE635"/>
      <c r="AIF635"/>
      <c r="AIG635"/>
      <c r="AIH635"/>
      <c r="AII635"/>
      <c r="AIJ635"/>
      <c r="AIK635"/>
      <c r="AIL635"/>
      <c r="AIM635"/>
      <c r="AIN635"/>
      <c r="AIO635"/>
      <c r="AIP635"/>
      <c r="AIQ635"/>
      <c r="AIR635"/>
      <c r="AIS635"/>
      <c r="AIT635"/>
      <c r="AIU635"/>
      <c r="AIV635"/>
      <c r="AIW635"/>
      <c r="AIX635"/>
      <c r="AIY635"/>
      <c r="AIZ635"/>
      <c r="AJA635"/>
      <c r="AJB635"/>
      <c r="AJC635"/>
      <c r="AJD635"/>
      <c r="AJE635"/>
      <c r="AJF635"/>
      <c r="AJG635"/>
      <c r="AJH635"/>
      <c r="AJI635"/>
      <c r="AJJ635"/>
      <c r="AJK635"/>
      <c r="AJL635"/>
      <c r="AJM635"/>
      <c r="AJN635"/>
      <c r="AJO635"/>
      <c r="AJP635"/>
      <c r="AJQ635"/>
      <c r="AJR635"/>
      <c r="AJS635"/>
      <c r="AJT635"/>
      <c r="AJU635"/>
      <c r="AJV635"/>
      <c r="AJW635"/>
      <c r="AJX635"/>
      <c r="AJY635"/>
      <c r="AJZ635"/>
      <c r="AKA635"/>
      <c r="AKB635"/>
      <c r="AKC635"/>
      <c r="AKD635"/>
      <c r="AKE635"/>
      <c r="AKF635"/>
      <c r="AKG635"/>
      <c r="AKH635"/>
      <c r="AKI635"/>
      <c r="AKJ635"/>
      <c r="AKK635"/>
      <c r="AKL635"/>
      <c r="AKM635"/>
      <c r="AKN635"/>
      <c r="AKO635"/>
      <c r="AKP635"/>
      <c r="AKQ635"/>
      <c r="AKR635"/>
      <c r="AKS635"/>
      <c r="AKT635"/>
      <c r="AKU635"/>
      <c r="AKV635"/>
      <c r="AKW635"/>
      <c r="AKX635"/>
      <c r="AKY635"/>
    </row>
    <row r="638" spans="1:987" s="462" customFormat="1" ht="12.75">
      <c r="A638" s="454"/>
      <c r="B638" s="459"/>
      <c r="C638" s="458"/>
      <c r="D638" s="458"/>
    </row>
    <row r="640" spans="1:987">
      <c r="B640" s="431"/>
      <c r="C640" s="13"/>
      <c r="D640" s="13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  <c r="ZW640"/>
      <c r="ZX640"/>
      <c r="ZY640"/>
      <c r="ZZ640"/>
      <c r="AAA640"/>
      <c r="AAB640"/>
      <c r="AAC640"/>
      <c r="AAD640"/>
      <c r="AAE640"/>
      <c r="AAF640"/>
      <c r="AAG640"/>
      <c r="AAH640"/>
      <c r="AAI640"/>
      <c r="AAJ640"/>
      <c r="AAK640"/>
      <c r="AAL640"/>
      <c r="AAM640"/>
      <c r="AAN640"/>
      <c r="AAO640"/>
      <c r="AAP640"/>
      <c r="AAQ640"/>
      <c r="AAR640"/>
      <c r="AAS640"/>
      <c r="AAT640"/>
      <c r="AAU640"/>
      <c r="AAV640"/>
      <c r="AAW640"/>
      <c r="AAX640"/>
      <c r="AAY640"/>
      <c r="AAZ640"/>
      <c r="ABA640"/>
      <c r="ABB640"/>
      <c r="ABC640"/>
      <c r="ABD640"/>
      <c r="ABE640"/>
      <c r="ABF640"/>
      <c r="ABG640"/>
      <c r="ABH640"/>
      <c r="ABI640"/>
      <c r="ABJ640"/>
      <c r="ABK640"/>
      <c r="ABL640"/>
      <c r="ABM640"/>
      <c r="ABN640"/>
      <c r="ABO640"/>
      <c r="ABP640"/>
      <c r="ABQ640"/>
      <c r="ABR640"/>
      <c r="ABS640"/>
      <c r="ABT640"/>
      <c r="ABU640"/>
      <c r="ABV640"/>
      <c r="ABW640"/>
      <c r="ABX640"/>
      <c r="ABY640"/>
      <c r="ABZ640"/>
      <c r="ACA640"/>
      <c r="ACB640"/>
      <c r="ACC640"/>
      <c r="ACD640"/>
      <c r="ACE640"/>
      <c r="ACF640"/>
      <c r="ACG640"/>
      <c r="ACH640"/>
      <c r="ACI640"/>
      <c r="ACJ640"/>
      <c r="ACK640"/>
      <c r="ACL640"/>
      <c r="ACM640"/>
      <c r="ACN640"/>
      <c r="ACO640"/>
      <c r="ACP640"/>
      <c r="ACQ640"/>
      <c r="ACR640"/>
      <c r="ACS640"/>
      <c r="ACT640"/>
      <c r="ACU640"/>
      <c r="ACV640"/>
      <c r="ACW640"/>
      <c r="ACX640"/>
      <c r="ACY640"/>
      <c r="ACZ640"/>
      <c r="ADA640"/>
      <c r="ADB640"/>
      <c r="ADC640"/>
      <c r="ADD640"/>
      <c r="ADE640"/>
      <c r="ADF640"/>
      <c r="ADG640"/>
      <c r="ADH640"/>
      <c r="ADI640"/>
      <c r="ADJ640"/>
      <c r="ADK640"/>
      <c r="ADL640"/>
      <c r="ADM640"/>
      <c r="ADN640"/>
      <c r="ADO640"/>
      <c r="ADP640"/>
      <c r="ADQ640"/>
      <c r="ADR640"/>
      <c r="ADS640"/>
      <c r="ADT640"/>
      <c r="ADU640"/>
      <c r="ADV640"/>
      <c r="ADW640"/>
      <c r="ADX640"/>
      <c r="ADY640"/>
      <c r="ADZ640"/>
      <c r="AEA640"/>
      <c r="AEB640"/>
      <c r="AEC640"/>
      <c r="AED640"/>
      <c r="AEE640"/>
      <c r="AEF640"/>
      <c r="AEG640"/>
      <c r="AEH640"/>
      <c r="AEI640"/>
      <c r="AEJ640"/>
      <c r="AEK640"/>
      <c r="AEL640"/>
      <c r="AEM640"/>
      <c r="AEN640"/>
      <c r="AEO640"/>
      <c r="AEP640"/>
      <c r="AEQ640"/>
      <c r="AER640"/>
      <c r="AES640"/>
      <c r="AET640"/>
      <c r="AEU640"/>
      <c r="AEV640"/>
      <c r="AEW640"/>
      <c r="AEX640"/>
      <c r="AEY640"/>
      <c r="AEZ640"/>
      <c r="AFA640"/>
      <c r="AFB640"/>
      <c r="AFC640"/>
      <c r="AFD640"/>
      <c r="AFE640"/>
      <c r="AFF640"/>
      <c r="AFG640"/>
      <c r="AFH640"/>
      <c r="AFI640"/>
      <c r="AFJ640"/>
      <c r="AFK640"/>
      <c r="AFL640"/>
      <c r="AFM640"/>
      <c r="AFN640"/>
      <c r="AFO640"/>
      <c r="AFP640"/>
      <c r="AFQ640"/>
      <c r="AFR640"/>
      <c r="AFS640"/>
      <c r="AFT640"/>
      <c r="AFU640"/>
      <c r="AFV640"/>
      <c r="AFW640"/>
      <c r="AFX640"/>
      <c r="AFY640"/>
      <c r="AFZ640"/>
      <c r="AGA640"/>
      <c r="AGB640"/>
      <c r="AGC640"/>
      <c r="AGD640"/>
      <c r="AGE640"/>
      <c r="AGF640"/>
      <c r="AGG640"/>
      <c r="AGH640"/>
      <c r="AGI640"/>
      <c r="AGJ640"/>
      <c r="AGK640"/>
      <c r="AGL640"/>
      <c r="AGM640"/>
      <c r="AGN640"/>
      <c r="AGO640"/>
      <c r="AGP640"/>
      <c r="AGQ640"/>
      <c r="AGR640"/>
      <c r="AGS640"/>
      <c r="AGT640"/>
      <c r="AGU640"/>
      <c r="AGV640"/>
      <c r="AGW640"/>
      <c r="AGX640"/>
      <c r="AGY640"/>
      <c r="AGZ640"/>
      <c r="AHA640"/>
      <c r="AHB640"/>
      <c r="AHC640"/>
      <c r="AHD640"/>
      <c r="AHE640"/>
      <c r="AHF640"/>
      <c r="AHG640"/>
      <c r="AHH640"/>
      <c r="AHI640"/>
      <c r="AHJ640"/>
      <c r="AHK640"/>
      <c r="AHL640"/>
      <c r="AHM640"/>
      <c r="AHN640"/>
      <c r="AHO640"/>
      <c r="AHP640"/>
      <c r="AHQ640"/>
      <c r="AHR640"/>
      <c r="AHS640"/>
      <c r="AHT640"/>
      <c r="AHU640"/>
      <c r="AHV640"/>
      <c r="AHW640"/>
      <c r="AHX640"/>
      <c r="AHY640"/>
      <c r="AHZ640"/>
      <c r="AIA640"/>
      <c r="AIB640"/>
      <c r="AIC640"/>
      <c r="AID640"/>
      <c r="AIE640"/>
      <c r="AIF640"/>
      <c r="AIG640"/>
      <c r="AIH640"/>
      <c r="AII640"/>
      <c r="AIJ640"/>
      <c r="AIK640"/>
      <c r="AIL640"/>
      <c r="AIM640"/>
      <c r="AIN640"/>
      <c r="AIO640"/>
      <c r="AIP640"/>
      <c r="AIQ640"/>
      <c r="AIR640"/>
      <c r="AIS640"/>
      <c r="AIT640"/>
      <c r="AIU640"/>
      <c r="AIV640"/>
      <c r="AIW640"/>
      <c r="AIX640"/>
      <c r="AIY640"/>
      <c r="AIZ640"/>
      <c r="AJA640"/>
      <c r="AJB640"/>
      <c r="AJC640"/>
      <c r="AJD640"/>
      <c r="AJE640"/>
      <c r="AJF640"/>
      <c r="AJG640"/>
      <c r="AJH640"/>
      <c r="AJI640"/>
      <c r="AJJ640"/>
      <c r="AJK640"/>
      <c r="AJL640"/>
      <c r="AJM640"/>
      <c r="AJN640"/>
      <c r="AJO640"/>
      <c r="AJP640"/>
      <c r="AJQ640"/>
      <c r="AJR640"/>
      <c r="AJS640"/>
      <c r="AJT640"/>
      <c r="AJU640"/>
      <c r="AJV640"/>
      <c r="AJW640"/>
      <c r="AJX640"/>
      <c r="AJY640"/>
      <c r="AJZ640"/>
      <c r="AKA640"/>
      <c r="AKB640"/>
      <c r="AKC640"/>
      <c r="AKD640"/>
      <c r="AKE640"/>
      <c r="AKF640"/>
      <c r="AKG640"/>
      <c r="AKH640"/>
      <c r="AKI640"/>
      <c r="AKJ640"/>
      <c r="AKK640"/>
      <c r="AKL640"/>
      <c r="AKM640"/>
      <c r="AKN640"/>
      <c r="AKO640"/>
      <c r="AKP640"/>
      <c r="AKQ640"/>
      <c r="AKR640"/>
      <c r="AKS640"/>
      <c r="AKT640"/>
      <c r="AKU640"/>
      <c r="AKV640"/>
      <c r="AKW640"/>
      <c r="AKX640"/>
      <c r="AKY640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2DFA1-29A8-4FB4-BA6A-6B191C693474}">
  <dimension ref="B2:F112"/>
  <sheetViews>
    <sheetView topLeftCell="A78" workbookViewId="0">
      <selection activeCell="F109" sqref="F109"/>
    </sheetView>
  </sheetViews>
  <sheetFormatPr defaultColWidth="11.42578125" defaultRowHeight="15"/>
  <cols>
    <col min="4" max="4" width="29.140625" customWidth="1"/>
    <col min="6" max="6" width="14.7109375" customWidth="1"/>
  </cols>
  <sheetData>
    <row r="2" spans="2:6">
      <c r="B2" s="27">
        <v>45715</v>
      </c>
      <c r="C2">
        <v>5602.32</v>
      </c>
      <c r="D2" t="s">
        <v>2047</v>
      </c>
      <c r="E2" t="s">
        <v>1660</v>
      </c>
      <c r="F2" t="s">
        <v>2048</v>
      </c>
    </row>
    <row r="3" spans="2:6">
      <c r="B3" s="27">
        <v>45715</v>
      </c>
      <c r="C3">
        <v>4178.22</v>
      </c>
      <c r="D3" t="s">
        <v>2049</v>
      </c>
      <c r="E3" t="s">
        <v>1644</v>
      </c>
      <c r="F3" t="s">
        <v>2048</v>
      </c>
    </row>
    <row r="5" spans="2:6">
      <c r="B5" s="27">
        <v>45716</v>
      </c>
      <c r="C5">
        <v>4895.2</v>
      </c>
      <c r="D5" t="s">
        <v>2050</v>
      </c>
      <c r="E5" t="s">
        <v>1735</v>
      </c>
      <c r="F5" t="s">
        <v>1599</v>
      </c>
    </row>
    <row r="6" spans="2:6">
      <c r="C6">
        <v>6144.8</v>
      </c>
      <c r="D6" t="s">
        <v>2051</v>
      </c>
      <c r="E6" t="s">
        <v>1699</v>
      </c>
      <c r="F6" t="s">
        <v>1599</v>
      </c>
    </row>
    <row r="7" spans="2:6">
      <c r="C7">
        <v>6356</v>
      </c>
      <c r="D7" t="s">
        <v>2052</v>
      </c>
      <c r="E7" t="s">
        <v>1581</v>
      </c>
      <c r="F7" t="s">
        <v>1599</v>
      </c>
    </row>
    <row r="9" spans="2:6">
      <c r="B9" s="27">
        <v>45716</v>
      </c>
      <c r="C9">
        <v>4623.5</v>
      </c>
      <c r="D9" t="s">
        <v>2053</v>
      </c>
      <c r="E9" t="s">
        <v>46</v>
      </c>
      <c r="F9" t="s">
        <v>1599</v>
      </c>
    </row>
    <row r="10" spans="2:6">
      <c r="C10">
        <v>4623.5</v>
      </c>
      <c r="D10" t="s">
        <v>2054</v>
      </c>
      <c r="E10" t="s">
        <v>46</v>
      </c>
      <c r="F10" t="s">
        <v>1599</v>
      </c>
    </row>
    <row r="12" spans="2:6">
      <c r="B12" s="27">
        <v>45716</v>
      </c>
      <c r="C12">
        <f>2105+3619</f>
        <v>5724</v>
      </c>
      <c r="D12" t="s">
        <v>2055</v>
      </c>
      <c r="E12" t="s">
        <v>1705</v>
      </c>
      <c r="F12" t="s">
        <v>1572</v>
      </c>
    </row>
    <row r="15" spans="2:6">
      <c r="B15" s="27">
        <v>45717</v>
      </c>
      <c r="C15" s="8">
        <v>2922</v>
      </c>
      <c r="D15" t="s">
        <v>1553</v>
      </c>
      <c r="E15" t="s">
        <v>1735</v>
      </c>
      <c r="F15" t="s">
        <v>1572</v>
      </c>
    </row>
    <row r="16" spans="2:6">
      <c r="C16" s="8">
        <v>78</v>
      </c>
      <c r="D16" t="s">
        <v>1553</v>
      </c>
      <c r="E16" t="s">
        <v>1735</v>
      </c>
      <c r="F16" t="s">
        <v>2056</v>
      </c>
    </row>
    <row r="17" spans="2:6">
      <c r="C17" s="8"/>
    </row>
    <row r="18" spans="2:6">
      <c r="B18" s="27">
        <v>45717</v>
      </c>
      <c r="C18" s="8">
        <v>2105</v>
      </c>
      <c r="D18" t="s">
        <v>1910</v>
      </c>
      <c r="F18" t="s">
        <v>1603</v>
      </c>
    </row>
    <row r="19" spans="2:6">
      <c r="C19" s="8"/>
    </row>
    <row r="20" spans="2:6">
      <c r="C20" s="8"/>
    </row>
    <row r="21" spans="2:6">
      <c r="B21" s="27">
        <v>45719</v>
      </c>
      <c r="C21" s="8">
        <v>1125</v>
      </c>
      <c r="D21" t="s">
        <v>2057</v>
      </c>
      <c r="E21" t="s">
        <v>2058</v>
      </c>
      <c r="F21" t="s">
        <v>1569</v>
      </c>
    </row>
    <row r="22" spans="2:6">
      <c r="C22" s="8"/>
    </row>
    <row r="23" spans="2:6">
      <c r="C23" s="8"/>
    </row>
    <row r="24" spans="2:6">
      <c r="B24" s="27">
        <v>45722</v>
      </c>
      <c r="C24" s="8">
        <v>5600</v>
      </c>
      <c r="D24" t="s">
        <v>1758</v>
      </c>
      <c r="E24" t="s">
        <v>1763</v>
      </c>
      <c r="F24" t="s">
        <v>2059</v>
      </c>
    </row>
    <row r="25" spans="2:6">
      <c r="C25" s="8"/>
    </row>
    <row r="26" spans="2:6">
      <c r="B26" s="27">
        <v>45723</v>
      </c>
      <c r="C26" s="8">
        <v>5445</v>
      </c>
      <c r="D26" t="s">
        <v>1580</v>
      </c>
      <c r="E26" t="s">
        <v>1581</v>
      </c>
      <c r="F26" t="s">
        <v>2060</v>
      </c>
    </row>
    <row r="27" spans="2:6">
      <c r="B27" s="27"/>
      <c r="C27" s="8"/>
    </row>
    <row r="28" spans="2:6">
      <c r="B28" s="27">
        <v>45740</v>
      </c>
      <c r="C28" s="8">
        <v>7245</v>
      </c>
      <c r="D28" t="s">
        <v>2061</v>
      </c>
      <c r="E28" t="s">
        <v>1594</v>
      </c>
      <c r="F28" t="s">
        <v>1563</v>
      </c>
    </row>
    <row r="29" spans="2:6">
      <c r="B29" s="27"/>
      <c r="C29" s="8"/>
    </row>
    <row r="30" spans="2:6">
      <c r="B30" s="27">
        <v>45741</v>
      </c>
      <c r="C30" s="8">
        <v>2105</v>
      </c>
      <c r="D30" t="s">
        <v>2062</v>
      </c>
      <c r="E30" t="s">
        <v>1562</v>
      </c>
      <c r="F30" t="s">
        <v>1765</v>
      </c>
    </row>
    <row r="31" spans="2:6">
      <c r="B31" s="27">
        <v>45741</v>
      </c>
      <c r="C31" s="8">
        <v>4658</v>
      </c>
      <c r="D31" t="s">
        <v>2062</v>
      </c>
      <c r="E31" t="s">
        <v>1562</v>
      </c>
      <c r="F31" t="s">
        <v>2063</v>
      </c>
    </row>
    <row r="32" spans="2:6">
      <c r="B32" s="27"/>
      <c r="C32" s="8"/>
    </row>
    <row r="33" spans="2:6">
      <c r="B33" s="27">
        <v>45744</v>
      </c>
      <c r="C33" s="8">
        <v>3619</v>
      </c>
      <c r="D33" t="s">
        <v>2055</v>
      </c>
      <c r="E33" t="s">
        <v>1705</v>
      </c>
    </row>
    <row r="34" spans="2:6">
      <c r="B34" s="27">
        <v>45744</v>
      </c>
      <c r="C34" s="8">
        <v>2105</v>
      </c>
      <c r="D34" t="s">
        <v>2055</v>
      </c>
      <c r="E34" t="s">
        <v>1705</v>
      </c>
    </row>
    <row r="35" spans="2:6">
      <c r="B35" s="27">
        <v>45744</v>
      </c>
      <c r="C35" s="8">
        <v>370</v>
      </c>
      <c r="D35" t="s">
        <v>2055</v>
      </c>
      <c r="E35" t="s">
        <v>1705</v>
      </c>
    </row>
    <row r="36" spans="2:6">
      <c r="B36" s="27"/>
      <c r="C36" s="8"/>
    </row>
    <row r="37" spans="2:6">
      <c r="B37" s="27">
        <v>45745</v>
      </c>
      <c r="C37" s="8">
        <v>70</v>
      </c>
      <c r="D37" t="s">
        <v>1587</v>
      </c>
      <c r="F37" t="s">
        <v>2064</v>
      </c>
    </row>
    <row r="38" spans="2:6">
      <c r="B38" s="27"/>
      <c r="C38" s="8">
        <v>5724</v>
      </c>
      <c r="D38" t="s">
        <v>1587</v>
      </c>
      <c r="F38" t="s">
        <v>2065</v>
      </c>
    </row>
    <row r="39" spans="2:6">
      <c r="B39" s="27"/>
      <c r="C39" s="8">
        <v>370</v>
      </c>
      <c r="D39" t="s">
        <v>1587</v>
      </c>
      <c r="F39" t="s">
        <v>1604</v>
      </c>
    </row>
    <row r="40" spans="2:6">
      <c r="C40" s="8"/>
    </row>
    <row r="41" spans="2:6">
      <c r="B41" s="27">
        <v>45747</v>
      </c>
      <c r="C41" s="8">
        <v>5445</v>
      </c>
      <c r="D41" t="s">
        <v>1580</v>
      </c>
      <c r="E41" t="s">
        <v>2066</v>
      </c>
      <c r="F41" t="s">
        <v>1709</v>
      </c>
    </row>
    <row r="42" spans="2:6">
      <c r="B42" s="27"/>
      <c r="C42" s="8"/>
    </row>
    <row r="43" spans="2:6">
      <c r="B43" s="27">
        <v>45747</v>
      </c>
      <c r="C43" s="8">
        <v>2100</v>
      </c>
    </row>
    <row r="44" spans="2:6">
      <c r="B44" s="27"/>
      <c r="C44" s="8"/>
    </row>
    <row r="45" spans="2:6">
      <c r="B45" s="27">
        <v>45745</v>
      </c>
      <c r="C45" s="8">
        <v>5000</v>
      </c>
      <c r="D45" t="s">
        <v>2067</v>
      </c>
      <c r="F45" t="s">
        <v>1563</v>
      </c>
    </row>
    <row r="46" spans="2:6">
      <c r="B46" s="27">
        <v>45745</v>
      </c>
      <c r="C46" s="8">
        <v>5000</v>
      </c>
      <c r="D46" t="s">
        <v>2067</v>
      </c>
      <c r="F46" t="s">
        <v>1563</v>
      </c>
    </row>
    <row r="47" spans="2:6">
      <c r="B47" s="27">
        <v>45752</v>
      </c>
      <c r="C47" s="8">
        <v>5000</v>
      </c>
      <c r="D47" t="s">
        <v>2067</v>
      </c>
      <c r="F47" t="s">
        <v>1563</v>
      </c>
    </row>
    <row r="48" spans="2:6">
      <c r="B48" s="27">
        <v>45752</v>
      </c>
      <c r="C48" s="8">
        <v>2396</v>
      </c>
      <c r="D48" t="s">
        <v>2067</v>
      </c>
      <c r="F48" t="s">
        <v>1563</v>
      </c>
    </row>
    <row r="49" spans="2:6">
      <c r="B49" s="27"/>
      <c r="C49" s="8"/>
    </row>
    <row r="50" spans="2:6">
      <c r="B50" s="27"/>
      <c r="C50" s="8"/>
    </row>
    <row r="51" spans="2:6">
      <c r="B51" s="27">
        <v>45749</v>
      </c>
      <c r="C51" s="8">
        <v>4834.5</v>
      </c>
      <c r="D51" t="s">
        <v>2068</v>
      </c>
      <c r="E51" t="s">
        <v>1610</v>
      </c>
      <c r="F51" t="s">
        <v>2069</v>
      </c>
    </row>
    <row r="52" spans="2:6">
      <c r="B52" s="27"/>
      <c r="C52" s="8"/>
    </row>
    <row r="53" spans="2:6">
      <c r="B53" s="27">
        <v>45750</v>
      </c>
      <c r="C53" s="8">
        <v>4662.75</v>
      </c>
      <c r="D53" t="s">
        <v>2070</v>
      </c>
      <c r="E53" t="s">
        <v>2071</v>
      </c>
      <c r="F53" t="s">
        <v>1563</v>
      </c>
    </row>
    <row r="54" spans="2:6">
      <c r="B54" s="27"/>
      <c r="C54" s="8">
        <v>370</v>
      </c>
      <c r="D54" t="s">
        <v>2070</v>
      </c>
      <c r="E54" t="s">
        <v>2071</v>
      </c>
      <c r="F54" t="s">
        <v>1586</v>
      </c>
    </row>
    <row r="55" spans="2:6">
      <c r="B55" s="27"/>
      <c r="C55" s="8"/>
    </row>
    <row r="56" spans="2:6">
      <c r="B56" s="27">
        <v>45750</v>
      </c>
      <c r="C56" s="8">
        <v>4191</v>
      </c>
      <c r="D56" t="s">
        <v>1944</v>
      </c>
      <c r="E56" t="s">
        <v>1639</v>
      </c>
      <c r="F56" t="s">
        <v>1709</v>
      </c>
    </row>
    <row r="57" spans="2:6">
      <c r="B57" s="27">
        <v>45750</v>
      </c>
      <c r="C57" s="8">
        <v>1800</v>
      </c>
      <c r="D57" t="s">
        <v>1944</v>
      </c>
      <c r="E57" t="s">
        <v>1639</v>
      </c>
      <c r="F57" t="s">
        <v>1710</v>
      </c>
    </row>
    <row r="58" spans="2:6">
      <c r="B58" s="27">
        <v>45750</v>
      </c>
      <c r="C58" s="8">
        <v>370</v>
      </c>
      <c r="D58" t="s">
        <v>1944</v>
      </c>
      <c r="E58" t="s">
        <v>1639</v>
      </c>
      <c r="F58" t="s">
        <v>1604</v>
      </c>
    </row>
    <row r="59" spans="2:6">
      <c r="B59" s="27"/>
      <c r="C59" s="8"/>
    </row>
    <row r="60" spans="2:6">
      <c r="B60" s="27">
        <v>45748</v>
      </c>
      <c r="C60" s="8">
        <v>4308.1499999999996</v>
      </c>
      <c r="D60" t="s">
        <v>2072</v>
      </c>
      <c r="E60" t="s">
        <v>1562</v>
      </c>
      <c r="F60" t="s">
        <v>1695</v>
      </c>
    </row>
    <row r="61" spans="2:6">
      <c r="B61" s="27"/>
      <c r="C61" s="8"/>
    </row>
    <row r="62" spans="2:6">
      <c r="B62" s="27">
        <v>45749</v>
      </c>
      <c r="C62" s="8">
        <v>3775</v>
      </c>
      <c r="D62" t="s">
        <v>1632</v>
      </c>
      <c r="F62" t="s">
        <v>1563</v>
      </c>
    </row>
    <row r="63" spans="2:6">
      <c r="B63" s="27"/>
      <c r="C63" s="8"/>
    </row>
    <row r="64" spans="2:6">
      <c r="B64" s="27">
        <v>45750</v>
      </c>
      <c r="C64" s="8">
        <v>4700</v>
      </c>
      <c r="D64" t="s">
        <v>2073</v>
      </c>
      <c r="E64" t="s">
        <v>1948</v>
      </c>
      <c r="F64" t="s">
        <v>2074</v>
      </c>
    </row>
    <row r="65" spans="2:6">
      <c r="C65" s="8"/>
    </row>
    <row r="66" spans="2:6">
      <c r="B66" s="27">
        <v>45751</v>
      </c>
      <c r="C66" s="8">
        <v>4662.8999999999996</v>
      </c>
      <c r="D66" t="s">
        <v>2075</v>
      </c>
      <c r="E66" t="s">
        <v>1699</v>
      </c>
      <c r="F66" t="s">
        <v>2076</v>
      </c>
    </row>
    <row r="67" spans="2:6">
      <c r="C67" s="8">
        <v>4662.8999999999996</v>
      </c>
      <c r="D67" t="s">
        <v>2075</v>
      </c>
      <c r="E67" t="s">
        <v>1699</v>
      </c>
      <c r="F67" t="s">
        <v>2077</v>
      </c>
    </row>
    <row r="68" spans="2:6">
      <c r="C68" s="8"/>
    </row>
    <row r="69" spans="2:6">
      <c r="C69" s="8"/>
    </row>
    <row r="70" spans="2:6">
      <c r="B70" s="27">
        <v>45751</v>
      </c>
      <c r="C70" s="8">
        <v>4700</v>
      </c>
      <c r="D70" t="s">
        <v>2078</v>
      </c>
      <c r="E70" t="s">
        <v>1781</v>
      </c>
      <c r="F70" t="s">
        <v>1572</v>
      </c>
    </row>
    <row r="71" spans="2:6">
      <c r="C71" s="8"/>
    </row>
    <row r="72" spans="2:6">
      <c r="B72" s="27">
        <v>45753</v>
      </c>
      <c r="C72" s="8">
        <v>1110</v>
      </c>
      <c r="D72" t="s">
        <v>2079</v>
      </c>
      <c r="E72" t="s">
        <v>2080</v>
      </c>
      <c r="F72" t="s">
        <v>2081</v>
      </c>
    </row>
    <row r="73" spans="2:6">
      <c r="C73" s="8"/>
    </row>
    <row r="74" spans="2:6">
      <c r="B74" s="27">
        <v>45761</v>
      </c>
      <c r="C74" s="8">
        <v>6500</v>
      </c>
      <c r="D74" t="s">
        <v>2082</v>
      </c>
      <c r="E74" t="s">
        <v>1574</v>
      </c>
      <c r="F74" t="s">
        <v>1563</v>
      </c>
    </row>
    <row r="75" spans="2:6">
      <c r="C75" s="8">
        <v>6500</v>
      </c>
      <c r="D75" t="s">
        <v>2082</v>
      </c>
      <c r="E75" t="s">
        <v>1574</v>
      </c>
      <c r="F75" t="s">
        <v>1775</v>
      </c>
    </row>
    <row r="76" spans="2:6">
      <c r="C76" s="8"/>
    </row>
    <row r="77" spans="2:6">
      <c r="B77" s="27">
        <v>45768</v>
      </c>
      <c r="C77" s="8">
        <v>7245</v>
      </c>
      <c r="D77" t="s">
        <v>1849</v>
      </c>
      <c r="E77" t="s">
        <v>1630</v>
      </c>
      <c r="F77" t="s">
        <v>1775</v>
      </c>
    </row>
    <row r="78" spans="2:6">
      <c r="C78" s="8"/>
    </row>
    <row r="79" spans="2:6">
      <c r="B79" s="27">
        <v>45768</v>
      </c>
      <c r="C79" s="8">
        <v>2100</v>
      </c>
      <c r="D79" t="s">
        <v>2083</v>
      </c>
      <c r="E79" t="s">
        <v>1562</v>
      </c>
      <c r="F79" t="s">
        <v>1765</v>
      </c>
    </row>
    <row r="80" spans="2:6">
      <c r="C80" s="8"/>
    </row>
    <row r="81" spans="2:6">
      <c r="B81" s="27">
        <v>45772</v>
      </c>
      <c r="C81" s="8">
        <f>2105+4658.5</f>
        <v>6763.5</v>
      </c>
      <c r="D81" t="s">
        <v>2084</v>
      </c>
      <c r="E81" t="s">
        <v>1639</v>
      </c>
      <c r="F81" t="s">
        <v>1775</v>
      </c>
    </row>
    <row r="82" spans="2:6">
      <c r="C82" s="8"/>
    </row>
    <row r="83" spans="2:6">
      <c r="B83" s="27">
        <v>45772</v>
      </c>
      <c r="C83">
        <v>4895.2</v>
      </c>
      <c r="D83" t="s">
        <v>2050</v>
      </c>
      <c r="E83" t="s">
        <v>1735</v>
      </c>
      <c r="F83" t="s">
        <v>2085</v>
      </c>
    </row>
    <row r="84" spans="2:6">
      <c r="C84">
        <v>6144.8</v>
      </c>
      <c r="D84" t="s">
        <v>2051</v>
      </c>
      <c r="E84" t="s">
        <v>1699</v>
      </c>
      <c r="F84" t="s">
        <v>1940</v>
      </c>
    </row>
    <row r="85" spans="2:6">
      <c r="C85">
        <v>3960</v>
      </c>
      <c r="D85" t="s">
        <v>2052</v>
      </c>
      <c r="E85" t="s">
        <v>1581</v>
      </c>
      <c r="F85" t="s">
        <v>2086</v>
      </c>
    </row>
    <row r="86" spans="2:6">
      <c r="C86" s="8"/>
    </row>
    <row r="87" spans="2:6">
      <c r="B87" s="27">
        <v>45772</v>
      </c>
      <c r="C87" s="8">
        <v>5584</v>
      </c>
      <c r="D87" t="s">
        <v>2087</v>
      </c>
      <c r="E87" t="s">
        <v>1733</v>
      </c>
      <c r="F87" t="s">
        <v>1921</v>
      </c>
    </row>
    <row r="89" spans="2:6">
      <c r="B89" s="27">
        <v>45776</v>
      </c>
      <c r="C89">
        <v>370</v>
      </c>
      <c r="D89" t="s">
        <v>1910</v>
      </c>
      <c r="E89" t="s">
        <v>1862</v>
      </c>
    </row>
    <row r="91" spans="2:6">
      <c r="B91" s="27">
        <v>45777</v>
      </c>
      <c r="C91">
        <v>740</v>
      </c>
      <c r="D91" t="s">
        <v>2088</v>
      </c>
      <c r="E91" t="s">
        <v>1733</v>
      </c>
      <c r="F91" t="s">
        <v>1871</v>
      </c>
    </row>
    <row r="93" spans="2:6">
      <c r="B93" s="27">
        <v>45777</v>
      </c>
      <c r="C93">
        <v>5724</v>
      </c>
      <c r="D93" t="s">
        <v>2089</v>
      </c>
      <c r="E93" t="s">
        <v>1935</v>
      </c>
      <c r="F93" t="s">
        <v>1775</v>
      </c>
    </row>
    <row r="94" spans="2:6">
      <c r="B94" s="27"/>
    </row>
    <row r="95" spans="2:6">
      <c r="B95" s="27">
        <v>45778</v>
      </c>
      <c r="C95">
        <v>4710</v>
      </c>
      <c r="D95" t="s">
        <v>1607</v>
      </c>
      <c r="E95" t="s">
        <v>1608</v>
      </c>
      <c r="F95" t="s">
        <v>1921</v>
      </c>
    </row>
    <row r="96" spans="2:6">
      <c r="B96" s="27"/>
    </row>
    <row r="97" spans="2:6">
      <c r="B97" s="27"/>
    </row>
    <row r="98" spans="2:6">
      <c r="B98" s="27"/>
    </row>
    <row r="100" spans="2:6">
      <c r="B100" s="27">
        <v>45783</v>
      </c>
      <c r="C100">
        <v>370</v>
      </c>
      <c r="D100" t="s">
        <v>2090</v>
      </c>
      <c r="F100" t="s">
        <v>2091</v>
      </c>
    </row>
    <row r="101" spans="2:6">
      <c r="B101" s="27"/>
      <c r="C101">
        <v>4662.8999999999996</v>
      </c>
      <c r="D101" t="s">
        <v>2090</v>
      </c>
      <c r="F101" t="s">
        <v>1837</v>
      </c>
    </row>
    <row r="103" spans="2:6">
      <c r="B103" s="27">
        <v>45783</v>
      </c>
      <c r="C103">
        <v>2396</v>
      </c>
      <c r="D103" t="s">
        <v>2052</v>
      </c>
      <c r="E103" t="s">
        <v>1764</v>
      </c>
    </row>
    <row r="105" spans="2:6">
      <c r="B105" s="27">
        <v>45785</v>
      </c>
      <c r="C105">
        <v>5362.1</v>
      </c>
      <c r="D105" t="s">
        <v>2092</v>
      </c>
      <c r="E105" t="s">
        <v>1654</v>
      </c>
      <c r="F105" t="s">
        <v>1899</v>
      </c>
    </row>
    <row r="106" spans="2:6">
      <c r="C106">
        <v>370</v>
      </c>
      <c r="D106" t="s">
        <v>2092</v>
      </c>
      <c r="E106" t="s">
        <v>1654</v>
      </c>
      <c r="F106" t="s">
        <v>1930</v>
      </c>
    </row>
    <row r="108" spans="2:6">
      <c r="B108" s="27">
        <v>45787</v>
      </c>
      <c r="C108">
        <v>3775</v>
      </c>
      <c r="D108" t="s">
        <v>1632</v>
      </c>
      <c r="E108" t="s">
        <v>1733</v>
      </c>
      <c r="F108" t="s">
        <v>1682</v>
      </c>
    </row>
    <row r="110" spans="2:6">
      <c r="B110" s="27">
        <v>45793</v>
      </c>
      <c r="C110">
        <v>3046</v>
      </c>
      <c r="D110" t="s">
        <v>2093</v>
      </c>
      <c r="E110" t="s">
        <v>1830</v>
      </c>
      <c r="F110" t="s">
        <v>1775</v>
      </c>
    </row>
    <row r="112" spans="2:6">
      <c r="B112" s="27">
        <v>45793</v>
      </c>
      <c r="C112">
        <v>1110</v>
      </c>
      <c r="D112" t="s">
        <v>2067</v>
      </c>
      <c r="E112" t="s">
        <v>2094</v>
      </c>
      <c r="F112" t="s">
        <v>1837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1D741-7EAA-4142-A048-89AF0D165292}">
  <dimension ref="A2:M188"/>
  <sheetViews>
    <sheetView topLeftCell="E150" workbookViewId="0">
      <selection activeCell="E158" sqref="E158:E160"/>
    </sheetView>
  </sheetViews>
  <sheetFormatPr defaultColWidth="11.42578125" defaultRowHeight="15"/>
  <cols>
    <col min="1" max="1" width="24.5703125" customWidth="1"/>
    <col min="2" max="2" width="11.5703125" customWidth="1"/>
    <col min="3" max="3" width="12.7109375" customWidth="1"/>
    <col min="4" max="4" width="18" customWidth="1"/>
    <col min="5" max="5" width="28.42578125" customWidth="1"/>
    <col min="6" max="6" width="6.42578125" customWidth="1"/>
    <col min="8" max="8" width="21.42578125" customWidth="1"/>
    <col min="9" max="9" width="5.7109375" customWidth="1"/>
    <col min="10" max="10" width="11.85546875" customWidth="1"/>
    <col min="12" max="12" width="29" customWidth="1"/>
  </cols>
  <sheetData>
    <row r="2" spans="1:12">
      <c r="E2" t="s">
        <v>2095</v>
      </c>
    </row>
    <row r="3" spans="1:12">
      <c r="A3" t="s">
        <v>2096</v>
      </c>
      <c r="C3">
        <v>1900</v>
      </c>
      <c r="E3" t="s">
        <v>2097</v>
      </c>
      <c r="F3">
        <v>1</v>
      </c>
      <c r="G3" s="614" t="s">
        <v>2098</v>
      </c>
      <c r="H3" s="468" t="s">
        <v>2099</v>
      </c>
      <c r="I3" s="469" t="s">
        <v>2100</v>
      </c>
      <c r="J3" s="469" t="s">
        <v>2101</v>
      </c>
      <c r="K3" s="470"/>
      <c r="L3" s="471" t="s">
        <v>2102</v>
      </c>
    </row>
    <row r="5" spans="1:12">
      <c r="E5" t="s">
        <v>2103</v>
      </c>
    </row>
    <row r="6" spans="1:12">
      <c r="A6" t="s">
        <v>2096</v>
      </c>
      <c r="C6" s="11">
        <v>3180</v>
      </c>
      <c r="D6" s="11"/>
      <c r="E6" t="s">
        <v>384</v>
      </c>
      <c r="F6">
        <f>+F5+1</f>
        <v>1</v>
      </c>
      <c r="G6" t="s">
        <v>1610</v>
      </c>
      <c r="H6" s="468" t="s">
        <v>2104</v>
      </c>
      <c r="I6" s="472">
        <v>9</v>
      </c>
      <c r="J6" s="472">
        <v>2025</v>
      </c>
      <c r="L6" s="471" t="s">
        <v>2105</v>
      </c>
    </row>
    <row r="7" spans="1:12">
      <c r="A7" t="s">
        <v>2106</v>
      </c>
      <c r="C7" s="11">
        <v>7550</v>
      </c>
      <c r="D7" s="11"/>
      <c r="E7" t="s">
        <v>384</v>
      </c>
      <c r="F7">
        <f>+F6+1</f>
        <v>2</v>
      </c>
      <c r="G7" t="s">
        <v>1610</v>
      </c>
      <c r="H7" s="468" t="s">
        <v>2104</v>
      </c>
      <c r="I7" s="472">
        <v>9</v>
      </c>
      <c r="J7" s="472">
        <v>2025</v>
      </c>
      <c r="L7" s="471" t="s">
        <v>2105</v>
      </c>
    </row>
    <row r="9" spans="1:12">
      <c r="E9" t="s">
        <v>2107</v>
      </c>
    </row>
    <row r="10" spans="1:12">
      <c r="A10" t="s">
        <v>2108</v>
      </c>
      <c r="C10" s="8">
        <v>3290</v>
      </c>
      <c r="D10" s="8"/>
      <c r="E10" t="s">
        <v>2109</v>
      </c>
      <c r="F10">
        <v>1</v>
      </c>
      <c r="G10" t="s">
        <v>1644</v>
      </c>
      <c r="H10" s="468" t="s">
        <v>2110</v>
      </c>
      <c r="I10">
        <v>11</v>
      </c>
      <c r="J10">
        <v>2028</v>
      </c>
      <c r="L10" s="471" t="s">
        <v>2111</v>
      </c>
    </row>
    <row r="11" spans="1:12">
      <c r="C11" s="8"/>
      <c r="D11" s="8"/>
      <c r="H11" s="468"/>
      <c r="L11" s="471"/>
    </row>
    <row r="12" spans="1:12">
      <c r="C12" s="8"/>
      <c r="D12" s="8"/>
      <c r="H12" s="468"/>
      <c r="L12" s="471"/>
    </row>
    <row r="15" spans="1:12">
      <c r="E15" t="s">
        <v>2112</v>
      </c>
    </row>
    <row r="16" spans="1:12">
      <c r="A16" t="s">
        <v>2113</v>
      </c>
      <c r="C16" s="11">
        <v>5090</v>
      </c>
      <c r="D16" s="11"/>
      <c r="E16" t="s">
        <v>2114</v>
      </c>
      <c r="F16">
        <v>1</v>
      </c>
      <c r="G16" s="614" t="s">
        <v>2115</v>
      </c>
      <c r="H16" s="468" t="s">
        <v>2116</v>
      </c>
      <c r="I16" s="473" t="s">
        <v>2100</v>
      </c>
      <c r="J16" s="473" t="s">
        <v>2117</v>
      </c>
      <c r="K16" s="470">
        <v>45566</v>
      </c>
      <c r="L16" s="474" t="s">
        <v>2118</v>
      </c>
    </row>
    <row r="17" spans="1:12">
      <c r="A17" t="s">
        <v>2113</v>
      </c>
      <c r="C17" s="437">
        <v>2895.2</v>
      </c>
      <c r="D17" s="437"/>
      <c r="E17" t="s">
        <v>2119</v>
      </c>
      <c r="F17">
        <f>+F16+1</f>
        <v>2</v>
      </c>
      <c r="G17" s="614" t="s">
        <v>2120</v>
      </c>
      <c r="H17" s="468" t="s">
        <v>2121</v>
      </c>
      <c r="I17" s="473" t="s">
        <v>2122</v>
      </c>
      <c r="J17" s="473" t="s">
        <v>2123</v>
      </c>
      <c r="K17" s="470">
        <v>44713</v>
      </c>
      <c r="L17" s="475" t="s">
        <v>2124</v>
      </c>
    </row>
    <row r="18" spans="1:12">
      <c r="A18" t="s">
        <v>2113</v>
      </c>
      <c r="C18" s="11">
        <f>3257.1+1475</f>
        <v>4732.1000000000004</v>
      </c>
      <c r="D18" s="11"/>
      <c r="E18" t="s">
        <v>2125</v>
      </c>
      <c r="F18">
        <f t="shared" ref="F18:F42" si="0">+F17+1</f>
        <v>3</v>
      </c>
      <c r="G18" s="614" t="s">
        <v>2126</v>
      </c>
      <c r="H18" s="468" t="s">
        <v>2127</v>
      </c>
      <c r="I18" s="473" t="s">
        <v>2128</v>
      </c>
      <c r="J18" s="473" t="s">
        <v>2129</v>
      </c>
      <c r="K18" s="470">
        <v>46266</v>
      </c>
      <c r="L18" s="474" t="s">
        <v>2130</v>
      </c>
    </row>
    <row r="19" spans="1:12">
      <c r="A19" t="s">
        <v>2131</v>
      </c>
      <c r="C19" s="8">
        <f>3619+1800</f>
        <v>5419</v>
      </c>
      <c r="D19" s="8"/>
      <c r="E19" t="s">
        <v>2132</v>
      </c>
      <c r="F19">
        <f t="shared" si="0"/>
        <v>4</v>
      </c>
      <c r="G19" s="614" t="s">
        <v>2133</v>
      </c>
      <c r="H19" s="468" t="s">
        <v>2134</v>
      </c>
      <c r="I19" s="473" t="s">
        <v>2135</v>
      </c>
      <c r="J19" s="473" t="s">
        <v>2101</v>
      </c>
      <c r="L19" s="478" t="s">
        <v>2136</v>
      </c>
    </row>
    <row r="20" spans="1:12">
      <c r="A20" t="s">
        <v>2131</v>
      </c>
      <c r="C20" s="8">
        <v>3665</v>
      </c>
      <c r="D20" s="8"/>
      <c r="E20" t="s">
        <v>2137</v>
      </c>
      <c r="F20">
        <f t="shared" si="0"/>
        <v>5</v>
      </c>
      <c r="G20" s="614" t="s">
        <v>2133</v>
      </c>
      <c r="H20" s="468" t="s">
        <v>2110</v>
      </c>
      <c r="I20" s="473" t="s">
        <v>2138</v>
      </c>
      <c r="J20" s="473" t="s">
        <v>2139</v>
      </c>
      <c r="L20" s="478" t="s">
        <v>2140</v>
      </c>
    </row>
    <row r="21" spans="1:12">
      <c r="A21" t="s">
        <v>2113</v>
      </c>
      <c r="C21" s="437">
        <v>2895.2</v>
      </c>
      <c r="D21" s="437"/>
      <c r="E21" t="s">
        <v>2141</v>
      </c>
      <c r="F21">
        <f t="shared" si="0"/>
        <v>6</v>
      </c>
      <c r="G21" s="479" t="s">
        <v>2142</v>
      </c>
      <c r="H21" s="468" t="s">
        <v>2143</v>
      </c>
      <c r="I21" s="614">
        <v>7</v>
      </c>
      <c r="J21" s="614">
        <v>2025</v>
      </c>
      <c r="L21" s="471" t="s">
        <v>2144</v>
      </c>
    </row>
    <row r="22" spans="1:12">
      <c r="A22" t="s">
        <v>2113</v>
      </c>
      <c r="C22" s="11">
        <f>3405.6+2105</f>
        <v>5510.6</v>
      </c>
      <c r="D22" s="11"/>
      <c r="E22" t="s">
        <v>2145</v>
      </c>
      <c r="F22">
        <f t="shared" si="0"/>
        <v>7</v>
      </c>
      <c r="G22" s="614" t="s">
        <v>2146</v>
      </c>
      <c r="H22" s="468" t="s">
        <v>2147</v>
      </c>
      <c r="I22" s="473" t="s">
        <v>2148</v>
      </c>
      <c r="J22" s="473" t="s">
        <v>2129</v>
      </c>
      <c r="K22" s="470"/>
      <c r="L22" s="474" t="s">
        <v>2149</v>
      </c>
    </row>
    <row r="23" spans="1:12">
      <c r="A23" t="s">
        <v>2113</v>
      </c>
      <c r="C23" s="437">
        <v>3405</v>
      </c>
      <c r="D23" s="437"/>
      <c r="E23" s="480" t="s">
        <v>2150</v>
      </c>
      <c r="F23">
        <f t="shared" si="0"/>
        <v>8</v>
      </c>
      <c r="G23" s="614" t="s">
        <v>2146</v>
      </c>
      <c r="H23" s="468" t="s">
        <v>2121</v>
      </c>
      <c r="I23" s="473" t="s">
        <v>2122</v>
      </c>
      <c r="J23" s="473" t="s">
        <v>2123</v>
      </c>
      <c r="K23" s="470">
        <v>44713</v>
      </c>
      <c r="L23" s="475" t="s">
        <v>2124</v>
      </c>
    </row>
    <row r="24" spans="1:12">
      <c r="A24" s="476" t="s">
        <v>2151</v>
      </c>
      <c r="B24" s="476"/>
      <c r="C24" s="477">
        <v>2000</v>
      </c>
      <c r="D24" s="477"/>
      <c r="E24" t="s">
        <v>2152</v>
      </c>
      <c r="F24">
        <f t="shared" si="0"/>
        <v>9</v>
      </c>
      <c r="G24" s="614" t="s">
        <v>2153</v>
      </c>
      <c r="H24" s="468" t="s">
        <v>2154</v>
      </c>
      <c r="I24" s="614">
        <v>9</v>
      </c>
      <c r="J24" s="614">
        <v>2028</v>
      </c>
      <c r="L24" s="471" t="s">
        <v>2155</v>
      </c>
    </row>
    <row r="25" spans="1:12">
      <c r="A25" t="s">
        <v>2113</v>
      </c>
      <c r="C25" s="8">
        <v>5584</v>
      </c>
      <c r="D25" s="8"/>
      <c r="E25" t="s">
        <v>2097</v>
      </c>
      <c r="F25">
        <f t="shared" si="0"/>
        <v>10</v>
      </c>
      <c r="G25" s="614" t="s">
        <v>2098</v>
      </c>
      <c r="H25" s="468" t="s">
        <v>2099</v>
      </c>
      <c r="I25" s="473" t="s">
        <v>2100</v>
      </c>
      <c r="J25" s="473" t="s">
        <v>2101</v>
      </c>
      <c r="K25" s="470"/>
      <c r="L25" s="471" t="s">
        <v>2102</v>
      </c>
    </row>
    <row r="26" spans="1:12">
      <c r="A26" t="s">
        <v>2113</v>
      </c>
      <c r="C26" s="437">
        <v>3027.2</v>
      </c>
      <c r="D26" s="437"/>
      <c r="E26" t="s">
        <v>2156</v>
      </c>
      <c r="F26">
        <f t="shared" si="0"/>
        <v>11</v>
      </c>
      <c r="G26" s="614" t="s">
        <v>2157</v>
      </c>
      <c r="H26" s="468" t="s">
        <v>2121</v>
      </c>
      <c r="I26" s="473" t="s">
        <v>2122</v>
      </c>
      <c r="J26" s="473" t="s">
        <v>2123</v>
      </c>
      <c r="K26" s="470">
        <v>44713</v>
      </c>
      <c r="L26" s="475" t="s">
        <v>2124</v>
      </c>
    </row>
    <row r="27" spans="1:12">
      <c r="A27" t="s">
        <v>2113</v>
      </c>
      <c r="C27" s="437">
        <f>3405.6+2105</f>
        <v>5510.6</v>
      </c>
      <c r="D27" s="437"/>
      <c r="E27" t="s">
        <v>2158</v>
      </c>
      <c r="F27">
        <f t="shared" si="0"/>
        <v>12</v>
      </c>
      <c r="G27" s="614" t="s">
        <v>2157</v>
      </c>
      <c r="H27" s="468" t="s">
        <v>2159</v>
      </c>
      <c r="I27" s="473" t="s">
        <v>2128</v>
      </c>
      <c r="J27" s="473" t="s">
        <v>2101</v>
      </c>
      <c r="K27" s="470"/>
      <c r="L27" s="474" t="s">
        <v>2160</v>
      </c>
    </row>
    <row r="28" spans="1:12">
      <c r="A28" t="s">
        <v>2113</v>
      </c>
      <c r="C28" s="437">
        <f>3405.6+1800</f>
        <v>5205.6000000000004</v>
      </c>
      <c r="D28" s="437"/>
      <c r="E28" t="s">
        <v>2161</v>
      </c>
      <c r="F28">
        <f t="shared" si="0"/>
        <v>13</v>
      </c>
      <c r="G28" s="614" t="s">
        <v>2162</v>
      </c>
      <c r="H28" s="468" t="s">
        <v>2163</v>
      </c>
      <c r="I28" s="473" t="s">
        <v>2164</v>
      </c>
      <c r="J28" s="473" t="s">
        <v>2165</v>
      </c>
      <c r="K28" s="470">
        <v>44927</v>
      </c>
      <c r="L28" s="475" t="s">
        <v>2166</v>
      </c>
    </row>
    <row r="29" spans="1:12">
      <c r="A29" t="s">
        <v>2131</v>
      </c>
      <c r="C29" s="8">
        <f>3771.9+2235</f>
        <v>6006.9</v>
      </c>
      <c r="D29" s="8"/>
      <c r="E29" t="s">
        <v>2167</v>
      </c>
      <c r="F29">
        <f t="shared" si="0"/>
        <v>14</v>
      </c>
      <c r="G29" s="614" t="s">
        <v>1639</v>
      </c>
      <c r="H29" s="468" t="s">
        <v>2168</v>
      </c>
      <c r="I29" s="473" t="s">
        <v>2122</v>
      </c>
      <c r="J29" s="473" t="s">
        <v>2129</v>
      </c>
      <c r="L29" s="478" t="s">
        <v>2169</v>
      </c>
    </row>
    <row r="30" spans="1:12">
      <c r="A30" t="s">
        <v>2113</v>
      </c>
      <c r="C30" s="8">
        <f>4658.5+2105</f>
        <v>6763.5</v>
      </c>
      <c r="D30" s="8"/>
      <c r="E30" s="480" t="s">
        <v>2170</v>
      </c>
      <c r="F30">
        <f t="shared" si="0"/>
        <v>15</v>
      </c>
      <c r="G30" s="614" t="s">
        <v>2171</v>
      </c>
      <c r="H30" s="468" t="s">
        <v>2172</v>
      </c>
      <c r="I30" s="473" t="s">
        <v>2173</v>
      </c>
      <c r="J30" s="473" t="s">
        <v>2117</v>
      </c>
      <c r="K30" s="470"/>
      <c r="L30" s="471" t="s">
        <v>2174</v>
      </c>
    </row>
    <row r="31" spans="1:12">
      <c r="A31" t="s">
        <v>2113</v>
      </c>
      <c r="C31" s="437">
        <f>4192.65+2105</f>
        <v>6297.65</v>
      </c>
      <c r="D31" s="437"/>
      <c r="E31" t="s">
        <v>2175</v>
      </c>
      <c r="F31">
        <f t="shared" si="0"/>
        <v>16</v>
      </c>
      <c r="G31" s="614" t="s">
        <v>2171</v>
      </c>
      <c r="H31" s="468" t="s">
        <v>2176</v>
      </c>
      <c r="I31" s="473" t="s">
        <v>2100</v>
      </c>
      <c r="J31" s="473" t="s">
        <v>2101</v>
      </c>
      <c r="K31" s="470">
        <v>45931</v>
      </c>
      <c r="L31" s="474" t="s">
        <v>2177</v>
      </c>
    </row>
    <row r="32" spans="1:12">
      <c r="A32" t="s">
        <v>2113</v>
      </c>
      <c r="C32" s="437">
        <v>3726.8</v>
      </c>
      <c r="D32" s="437"/>
      <c r="E32" t="s">
        <v>2178</v>
      </c>
      <c r="F32">
        <f t="shared" si="0"/>
        <v>17</v>
      </c>
      <c r="G32" s="614" t="s">
        <v>2171</v>
      </c>
      <c r="H32" s="468" t="s">
        <v>2121</v>
      </c>
      <c r="I32" s="473" t="s">
        <v>2122</v>
      </c>
      <c r="J32" s="473" t="s">
        <v>2123</v>
      </c>
      <c r="K32" s="470">
        <v>44713</v>
      </c>
      <c r="L32" s="475" t="s">
        <v>2124</v>
      </c>
    </row>
    <row r="33" spans="1:12">
      <c r="A33" t="s">
        <v>2113</v>
      </c>
      <c r="C33" s="11">
        <f>4403.85+1800</f>
        <v>6203.85</v>
      </c>
      <c r="D33" s="11"/>
      <c r="E33" t="s">
        <v>2179</v>
      </c>
      <c r="F33">
        <f t="shared" si="0"/>
        <v>18</v>
      </c>
      <c r="G33" s="614" t="s">
        <v>2180</v>
      </c>
      <c r="H33" s="468" t="s">
        <v>2181</v>
      </c>
      <c r="I33" s="473" t="s">
        <v>2122</v>
      </c>
      <c r="J33" s="473" t="s">
        <v>2101</v>
      </c>
      <c r="K33" s="470">
        <v>45809</v>
      </c>
      <c r="L33" s="481" t="s">
        <v>2182</v>
      </c>
    </row>
    <row r="34" spans="1:12">
      <c r="A34" t="s">
        <v>2113</v>
      </c>
      <c r="C34" s="437">
        <f>5181+1800</f>
        <v>6981</v>
      </c>
      <c r="D34" s="437"/>
      <c r="E34" t="s">
        <v>2183</v>
      </c>
      <c r="F34">
        <f t="shared" si="0"/>
        <v>19</v>
      </c>
      <c r="G34" s="614" t="s">
        <v>2184</v>
      </c>
      <c r="H34" s="468" t="s">
        <v>2185</v>
      </c>
      <c r="I34" s="473" t="s">
        <v>2164</v>
      </c>
      <c r="J34" s="473" t="s">
        <v>2101</v>
      </c>
      <c r="K34" s="470">
        <v>45658</v>
      </c>
      <c r="L34" s="475" t="s">
        <v>2186</v>
      </c>
    </row>
    <row r="35" spans="1:12">
      <c r="A35" t="s">
        <v>2113</v>
      </c>
      <c r="C35" s="11">
        <v>5181</v>
      </c>
      <c r="D35" s="11"/>
      <c r="E35" t="s">
        <v>2187</v>
      </c>
      <c r="F35">
        <f t="shared" si="0"/>
        <v>20</v>
      </c>
      <c r="G35" s="614" t="s">
        <v>2184</v>
      </c>
      <c r="H35" s="468" t="s">
        <v>2188</v>
      </c>
      <c r="I35" s="473" t="s">
        <v>2148</v>
      </c>
      <c r="J35" s="473" t="s">
        <v>2165</v>
      </c>
      <c r="K35" s="470">
        <v>44958</v>
      </c>
      <c r="L35" s="474" t="s">
        <v>2189</v>
      </c>
    </row>
    <row r="36" spans="1:12">
      <c r="A36" s="476" t="s">
        <v>2131</v>
      </c>
      <c r="B36" s="476"/>
      <c r="C36" s="477">
        <f>3735.33+2000</f>
        <v>5735.33</v>
      </c>
      <c r="D36" s="477"/>
      <c r="E36" t="s">
        <v>2190</v>
      </c>
      <c r="F36">
        <f t="shared" si="0"/>
        <v>21</v>
      </c>
      <c r="G36" s="614" t="s">
        <v>2191</v>
      </c>
      <c r="H36" s="468" t="s">
        <v>2192</v>
      </c>
      <c r="I36" s="473" t="s">
        <v>2193</v>
      </c>
      <c r="J36" s="473" t="s">
        <v>2117</v>
      </c>
      <c r="L36" s="478" t="s">
        <v>2194</v>
      </c>
    </row>
    <row r="37" spans="1:12">
      <c r="A37" s="476" t="s">
        <v>2195</v>
      </c>
      <c r="B37" s="476"/>
      <c r="C37" s="477">
        <v>2000</v>
      </c>
      <c r="D37" s="477"/>
      <c r="E37" t="s">
        <v>2196</v>
      </c>
      <c r="F37">
        <f t="shared" si="0"/>
        <v>22</v>
      </c>
      <c r="G37" s="614" t="s">
        <v>2197</v>
      </c>
      <c r="H37" s="468" t="s">
        <v>2154</v>
      </c>
      <c r="I37" s="614">
        <v>9</v>
      </c>
      <c r="J37" s="614">
        <v>2028</v>
      </c>
      <c r="L37" s="471" t="s">
        <v>2155</v>
      </c>
    </row>
    <row r="38" spans="1:12">
      <c r="A38" s="476" t="s">
        <v>2131</v>
      </c>
      <c r="B38" s="476"/>
      <c r="C38" s="477">
        <f>4628.25+2000</f>
        <v>6628.25</v>
      </c>
      <c r="D38" s="477"/>
      <c r="E38" t="s">
        <v>2190</v>
      </c>
      <c r="F38">
        <f t="shared" si="0"/>
        <v>23</v>
      </c>
      <c r="G38" s="614" t="s">
        <v>1764</v>
      </c>
      <c r="H38" s="468" t="s">
        <v>2192</v>
      </c>
      <c r="I38" s="473" t="s">
        <v>2193</v>
      </c>
      <c r="J38" s="473" t="s">
        <v>2117</v>
      </c>
      <c r="L38" s="478" t="s">
        <v>2194</v>
      </c>
    </row>
    <row r="39" spans="1:12">
      <c r="A39" t="s">
        <v>2131</v>
      </c>
      <c r="C39" s="437">
        <v>5724</v>
      </c>
      <c r="D39" s="437"/>
      <c r="E39" t="s">
        <v>2198</v>
      </c>
      <c r="F39">
        <f t="shared" si="0"/>
        <v>24</v>
      </c>
      <c r="G39" s="479" t="s">
        <v>2199</v>
      </c>
      <c r="H39" s="468" t="s">
        <v>2200</v>
      </c>
      <c r="I39" s="614">
        <v>10</v>
      </c>
      <c r="J39" s="614">
        <v>2027</v>
      </c>
      <c r="L39" s="471" t="s">
        <v>2201</v>
      </c>
    </row>
    <row r="40" spans="1:12">
      <c r="A40" t="s">
        <v>2202</v>
      </c>
      <c r="C40" s="11">
        <v>6149</v>
      </c>
      <c r="D40" s="11"/>
      <c r="E40" t="s">
        <v>384</v>
      </c>
      <c r="F40">
        <f t="shared" si="0"/>
        <v>25</v>
      </c>
      <c r="G40" t="s">
        <v>1610</v>
      </c>
      <c r="H40" s="468" t="s">
        <v>2104</v>
      </c>
      <c r="I40" s="614">
        <v>9</v>
      </c>
      <c r="J40" s="614">
        <v>2025</v>
      </c>
      <c r="L40" s="471" t="s">
        <v>2105</v>
      </c>
    </row>
    <row r="41" spans="1:12">
      <c r="A41" s="470" t="s">
        <v>2106</v>
      </c>
      <c r="B41" s="470"/>
      <c r="C41" s="437">
        <v>5216.3999999999996</v>
      </c>
      <c r="D41" s="437"/>
      <c r="E41" t="s">
        <v>2203</v>
      </c>
      <c r="F41">
        <f t="shared" si="0"/>
        <v>26</v>
      </c>
      <c r="G41" s="614" t="s">
        <v>2204</v>
      </c>
      <c r="H41" s="468" t="s">
        <v>2205</v>
      </c>
      <c r="I41" s="473" t="s">
        <v>2206</v>
      </c>
      <c r="J41" s="473" t="s">
        <v>2129</v>
      </c>
      <c r="K41" s="470"/>
      <c r="L41" s="471" t="s">
        <v>2207</v>
      </c>
    </row>
    <row r="42" spans="1:12">
      <c r="A42" s="470" t="s">
        <v>2106</v>
      </c>
      <c r="B42" s="470"/>
      <c r="C42" s="437">
        <v>6403.85</v>
      </c>
      <c r="D42" s="437"/>
      <c r="E42" t="s">
        <v>2208</v>
      </c>
      <c r="F42">
        <f t="shared" si="0"/>
        <v>27</v>
      </c>
      <c r="G42" s="614" t="s">
        <v>2209</v>
      </c>
      <c r="H42" s="468" t="s">
        <v>2205</v>
      </c>
      <c r="I42" s="473" t="s">
        <v>2206</v>
      </c>
      <c r="J42" s="473" t="s">
        <v>2129</v>
      </c>
      <c r="K42" s="470"/>
      <c r="L42" s="471" t="s">
        <v>2207</v>
      </c>
    </row>
    <row r="44" spans="1:12">
      <c r="C44" s="12">
        <f>SUM(C16:C43)</f>
        <v>133957.03</v>
      </c>
      <c r="D44" s="12"/>
    </row>
    <row r="45" spans="1:12">
      <c r="C45" s="12"/>
      <c r="D45" s="12"/>
    </row>
    <row r="46" spans="1:12">
      <c r="C46" s="12"/>
      <c r="D46" s="12"/>
      <c r="E46" t="s">
        <v>2210</v>
      </c>
    </row>
    <row r="47" spans="1:12">
      <c r="A47" t="s">
        <v>2195</v>
      </c>
      <c r="C47" s="12">
        <v>4000</v>
      </c>
      <c r="D47" s="12"/>
      <c r="E47" t="s">
        <v>2211</v>
      </c>
      <c r="F47">
        <v>1</v>
      </c>
      <c r="G47" t="s">
        <v>2066</v>
      </c>
      <c r="H47" s="468" t="s">
        <v>2212</v>
      </c>
      <c r="I47">
        <v>7</v>
      </c>
      <c r="J47">
        <v>2028</v>
      </c>
      <c r="L47" s="471" t="s">
        <v>2213</v>
      </c>
    </row>
    <row r="48" spans="1:12">
      <c r="A48" t="s">
        <v>2214</v>
      </c>
      <c r="C48" s="12">
        <v>4628.25</v>
      </c>
      <c r="D48" s="12"/>
      <c r="E48" t="s">
        <v>2215</v>
      </c>
      <c r="F48">
        <v>2</v>
      </c>
      <c r="G48" t="s">
        <v>2216</v>
      </c>
      <c r="H48" s="468" t="s">
        <v>2212</v>
      </c>
      <c r="I48">
        <v>7</v>
      </c>
      <c r="J48">
        <v>2028</v>
      </c>
      <c r="L48" s="471" t="s">
        <v>2213</v>
      </c>
    </row>
    <row r="49" spans="1:12">
      <c r="A49" t="s">
        <v>2214</v>
      </c>
      <c r="C49" s="8">
        <v>4628.25</v>
      </c>
      <c r="D49" s="8"/>
      <c r="E49" t="s">
        <v>2217</v>
      </c>
      <c r="F49">
        <v>3</v>
      </c>
      <c r="G49" t="s">
        <v>2066</v>
      </c>
      <c r="H49" s="468" t="s">
        <v>2212</v>
      </c>
      <c r="I49">
        <v>7</v>
      </c>
      <c r="J49">
        <v>2028</v>
      </c>
      <c r="L49" s="471" t="s">
        <v>2213</v>
      </c>
    </row>
    <row r="50" spans="1:12">
      <c r="A50" s="470" t="s">
        <v>2106</v>
      </c>
      <c r="B50" s="470"/>
      <c r="C50" s="8">
        <v>4896</v>
      </c>
      <c r="D50" s="8"/>
      <c r="E50" t="s">
        <v>2218</v>
      </c>
      <c r="F50">
        <v>4</v>
      </c>
      <c r="G50" t="s">
        <v>1616</v>
      </c>
      <c r="H50" s="468" t="s">
        <v>2219</v>
      </c>
      <c r="I50">
        <v>1</v>
      </c>
      <c r="J50">
        <v>2028</v>
      </c>
      <c r="L50" s="471" t="s">
        <v>2220</v>
      </c>
    </row>
    <row r="51" spans="1:12">
      <c r="C51" s="8"/>
      <c r="D51" s="8"/>
      <c r="H51" s="468"/>
      <c r="L51" s="471"/>
    </row>
    <row r="52" spans="1:12">
      <c r="E52" t="s">
        <v>2221</v>
      </c>
    </row>
    <row r="53" spans="1:12">
      <c r="A53" t="s">
        <v>2106</v>
      </c>
      <c r="C53" s="437">
        <v>4192.6499999999996</v>
      </c>
      <c r="D53" s="437"/>
      <c r="E53" t="s">
        <v>2222</v>
      </c>
      <c r="F53">
        <f>+F52+1</f>
        <v>1</v>
      </c>
      <c r="G53" s="614" t="s">
        <v>1591</v>
      </c>
      <c r="H53" s="468" t="s">
        <v>2223</v>
      </c>
      <c r="I53" s="468" t="s">
        <v>2135</v>
      </c>
      <c r="J53" s="468" t="s">
        <v>2129</v>
      </c>
      <c r="K53" s="470">
        <v>46235</v>
      </c>
      <c r="L53" s="471" t="s">
        <v>2224</v>
      </c>
    </row>
    <row r="54" spans="1:12">
      <c r="A54" t="s">
        <v>2225</v>
      </c>
      <c r="C54" s="437">
        <v>370</v>
      </c>
      <c r="D54" s="437"/>
      <c r="E54" t="s">
        <v>2222</v>
      </c>
      <c r="F54">
        <v>2</v>
      </c>
      <c r="G54" s="614" t="s">
        <v>1591</v>
      </c>
      <c r="H54" s="468" t="s">
        <v>2223</v>
      </c>
      <c r="I54" s="468" t="s">
        <v>2135</v>
      </c>
      <c r="J54" s="468" t="s">
        <v>2129</v>
      </c>
      <c r="K54" s="470"/>
      <c r="L54" s="471" t="s">
        <v>2224</v>
      </c>
    </row>
    <row r="55" spans="1:12">
      <c r="C55" s="437"/>
      <c r="D55" s="437"/>
      <c r="G55" s="614"/>
      <c r="H55" s="468"/>
      <c r="I55" s="468"/>
      <c r="J55" s="468"/>
      <c r="K55" s="470"/>
      <c r="L55" s="471"/>
    </row>
    <row r="56" spans="1:12">
      <c r="C56" s="437"/>
      <c r="D56" s="437"/>
      <c r="G56" s="614"/>
      <c r="H56" s="468"/>
      <c r="I56" s="468"/>
      <c r="J56" s="468"/>
      <c r="K56" s="470"/>
      <c r="L56" s="471"/>
    </row>
    <row r="57" spans="1:12">
      <c r="E57" t="s">
        <v>2226</v>
      </c>
    </row>
    <row r="58" spans="1:12">
      <c r="A58" t="s">
        <v>2113</v>
      </c>
      <c r="C58" s="11">
        <f>3784+2105</f>
        <v>5889</v>
      </c>
      <c r="D58" s="11"/>
      <c r="E58" t="s">
        <v>2227</v>
      </c>
      <c r="F58">
        <v>1</v>
      </c>
      <c r="G58" s="17" t="s">
        <v>2157</v>
      </c>
      <c r="H58" s="468" t="s">
        <v>2228</v>
      </c>
      <c r="I58" s="469" t="s">
        <v>2148</v>
      </c>
      <c r="J58" s="469" t="s">
        <v>2139</v>
      </c>
      <c r="K58" s="470"/>
      <c r="L58" s="482" t="s">
        <v>2229</v>
      </c>
    </row>
    <row r="59" spans="1:12">
      <c r="A59" t="s">
        <v>2113</v>
      </c>
      <c r="C59">
        <v>4207.5</v>
      </c>
      <c r="E59" t="s">
        <v>2230</v>
      </c>
      <c r="F59">
        <v>2</v>
      </c>
      <c r="G59" s="17" t="s">
        <v>1594</v>
      </c>
      <c r="H59" s="468" t="s">
        <v>2231</v>
      </c>
      <c r="I59">
        <v>8</v>
      </c>
      <c r="J59">
        <v>2028</v>
      </c>
      <c r="L59" s="471" t="s">
        <v>2232</v>
      </c>
    </row>
    <row r="60" spans="1:12">
      <c r="A60" t="s">
        <v>2113</v>
      </c>
      <c r="C60">
        <v>4003.5</v>
      </c>
      <c r="E60" t="s">
        <v>2233</v>
      </c>
      <c r="F60">
        <v>3</v>
      </c>
      <c r="G60" s="17" t="s">
        <v>1608</v>
      </c>
      <c r="H60" s="468" t="s">
        <v>2231</v>
      </c>
      <c r="I60">
        <v>8</v>
      </c>
      <c r="J60">
        <v>2028</v>
      </c>
      <c r="L60" s="471" t="s">
        <v>2232</v>
      </c>
    </row>
    <row r="61" spans="1:12">
      <c r="G61" s="17"/>
      <c r="H61" s="468"/>
      <c r="L61" s="471"/>
    </row>
    <row r="62" spans="1:12">
      <c r="E62" t="s">
        <v>2234</v>
      </c>
      <c r="G62" s="17"/>
      <c r="H62" s="468"/>
      <c r="L62" s="471"/>
    </row>
    <row r="63" spans="1:12">
      <c r="A63" t="s">
        <v>2235</v>
      </c>
      <c r="C63" s="11">
        <v>370</v>
      </c>
      <c r="D63" s="11"/>
      <c r="E63" t="s">
        <v>384</v>
      </c>
      <c r="F63">
        <f t="shared" ref="F63:F68" si="1">+F62+1</f>
        <v>1</v>
      </c>
      <c r="G63" t="s">
        <v>1610</v>
      </c>
      <c r="H63" s="468" t="s">
        <v>2104</v>
      </c>
      <c r="I63" s="614">
        <v>9</v>
      </c>
      <c r="J63" s="614">
        <v>2025</v>
      </c>
      <c r="L63" s="471" t="s">
        <v>2105</v>
      </c>
    </row>
    <row r="64" spans="1:12">
      <c r="A64" s="470" t="s">
        <v>2236</v>
      </c>
      <c r="B64" s="470"/>
      <c r="C64" s="437">
        <v>5216.3999999999996</v>
      </c>
      <c r="D64" s="437"/>
      <c r="E64" t="s">
        <v>2203</v>
      </c>
      <c r="F64">
        <f t="shared" si="1"/>
        <v>2</v>
      </c>
      <c r="G64" s="614" t="s">
        <v>2204</v>
      </c>
      <c r="H64" s="468" t="s">
        <v>2205</v>
      </c>
      <c r="I64" s="473" t="s">
        <v>2206</v>
      </c>
      <c r="J64" s="473" t="s">
        <v>2129</v>
      </c>
      <c r="K64" s="470"/>
      <c r="L64" s="471" t="s">
        <v>2207</v>
      </c>
    </row>
    <row r="65" spans="1:12">
      <c r="A65" s="470" t="s">
        <v>2236</v>
      </c>
      <c r="B65" s="470"/>
      <c r="C65" s="437">
        <v>6403.85</v>
      </c>
      <c r="D65" s="437"/>
      <c r="E65" t="s">
        <v>2208</v>
      </c>
      <c r="F65">
        <f t="shared" si="1"/>
        <v>3</v>
      </c>
      <c r="G65" s="614" t="s">
        <v>2209</v>
      </c>
      <c r="H65" s="468" t="s">
        <v>2205</v>
      </c>
      <c r="I65" s="473" t="s">
        <v>2206</v>
      </c>
      <c r="J65" s="473" t="s">
        <v>2129</v>
      </c>
      <c r="K65" s="470"/>
      <c r="L65" s="471" t="s">
        <v>2207</v>
      </c>
    </row>
    <row r="66" spans="1:12">
      <c r="A66" t="s">
        <v>2237</v>
      </c>
      <c r="C66" s="12">
        <v>4628.25</v>
      </c>
      <c r="D66" s="12"/>
      <c r="E66" t="s">
        <v>2215</v>
      </c>
      <c r="F66">
        <f t="shared" si="1"/>
        <v>4</v>
      </c>
      <c r="G66" t="s">
        <v>2216</v>
      </c>
      <c r="H66" s="468" t="s">
        <v>2212</v>
      </c>
      <c r="I66" s="614">
        <v>7</v>
      </c>
      <c r="J66" s="614">
        <v>2028</v>
      </c>
      <c r="L66" s="471" t="s">
        <v>2213</v>
      </c>
    </row>
    <row r="67" spans="1:12">
      <c r="A67" t="s">
        <v>2237</v>
      </c>
      <c r="C67" s="8">
        <v>4628.25</v>
      </c>
      <c r="D67" s="8"/>
      <c r="E67" t="s">
        <v>2217</v>
      </c>
      <c r="F67">
        <f t="shared" si="1"/>
        <v>5</v>
      </c>
      <c r="G67" t="s">
        <v>2066</v>
      </c>
      <c r="H67" s="468" t="s">
        <v>2212</v>
      </c>
      <c r="I67" s="614">
        <v>7</v>
      </c>
      <c r="J67" s="614">
        <v>2028</v>
      </c>
      <c r="L67" s="471" t="s">
        <v>2213</v>
      </c>
    </row>
    <row r="68" spans="1:12">
      <c r="A68" t="s">
        <v>2238</v>
      </c>
      <c r="C68" s="12">
        <v>4000</v>
      </c>
      <c r="D68" s="12"/>
      <c r="E68" t="s">
        <v>2211</v>
      </c>
      <c r="F68">
        <f t="shared" si="1"/>
        <v>6</v>
      </c>
      <c r="G68" t="s">
        <v>2066</v>
      </c>
      <c r="H68" s="468" t="s">
        <v>2212</v>
      </c>
      <c r="I68" s="614">
        <v>7</v>
      </c>
      <c r="J68" s="614">
        <v>2028</v>
      </c>
      <c r="L68" s="471" t="s">
        <v>2213</v>
      </c>
    </row>
    <row r="69" spans="1:12">
      <c r="C69" s="8"/>
      <c r="D69" s="8"/>
      <c r="H69" s="468"/>
      <c r="L69" s="471"/>
    </row>
    <row r="70" spans="1:12">
      <c r="C70" s="8"/>
      <c r="D70" s="8"/>
      <c r="H70" s="468"/>
      <c r="L70" s="471"/>
    </row>
    <row r="71" spans="1:12" ht="45">
      <c r="B71" s="25" t="s">
        <v>1816</v>
      </c>
      <c r="E71" t="s">
        <v>2239</v>
      </c>
    </row>
    <row r="72" spans="1:12">
      <c r="A72" t="s">
        <v>2236</v>
      </c>
      <c r="B72" s="8">
        <v>370</v>
      </c>
      <c r="C72" s="8">
        <f>3405.6+B72</f>
        <v>3775.6</v>
      </c>
      <c r="D72" s="8">
        <f>+B72+C72</f>
        <v>4145.6000000000004</v>
      </c>
      <c r="E72" s="480" t="s">
        <v>2240</v>
      </c>
      <c r="F72">
        <v>1</v>
      </c>
      <c r="G72" s="614" t="s">
        <v>2241</v>
      </c>
      <c r="H72" s="468" t="s">
        <v>2242</v>
      </c>
      <c r="I72" s="469" t="s">
        <v>2164</v>
      </c>
      <c r="J72" s="469" t="s">
        <v>2117</v>
      </c>
      <c r="K72" s="470"/>
      <c r="L72" s="471" t="s">
        <v>2243</v>
      </c>
    </row>
    <row r="73" spans="1:12">
      <c r="A73" t="s">
        <v>2236</v>
      </c>
      <c r="B73" s="8">
        <v>370</v>
      </c>
      <c r="C73" s="11">
        <v>5090</v>
      </c>
      <c r="D73" s="8">
        <f t="shared" ref="D73:D96" si="2">+B73+C73</f>
        <v>5460</v>
      </c>
      <c r="E73" t="s">
        <v>2114</v>
      </c>
      <c r="F73">
        <f>+F72+1</f>
        <v>2</v>
      </c>
      <c r="G73" s="614" t="s">
        <v>2115</v>
      </c>
      <c r="H73" s="468" t="s">
        <v>2116</v>
      </c>
      <c r="I73" s="473" t="s">
        <v>2100</v>
      </c>
      <c r="J73" s="473" t="s">
        <v>2117</v>
      </c>
      <c r="K73" s="470">
        <v>45566</v>
      </c>
      <c r="L73" s="474" t="s">
        <v>2118</v>
      </c>
    </row>
    <row r="74" spans="1:12">
      <c r="A74" t="s">
        <v>2236</v>
      </c>
      <c r="B74" s="8">
        <v>370</v>
      </c>
      <c r="C74" s="437">
        <v>2895.2</v>
      </c>
      <c r="D74" s="8">
        <f t="shared" si="2"/>
        <v>3265.2</v>
      </c>
      <c r="E74" t="s">
        <v>2119</v>
      </c>
      <c r="F74">
        <f t="shared" ref="F74:F96" si="3">+F73+1</f>
        <v>3</v>
      </c>
      <c r="G74" s="614" t="s">
        <v>2120</v>
      </c>
      <c r="H74" s="468" t="s">
        <v>2121</v>
      </c>
      <c r="I74" s="473" t="s">
        <v>2122</v>
      </c>
      <c r="J74" s="473" t="s">
        <v>2123</v>
      </c>
      <c r="K74" s="470">
        <v>44713</v>
      </c>
      <c r="L74" s="475" t="s">
        <v>2124</v>
      </c>
    </row>
    <row r="75" spans="1:12">
      <c r="A75" t="s">
        <v>2236</v>
      </c>
      <c r="B75" s="8">
        <v>370</v>
      </c>
      <c r="C75" s="11">
        <f>3257.1+1475</f>
        <v>4732.1000000000004</v>
      </c>
      <c r="D75" s="8">
        <f t="shared" si="2"/>
        <v>5102.1000000000004</v>
      </c>
      <c r="E75" t="s">
        <v>2125</v>
      </c>
      <c r="F75">
        <f t="shared" si="3"/>
        <v>4</v>
      </c>
      <c r="G75" s="614" t="s">
        <v>2126</v>
      </c>
      <c r="H75" s="468" t="s">
        <v>2127</v>
      </c>
      <c r="I75" s="473" t="s">
        <v>2128</v>
      </c>
      <c r="J75" s="473" t="s">
        <v>2129</v>
      </c>
      <c r="K75" s="470">
        <v>46266</v>
      </c>
      <c r="L75" s="474" t="s">
        <v>2130</v>
      </c>
    </row>
    <row r="76" spans="1:12">
      <c r="A76" t="s">
        <v>2236</v>
      </c>
      <c r="B76" s="8">
        <v>370</v>
      </c>
      <c r="C76" s="8">
        <f>3619+1800</f>
        <v>5419</v>
      </c>
      <c r="D76" s="8">
        <f t="shared" si="2"/>
        <v>5789</v>
      </c>
      <c r="E76" t="s">
        <v>2132</v>
      </c>
      <c r="F76">
        <f t="shared" si="3"/>
        <v>5</v>
      </c>
      <c r="G76" s="614" t="s">
        <v>2133</v>
      </c>
      <c r="H76" s="468" t="s">
        <v>2134</v>
      </c>
      <c r="I76" s="473" t="s">
        <v>2135</v>
      </c>
      <c r="J76" s="473" t="s">
        <v>2101</v>
      </c>
      <c r="L76" s="478" t="s">
        <v>2136</v>
      </c>
    </row>
    <row r="77" spans="1:12">
      <c r="A77" t="s">
        <v>2236</v>
      </c>
      <c r="B77" s="8">
        <v>370</v>
      </c>
      <c r="C77" s="8">
        <v>3665</v>
      </c>
      <c r="D77" s="8">
        <f t="shared" si="2"/>
        <v>4035</v>
      </c>
      <c r="E77" t="s">
        <v>2137</v>
      </c>
      <c r="F77">
        <f t="shared" si="3"/>
        <v>6</v>
      </c>
      <c r="G77" s="614" t="s">
        <v>2133</v>
      </c>
      <c r="H77" s="468" t="s">
        <v>2110</v>
      </c>
      <c r="I77" s="473" t="s">
        <v>2138</v>
      </c>
      <c r="J77" s="473" t="s">
        <v>2139</v>
      </c>
      <c r="L77" s="478" t="s">
        <v>2140</v>
      </c>
    </row>
    <row r="78" spans="1:12">
      <c r="A78" t="s">
        <v>2244</v>
      </c>
      <c r="B78" s="8">
        <v>370</v>
      </c>
      <c r="C78" s="437">
        <v>2895.2</v>
      </c>
      <c r="D78" s="8">
        <f t="shared" si="2"/>
        <v>3265.2</v>
      </c>
      <c r="E78" t="s">
        <v>2141</v>
      </c>
      <c r="F78">
        <f t="shared" si="3"/>
        <v>7</v>
      </c>
      <c r="G78" s="479" t="s">
        <v>2142</v>
      </c>
      <c r="H78" s="468" t="s">
        <v>2143</v>
      </c>
      <c r="I78" s="614">
        <v>7</v>
      </c>
      <c r="J78" s="614">
        <v>2025</v>
      </c>
      <c r="L78" s="471" t="s">
        <v>2144</v>
      </c>
    </row>
    <row r="79" spans="1:12">
      <c r="A79" t="s">
        <v>2236</v>
      </c>
      <c r="B79" s="8">
        <v>370</v>
      </c>
      <c r="C79" s="11">
        <f>3405.6+2105</f>
        <v>5510.6</v>
      </c>
      <c r="D79" s="8">
        <f t="shared" si="2"/>
        <v>5880.6</v>
      </c>
      <c r="E79" t="s">
        <v>2145</v>
      </c>
      <c r="F79">
        <f t="shared" si="3"/>
        <v>8</v>
      </c>
      <c r="G79" s="614" t="s">
        <v>2146</v>
      </c>
      <c r="H79" s="468" t="s">
        <v>2147</v>
      </c>
      <c r="I79" s="473" t="s">
        <v>2148</v>
      </c>
      <c r="J79" s="473" t="s">
        <v>2129</v>
      </c>
      <c r="K79" s="470"/>
      <c r="L79" s="474" t="s">
        <v>2149</v>
      </c>
    </row>
    <row r="80" spans="1:12">
      <c r="A80" t="s">
        <v>2236</v>
      </c>
      <c r="B80" s="8">
        <v>370</v>
      </c>
      <c r="C80" s="437">
        <v>3405</v>
      </c>
      <c r="D80" s="8">
        <f t="shared" si="2"/>
        <v>3775</v>
      </c>
      <c r="E80" s="480" t="s">
        <v>2150</v>
      </c>
      <c r="F80">
        <f t="shared" si="3"/>
        <v>9</v>
      </c>
      <c r="G80" s="614" t="s">
        <v>2146</v>
      </c>
      <c r="H80" s="468" t="s">
        <v>2121</v>
      </c>
      <c r="I80" s="473" t="s">
        <v>2122</v>
      </c>
      <c r="J80" s="473" t="s">
        <v>2123</v>
      </c>
      <c r="K80" s="470">
        <v>44713</v>
      </c>
      <c r="L80" s="475" t="s">
        <v>2124</v>
      </c>
    </row>
    <row r="81" spans="1:13">
      <c r="A81" t="s">
        <v>2236</v>
      </c>
      <c r="B81" s="8">
        <v>370</v>
      </c>
      <c r="C81" s="8">
        <v>5584</v>
      </c>
      <c r="D81" s="8">
        <f t="shared" si="2"/>
        <v>5954</v>
      </c>
      <c r="E81" t="s">
        <v>2097</v>
      </c>
      <c r="F81">
        <f t="shared" si="3"/>
        <v>10</v>
      </c>
      <c r="G81" s="614" t="s">
        <v>2098</v>
      </c>
      <c r="H81" s="468" t="s">
        <v>2099</v>
      </c>
      <c r="I81" s="473" t="s">
        <v>2100</v>
      </c>
      <c r="J81" s="473" t="s">
        <v>2101</v>
      </c>
      <c r="K81" s="470"/>
      <c r="L81" s="471" t="s">
        <v>2102</v>
      </c>
    </row>
    <row r="82" spans="1:13">
      <c r="A82" t="s">
        <v>2236</v>
      </c>
      <c r="B82" s="8">
        <v>370</v>
      </c>
      <c r="C82" s="437">
        <v>3027.2</v>
      </c>
      <c r="D82" s="8">
        <f t="shared" si="2"/>
        <v>3397.2</v>
      </c>
      <c r="E82" t="s">
        <v>2156</v>
      </c>
      <c r="F82">
        <f t="shared" si="3"/>
        <v>11</v>
      </c>
      <c r="G82" s="614" t="s">
        <v>2157</v>
      </c>
      <c r="H82" s="468" t="s">
        <v>2121</v>
      </c>
      <c r="I82" s="473" t="s">
        <v>2122</v>
      </c>
      <c r="J82" s="473" t="s">
        <v>2123</v>
      </c>
      <c r="K82" s="470">
        <v>44713</v>
      </c>
      <c r="L82" s="475" t="s">
        <v>2124</v>
      </c>
    </row>
    <row r="83" spans="1:13">
      <c r="A83" t="s">
        <v>2236</v>
      </c>
      <c r="B83" s="8">
        <v>370</v>
      </c>
      <c r="C83" s="437">
        <f>3405.6+2105</f>
        <v>5510.6</v>
      </c>
      <c r="D83" s="8">
        <f t="shared" si="2"/>
        <v>5880.6</v>
      </c>
      <c r="E83" t="s">
        <v>2158</v>
      </c>
      <c r="F83">
        <f t="shared" si="3"/>
        <v>12</v>
      </c>
      <c r="G83" s="614" t="s">
        <v>2157</v>
      </c>
      <c r="H83" s="468" t="s">
        <v>2159</v>
      </c>
      <c r="I83" s="473" t="s">
        <v>2128</v>
      </c>
      <c r="J83" s="473" t="s">
        <v>2101</v>
      </c>
      <c r="K83" s="470"/>
      <c r="L83" s="474" t="s">
        <v>2160</v>
      </c>
    </row>
    <row r="84" spans="1:13">
      <c r="A84" t="s">
        <v>2236</v>
      </c>
      <c r="B84" s="8">
        <v>370</v>
      </c>
      <c r="C84" s="437">
        <f>3405.6+1800</f>
        <v>5205.6000000000004</v>
      </c>
      <c r="D84" s="8">
        <f t="shared" si="2"/>
        <v>5575.6</v>
      </c>
      <c r="E84" t="s">
        <v>2161</v>
      </c>
      <c r="F84">
        <f t="shared" si="3"/>
        <v>13</v>
      </c>
      <c r="G84" s="614" t="s">
        <v>2162</v>
      </c>
      <c r="H84" s="468" t="s">
        <v>2163</v>
      </c>
      <c r="I84" s="473" t="s">
        <v>2164</v>
      </c>
      <c r="J84" s="473" t="s">
        <v>2165</v>
      </c>
      <c r="K84" s="470">
        <v>44927</v>
      </c>
      <c r="L84" s="475" t="s">
        <v>2166</v>
      </c>
    </row>
    <row r="85" spans="1:13">
      <c r="A85" t="s">
        <v>2236</v>
      </c>
      <c r="B85" s="8">
        <v>370</v>
      </c>
      <c r="C85" s="8">
        <f>3771.9+2235</f>
        <v>6006.9</v>
      </c>
      <c r="D85" s="8">
        <f t="shared" si="2"/>
        <v>6376.9</v>
      </c>
      <c r="E85" t="s">
        <v>2167</v>
      </c>
      <c r="F85">
        <f t="shared" si="3"/>
        <v>14</v>
      </c>
      <c r="G85" s="614" t="s">
        <v>1639</v>
      </c>
      <c r="H85" s="468" t="s">
        <v>2168</v>
      </c>
      <c r="I85" s="473" t="s">
        <v>2122</v>
      </c>
      <c r="J85" s="473" t="s">
        <v>2129</v>
      </c>
      <c r="L85" s="478" t="s">
        <v>2169</v>
      </c>
    </row>
    <row r="86" spans="1:13">
      <c r="A86" t="s">
        <v>2236</v>
      </c>
      <c r="B86" s="8">
        <v>370</v>
      </c>
      <c r="C86" s="8">
        <f>4658.5+2105</f>
        <v>6763.5</v>
      </c>
      <c r="D86" s="8">
        <f t="shared" si="2"/>
        <v>7133.5</v>
      </c>
      <c r="E86" s="480" t="s">
        <v>2170</v>
      </c>
      <c r="F86">
        <f t="shared" si="3"/>
        <v>15</v>
      </c>
      <c r="G86" s="614" t="s">
        <v>2171</v>
      </c>
      <c r="H86" s="468" t="s">
        <v>2172</v>
      </c>
      <c r="I86" s="473" t="s">
        <v>2173</v>
      </c>
      <c r="J86" s="473" t="s">
        <v>2117</v>
      </c>
      <c r="K86" s="470"/>
      <c r="L86" s="471" t="s">
        <v>2174</v>
      </c>
    </row>
    <row r="87" spans="1:13">
      <c r="A87" t="s">
        <v>2236</v>
      </c>
      <c r="B87" s="8">
        <v>370</v>
      </c>
      <c r="C87" s="437">
        <f>4192.65+2105</f>
        <v>6297.65</v>
      </c>
      <c r="D87" s="8">
        <f t="shared" si="2"/>
        <v>6667.65</v>
      </c>
      <c r="E87" t="s">
        <v>2175</v>
      </c>
      <c r="F87">
        <f t="shared" si="3"/>
        <v>16</v>
      </c>
      <c r="G87" s="614" t="s">
        <v>2171</v>
      </c>
      <c r="H87" s="468" t="s">
        <v>2176</v>
      </c>
      <c r="I87" s="473" t="s">
        <v>2100</v>
      </c>
      <c r="J87" s="473" t="s">
        <v>2101</v>
      </c>
      <c r="K87" s="470">
        <v>45931</v>
      </c>
      <c r="L87" s="474" t="s">
        <v>2177</v>
      </c>
    </row>
    <row r="88" spans="1:13">
      <c r="A88" t="s">
        <v>2236</v>
      </c>
      <c r="B88" s="8">
        <v>370</v>
      </c>
      <c r="C88" s="437">
        <v>3726.8</v>
      </c>
      <c r="D88" s="8">
        <f t="shared" si="2"/>
        <v>4096.8</v>
      </c>
      <c r="E88" t="s">
        <v>2178</v>
      </c>
      <c r="F88">
        <f t="shared" si="3"/>
        <v>17</v>
      </c>
      <c r="G88" s="614" t="s">
        <v>2171</v>
      </c>
      <c r="H88" s="468" t="s">
        <v>2121</v>
      </c>
      <c r="I88" s="473" t="s">
        <v>2122</v>
      </c>
      <c r="J88" s="473" t="s">
        <v>2123</v>
      </c>
      <c r="K88" s="470">
        <v>44713</v>
      </c>
      <c r="L88" s="475" t="s">
        <v>2124</v>
      </c>
    </row>
    <row r="89" spans="1:13">
      <c r="A89" t="s">
        <v>2236</v>
      </c>
      <c r="B89" s="8">
        <v>370</v>
      </c>
      <c r="C89" s="11">
        <f>4403.85+1800</f>
        <v>6203.85</v>
      </c>
      <c r="D89" s="8">
        <f t="shared" si="2"/>
        <v>6573.85</v>
      </c>
      <c r="E89" t="s">
        <v>2179</v>
      </c>
      <c r="F89">
        <f t="shared" si="3"/>
        <v>18</v>
      </c>
      <c r="G89" s="614" t="s">
        <v>2180</v>
      </c>
      <c r="H89" s="468" t="s">
        <v>2181</v>
      </c>
      <c r="I89" s="473" t="s">
        <v>2122</v>
      </c>
      <c r="J89" s="473" t="s">
        <v>2101</v>
      </c>
      <c r="K89" s="470">
        <v>45809</v>
      </c>
      <c r="L89" s="481" t="s">
        <v>2182</v>
      </c>
    </row>
    <row r="90" spans="1:13">
      <c r="A90" t="s">
        <v>2236</v>
      </c>
      <c r="B90" s="8">
        <v>370</v>
      </c>
      <c r="C90" s="437">
        <f>5181+1800</f>
        <v>6981</v>
      </c>
      <c r="D90" s="8">
        <f t="shared" si="2"/>
        <v>7351</v>
      </c>
      <c r="E90" t="s">
        <v>2183</v>
      </c>
      <c r="F90">
        <f t="shared" si="3"/>
        <v>19</v>
      </c>
      <c r="G90" s="614" t="s">
        <v>2184</v>
      </c>
      <c r="H90" s="468" t="s">
        <v>2185</v>
      </c>
      <c r="I90" s="473" t="s">
        <v>2164</v>
      </c>
      <c r="J90" s="473" t="s">
        <v>2101</v>
      </c>
      <c r="K90" s="470">
        <v>45658</v>
      </c>
      <c r="L90" s="475" t="s">
        <v>2186</v>
      </c>
    </row>
    <row r="91" spans="1:13">
      <c r="A91" t="s">
        <v>2236</v>
      </c>
      <c r="B91" s="8">
        <v>370</v>
      </c>
      <c r="C91" s="11">
        <v>5181</v>
      </c>
      <c r="D91" s="8">
        <f t="shared" si="2"/>
        <v>5551</v>
      </c>
      <c r="E91" t="s">
        <v>2187</v>
      </c>
      <c r="F91">
        <f t="shared" si="3"/>
        <v>20</v>
      </c>
      <c r="G91" s="614" t="s">
        <v>2184</v>
      </c>
      <c r="H91" s="468" t="s">
        <v>2188</v>
      </c>
      <c r="I91" s="473" t="s">
        <v>2148</v>
      </c>
      <c r="J91" s="473" t="s">
        <v>2165</v>
      </c>
      <c r="K91" s="470">
        <v>44958</v>
      </c>
      <c r="L91" s="474" t="s">
        <v>2189</v>
      </c>
    </row>
    <row r="92" spans="1:13">
      <c r="A92" t="s">
        <v>2236</v>
      </c>
      <c r="B92" s="8">
        <v>331</v>
      </c>
      <c r="C92" s="11">
        <v>6022.09</v>
      </c>
      <c r="D92" s="8">
        <f t="shared" si="2"/>
        <v>6353.09</v>
      </c>
      <c r="E92" t="s">
        <v>2190</v>
      </c>
      <c r="F92">
        <f t="shared" si="3"/>
        <v>21</v>
      </c>
      <c r="G92" s="614" t="s">
        <v>2191</v>
      </c>
      <c r="H92" s="468" t="s">
        <v>2192</v>
      </c>
      <c r="I92" s="473" t="s">
        <v>2193</v>
      </c>
      <c r="J92" s="473" t="s">
        <v>2117</v>
      </c>
      <c r="L92" s="478" t="s">
        <v>2194</v>
      </c>
    </row>
    <row r="93" spans="1:13">
      <c r="A93" s="476" t="s">
        <v>2236</v>
      </c>
      <c r="B93" s="477">
        <v>286.76</v>
      </c>
      <c r="C93" s="477">
        <v>6959.66</v>
      </c>
      <c r="D93" s="477">
        <f t="shared" si="2"/>
        <v>7246.42</v>
      </c>
      <c r="E93" t="s">
        <v>2245</v>
      </c>
      <c r="F93">
        <f t="shared" si="3"/>
        <v>22</v>
      </c>
      <c r="G93" s="614" t="s">
        <v>1764</v>
      </c>
      <c r="H93" s="468" t="s">
        <v>2192</v>
      </c>
      <c r="I93" s="473" t="s">
        <v>2193</v>
      </c>
      <c r="J93" s="473" t="s">
        <v>2117</v>
      </c>
      <c r="L93" s="478" t="s">
        <v>2194</v>
      </c>
    </row>
    <row r="94" spans="1:13">
      <c r="A94" t="s">
        <v>2236</v>
      </c>
      <c r="B94" s="8">
        <v>370</v>
      </c>
      <c r="C94" s="437">
        <v>5724</v>
      </c>
      <c r="D94" s="8">
        <f t="shared" si="2"/>
        <v>6094</v>
      </c>
      <c r="E94" t="s">
        <v>2198</v>
      </c>
      <c r="F94">
        <f t="shared" si="3"/>
        <v>23</v>
      </c>
      <c r="G94" s="479" t="s">
        <v>2199</v>
      </c>
      <c r="H94" s="468" t="s">
        <v>2200</v>
      </c>
      <c r="I94" s="614">
        <v>10</v>
      </c>
      <c r="J94" s="614">
        <v>2027</v>
      </c>
      <c r="L94" s="471" t="s">
        <v>2201</v>
      </c>
    </row>
    <row r="95" spans="1:13">
      <c r="A95" t="s">
        <v>2246</v>
      </c>
      <c r="B95" s="8"/>
      <c r="C95" s="11"/>
      <c r="D95" s="8">
        <v>6519</v>
      </c>
      <c r="E95" t="s">
        <v>384</v>
      </c>
      <c r="F95">
        <f t="shared" si="3"/>
        <v>24</v>
      </c>
      <c r="G95" t="s">
        <v>1610</v>
      </c>
      <c r="H95" s="468" t="s">
        <v>2104</v>
      </c>
      <c r="I95" s="614">
        <v>9</v>
      </c>
      <c r="J95" s="614">
        <v>2025</v>
      </c>
      <c r="L95" s="471" t="s">
        <v>2105</v>
      </c>
      <c r="M95" t="s">
        <v>2247</v>
      </c>
    </row>
    <row r="96" spans="1:13">
      <c r="A96" t="s">
        <v>2236</v>
      </c>
      <c r="B96" s="8">
        <v>370</v>
      </c>
      <c r="C96" s="8">
        <v>4896</v>
      </c>
      <c r="D96" s="8">
        <f t="shared" si="2"/>
        <v>5266</v>
      </c>
      <c r="E96" t="s">
        <v>2218</v>
      </c>
      <c r="F96">
        <f t="shared" si="3"/>
        <v>25</v>
      </c>
      <c r="G96" t="s">
        <v>1616</v>
      </c>
      <c r="H96" s="468" t="s">
        <v>2219</v>
      </c>
      <c r="I96">
        <v>1</v>
      </c>
      <c r="J96">
        <v>2028</v>
      </c>
      <c r="L96" s="471" t="s">
        <v>2220</v>
      </c>
    </row>
    <row r="98" spans="1:12">
      <c r="E98" t="s">
        <v>2248</v>
      </c>
    </row>
    <row r="99" spans="1:12">
      <c r="A99" t="s">
        <v>2249</v>
      </c>
      <c r="C99" s="12"/>
      <c r="D99" s="12">
        <v>1480</v>
      </c>
      <c r="E99" t="s">
        <v>2211</v>
      </c>
      <c r="F99">
        <f t="shared" ref="F99" si="4">+F98+1</f>
        <v>1</v>
      </c>
      <c r="G99" t="s">
        <v>2066</v>
      </c>
      <c r="H99" s="468" t="s">
        <v>2212</v>
      </c>
      <c r="I99" s="614">
        <v>7</v>
      </c>
      <c r="J99" s="614">
        <v>2028</v>
      </c>
      <c r="L99" s="471" t="s">
        <v>2213</v>
      </c>
    </row>
    <row r="100" spans="1:12">
      <c r="A100" t="s">
        <v>2236</v>
      </c>
      <c r="C100" s="437"/>
      <c r="D100" s="437">
        <v>4192.6499999999996</v>
      </c>
      <c r="E100" t="s">
        <v>2222</v>
      </c>
      <c r="F100">
        <f>+F99+1</f>
        <v>2</v>
      </c>
      <c r="G100" s="614" t="s">
        <v>1591</v>
      </c>
      <c r="H100" s="468" t="s">
        <v>2223</v>
      </c>
      <c r="I100" s="468" t="s">
        <v>2135</v>
      </c>
      <c r="J100" s="468" t="s">
        <v>2129</v>
      </c>
      <c r="K100" s="470">
        <v>46235</v>
      </c>
      <c r="L100" s="471" t="s">
        <v>2224</v>
      </c>
    </row>
    <row r="101" spans="1:12">
      <c r="A101" t="s">
        <v>2250</v>
      </c>
      <c r="C101" s="437"/>
      <c r="D101" s="437">
        <v>370</v>
      </c>
      <c r="E101" t="s">
        <v>2222</v>
      </c>
      <c r="F101">
        <v>2</v>
      </c>
      <c r="G101" s="614" t="s">
        <v>1591</v>
      </c>
      <c r="H101" s="468" t="s">
        <v>2223</v>
      </c>
      <c r="I101" s="468" t="s">
        <v>2135</v>
      </c>
      <c r="J101" s="468" t="s">
        <v>2129</v>
      </c>
      <c r="K101" s="470"/>
      <c r="L101" s="471" t="s">
        <v>2224</v>
      </c>
    </row>
    <row r="103" spans="1:12">
      <c r="E103" t="s">
        <v>2251</v>
      </c>
    </row>
    <row r="104" spans="1:12">
      <c r="A104" t="s">
        <v>2236</v>
      </c>
      <c r="B104">
        <v>370</v>
      </c>
      <c r="C104" s="437">
        <v>4944</v>
      </c>
      <c r="D104" s="437">
        <f>370+4944</f>
        <v>5314</v>
      </c>
      <c r="E104" t="s">
        <v>2252</v>
      </c>
      <c r="F104">
        <v>1</v>
      </c>
      <c r="G104" s="614" t="s">
        <v>2253</v>
      </c>
      <c r="H104" s="468" t="s">
        <v>2254</v>
      </c>
      <c r="I104" s="469" t="s">
        <v>2138</v>
      </c>
      <c r="J104" s="469" t="s">
        <v>2117</v>
      </c>
      <c r="K104" s="470"/>
      <c r="L104" s="471" t="s">
        <v>2255</v>
      </c>
    </row>
    <row r="105" spans="1:12">
      <c r="A105" t="s">
        <v>2236</v>
      </c>
      <c r="B105">
        <v>370</v>
      </c>
      <c r="C105">
        <v>6500</v>
      </c>
      <c r="D105" s="8">
        <f>370+6500</f>
        <v>6870</v>
      </c>
      <c r="E105" t="s">
        <v>2256</v>
      </c>
      <c r="G105" s="614" t="s">
        <v>1610</v>
      </c>
      <c r="H105" s="468" t="s">
        <v>2257</v>
      </c>
      <c r="I105" s="469" t="s">
        <v>2164</v>
      </c>
      <c r="J105" s="472">
        <v>2026</v>
      </c>
      <c r="L105" s="471" t="s">
        <v>2258</v>
      </c>
    </row>
    <row r="107" spans="1:12">
      <c r="E107" t="s">
        <v>2259</v>
      </c>
    </row>
    <row r="108" spans="1:12">
      <c r="A108" t="s">
        <v>1747</v>
      </c>
      <c r="D108">
        <v>3216.4</v>
      </c>
      <c r="E108" t="s">
        <v>2260</v>
      </c>
      <c r="F108">
        <v>1</v>
      </c>
      <c r="G108" t="s">
        <v>1725</v>
      </c>
      <c r="H108" s="468" t="s">
        <v>2261</v>
      </c>
      <c r="I108">
        <v>9</v>
      </c>
      <c r="J108">
        <v>2027</v>
      </c>
      <c r="L108" s="471" t="s">
        <v>2262</v>
      </c>
    </row>
    <row r="109" spans="1:12">
      <c r="A109" t="s">
        <v>1747</v>
      </c>
      <c r="D109">
        <v>4403.8500000000004</v>
      </c>
      <c r="E109" t="s">
        <v>2263</v>
      </c>
      <c r="F109">
        <v>2</v>
      </c>
      <c r="G109" t="s">
        <v>2264</v>
      </c>
      <c r="H109" s="468" t="s">
        <v>2261</v>
      </c>
      <c r="I109">
        <v>9</v>
      </c>
      <c r="J109">
        <v>2027</v>
      </c>
      <c r="L109" s="471" t="s">
        <v>2262</v>
      </c>
    </row>
    <row r="111" spans="1:12">
      <c r="E111" t="s">
        <v>2265</v>
      </c>
    </row>
    <row r="112" spans="1:12">
      <c r="A112" s="470" t="s">
        <v>2246</v>
      </c>
      <c r="B112">
        <v>370</v>
      </c>
      <c r="C112" s="437">
        <v>5216.3999999999996</v>
      </c>
      <c r="D112" s="437">
        <f>+B112+C112</f>
        <v>5586.4</v>
      </c>
      <c r="E112" t="s">
        <v>2203</v>
      </c>
      <c r="F112">
        <f t="shared" ref="F112:F113" si="5">+F111+1</f>
        <v>1</v>
      </c>
      <c r="G112" s="614" t="s">
        <v>2204</v>
      </c>
      <c r="H112" s="468" t="s">
        <v>2205</v>
      </c>
      <c r="I112" s="473" t="s">
        <v>2206</v>
      </c>
      <c r="J112" s="473" t="s">
        <v>2129</v>
      </c>
      <c r="K112" s="470"/>
      <c r="L112" s="471" t="s">
        <v>2207</v>
      </c>
    </row>
    <row r="113" spans="1:12">
      <c r="A113" s="470" t="s">
        <v>2246</v>
      </c>
      <c r="B113">
        <v>370</v>
      </c>
      <c r="C113" s="437">
        <v>6403.85</v>
      </c>
      <c r="D113" s="437">
        <f t="shared" ref="D113:D114" si="6">+B113+C113</f>
        <v>6773.85</v>
      </c>
      <c r="E113" t="s">
        <v>2208</v>
      </c>
      <c r="F113">
        <f t="shared" si="5"/>
        <v>2</v>
      </c>
      <c r="G113" s="614" t="s">
        <v>2209</v>
      </c>
      <c r="H113" s="468" t="s">
        <v>2205</v>
      </c>
      <c r="I113" s="473" t="s">
        <v>2206</v>
      </c>
      <c r="J113" s="473" t="s">
        <v>2129</v>
      </c>
      <c r="K113" s="470"/>
      <c r="L113" s="471" t="s">
        <v>2207</v>
      </c>
    </row>
    <row r="114" spans="1:12">
      <c r="A114" s="470" t="s">
        <v>2236</v>
      </c>
      <c r="C114" s="11">
        <v>5309</v>
      </c>
      <c r="D114" s="437">
        <f t="shared" si="6"/>
        <v>5309</v>
      </c>
      <c r="E114" t="s">
        <v>2227</v>
      </c>
      <c r="F114">
        <v>1</v>
      </c>
      <c r="G114" s="17" t="s">
        <v>2157</v>
      </c>
      <c r="H114" s="468" t="s">
        <v>2228</v>
      </c>
      <c r="I114" s="469" t="s">
        <v>2148</v>
      </c>
      <c r="J114" s="469" t="s">
        <v>2139</v>
      </c>
      <c r="K114" s="470"/>
      <c r="L114" s="482" t="s">
        <v>2229</v>
      </c>
    </row>
    <row r="115" spans="1:12">
      <c r="A115" s="470"/>
      <c r="B115" s="470"/>
      <c r="C115" s="437"/>
      <c r="D115" s="437"/>
      <c r="G115" s="614"/>
      <c r="H115" s="468"/>
      <c r="I115" s="473"/>
      <c r="J115" s="473"/>
      <c r="K115" s="470"/>
      <c r="L115" s="471"/>
    </row>
    <row r="117" spans="1:12" ht="45">
      <c r="B117" s="25" t="s">
        <v>1816</v>
      </c>
      <c r="E117" t="s">
        <v>2266</v>
      </c>
    </row>
    <row r="118" spans="1:12">
      <c r="A118" t="s">
        <v>2246</v>
      </c>
      <c r="B118" s="8">
        <v>370</v>
      </c>
      <c r="C118" s="8">
        <f>3405.6+B118</f>
        <v>3775.6</v>
      </c>
      <c r="D118" s="8">
        <f>+B118+C118</f>
        <v>4145.6000000000004</v>
      </c>
      <c r="E118" s="480" t="s">
        <v>2240</v>
      </c>
      <c r="F118">
        <v>1</v>
      </c>
      <c r="G118" s="614" t="s">
        <v>2241</v>
      </c>
      <c r="H118" s="468" t="s">
        <v>2267</v>
      </c>
      <c r="I118" s="469" t="s">
        <v>2100</v>
      </c>
      <c r="J118" s="469" t="s">
        <v>2117</v>
      </c>
      <c r="K118" s="470"/>
      <c r="L118" s="471" t="s">
        <v>2243</v>
      </c>
    </row>
    <row r="119" spans="1:12">
      <c r="A119" t="s">
        <v>2246</v>
      </c>
      <c r="B119" s="8">
        <v>370</v>
      </c>
      <c r="C119" s="11">
        <v>5090</v>
      </c>
      <c r="D119" s="8">
        <f t="shared" ref="D119:D139" si="7">+B119+C119</f>
        <v>5460</v>
      </c>
      <c r="E119" t="s">
        <v>2114</v>
      </c>
      <c r="F119">
        <f>+F118+1</f>
        <v>2</v>
      </c>
      <c r="G119" s="614" t="s">
        <v>2115</v>
      </c>
      <c r="H119" s="468" t="s">
        <v>2116</v>
      </c>
      <c r="I119" s="473" t="s">
        <v>2100</v>
      </c>
      <c r="J119" s="473" t="s">
        <v>2117</v>
      </c>
      <c r="K119" s="470">
        <v>45566</v>
      </c>
      <c r="L119" s="474" t="s">
        <v>2118</v>
      </c>
    </row>
    <row r="120" spans="1:12">
      <c r="A120" t="s">
        <v>2246</v>
      </c>
      <c r="B120" s="8"/>
      <c r="C120" s="437">
        <v>2895.2</v>
      </c>
      <c r="D120" s="8">
        <f t="shared" si="7"/>
        <v>2895.2</v>
      </c>
      <c r="E120" t="s">
        <v>2119</v>
      </c>
      <c r="F120">
        <f t="shared" ref="F120:F141" si="8">+F119+1</f>
        <v>3</v>
      </c>
      <c r="G120" s="614" t="s">
        <v>2120</v>
      </c>
      <c r="H120" s="468" t="s">
        <v>2121</v>
      </c>
      <c r="I120" s="473" t="s">
        <v>2122</v>
      </c>
      <c r="J120" s="473" t="s">
        <v>2123</v>
      </c>
      <c r="K120" s="470">
        <v>44713</v>
      </c>
      <c r="L120" s="475" t="s">
        <v>2124</v>
      </c>
    </row>
    <row r="121" spans="1:12">
      <c r="A121" t="s">
        <v>2246</v>
      </c>
      <c r="B121" s="8">
        <v>370</v>
      </c>
      <c r="C121" s="8">
        <f>3619+1800</f>
        <v>5419</v>
      </c>
      <c r="D121" s="8">
        <f t="shared" si="7"/>
        <v>5789</v>
      </c>
      <c r="E121" t="s">
        <v>2132</v>
      </c>
      <c r="F121">
        <f t="shared" si="8"/>
        <v>4</v>
      </c>
      <c r="G121" s="614" t="s">
        <v>2133</v>
      </c>
      <c r="H121" s="468" t="s">
        <v>2134</v>
      </c>
      <c r="I121" s="473" t="s">
        <v>2135</v>
      </c>
      <c r="J121" s="473" t="s">
        <v>2101</v>
      </c>
      <c r="L121" s="478" t="s">
        <v>2136</v>
      </c>
    </row>
    <row r="122" spans="1:12">
      <c r="A122" t="s">
        <v>2246</v>
      </c>
      <c r="B122" s="8">
        <v>370</v>
      </c>
      <c r="C122" s="8">
        <v>3665</v>
      </c>
      <c r="D122" s="8">
        <f t="shared" si="7"/>
        <v>4035</v>
      </c>
      <c r="E122" t="s">
        <v>2137</v>
      </c>
      <c r="F122">
        <f t="shared" si="8"/>
        <v>5</v>
      </c>
      <c r="G122" s="614" t="s">
        <v>2133</v>
      </c>
      <c r="H122" s="468" t="s">
        <v>2110</v>
      </c>
      <c r="I122" s="473" t="s">
        <v>2138</v>
      </c>
      <c r="J122" s="473" t="s">
        <v>2139</v>
      </c>
      <c r="L122" s="478" t="s">
        <v>2140</v>
      </c>
    </row>
    <row r="123" spans="1:12">
      <c r="A123" t="s">
        <v>2246</v>
      </c>
      <c r="B123" s="8">
        <v>370</v>
      </c>
      <c r="C123" s="437">
        <v>2895.2</v>
      </c>
      <c r="D123" s="8">
        <f t="shared" si="7"/>
        <v>3265.2</v>
      </c>
      <c r="E123" t="s">
        <v>2141</v>
      </c>
      <c r="F123">
        <f t="shared" si="8"/>
        <v>6</v>
      </c>
      <c r="G123" s="479" t="s">
        <v>2142</v>
      </c>
      <c r="H123" s="468" t="s">
        <v>2143</v>
      </c>
      <c r="I123" s="614">
        <v>7</v>
      </c>
      <c r="J123" s="614">
        <v>2025</v>
      </c>
      <c r="L123" s="471" t="s">
        <v>2144</v>
      </c>
    </row>
    <row r="124" spans="1:12">
      <c r="A124" t="s">
        <v>2246</v>
      </c>
      <c r="B124" s="8">
        <v>370</v>
      </c>
      <c r="C124" s="11">
        <f>3405.6+2105</f>
        <v>5510.6</v>
      </c>
      <c r="D124" s="8">
        <f t="shared" si="7"/>
        <v>5880.6</v>
      </c>
      <c r="E124" t="s">
        <v>2145</v>
      </c>
      <c r="F124">
        <f t="shared" si="8"/>
        <v>7</v>
      </c>
      <c r="G124" s="614" t="s">
        <v>2146</v>
      </c>
      <c r="H124" s="468" t="s">
        <v>2147</v>
      </c>
      <c r="I124" s="473" t="s">
        <v>2148</v>
      </c>
      <c r="J124" s="473" t="s">
        <v>2129</v>
      </c>
      <c r="K124" s="470"/>
      <c r="L124" s="474" t="s">
        <v>2149</v>
      </c>
    </row>
    <row r="125" spans="1:12">
      <c r="A125" t="s">
        <v>2246</v>
      </c>
      <c r="B125" s="8">
        <v>370</v>
      </c>
      <c r="C125" s="437">
        <v>3405</v>
      </c>
      <c r="D125" s="8">
        <f t="shared" si="7"/>
        <v>3775</v>
      </c>
      <c r="E125" s="480" t="s">
        <v>2150</v>
      </c>
      <c r="F125">
        <f t="shared" si="8"/>
        <v>8</v>
      </c>
      <c r="G125" s="614" t="s">
        <v>2146</v>
      </c>
      <c r="H125" s="468" t="s">
        <v>2121</v>
      </c>
      <c r="I125" s="473" t="s">
        <v>2122</v>
      </c>
      <c r="J125" s="473" t="s">
        <v>2123</v>
      </c>
      <c r="K125" s="470">
        <v>44713</v>
      </c>
      <c r="L125" s="475" t="s">
        <v>2124</v>
      </c>
    </row>
    <row r="126" spans="1:12">
      <c r="A126" t="s">
        <v>2246</v>
      </c>
      <c r="B126" s="8">
        <v>370</v>
      </c>
      <c r="C126" s="8">
        <v>5584</v>
      </c>
      <c r="D126" s="8">
        <f t="shared" si="7"/>
        <v>5954</v>
      </c>
      <c r="E126" t="s">
        <v>2097</v>
      </c>
      <c r="F126">
        <f t="shared" si="8"/>
        <v>9</v>
      </c>
      <c r="G126" s="614" t="s">
        <v>2098</v>
      </c>
      <c r="H126" s="468" t="s">
        <v>2099</v>
      </c>
      <c r="I126" s="473" t="s">
        <v>2100</v>
      </c>
      <c r="J126" s="473" t="s">
        <v>2101</v>
      </c>
      <c r="K126" s="470"/>
      <c r="L126" s="471" t="s">
        <v>2102</v>
      </c>
    </row>
    <row r="127" spans="1:12">
      <c r="A127" t="s">
        <v>2246</v>
      </c>
      <c r="B127" s="8"/>
      <c r="C127" s="437">
        <v>3027.2</v>
      </c>
      <c r="D127" s="8">
        <f t="shared" si="7"/>
        <v>3027.2</v>
      </c>
      <c r="E127" t="s">
        <v>2156</v>
      </c>
      <c r="F127">
        <f t="shared" si="8"/>
        <v>10</v>
      </c>
      <c r="G127" s="614" t="s">
        <v>2157</v>
      </c>
      <c r="H127" s="468" t="s">
        <v>2121</v>
      </c>
      <c r="I127" s="473" t="s">
        <v>2122</v>
      </c>
      <c r="J127" s="473" t="s">
        <v>2123</v>
      </c>
      <c r="K127" s="470">
        <v>44713</v>
      </c>
      <c r="L127" s="475" t="s">
        <v>2124</v>
      </c>
    </row>
    <row r="128" spans="1:12">
      <c r="A128" t="s">
        <v>2246</v>
      </c>
      <c r="B128" s="8">
        <v>370</v>
      </c>
      <c r="C128" s="437">
        <f>3405.6+2105</f>
        <v>5510.6</v>
      </c>
      <c r="D128" s="8">
        <f t="shared" si="7"/>
        <v>5880.6</v>
      </c>
      <c r="E128" t="s">
        <v>2158</v>
      </c>
      <c r="F128">
        <f t="shared" si="8"/>
        <v>11</v>
      </c>
      <c r="G128" s="614" t="s">
        <v>2157</v>
      </c>
      <c r="H128" s="468" t="s">
        <v>2159</v>
      </c>
      <c r="I128" s="473" t="s">
        <v>2128</v>
      </c>
      <c r="J128" s="473" t="s">
        <v>2101</v>
      </c>
      <c r="K128" s="470"/>
      <c r="L128" s="474" t="s">
        <v>2160</v>
      </c>
    </row>
    <row r="129" spans="1:12">
      <c r="A129" t="s">
        <v>2246</v>
      </c>
      <c r="B129" s="8">
        <v>370</v>
      </c>
      <c r="C129" s="437">
        <f>3405.6+1800</f>
        <v>5205.6000000000004</v>
      </c>
      <c r="D129" s="8">
        <f t="shared" si="7"/>
        <v>5575.6</v>
      </c>
      <c r="E129" t="s">
        <v>2161</v>
      </c>
      <c r="F129">
        <f t="shared" si="8"/>
        <v>12</v>
      </c>
      <c r="G129" s="614" t="s">
        <v>2162</v>
      </c>
      <c r="H129" s="468" t="s">
        <v>2163</v>
      </c>
      <c r="I129" s="473" t="s">
        <v>2164</v>
      </c>
      <c r="J129" s="473" t="s">
        <v>2165</v>
      </c>
      <c r="K129" s="470">
        <v>44927</v>
      </c>
      <c r="L129" s="475" t="s">
        <v>2166</v>
      </c>
    </row>
    <row r="130" spans="1:12">
      <c r="A130" t="s">
        <v>2246</v>
      </c>
      <c r="B130" s="8">
        <v>370</v>
      </c>
      <c r="C130" s="8">
        <f>3771.9+2235</f>
        <v>6006.9</v>
      </c>
      <c r="D130" s="8">
        <f t="shared" si="7"/>
        <v>6376.9</v>
      </c>
      <c r="E130" t="s">
        <v>2167</v>
      </c>
      <c r="F130">
        <f t="shared" si="8"/>
        <v>13</v>
      </c>
      <c r="G130" s="614" t="s">
        <v>1639</v>
      </c>
      <c r="H130" s="468" t="s">
        <v>2168</v>
      </c>
      <c r="I130" s="473" t="s">
        <v>2122</v>
      </c>
      <c r="J130" s="473" t="s">
        <v>2129</v>
      </c>
      <c r="L130" s="478" t="s">
        <v>2169</v>
      </c>
    </row>
    <row r="131" spans="1:12">
      <c r="A131" t="s">
        <v>2246</v>
      </c>
      <c r="B131" s="8">
        <v>370</v>
      </c>
      <c r="C131" s="8">
        <f>4658.5+2105</f>
        <v>6763.5</v>
      </c>
      <c r="D131" s="8">
        <f t="shared" si="7"/>
        <v>7133.5</v>
      </c>
      <c r="E131" s="480" t="s">
        <v>2170</v>
      </c>
      <c r="F131">
        <f t="shared" si="8"/>
        <v>14</v>
      </c>
      <c r="G131" s="614" t="s">
        <v>2171</v>
      </c>
      <c r="H131" s="468" t="s">
        <v>2172</v>
      </c>
      <c r="I131" s="473" t="s">
        <v>2173</v>
      </c>
      <c r="J131" s="473" t="s">
        <v>2117</v>
      </c>
      <c r="K131" s="470"/>
      <c r="L131" s="471" t="s">
        <v>2174</v>
      </c>
    </row>
    <row r="132" spans="1:12">
      <c r="A132" t="s">
        <v>2246</v>
      </c>
      <c r="B132" s="8">
        <v>370</v>
      </c>
      <c r="C132" s="437">
        <f>4192.65+2105</f>
        <v>6297.65</v>
      </c>
      <c r="D132" s="8">
        <f t="shared" si="7"/>
        <v>6667.65</v>
      </c>
      <c r="E132" t="s">
        <v>2175</v>
      </c>
      <c r="F132">
        <f t="shared" si="8"/>
        <v>15</v>
      </c>
      <c r="G132" s="614" t="s">
        <v>2171</v>
      </c>
      <c r="H132" s="468" t="s">
        <v>2176</v>
      </c>
      <c r="I132" s="473" t="s">
        <v>2100</v>
      </c>
      <c r="J132" s="473" t="s">
        <v>2101</v>
      </c>
      <c r="K132" s="470">
        <v>45931</v>
      </c>
      <c r="L132" s="474" t="s">
        <v>2177</v>
      </c>
    </row>
    <row r="133" spans="1:12">
      <c r="A133" t="s">
        <v>2246</v>
      </c>
      <c r="B133" s="8"/>
      <c r="C133" s="437">
        <v>3726.8</v>
      </c>
      <c r="D133" s="8">
        <f t="shared" si="7"/>
        <v>3726.8</v>
      </c>
      <c r="E133" t="s">
        <v>2178</v>
      </c>
      <c r="F133">
        <f t="shared" si="8"/>
        <v>16</v>
      </c>
      <c r="G133" s="614" t="s">
        <v>2171</v>
      </c>
      <c r="H133" s="468" t="s">
        <v>2121</v>
      </c>
      <c r="I133" s="473" t="s">
        <v>2122</v>
      </c>
      <c r="J133" s="473" t="s">
        <v>2123</v>
      </c>
      <c r="K133" s="470">
        <v>44713</v>
      </c>
      <c r="L133" s="475" t="s">
        <v>2124</v>
      </c>
    </row>
    <row r="134" spans="1:12">
      <c r="A134" t="s">
        <v>2246</v>
      </c>
      <c r="B134" s="8">
        <v>370</v>
      </c>
      <c r="C134" s="11">
        <f>4403.85+1800</f>
        <v>6203.85</v>
      </c>
      <c r="D134" s="8">
        <f t="shared" si="7"/>
        <v>6573.85</v>
      </c>
      <c r="E134" t="s">
        <v>2179</v>
      </c>
      <c r="F134">
        <f t="shared" si="8"/>
        <v>17</v>
      </c>
      <c r="G134" s="614" t="s">
        <v>2180</v>
      </c>
      <c r="H134" s="468" t="s">
        <v>2181</v>
      </c>
      <c r="I134" s="473" t="s">
        <v>2122</v>
      </c>
      <c r="J134" s="473" t="s">
        <v>2101</v>
      </c>
      <c r="K134" s="470">
        <v>45809</v>
      </c>
      <c r="L134" s="481" t="s">
        <v>2182</v>
      </c>
    </row>
    <row r="135" spans="1:12">
      <c r="A135" t="s">
        <v>2246</v>
      </c>
      <c r="B135" s="8">
        <v>370</v>
      </c>
      <c r="C135" s="437">
        <f>5181+1800</f>
        <v>6981</v>
      </c>
      <c r="D135" s="8">
        <f t="shared" si="7"/>
        <v>7351</v>
      </c>
      <c r="E135" t="s">
        <v>2183</v>
      </c>
      <c r="F135">
        <f t="shared" si="8"/>
        <v>18</v>
      </c>
      <c r="G135" s="614" t="s">
        <v>2184</v>
      </c>
      <c r="H135" s="468" t="s">
        <v>2185</v>
      </c>
      <c r="I135" s="473" t="s">
        <v>2164</v>
      </c>
      <c r="J135" s="473" t="s">
        <v>2101</v>
      </c>
      <c r="K135" s="470">
        <v>45658</v>
      </c>
      <c r="L135" s="475" t="s">
        <v>2186</v>
      </c>
    </row>
    <row r="136" spans="1:12">
      <c r="A136" t="s">
        <v>2246</v>
      </c>
      <c r="B136" s="8">
        <v>370</v>
      </c>
      <c r="C136" s="11">
        <v>5181</v>
      </c>
      <c r="D136" s="8">
        <f t="shared" si="7"/>
        <v>5551</v>
      </c>
      <c r="E136" t="s">
        <v>2187</v>
      </c>
      <c r="F136">
        <f t="shared" si="8"/>
        <v>19</v>
      </c>
      <c r="G136" s="614" t="s">
        <v>2184</v>
      </c>
      <c r="H136" s="468" t="s">
        <v>2188</v>
      </c>
      <c r="I136" s="473" t="s">
        <v>2148</v>
      </c>
      <c r="J136" s="473" t="s">
        <v>2165</v>
      </c>
      <c r="K136" s="470">
        <v>44958</v>
      </c>
      <c r="L136" s="474" t="s">
        <v>2189</v>
      </c>
    </row>
    <row r="137" spans="1:12">
      <c r="A137" t="s">
        <v>2246</v>
      </c>
      <c r="B137" s="8">
        <f>370+83.24</f>
        <v>453.24</v>
      </c>
      <c r="C137" s="11">
        <v>5735.33</v>
      </c>
      <c r="D137" s="8">
        <f t="shared" si="7"/>
        <v>6188.57</v>
      </c>
      <c r="E137" t="s">
        <v>2190</v>
      </c>
      <c r="F137">
        <f t="shared" si="8"/>
        <v>20</v>
      </c>
      <c r="G137" s="614" t="s">
        <v>2191</v>
      </c>
      <c r="H137" s="468" t="s">
        <v>2192</v>
      </c>
      <c r="I137" s="473" t="s">
        <v>2193</v>
      </c>
      <c r="J137" s="473" t="s">
        <v>2117</v>
      </c>
      <c r="L137" s="478" t="s">
        <v>2194</v>
      </c>
    </row>
    <row r="138" spans="1:12">
      <c r="A138" t="s">
        <v>2236</v>
      </c>
      <c r="B138" s="11">
        <v>370</v>
      </c>
      <c r="C138" s="11">
        <v>6628.25</v>
      </c>
      <c r="D138" s="11">
        <f t="shared" si="7"/>
        <v>6998.25</v>
      </c>
      <c r="E138" t="s">
        <v>2245</v>
      </c>
      <c r="F138">
        <f t="shared" si="8"/>
        <v>21</v>
      </c>
      <c r="G138" s="614" t="s">
        <v>1764</v>
      </c>
      <c r="H138" s="468" t="s">
        <v>2192</v>
      </c>
      <c r="I138" s="473" t="s">
        <v>2193</v>
      </c>
      <c r="J138" s="473" t="s">
        <v>2117</v>
      </c>
      <c r="L138" s="478" t="s">
        <v>2194</v>
      </c>
    </row>
    <row r="139" spans="1:12">
      <c r="A139" t="s">
        <v>2268</v>
      </c>
      <c r="B139" s="8">
        <v>370</v>
      </c>
      <c r="C139" s="437">
        <v>5724</v>
      </c>
      <c r="D139" s="8">
        <f t="shared" si="7"/>
        <v>6094</v>
      </c>
      <c r="E139" t="s">
        <v>2198</v>
      </c>
      <c r="F139">
        <f t="shared" si="8"/>
        <v>22</v>
      </c>
      <c r="G139" s="479" t="s">
        <v>2199</v>
      </c>
      <c r="H139" s="468" t="s">
        <v>2200</v>
      </c>
      <c r="I139" s="614">
        <v>10</v>
      </c>
      <c r="J139" s="614">
        <v>2027</v>
      </c>
      <c r="L139" s="471" t="s">
        <v>2201</v>
      </c>
    </row>
    <row r="140" spans="1:12">
      <c r="A140" t="s">
        <v>2269</v>
      </c>
      <c r="B140" s="8">
        <v>370</v>
      </c>
      <c r="C140" s="11"/>
      <c r="D140" s="8">
        <v>6939.5</v>
      </c>
      <c r="E140" t="s">
        <v>384</v>
      </c>
      <c r="F140">
        <f t="shared" si="8"/>
        <v>23</v>
      </c>
      <c r="G140" t="s">
        <v>1610</v>
      </c>
      <c r="H140" s="468" t="s">
        <v>2104</v>
      </c>
      <c r="I140" s="614">
        <v>9</v>
      </c>
      <c r="J140" s="614">
        <v>2025</v>
      </c>
      <c r="L140" s="471" t="s">
        <v>2105</v>
      </c>
    </row>
    <row r="141" spans="1:12">
      <c r="A141" t="s">
        <v>2246</v>
      </c>
      <c r="C141" s="437"/>
      <c r="D141" s="437">
        <v>4192.6499999999996</v>
      </c>
      <c r="E141" t="s">
        <v>2222</v>
      </c>
      <c r="F141">
        <f t="shared" si="8"/>
        <v>24</v>
      </c>
      <c r="G141" s="614" t="s">
        <v>1591</v>
      </c>
      <c r="H141" s="468" t="s">
        <v>2223</v>
      </c>
      <c r="I141" s="468" t="s">
        <v>2135</v>
      </c>
      <c r="J141" s="468" t="s">
        <v>2129</v>
      </c>
      <c r="K141" s="470">
        <v>46235</v>
      </c>
      <c r="L141" s="471" t="s">
        <v>2224</v>
      </c>
    </row>
    <row r="144" spans="1:12">
      <c r="E144" t="s">
        <v>2270</v>
      </c>
    </row>
    <row r="145" spans="1:12">
      <c r="A145" t="s">
        <v>2246</v>
      </c>
      <c r="B145" s="8">
        <v>370</v>
      </c>
      <c r="C145" s="8">
        <v>5584</v>
      </c>
      <c r="D145" s="8">
        <f t="shared" ref="D145" si="9">+B145+C145</f>
        <v>5954</v>
      </c>
      <c r="E145" t="s">
        <v>2097</v>
      </c>
      <c r="F145">
        <f t="shared" ref="F145" si="10">+F144+1</f>
        <v>1</v>
      </c>
      <c r="G145" s="614" t="s">
        <v>2098</v>
      </c>
      <c r="H145" s="468" t="s">
        <v>2099</v>
      </c>
      <c r="I145" s="473" t="s">
        <v>2100</v>
      </c>
      <c r="J145" s="473" t="s">
        <v>2101</v>
      </c>
      <c r="K145" s="470"/>
      <c r="L145" s="471" t="s">
        <v>2102</v>
      </c>
    </row>
    <row r="146" spans="1:12">
      <c r="A146" t="s">
        <v>2246</v>
      </c>
      <c r="B146" s="8">
        <v>370</v>
      </c>
      <c r="C146" s="11">
        <f>3257.1+1475</f>
        <v>4732.1000000000004</v>
      </c>
      <c r="D146" s="8">
        <f>+B146+C146</f>
        <v>5102.1000000000004</v>
      </c>
      <c r="E146" t="s">
        <v>2125</v>
      </c>
      <c r="F146">
        <f>+F145+1</f>
        <v>2</v>
      </c>
      <c r="G146" s="614" t="s">
        <v>2126</v>
      </c>
      <c r="H146" s="468" t="s">
        <v>2127</v>
      </c>
      <c r="I146" s="473" t="s">
        <v>2128</v>
      </c>
      <c r="J146" s="473" t="s">
        <v>2129</v>
      </c>
      <c r="K146" s="470">
        <v>46266</v>
      </c>
      <c r="L146" s="474" t="s">
        <v>2130</v>
      </c>
    </row>
    <row r="147" spans="1:12">
      <c r="A147" s="470" t="s">
        <v>2246</v>
      </c>
      <c r="B147">
        <v>90</v>
      </c>
      <c r="C147" s="11">
        <v>5309</v>
      </c>
      <c r="D147" s="437">
        <f t="shared" ref="D147" si="11">+B147+C147</f>
        <v>5399</v>
      </c>
      <c r="E147" t="s">
        <v>2227</v>
      </c>
      <c r="F147">
        <f t="shared" ref="F147:F152" si="12">+F146+1</f>
        <v>3</v>
      </c>
      <c r="G147" s="614" t="s">
        <v>2157</v>
      </c>
      <c r="H147" s="468" t="s">
        <v>2228</v>
      </c>
      <c r="I147" s="473" t="s">
        <v>2148</v>
      </c>
      <c r="J147" s="473" t="s">
        <v>2139</v>
      </c>
      <c r="K147" s="470"/>
      <c r="L147" s="482" t="s">
        <v>2229</v>
      </c>
    </row>
    <row r="148" spans="1:12">
      <c r="A148" t="s">
        <v>2271</v>
      </c>
      <c r="C148" s="12"/>
      <c r="D148" s="12">
        <v>4628.25</v>
      </c>
      <c r="E148" t="s">
        <v>2215</v>
      </c>
      <c r="F148">
        <f t="shared" si="12"/>
        <v>4</v>
      </c>
      <c r="G148" s="614" t="s">
        <v>2216</v>
      </c>
      <c r="H148" s="468" t="s">
        <v>2212</v>
      </c>
      <c r="I148" s="614">
        <v>7</v>
      </c>
      <c r="J148" s="614">
        <v>2028</v>
      </c>
      <c r="L148" s="471" t="s">
        <v>2213</v>
      </c>
    </row>
    <row r="149" spans="1:12">
      <c r="A149" t="s">
        <v>2271</v>
      </c>
      <c r="C149" s="8"/>
      <c r="D149" s="8">
        <v>4628.25</v>
      </c>
      <c r="E149" t="s">
        <v>2217</v>
      </c>
      <c r="F149">
        <f t="shared" si="12"/>
        <v>5</v>
      </c>
      <c r="G149" s="614" t="s">
        <v>2066</v>
      </c>
      <c r="H149" s="468" t="s">
        <v>2212</v>
      </c>
      <c r="I149" s="614">
        <v>7</v>
      </c>
      <c r="J149" s="614">
        <v>2028</v>
      </c>
      <c r="L149" s="471" t="s">
        <v>2213</v>
      </c>
    </row>
    <row r="150" spans="1:12">
      <c r="A150" t="s">
        <v>2272</v>
      </c>
      <c r="C150" s="12"/>
      <c r="D150" s="12">
        <v>4000</v>
      </c>
      <c r="E150" t="s">
        <v>2211</v>
      </c>
      <c r="F150">
        <f t="shared" si="12"/>
        <v>6</v>
      </c>
      <c r="G150" s="614" t="s">
        <v>2066</v>
      </c>
      <c r="H150" s="468" t="s">
        <v>2212</v>
      </c>
      <c r="I150" s="614">
        <v>7</v>
      </c>
      <c r="J150" s="614">
        <v>2028</v>
      </c>
      <c r="L150" s="471" t="s">
        <v>2213</v>
      </c>
    </row>
    <row r="151" spans="1:12">
      <c r="A151" t="s">
        <v>2246</v>
      </c>
      <c r="B151">
        <v>370</v>
      </c>
      <c r="C151" s="437">
        <v>4944</v>
      </c>
      <c r="D151" s="437">
        <f>370+4944</f>
        <v>5314</v>
      </c>
      <c r="E151" t="s">
        <v>2252</v>
      </c>
      <c r="F151">
        <f t="shared" si="12"/>
        <v>7</v>
      </c>
      <c r="G151" s="614" t="s">
        <v>2253</v>
      </c>
      <c r="H151" s="468" t="s">
        <v>2254</v>
      </c>
      <c r="I151" s="473" t="s">
        <v>2138</v>
      </c>
      <c r="J151" s="473" t="s">
        <v>2117</v>
      </c>
      <c r="K151" s="470"/>
      <c r="L151" s="471" t="s">
        <v>2255</v>
      </c>
    </row>
    <row r="152" spans="1:12">
      <c r="A152" t="s">
        <v>2246</v>
      </c>
      <c r="B152">
        <v>370</v>
      </c>
      <c r="C152">
        <v>6500</v>
      </c>
      <c r="D152" s="8">
        <f>370+6500</f>
        <v>6870</v>
      </c>
      <c r="E152" t="s">
        <v>2256</v>
      </c>
      <c r="F152">
        <f t="shared" si="12"/>
        <v>8</v>
      </c>
      <c r="G152" s="614" t="s">
        <v>1610</v>
      </c>
      <c r="H152" s="468" t="s">
        <v>2257</v>
      </c>
      <c r="I152" s="473" t="s">
        <v>2164</v>
      </c>
      <c r="J152" s="614">
        <v>2026</v>
      </c>
      <c r="L152" s="471" t="s">
        <v>2258</v>
      </c>
    </row>
    <row r="154" spans="1:12">
      <c r="E154" t="s">
        <v>2273</v>
      </c>
    </row>
    <row r="155" spans="1:12">
      <c r="A155" t="s">
        <v>2274</v>
      </c>
      <c r="B155" s="8"/>
      <c r="D155" s="8">
        <v>7730</v>
      </c>
      <c r="E155" t="s">
        <v>384</v>
      </c>
      <c r="F155">
        <f t="shared" ref="F155" si="13">+F154+1</f>
        <v>1</v>
      </c>
      <c r="G155" t="s">
        <v>1610</v>
      </c>
      <c r="H155" s="468" t="s">
        <v>2104</v>
      </c>
      <c r="I155" s="614">
        <v>9</v>
      </c>
      <c r="J155" s="614">
        <v>2025</v>
      </c>
      <c r="L155" s="471" t="s">
        <v>2105</v>
      </c>
    </row>
    <row r="157" spans="1:12">
      <c r="E157" t="s">
        <v>2275</v>
      </c>
    </row>
    <row r="158" spans="1:12">
      <c r="A158" s="470" t="s">
        <v>2276</v>
      </c>
      <c r="B158">
        <v>0</v>
      </c>
      <c r="C158" s="437">
        <v>5216.3999999999996</v>
      </c>
      <c r="D158" s="437">
        <f>+B158+C158</f>
        <v>5216.3999999999996</v>
      </c>
      <c r="E158" t="s">
        <v>2203</v>
      </c>
      <c r="F158">
        <f t="shared" ref="F158:F159" si="14">+F157+1</f>
        <v>1</v>
      </c>
      <c r="G158" s="614" t="s">
        <v>2204</v>
      </c>
      <c r="H158" s="468" t="s">
        <v>2205</v>
      </c>
      <c r="I158" s="473" t="s">
        <v>2206</v>
      </c>
      <c r="J158" s="473" t="s">
        <v>2129</v>
      </c>
      <c r="K158" s="470"/>
      <c r="L158" s="471" t="s">
        <v>2207</v>
      </c>
    </row>
    <row r="159" spans="1:12">
      <c r="A159" s="470" t="s">
        <v>2276</v>
      </c>
      <c r="B159">
        <v>0</v>
      </c>
      <c r="C159" s="437">
        <v>6403.85</v>
      </c>
      <c r="D159" s="437">
        <f t="shared" ref="D159" si="15">+B159+C159</f>
        <v>6403.85</v>
      </c>
      <c r="E159" t="s">
        <v>2208</v>
      </c>
      <c r="F159">
        <f t="shared" si="14"/>
        <v>2</v>
      </c>
      <c r="G159" s="614" t="s">
        <v>2209</v>
      </c>
      <c r="H159" s="468" t="s">
        <v>2205</v>
      </c>
      <c r="I159" s="473" t="s">
        <v>2206</v>
      </c>
      <c r="J159" s="473" t="s">
        <v>2129</v>
      </c>
      <c r="K159" s="470"/>
      <c r="L159" s="471" t="s">
        <v>2207</v>
      </c>
    </row>
    <row r="160" spans="1:12">
      <c r="A160" t="s">
        <v>2246</v>
      </c>
      <c r="D160" s="437">
        <v>7286</v>
      </c>
      <c r="E160" t="s">
        <v>2277</v>
      </c>
      <c r="G160" s="614" t="s">
        <v>2278</v>
      </c>
      <c r="H160" s="468" t="s">
        <v>2279</v>
      </c>
      <c r="I160" s="473" t="s">
        <v>2100</v>
      </c>
      <c r="J160" s="473" t="s">
        <v>2117</v>
      </c>
      <c r="K160" s="470"/>
      <c r="L160" s="474" t="s">
        <v>2280</v>
      </c>
    </row>
    <row r="163" spans="1:12">
      <c r="E163" t="s">
        <v>2281</v>
      </c>
    </row>
    <row r="164" spans="1:12">
      <c r="A164" t="s">
        <v>2276</v>
      </c>
      <c r="B164" s="8"/>
      <c r="D164" s="8">
        <f>3405.6+B164</f>
        <v>3405.6</v>
      </c>
      <c r="E164" s="480" t="s">
        <v>2240</v>
      </c>
      <c r="F164">
        <v>1</v>
      </c>
      <c r="G164" s="614" t="s">
        <v>2241</v>
      </c>
      <c r="H164" s="468" t="s">
        <v>2267</v>
      </c>
      <c r="I164" s="469" t="s">
        <v>2100</v>
      </c>
      <c r="J164" s="469" t="s">
        <v>2117</v>
      </c>
      <c r="K164" s="470"/>
      <c r="L164" s="471" t="s">
        <v>2243</v>
      </c>
    </row>
    <row r="165" spans="1:12">
      <c r="A165" t="s">
        <v>2276</v>
      </c>
      <c r="B165" s="8"/>
      <c r="D165" s="11">
        <v>5090</v>
      </c>
      <c r="E165" t="s">
        <v>2114</v>
      </c>
      <c r="F165">
        <f>+F164+1</f>
        <v>2</v>
      </c>
      <c r="G165" s="614" t="s">
        <v>2115</v>
      </c>
      <c r="H165" s="468" t="s">
        <v>2116</v>
      </c>
      <c r="I165" s="473" t="s">
        <v>2100</v>
      </c>
      <c r="J165" s="473" t="s">
        <v>2117</v>
      </c>
      <c r="K165" s="470">
        <v>45566</v>
      </c>
      <c r="L165" s="474" t="s">
        <v>2118</v>
      </c>
    </row>
    <row r="166" spans="1:12">
      <c r="A166" t="s">
        <v>2276</v>
      </c>
      <c r="B166" s="8"/>
      <c r="D166" s="437">
        <v>2895.2</v>
      </c>
      <c r="E166" t="s">
        <v>2119</v>
      </c>
      <c r="F166">
        <f t="shared" ref="F166:F187" si="16">+F165+1</f>
        <v>3</v>
      </c>
      <c r="G166" s="614" t="s">
        <v>2120</v>
      </c>
      <c r="H166" s="468" t="s">
        <v>2121</v>
      </c>
      <c r="I166" s="473" t="s">
        <v>2122</v>
      </c>
      <c r="J166" s="473" t="s">
        <v>2123</v>
      </c>
      <c r="K166" s="470">
        <v>44713</v>
      </c>
      <c r="L166" s="475" t="s">
        <v>2124</v>
      </c>
    </row>
    <row r="167" spans="1:12">
      <c r="A167" t="s">
        <v>2276</v>
      </c>
      <c r="B167" s="8"/>
      <c r="D167" s="8">
        <f>3619+1800</f>
        <v>5419</v>
      </c>
      <c r="E167" t="s">
        <v>2132</v>
      </c>
      <c r="F167">
        <f t="shared" si="16"/>
        <v>4</v>
      </c>
      <c r="G167" s="614" t="s">
        <v>2133</v>
      </c>
      <c r="H167" s="468" t="s">
        <v>2134</v>
      </c>
      <c r="I167" s="473" t="s">
        <v>2135</v>
      </c>
      <c r="J167" s="473" t="s">
        <v>2101</v>
      </c>
      <c r="L167" s="478" t="s">
        <v>2136</v>
      </c>
    </row>
    <row r="168" spans="1:12">
      <c r="A168" t="s">
        <v>2276</v>
      </c>
      <c r="B168" s="8"/>
      <c r="D168" s="8">
        <v>3665</v>
      </c>
      <c r="E168" t="s">
        <v>2137</v>
      </c>
      <c r="F168">
        <f t="shared" si="16"/>
        <v>5</v>
      </c>
      <c r="G168" s="614" t="s">
        <v>2133</v>
      </c>
      <c r="H168" s="468" t="s">
        <v>2110</v>
      </c>
      <c r="I168" s="473" t="s">
        <v>2138</v>
      </c>
      <c r="J168" s="473" t="s">
        <v>2139</v>
      </c>
      <c r="L168" s="478" t="s">
        <v>2140</v>
      </c>
    </row>
    <row r="169" spans="1:12">
      <c r="A169" t="s">
        <v>2276</v>
      </c>
      <c r="B169" s="8"/>
      <c r="D169" s="437">
        <v>2895.2</v>
      </c>
      <c r="E169" t="s">
        <v>2141</v>
      </c>
      <c r="F169">
        <f t="shared" si="16"/>
        <v>6</v>
      </c>
      <c r="G169" s="479" t="s">
        <v>2142</v>
      </c>
      <c r="H169" s="468" t="s">
        <v>2143</v>
      </c>
      <c r="I169" s="614">
        <v>7</v>
      </c>
      <c r="J169" s="614">
        <v>2028</v>
      </c>
      <c r="L169" s="471" t="s">
        <v>2144</v>
      </c>
    </row>
    <row r="170" spans="1:12">
      <c r="A170" t="s">
        <v>2276</v>
      </c>
      <c r="B170" s="8"/>
      <c r="D170" s="11">
        <f>3405.6+2105</f>
        <v>5510.6</v>
      </c>
      <c r="E170" t="s">
        <v>2145</v>
      </c>
      <c r="F170">
        <f t="shared" si="16"/>
        <v>7</v>
      </c>
      <c r="G170" s="614" t="s">
        <v>2146</v>
      </c>
      <c r="H170" s="468" t="s">
        <v>2147</v>
      </c>
      <c r="I170" s="473" t="s">
        <v>2148</v>
      </c>
      <c r="J170" s="473" t="s">
        <v>2129</v>
      </c>
      <c r="K170" s="470"/>
      <c r="L170" s="474" t="s">
        <v>2149</v>
      </c>
    </row>
    <row r="171" spans="1:12">
      <c r="A171" t="s">
        <v>2276</v>
      </c>
      <c r="B171" s="8"/>
      <c r="D171" s="437">
        <v>3405</v>
      </c>
      <c r="E171" s="480" t="s">
        <v>2150</v>
      </c>
      <c r="F171">
        <f t="shared" si="16"/>
        <v>8</v>
      </c>
      <c r="G171" s="614" t="s">
        <v>2146</v>
      </c>
      <c r="H171" s="468" t="s">
        <v>2121</v>
      </c>
      <c r="I171" s="473" t="s">
        <v>2122</v>
      </c>
      <c r="J171" s="473" t="s">
        <v>2123</v>
      </c>
      <c r="K171" s="470">
        <v>44713</v>
      </c>
      <c r="L171" s="475" t="s">
        <v>2124</v>
      </c>
    </row>
    <row r="172" spans="1:12">
      <c r="A172" t="s">
        <v>2276</v>
      </c>
      <c r="B172" s="8"/>
      <c r="D172" s="8">
        <v>5584</v>
      </c>
      <c r="E172" t="s">
        <v>2097</v>
      </c>
      <c r="F172">
        <f t="shared" si="16"/>
        <v>9</v>
      </c>
      <c r="G172" s="614" t="s">
        <v>2098</v>
      </c>
      <c r="H172" s="468" t="s">
        <v>2099</v>
      </c>
      <c r="I172" s="473" t="s">
        <v>2100</v>
      </c>
      <c r="J172" s="473" t="s">
        <v>2101</v>
      </c>
      <c r="K172" s="470"/>
      <c r="L172" s="471" t="s">
        <v>2102</v>
      </c>
    </row>
    <row r="173" spans="1:12">
      <c r="A173" t="s">
        <v>2276</v>
      </c>
      <c r="B173" s="8"/>
      <c r="D173" s="437">
        <v>3027.2</v>
      </c>
      <c r="E173" t="s">
        <v>2156</v>
      </c>
      <c r="F173">
        <f t="shared" si="16"/>
        <v>10</v>
      </c>
      <c r="G173" s="614" t="s">
        <v>2157</v>
      </c>
      <c r="H173" s="468" t="s">
        <v>2121</v>
      </c>
      <c r="I173" s="473" t="s">
        <v>2122</v>
      </c>
      <c r="J173" s="473" t="s">
        <v>2123</v>
      </c>
      <c r="K173" s="470">
        <v>44713</v>
      </c>
      <c r="L173" s="475" t="s">
        <v>2124</v>
      </c>
    </row>
    <row r="174" spans="1:12">
      <c r="A174" t="s">
        <v>2276</v>
      </c>
      <c r="B174" s="8"/>
      <c r="D174" s="437">
        <f>3405.6+2105</f>
        <v>5510.6</v>
      </c>
      <c r="E174" t="s">
        <v>2158</v>
      </c>
      <c r="F174">
        <f t="shared" si="16"/>
        <v>11</v>
      </c>
      <c r="G174" s="614" t="s">
        <v>2157</v>
      </c>
      <c r="H174" s="468" t="s">
        <v>2159</v>
      </c>
      <c r="I174" s="473" t="s">
        <v>2128</v>
      </c>
      <c r="J174" s="473" t="s">
        <v>2101</v>
      </c>
      <c r="K174" s="470"/>
      <c r="L174" s="474" t="s">
        <v>2160</v>
      </c>
    </row>
    <row r="175" spans="1:12">
      <c r="A175" t="s">
        <v>2276</v>
      </c>
      <c r="B175" s="8"/>
      <c r="D175" s="437">
        <f>3405.6+1800</f>
        <v>5205.6000000000004</v>
      </c>
      <c r="E175" t="s">
        <v>2161</v>
      </c>
      <c r="F175">
        <f t="shared" si="16"/>
        <v>12</v>
      </c>
      <c r="G175" s="614" t="s">
        <v>2162</v>
      </c>
      <c r="H175" s="468" t="s">
        <v>2163</v>
      </c>
      <c r="I175" s="473" t="s">
        <v>2164</v>
      </c>
      <c r="J175" s="473" t="s">
        <v>2165</v>
      </c>
      <c r="K175" s="470">
        <v>44927</v>
      </c>
      <c r="L175" s="475" t="s">
        <v>2166</v>
      </c>
    </row>
    <row r="176" spans="1:12">
      <c r="A176" t="s">
        <v>2276</v>
      </c>
      <c r="B176" s="8"/>
      <c r="D176" s="8">
        <f>3771.9+2235</f>
        <v>6006.9</v>
      </c>
      <c r="E176" t="s">
        <v>2167</v>
      </c>
      <c r="F176">
        <f t="shared" si="16"/>
        <v>13</v>
      </c>
      <c r="G176" s="614" t="s">
        <v>1639</v>
      </c>
      <c r="H176" s="468" t="s">
        <v>2168</v>
      </c>
      <c r="I176" s="473" t="s">
        <v>2122</v>
      </c>
      <c r="J176" s="473" t="s">
        <v>2129</v>
      </c>
      <c r="L176" s="478" t="s">
        <v>2169</v>
      </c>
    </row>
    <row r="177" spans="1:12">
      <c r="A177" t="s">
        <v>2276</v>
      </c>
      <c r="B177" s="8"/>
      <c r="D177" s="8">
        <f>4658.5+2105</f>
        <v>6763.5</v>
      </c>
      <c r="E177" s="480" t="s">
        <v>2170</v>
      </c>
      <c r="F177">
        <f t="shared" si="16"/>
        <v>14</v>
      </c>
      <c r="G177" s="614" t="s">
        <v>2171</v>
      </c>
      <c r="H177" s="468" t="s">
        <v>2172</v>
      </c>
      <c r="I177" s="473" t="s">
        <v>2173</v>
      </c>
      <c r="J177" s="473" t="s">
        <v>2117</v>
      </c>
      <c r="K177" s="470"/>
      <c r="L177" s="471" t="s">
        <v>2174</v>
      </c>
    </row>
    <row r="178" spans="1:12">
      <c r="A178" t="s">
        <v>2276</v>
      </c>
      <c r="B178" s="8"/>
      <c r="D178" s="437">
        <f>4192.65+2105</f>
        <v>6297.65</v>
      </c>
      <c r="E178" t="s">
        <v>2175</v>
      </c>
      <c r="F178">
        <f t="shared" si="16"/>
        <v>15</v>
      </c>
      <c r="G178" s="614" t="s">
        <v>2171</v>
      </c>
      <c r="H178" s="468" t="s">
        <v>2176</v>
      </c>
      <c r="I178" s="473" t="s">
        <v>2100</v>
      </c>
      <c r="J178" s="473" t="s">
        <v>2101</v>
      </c>
      <c r="K178" s="470">
        <v>45931</v>
      </c>
      <c r="L178" s="474" t="s">
        <v>2177</v>
      </c>
    </row>
    <row r="179" spans="1:12">
      <c r="A179" t="s">
        <v>2276</v>
      </c>
      <c r="B179" s="8"/>
      <c r="D179" s="437">
        <v>3726.8</v>
      </c>
      <c r="E179" t="s">
        <v>2178</v>
      </c>
      <c r="F179">
        <f t="shared" si="16"/>
        <v>16</v>
      </c>
      <c r="G179" s="614" t="s">
        <v>2171</v>
      </c>
      <c r="H179" s="468" t="s">
        <v>2121</v>
      </c>
      <c r="I179" s="473" t="s">
        <v>2122</v>
      </c>
      <c r="J179" s="473" t="s">
        <v>2123</v>
      </c>
      <c r="K179" s="470">
        <v>44713</v>
      </c>
      <c r="L179" s="475" t="s">
        <v>2124</v>
      </c>
    </row>
    <row r="180" spans="1:12">
      <c r="A180" t="s">
        <v>2276</v>
      </c>
      <c r="B180" s="8"/>
      <c r="D180" s="11">
        <f>4403.85+1800</f>
        <v>6203.85</v>
      </c>
      <c r="E180" t="s">
        <v>2179</v>
      </c>
      <c r="F180">
        <f t="shared" si="16"/>
        <v>17</v>
      </c>
      <c r="G180" s="614" t="s">
        <v>2180</v>
      </c>
      <c r="H180" s="468" t="s">
        <v>2181</v>
      </c>
      <c r="I180" s="473" t="s">
        <v>2122</v>
      </c>
      <c r="J180" s="473" t="s">
        <v>2101</v>
      </c>
      <c r="K180" s="470">
        <v>45809</v>
      </c>
      <c r="L180" s="481" t="s">
        <v>2182</v>
      </c>
    </row>
    <row r="181" spans="1:12">
      <c r="A181" t="s">
        <v>2276</v>
      </c>
      <c r="B181" s="8"/>
      <c r="D181" s="437">
        <f>5181+1800</f>
        <v>6981</v>
      </c>
      <c r="E181" t="s">
        <v>2183</v>
      </c>
      <c r="F181">
        <f t="shared" si="16"/>
        <v>18</v>
      </c>
      <c r="G181" s="614" t="s">
        <v>2184</v>
      </c>
      <c r="H181" s="468" t="s">
        <v>2185</v>
      </c>
      <c r="I181" s="473" t="s">
        <v>2164</v>
      </c>
      <c r="J181" s="473" t="s">
        <v>2101</v>
      </c>
      <c r="K181" s="470">
        <v>45658</v>
      </c>
      <c r="L181" s="475" t="s">
        <v>2186</v>
      </c>
    </row>
    <row r="182" spans="1:12">
      <c r="A182" t="s">
        <v>2276</v>
      </c>
      <c r="B182" s="8"/>
      <c r="D182" s="11">
        <v>5181</v>
      </c>
      <c r="E182" t="s">
        <v>2187</v>
      </c>
      <c r="F182">
        <f t="shared" si="16"/>
        <v>19</v>
      </c>
      <c r="G182" s="614" t="s">
        <v>2184</v>
      </c>
      <c r="H182" s="468" t="s">
        <v>2188</v>
      </c>
      <c r="I182" s="473" t="s">
        <v>2148</v>
      </c>
      <c r="J182" s="473" t="s">
        <v>2165</v>
      </c>
      <c r="K182" s="470">
        <v>44958</v>
      </c>
      <c r="L182" s="474" t="s">
        <v>2189</v>
      </c>
    </row>
    <row r="183" spans="1:12">
      <c r="A183" t="s">
        <v>2276</v>
      </c>
      <c r="B183" s="8"/>
      <c r="D183" s="437">
        <v>5724</v>
      </c>
      <c r="E183" t="s">
        <v>2198</v>
      </c>
      <c r="F183">
        <f t="shared" si="16"/>
        <v>20</v>
      </c>
      <c r="G183" s="479" t="s">
        <v>2199</v>
      </c>
      <c r="H183" s="468" t="s">
        <v>2200</v>
      </c>
      <c r="I183" s="614">
        <v>10</v>
      </c>
      <c r="J183" s="614">
        <v>2027</v>
      </c>
      <c r="L183" s="471" t="s">
        <v>2201</v>
      </c>
    </row>
    <row r="184" spans="1:12">
      <c r="A184" t="s">
        <v>2274</v>
      </c>
      <c r="B184" s="8"/>
      <c r="D184" s="8">
        <v>6939.5</v>
      </c>
      <c r="E184" t="s">
        <v>384</v>
      </c>
      <c r="F184">
        <f t="shared" si="16"/>
        <v>21</v>
      </c>
      <c r="G184" t="s">
        <v>1610</v>
      </c>
      <c r="H184" s="468" t="s">
        <v>2104</v>
      </c>
      <c r="I184" s="614">
        <v>9</v>
      </c>
      <c r="J184" s="614">
        <v>2025</v>
      </c>
      <c r="L184" s="471" t="s">
        <v>2105</v>
      </c>
    </row>
    <row r="185" spans="1:12">
      <c r="A185" t="s">
        <v>2276</v>
      </c>
      <c r="D185" s="437">
        <v>4192.6499999999996</v>
      </c>
      <c r="E185" t="s">
        <v>2222</v>
      </c>
      <c r="F185">
        <f t="shared" si="16"/>
        <v>22</v>
      </c>
      <c r="G185" s="614" t="s">
        <v>1591</v>
      </c>
      <c r="H185" s="468" t="s">
        <v>2223</v>
      </c>
      <c r="I185" s="473" t="s">
        <v>2135</v>
      </c>
      <c r="J185" s="473" t="s">
        <v>2129</v>
      </c>
      <c r="K185" s="470">
        <v>46235</v>
      </c>
      <c r="L185" s="471" t="s">
        <v>2224</v>
      </c>
    </row>
    <row r="186" spans="1:12">
      <c r="A186" t="s">
        <v>2276</v>
      </c>
      <c r="D186" s="8">
        <v>4191</v>
      </c>
      <c r="E186" t="s">
        <v>2282</v>
      </c>
      <c r="F186">
        <f t="shared" si="16"/>
        <v>23</v>
      </c>
      <c r="G186" s="614" t="s">
        <v>1639</v>
      </c>
      <c r="H186" s="468" t="s">
        <v>2283</v>
      </c>
      <c r="I186" s="614">
        <v>3</v>
      </c>
      <c r="J186" s="614">
        <v>2028</v>
      </c>
      <c r="L186" s="471" t="s">
        <v>2284</v>
      </c>
    </row>
    <row r="187" spans="1:12">
      <c r="A187" t="s">
        <v>2285</v>
      </c>
      <c r="B187" s="8"/>
      <c r="D187" s="8">
        <v>6939.5</v>
      </c>
      <c r="E187" t="s">
        <v>384</v>
      </c>
      <c r="F187">
        <f t="shared" si="16"/>
        <v>24</v>
      </c>
      <c r="G187" t="s">
        <v>1610</v>
      </c>
      <c r="H187" s="468" t="s">
        <v>2104</v>
      </c>
      <c r="I187" s="614">
        <v>9</v>
      </c>
      <c r="J187" s="614">
        <v>2025</v>
      </c>
      <c r="L187" s="471" t="s">
        <v>2105</v>
      </c>
    </row>
    <row r="188" spans="1:12">
      <c r="A188" t="s">
        <v>2276</v>
      </c>
      <c r="D188" s="437">
        <v>7286</v>
      </c>
      <c r="E188" t="s">
        <v>2277</v>
      </c>
      <c r="G188" s="614" t="s">
        <v>2278</v>
      </c>
      <c r="H188" s="468" t="s">
        <v>2279</v>
      </c>
      <c r="I188" s="473" t="s">
        <v>2100</v>
      </c>
      <c r="J188" s="473" t="s">
        <v>2117</v>
      </c>
      <c r="K188" s="470"/>
      <c r="L188" s="474" t="s">
        <v>2280</v>
      </c>
    </row>
  </sheetData>
  <phoneticPr fontId="26" type="noConversion"/>
  <conditionalFormatting sqref="H6:H7 I17:J20 L19:L20 I23:J23 H24 I26:J29 L29 I34:J36 L36 H37 I38:J38 L38 I120:J122 I146:J146 I181:J182">
    <cfRule type="expression" dxfId="20" priority="20" stopIfTrue="1">
      <formula>NOT(ISBLANK($A6))</formula>
    </cfRule>
  </conditionalFormatting>
  <conditionalFormatting sqref="H10:H12">
    <cfRule type="expression" dxfId="19" priority="19" stopIfTrue="1">
      <formula>NOT(ISBLANK($A10))</formula>
    </cfRule>
  </conditionalFormatting>
  <conditionalFormatting sqref="H40">
    <cfRule type="expression" dxfId="18" priority="18" stopIfTrue="1">
      <formula>NOT(ISBLANK($A40))</formula>
    </cfRule>
  </conditionalFormatting>
  <conditionalFormatting sqref="H59:H63">
    <cfRule type="expression" dxfId="17" priority="17" stopIfTrue="1">
      <formula>NOT(ISBLANK($A59))</formula>
    </cfRule>
  </conditionalFormatting>
  <conditionalFormatting sqref="H95">
    <cfRule type="expression" dxfId="16" priority="14" stopIfTrue="1">
      <formula>NOT(ISBLANK($A95))</formula>
    </cfRule>
  </conditionalFormatting>
  <conditionalFormatting sqref="H140">
    <cfRule type="expression" dxfId="15" priority="10" stopIfTrue="1">
      <formula>NOT(ISBLANK($A140))</formula>
    </cfRule>
  </conditionalFormatting>
  <conditionalFormatting sqref="H155">
    <cfRule type="expression" dxfId="14" priority="4" stopIfTrue="1">
      <formula>NOT(ISBLANK($A155))</formula>
    </cfRule>
  </conditionalFormatting>
  <conditionalFormatting sqref="H184">
    <cfRule type="expression" dxfId="13" priority="5" stopIfTrue="1">
      <formula>NOT(ISBLANK($A184))</formula>
    </cfRule>
  </conditionalFormatting>
  <conditionalFormatting sqref="H187">
    <cfRule type="expression" dxfId="12" priority="3" stopIfTrue="1">
      <formula>NOT(ISBLANK($A187))</formula>
    </cfRule>
  </conditionalFormatting>
  <conditionalFormatting sqref="H114:J114 L114">
    <cfRule type="expression" dxfId="11" priority="13" stopIfTrue="1">
      <formula>NOT(ISBLANK($A114))</formula>
    </cfRule>
  </conditionalFormatting>
  <conditionalFormatting sqref="H147:J147 L147">
    <cfRule type="expression" dxfId="10" priority="9" stopIfTrue="1">
      <formula>NOT(ISBLANK($A147))</formula>
    </cfRule>
  </conditionalFormatting>
  <conditionalFormatting sqref="I31:J32 H33:J33 L33 H58:J58 L58">
    <cfRule type="expression" dxfId="9" priority="21" stopIfTrue="1">
      <formula>NOT(ISBLANK($A31))</formula>
    </cfRule>
  </conditionalFormatting>
  <conditionalFormatting sqref="I74:J77 L76:L77 I80:J80 I82:J85 L85 I90:J93 L92:L93">
    <cfRule type="expression" dxfId="8" priority="15" stopIfTrue="1">
      <formula>NOT(ISBLANK($A74))</formula>
    </cfRule>
  </conditionalFormatting>
  <conditionalFormatting sqref="I87:J88 H89:J89 L89">
    <cfRule type="expression" dxfId="7" priority="16" stopIfTrue="1">
      <formula>NOT(ISBLANK($A87))</formula>
    </cfRule>
  </conditionalFormatting>
  <conditionalFormatting sqref="I132:J133 H134:J134 L134">
    <cfRule type="expression" dxfId="6" priority="12" stopIfTrue="1">
      <formula>NOT(ISBLANK($A132))</formula>
    </cfRule>
  </conditionalFormatting>
  <conditionalFormatting sqref="I160:J160">
    <cfRule type="expression" dxfId="5" priority="2" stopIfTrue="1">
      <formula>NOT(ISBLANK($A160))</formula>
    </cfRule>
  </conditionalFormatting>
  <conditionalFormatting sqref="I166:J168">
    <cfRule type="expression" dxfId="4" priority="8" stopIfTrue="1">
      <formula>NOT(ISBLANK($A166))</formula>
    </cfRule>
  </conditionalFormatting>
  <conditionalFormatting sqref="I178:J179 H180:J180 L180">
    <cfRule type="expression" dxfId="3" priority="7" stopIfTrue="1">
      <formula>NOT(ISBLANK($A178))</formula>
    </cfRule>
  </conditionalFormatting>
  <conditionalFormatting sqref="I188:J188">
    <cfRule type="expression" dxfId="2" priority="1" stopIfTrue="1">
      <formula>NOT(ISBLANK($A188))</formula>
    </cfRule>
  </conditionalFormatting>
  <conditionalFormatting sqref="L121:L122 I125:J125 I127:J130 L130 I135:J138 L137:L138">
    <cfRule type="expression" dxfId="1" priority="11" stopIfTrue="1">
      <formula>NOT(ISBLANK($A121))</formula>
    </cfRule>
  </conditionalFormatting>
  <conditionalFormatting sqref="L167:L168 I171:J171 I173:J176 L176">
    <cfRule type="expression" dxfId="0" priority="6" stopIfTrue="1">
      <formula>NOT(ISBLANK($A167))</formula>
    </cfRule>
  </conditionalFormatting>
  <hyperlinks>
    <hyperlink ref="L21" r:id="rId1" xr:uid="{26A25306-EF14-4A1B-962C-208A5445FC3D}"/>
    <hyperlink ref="L16" r:id="rId2" xr:uid="{6F39F5A7-8550-4ADD-9A1A-4999AF972EBA}"/>
    <hyperlink ref="L31" r:id="rId3" xr:uid="{9E3FCDA0-9B0B-4966-AFC1-113FB2C8AB19}"/>
    <hyperlink ref="L28" r:id="rId4" xr:uid="{98D28DD9-ABDB-45E4-A8D2-3F7BFF8DF6FC}"/>
    <hyperlink ref="L26" r:id="rId5" xr:uid="{AABA7880-78F1-49F0-AFC4-B2D8A73656E9}"/>
    <hyperlink ref="L32" r:id="rId6" xr:uid="{BB919FE9-139D-4CEC-A8BD-63816F2D86B3}"/>
    <hyperlink ref="L23" r:id="rId7" xr:uid="{D48D59BE-0F54-4520-AE61-B9E130D08021}"/>
    <hyperlink ref="L34" r:id="rId8" xr:uid="{EE18BF47-988F-49CE-993E-B7B4FA6A904A}"/>
    <hyperlink ref="L35" r:id="rId9" xr:uid="{D7927E38-96D1-4495-86E6-E21005204934}"/>
    <hyperlink ref="L33" r:id="rId10" xr:uid="{7CA9E6AB-1FF3-440A-9006-1B5FEA2ED3F6}"/>
    <hyperlink ref="L18" r:id="rId11" xr:uid="{C8FBECA6-1A16-4C8B-BE7C-FB0C2CCB35D5}"/>
    <hyperlink ref="L27" r:id="rId12" xr:uid="{C8AE308F-89E2-4847-B4D9-5B53866CD803}"/>
    <hyperlink ref="L22" r:id="rId13" xr:uid="{936F7F01-57EF-4895-846D-A87EE371DB82}"/>
    <hyperlink ref="L17" r:id="rId14" xr:uid="{6930F0B0-13B7-4C1C-BBA9-042F43461494}"/>
    <hyperlink ref="L30" r:id="rId15" xr:uid="{E36D00FE-94BC-4735-BFBE-A78337C8DFBE}"/>
    <hyperlink ref="L58" r:id="rId16" xr:uid="{CA1311B7-A2A0-4956-BA4D-0C409BCBF351}"/>
    <hyperlink ref="L3" r:id="rId17" xr:uid="{FD80B400-506A-417F-B9C5-42E0B1BE659C}"/>
    <hyperlink ref="L6" r:id="rId18" xr:uid="{E3E668D9-7046-4D2D-B6C5-76F5834876FB}"/>
    <hyperlink ref="L7" r:id="rId19" xr:uid="{94FC17F1-C957-4DD5-9216-581CEB728D71}"/>
    <hyperlink ref="L10" r:id="rId20" xr:uid="{031C92E2-27CD-479C-89A8-F68A16DDC56C}"/>
    <hyperlink ref="L19" r:id="rId21" xr:uid="{089B1B0E-B1BF-4BBE-958F-26636900CC7E}"/>
    <hyperlink ref="L36" r:id="rId22" xr:uid="{3D739588-5BF3-454A-A488-9366306069D5}"/>
    <hyperlink ref="L38" r:id="rId23" xr:uid="{90D0EEB2-721D-4F1B-983D-93C132835069}"/>
    <hyperlink ref="L29" r:id="rId24" xr:uid="{7449C154-2C19-47F6-A32D-1CD89C68B66E}"/>
    <hyperlink ref="L24" r:id="rId25" xr:uid="{5E4AD7EF-FD21-4318-94AD-6FF2C6066F7E}"/>
    <hyperlink ref="L37" r:id="rId26" xr:uid="{F9BFFD8B-F910-4043-AF22-145C05EF51BC}"/>
    <hyperlink ref="L39" r:id="rId27" xr:uid="{D974CC4F-4B93-4ECD-BB20-3610AAFF792B}"/>
    <hyperlink ref="L72" r:id="rId28" xr:uid="{30DC74C2-86DA-4AA4-BA85-A9428960735A}"/>
    <hyperlink ref="L40" r:id="rId29" xr:uid="{DE1974B4-0E3D-4FEA-B19C-4FFFA36720AA}"/>
    <hyperlink ref="L20" r:id="rId30" xr:uid="{33B23803-B8C3-45CC-938B-64D1FD5216B1}"/>
    <hyperlink ref="L25" r:id="rId31" xr:uid="{4EF34744-E893-4BC4-A840-A863FE3C4B3C}"/>
    <hyperlink ref="L41" r:id="rId32" xr:uid="{4F313B63-2580-4556-AD60-3F135D01522C}"/>
    <hyperlink ref="L42" r:id="rId33" xr:uid="{045345CB-3033-4A45-89AE-8450728B1678}"/>
    <hyperlink ref="L47" r:id="rId34" xr:uid="{A3C858B8-6666-4EF4-AE9F-C35F36C9078F}"/>
    <hyperlink ref="L48" r:id="rId35" xr:uid="{3626EC76-3671-4403-9384-8EDF00A7474A}"/>
    <hyperlink ref="L49" r:id="rId36" xr:uid="{D326555A-F763-4AAA-82AB-A695723A4210}"/>
    <hyperlink ref="L50" r:id="rId37" xr:uid="{57049056-B05E-48F6-8F7F-AF0D5549CDB1}"/>
    <hyperlink ref="L53" r:id="rId38" xr:uid="{85CF40BC-F6E5-4B56-8E9F-FB244B914771}"/>
    <hyperlink ref="L54" r:id="rId39" xr:uid="{6AA86CE3-A243-4796-A94E-DB6749C48360}"/>
    <hyperlink ref="L59" r:id="rId40" xr:uid="{8C005A4B-EC50-4089-9853-744271D2169D}"/>
    <hyperlink ref="L60" r:id="rId41" xr:uid="{AE72222E-A920-47A9-9D5F-ABE177C567DF}"/>
    <hyperlink ref="L63" r:id="rId42" xr:uid="{281A3643-247D-48BB-B949-B6E3288D8D17}"/>
    <hyperlink ref="L64" r:id="rId43" xr:uid="{D2A22116-5200-494A-BBD2-D6E2BA511685}"/>
    <hyperlink ref="L65" r:id="rId44" xr:uid="{643748F6-90D2-4409-952E-1FA5F99656EF}"/>
    <hyperlink ref="L66" r:id="rId45" xr:uid="{A6044724-8806-493A-B949-B8A02E51A79F}"/>
    <hyperlink ref="L67" r:id="rId46" xr:uid="{C6A6A37F-DA27-477D-88E3-76F3C575185E}"/>
    <hyperlink ref="L68" r:id="rId47" xr:uid="{50A96FAD-1094-4D66-96AB-39F030742B61}"/>
    <hyperlink ref="L78" r:id="rId48" xr:uid="{91E6D94C-CA13-4B19-B5D9-34772E2E1877}"/>
    <hyperlink ref="L73" r:id="rId49" xr:uid="{DF6C8686-BD0D-4AF8-AD3B-4991FCF94DF1}"/>
    <hyperlink ref="L87" r:id="rId50" xr:uid="{F55E313E-50D0-4D52-AF53-5D3F3FB70199}"/>
    <hyperlink ref="L84" r:id="rId51" xr:uid="{D5958505-4DF2-4615-B010-F088313BBF17}"/>
    <hyperlink ref="L82" r:id="rId52" xr:uid="{3E90A23F-B058-440D-8EBA-63F5453A0C9D}"/>
    <hyperlink ref="L88" r:id="rId53" xr:uid="{1DFFF405-2E5F-4DA6-995C-5F341DAB480E}"/>
    <hyperlink ref="L80" r:id="rId54" xr:uid="{2A5F39B0-A25B-4FBD-84B6-DFB1CD257164}"/>
    <hyperlink ref="L90" r:id="rId55" xr:uid="{24F4FBBF-D97D-482B-B755-B6BB893C8CE3}"/>
    <hyperlink ref="L91" r:id="rId56" xr:uid="{9079193F-F428-4C7A-9DAE-C15E6C3ECE07}"/>
    <hyperlink ref="L89" r:id="rId57" xr:uid="{5C8CD544-DD62-43A4-B3EC-68DD59010D7F}"/>
    <hyperlink ref="L75" r:id="rId58" xr:uid="{C3F727CC-3750-4F6A-8F9A-385BFFF1996D}"/>
    <hyperlink ref="L83" r:id="rId59" xr:uid="{CD5A9618-CD8A-48F9-A785-0169F34FC9CF}"/>
    <hyperlink ref="L79" r:id="rId60" xr:uid="{A492C243-9A97-4EA9-A69B-A2408749DB17}"/>
    <hyperlink ref="L74" r:id="rId61" xr:uid="{E176D71A-3C4E-48B5-824B-A4669AAF8906}"/>
    <hyperlink ref="L86" r:id="rId62" xr:uid="{F845117F-7F85-472A-A4D6-EF5F8E5F0BDA}"/>
    <hyperlink ref="L76" r:id="rId63" xr:uid="{0CDE0EE9-34B0-4528-BAF1-040C084872EA}"/>
    <hyperlink ref="L92" r:id="rId64" xr:uid="{6BE8E64A-5795-43F7-8AB2-751FBFE6D3CF}"/>
    <hyperlink ref="L93" r:id="rId65" xr:uid="{0D908572-D582-4AA5-B768-91F38BC3D7C5}"/>
    <hyperlink ref="L85" r:id="rId66" xr:uid="{69C5C0DD-0A11-4F71-AB1D-42BE5E671BF7}"/>
    <hyperlink ref="L94" r:id="rId67" xr:uid="{E3568F12-273B-4CD7-B0CC-4088EC67FB4A}"/>
    <hyperlink ref="L95" r:id="rId68" xr:uid="{14EE9CED-FDCA-4D10-88BF-7EF27F08EF79}"/>
    <hyperlink ref="L77" r:id="rId69" xr:uid="{5C29CCC2-BC8B-440D-8D28-0775EC1AC1D3}"/>
    <hyperlink ref="L81" r:id="rId70" xr:uid="{28E1712E-3447-4A18-80A6-843B5660E2CE}"/>
    <hyperlink ref="L96" r:id="rId71" xr:uid="{54710317-468A-41EB-B617-8F92FA703BC7}"/>
    <hyperlink ref="L99" r:id="rId72" xr:uid="{576D193C-14F7-4913-96F0-DCEA45C4B806}"/>
    <hyperlink ref="L100" r:id="rId73" xr:uid="{8C223BCA-C420-4644-9F5E-4B02038B2ABE}"/>
    <hyperlink ref="L101" r:id="rId74" xr:uid="{2B975FBC-2AC3-434A-BCD5-6E17D15FAED7}"/>
    <hyperlink ref="L104" r:id="rId75" xr:uid="{2BB97F0D-3A70-41DB-9588-E25086EA9273}"/>
    <hyperlink ref="L105" r:id="rId76" xr:uid="{5951968C-EF08-4F8F-81D4-7C48863D195C}"/>
    <hyperlink ref="L108" r:id="rId77" xr:uid="{50453930-88E4-4A0C-9A38-0340887F15DB}"/>
    <hyperlink ref="L109" r:id="rId78" xr:uid="{A845AA31-3EF1-470F-94E2-11713030A4C0}"/>
    <hyperlink ref="L145" r:id="rId79" xr:uid="{98E0D9E5-DC3A-44A9-A22D-9BE3355AFE6F}"/>
    <hyperlink ref="L112" r:id="rId80" xr:uid="{4C5CC654-1585-4894-9EDA-59602EFF5AD2}"/>
    <hyperlink ref="L113" r:id="rId81" xr:uid="{D433F24F-3838-4531-A046-C9EBA502C65B}"/>
    <hyperlink ref="L114" r:id="rId82" xr:uid="{E1D18F65-AAD8-49E4-A4AA-E91E306CD1E0}"/>
    <hyperlink ref="L118" r:id="rId83" xr:uid="{DDB9432F-F681-4970-AD81-667506E315B9}"/>
    <hyperlink ref="L123" r:id="rId84" xr:uid="{25E56557-AE4C-47E3-A812-9376DAFE569E}"/>
    <hyperlink ref="L119" r:id="rId85" xr:uid="{4A30123B-56C0-499C-A8AF-78BA3EF0CD6A}"/>
    <hyperlink ref="L132" r:id="rId86" xr:uid="{5E1D68AC-5E85-4B50-B31E-2CB3C99093C5}"/>
    <hyperlink ref="L129" r:id="rId87" xr:uid="{7E25D186-C745-431B-BB2A-C84BDF6FEB5C}"/>
    <hyperlink ref="L127" r:id="rId88" xr:uid="{145D4987-017E-48AB-A187-E246F9AFCB67}"/>
    <hyperlink ref="L133" r:id="rId89" xr:uid="{75C30F55-25C5-45C2-904A-F6CAA75AC929}"/>
    <hyperlink ref="L125" r:id="rId90" xr:uid="{FA94F7AF-162A-4DA6-92DD-4D9412789CAA}"/>
    <hyperlink ref="L135" r:id="rId91" xr:uid="{788CFB80-E29C-46A5-B65B-FB5EF04BC7FF}"/>
    <hyperlink ref="L136" r:id="rId92" xr:uid="{1E50ABAD-F595-47B9-9281-17ABCEA3B30F}"/>
    <hyperlink ref="L134" r:id="rId93" xr:uid="{4F772583-A316-4F70-B455-4740D133A5F2}"/>
    <hyperlink ref="L146" r:id="rId94" xr:uid="{79B7A1C4-8152-4754-9834-D9C63F0C88B3}"/>
    <hyperlink ref="L128" r:id="rId95" xr:uid="{62172E2D-FF70-4EF4-BF07-6325F4F2BE7B}"/>
    <hyperlink ref="L124" r:id="rId96" xr:uid="{C21336E0-61BC-4A33-AC12-A7E6790D6375}"/>
    <hyperlink ref="L120" r:id="rId97" xr:uid="{CC574CA4-F2F4-464D-AD7A-88BCD3287CA9}"/>
    <hyperlink ref="L131" r:id="rId98" xr:uid="{97EFCB2D-0331-4D8A-BE66-97F473FE8D0B}"/>
    <hyperlink ref="L121" r:id="rId99" xr:uid="{E908AB6B-B8EA-4313-B530-C691DE9854A2}"/>
    <hyperlink ref="L137" r:id="rId100" xr:uid="{753C63A2-BCBD-4A9E-BCE7-E95D57664F57}"/>
    <hyperlink ref="L138" r:id="rId101" xr:uid="{4ED08987-E2C0-4E87-9813-337B0A1630CB}"/>
    <hyperlink ref="L130" r:id="rId102" xr:uid="{18BBF046-D745-4E12-9947-65BC2F12097D}"/>
    <hyperlink ref="L139" r:id="rId103" xr:uid="{4A94F028-FBCB-4FDC-B858-1636E365DCBC}"/>
    <hyperlink ref="L140" r:id="rId104" xr:uid="{FC9C82EB-F91A-4079-A3E4-159152BCFBBA}"/>
    <hyperlink ref="L122" r:id="rId105" xr:uid="{D289AB9F-4836-4AFD-8DE2-2B4EAA447BAC}"/>
    <hyperlink ref="L126" r:id="rId106" xr:uid="{D3BC8131-4D39-434C-8465-451F622940BD}"/>
    <hyperlink ref="L141" r:id="rId107" xr:uid="{7FB3A61D-F262-4CD5-9C5D-55D155ED159C}"/>
    <hyperlink ref="L147" r:id="rId108" xr:uid="{2E571F7C-9709-485C-A9E5-79BA0BDEE865}"/>
    <hyperlink ref="L148" r:id="rId109" xr:uid="{116F228E-3D26-4C48-89C3-B1A76CF6F46E}"/>
    <hyperlink ref="L149" r:id="rId110" xr:uid="{44A28829-7AAB-4BA8-B3E1-4AD79E81D08F}"/>
    <hyperlink ref="L150" r:id="rId111" xr:uid="{A4AD3FB3-DB6A-4937-9A2E-A597F10E2CC6}"/>
    <hyperlink ref="L151" r:id="rId112" xr:uid="{9DB5530C-2D00-41D4-B755-1D1DBF6E6B66}"/>
    <hyperlink ref="L152" r:id="rId113" xr:uid="{267A75D2-6343-4032-AF51-9C36EEFA2B8E}"/>
    <hyperlink ref="L164" r:id="rId114" xr:uid="{D08AA13D-EF78-4E78-AF4B-F7DECE51514D}"/>
    <hyperlink ref="L169" r:id="rId115" xr:uid="{E24AA5CD-46DD-40A8-AA6E-4F3FEF2E7AFD}"/>
    <hyperlink ref="L165" r:id="rId116" xr:uid="{28815038-C9B3-43AA-9152-840B1DF29E54}"/>
    <hyperlink ref="L178" r:id="rId117" xr:uid="{8D6353DA-7391-4C4A-ADBF-8E13A5E1DD9F}"/>
    <hyperlink ref="L175" r:id="rId118" xr:uid="{DA42F178-CB55-4901-8043-72A05F61C31F}"/>
    <hyperlink ref="L173" r:id="rId119" xr:uid="{328A8810-D290-479B-AF75-7EDA44A408E0}"/>
    <hyperlink ref="L179" r:id="rId120" xr:uid="{95DD0978-A25C-4E32-B10C-F9B8A8EC8C6C}"/>
    <hyperlink ref="L171" r:id="rId121" xr:uid="{1C036B57-7953-4AAC-9C47-2BE113AC19A1}"/>
    <hyperlink ref="L181" r:id="rId122" xr:uid="{D9245039-6CC4-436F-96F0-5CC53B894478}"/>
    <hyperlink ref="L182" r:id="rId123" xr:uid="{019D2CD2-FF0F-48A9-8163-3E78321FACBE}"/>
    <hyperlink ref="L180" r:id="rId124" xr:uid="{D3CCF01F-B75D-45F7-B8BD-31A5E377529D}"/>
    <hyperlink ref="L174" r:id="rId125" xr:uid="{B4F3E401-9D2A-4E81-892A-853E7B914735}"/>
    <hyperlink ref="L170" r:id="rId126" xr:uid="{736B43EE-905F-4D97-90A6-0E521D9A06FA}"/>
    <hyperlink ref="L166" r:id="rId127" xr:uid="{4025FC6F-84CB-4F58-AB6A-78794EA306D2}"/>
    <hyperlink ref="L177" r:id="rId128" xr:uid="{3F4BA087-48A1-4CD8-8F0C-E0E8C362BAFC}"/>
    <hyperlink ref="L167" r:id="rId129" xr:uid="{EB9FF858-39DA-4A60-8C9E-36544026AAE3}"/>
    <hyperlink ref="L176" r:id="rId130" xr:uid="{782EBA01-E248-4DFA-928D-99CA313C3A49}"/>
    <hyperlink ref="L183" r:id="rId131" xr:uid="{65D47768-48F0-48F8-B0A9-BDDCD4EA1BB1}"/>
    <hyperlink ref="L184" r:id="rId132" xr:uid="{1D6FC59A-4355-4919-A718-FAFF13A7A776}"/>
    <hyperlink ref="L168" r:id="rId133" xr:uid="{32E5C2EE-7891-4D16-B08F-F80E8656E5AC}"/>
    <hyperlink ref="L172" r:id="rId134" xr:uid="{96A2AF1D-8CBC-42E3-B99B-A48E40C6EE48}"/>
    <hyperlink ref="L185" r:id="rId135" xr:uid="{3F44B8A7-1F65-4BE1-9F97-68AF503257A2}"/>
    <hyperlink ref="L186" r:id="rId136" xr:uid="{4CA501F4-32D4-4312-BFD1-7CC63A3C42B6}"/>
    <hyperlink ref="L155" r:id="rId137" xr:uid="{9F47C355-C6CC-46EF-8A40-47FE8A3AF904}"/>
    <hyperlink ref="L187" r:id="rId138" xr:uid="{A7183F5A-50F2-430C-B2D3-A2DC7B63E3FC}"/>
    <hyperlink ref="L158" r:id="rId139" xr:uid="{040E6E2B-79A5-4E2E-9578-FED95829DE31}"/>
    <hyperlink ref="L159" r:id="rId140" xr:uid="{0E4AAF89-8AB0-4170-B937-3AA11E2DE9CB}"/>
    <hyperlink ref="L160" r:id="rId141" xr:uid="{67BF1A31-9FEB-456A-90EC-96A0C1754D45}"/>
    <hyperlink ref="L188" r:id="rId142" xr:uid="{BAA33BD8-D66F-40C2-9E30-27B8B8C2DFAB}"/>
  </hyperlinks>
  <pageMargins left="0.7" right="0.7" top="0.75" bottom="0.75" header="0.3" footer="0.3"/>
  <pageSetup orientation="landscape" horizontalDpi="0" verticalDpi="0" r:id="rId14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E2D92-90E4-498A-B9F6-8D802718FC5F}">
  <dimension ref="A2:B73"/>
  <sheetViews>
    <sheetView workbookViewId="0">
      <selection activeCell="E25" sqref="E25"/>
    </sheetView>
  </sheetViews>
  <sheetFormatPr defaultColWidth="11.42578125" defaultRowHeight="15"/>
  <cols>
    <col min="1" max="1" width="41.140625" bestFit="1" customWidth="1"/>
  </cols>
  <sheetData>
    <row r="2" spans="1:2">
      <c r="A2" s="615" t="s">
        <v>2286</v>
      </c>
      <c r="B2" s="615"/>
    </row>
    <row r="3" spans="1:2">
      <c r="A3" s="483">
        <v>45710</v>
      </c>
      <c r="B3" s="614"/>
    </row>
    <row r="4" spans="1:2">
      <c r="A4" s="169" t="s">
        <v>314</v>
      </c>
      <c r="B4" s="308">
        <v>35</v>
      </c>
    </row>
    <row r="5" spans="1:2">
      <c r="A5" s="169" t="s">
        <v>1384</v>
      </c>
      <c r="B5" s="308"/>
    </row>
    <row r="6" spans="1:2">
      <c r="A6" s="169" t="s">
        <v>320</v>
      </c>
      <c r="B6" s="308">
        <v>35</v>
      </c>
    </row>
    <row r="7" spans="1:2">
      <c r="A7" s="293" t="s">
        <v>315</v>
      </c>
      <c r="B7" s="308">
        <v>35</v>
      </c>
    </row>
    <row r="8" spans="1:2">
      <c r="A8" s="169" t="s">
        <v>1392</v>
      </c>
      <c r="B8" s="308"/>
    </row>
    <row r="9" spans="1:2">
      <c r="A9" s="169" t="s">
        <v>1394</v>
      </c>
      <c r="B9" s="308"/>
    </row>
    <row r="10" spans="1:2">
      <c r="A10" s="169" t="s">
        <v>1396</v>
      </c>
      <c r="B10" s="308">
        <v>35</v>
      </c>
    </row>
    <row r="11" spans="1:2">
      <c r="A11" s="169" t="s">
        <v>1398</v>
      </c>
      <c r="B11" s="308"/>
    </row>
    <row r="12" spans="1:2">
      <c r="A12" s="293" t="s">
        <v>316</v>
      </c>
      <c r="B12" s="308"/>
    </row>
    <row r="13" spans="1:2">
      <c r="A13" s="169" t="s">
        <v>1402</v>
      </c>
      <c r="B13" s="308"/>
    </row>
    <row r="14" spans="1:2">
      <c r="A14" s="169" t="s">
        <v>317</v>
      </c>
      <c r="B14" s="308">
        <v>35</v>
      </c>
    </row>
    <row r="15" spans="1:2">
      <c r="A15" s="169" t="s">
        <v>1405</v>
      </c>
      <c r="B15" s="308">
        <v>35</v>
      </c>
    </row>
    <row r="16" spans="1:2">
      <c r="A16" s="169" t="s">
        <v>1409</v>
      </c>
      <c r="B16" s="308"/>
    </row>
    <row r="17" spans="1:2">
      <c r="A17" s="169" t="s">
        <v>2287</v>
      </c>
      <c r="B17" s="308"/>
    </row>
    <row r="18" spans="1:2">
      <c r="A18" s="169" t="s">
        <v>1411</v>
      </c>
      <c r="B18" s="308"/>
    </row>
    <row r="19" spans="1:2">
      <c r="A19" s="169" t="s">
        <v>321</v>
      </c>
      <c r="B19" s="308"/>
    </row>
    <row r="20" spans="1:2">
      <c r="A20" s="169" t="s">
        <v>1415</v>
      </c>
      <c r="B20" s="308">
        <v>35</v>
      </c>
    </row>
    <row r="21" spans="1:2">
      <c r="A21" s="169" t="s">
        <v>1417</v>
      </c>
      <c r="B21" s="308">
        <v>35</v>
      </c>
    </row>
    <row r="22" spans="1:2">
      <c r="A22" s="169" t="s">
        <v>1419</v>
      </c>
      <c r="B22" s="308"/>
    </row>
    <row r="23" spans="1:2">
      <c r="A23" s="169" t="s">
        <v>318</v>
      </c>
      <c r="B23" s="308">
        <v>35</v>
      </c>
    </row>
    <row r="24" spans="1:2">
      <c r="A24" s="169"/>
      <c r="B24" s="308"/>
    </row>
    <row r="25" spans="1:2">
      <c r="A25" s="169"/>
      <c r="B25" s="484">
        <f>SUM(B4:B23)</f>
        <v>315</v>
      </c>
    </row>
    <row r="27" spans="1:2">
      <c r="A27" s="282" t="s">
        <v>1102</v>
      </c>
      <c r="B27" s="291">
        <v>35</v>
      </c>
    </row>
    <row r="28" spans="1:2">
      <c r="A28" s="293" t="s">
        <v>1105</v>
      </c>
      <c r="B28" s="291"/>
    </row>
    <row r="29" spans="1:2">
      <c r="A29" s="282" t="s">
        <v>1107</v>
      </c>
      <c r="B29" s="291"/>
    </row>
    <row r="30" spans="1:2">
      <c r="A30" s="293" t="s">
        <v>1060</v>
      </c>
      <c r="B30" s="291">
        <v>35</v>
      </c>
    </row>
    <row r="31" spans="1:2">
      <c r="A31" s="282" t="s">
        <v>1111</v>
      </c>
      <c r="B31" s="291">
        <v>35</v>
      </c>
    </row>
    <row r="32" spans="1:2">
      <c r="A32" s="282" t="s">
        <v>276</v>
      </c>
      <c r="B32" s="291"/>
    </row>
    <row r="33" spans="1:2">
      <c r="A33" s="293" t="s">
        <v>279</v>
      </c>
      <c r="B33" s="291"/>
    </row>
    <row r="34" spans="1:2">
      <c r="A34" s="293" t="s">
        <v>1117</v>
      </c>
      <c r="B34" s="291">
        <v>35</v>
      </c>
    </row>
    <row r="35" spans="1:2">
      <c r="A35" s="293" t="s">
        <v>1122</v>
      </c>
      <c r="B35" s="291"/>
    </row>
    <row r="36" spans="1:2">
      <c r="A36" s="293" t="s">
        <v>1067</v>
      </c>
      <c r="B36" s="291"/>
    </row>
    <row r="37" spans="1:2">
      <c r="A37" s="293" t="s">
        <v>272</v>
      </c>
      <c r="B37" s="291">
        <v>35</v>
      </c>
    </row>
    <row r="38" spans="1:2">
      <c r="A38" s="485" t="s">
        <v>2288</v>
      </c>
      <c r="B38" s="291"/>
    </row>
    <row r="39" spans="1:2">
      <c r="A39" s="293" t="s">
        <v>280</v>
      </c>
      <c r="B39" s="291">
        <v>35</v>
      </c>
    </row>
    <row r="40" spans="1:2">
      <c r="A40" s="293" t="s">
        <v>1126</v>
      </c>
      <c r="B40" s="291">
        <v>35</v>
      </c>
    </row>
    <row r="41" spans="1:2">
      <c r="A41" s="293" t="s">
        <v>2289</v>
      </c>
      <c r="B41" s="291"/>
    </row>
    <row r="42" spans="1:2">
      <c r="A42" s="4" t="s">
        <v>1128</v>
      </c>
      <c r="B42" s="291">
        <v>35</v>
      </c>
    </row>
    <row r="43" spans="1:2">
      <c r="A43" s="293" t="s">
        <v>1133</v>
      </c>
      <c r="B43" s="291">
        <v>35</v>
      </c>
    </row>
    <row r="44" spans="1:2">
      <c r="A44" s="293" t="s">
        <v>281</v>
      </c>
      <c r="B44" s="291"/>
    </row>
    <row r="45" spans="1:2">
      <c r="A45" s="293" t="s">
        <v>1138</v>
      </c>
      <c r="B45" s="291">
        <v>35</v>
      </c>
    </row>
    <row r="46" spans="1:2">
      <c r="A46" s="293" t="s">
        <v>1140</v>
      </c>
      <c r="B46" s="291"/>
    </row>
    <row r="47" spans="1:2">
      <c r="A47" s="282" t="s">
        <v>1142</v>
      </c>
      <c r="B47" s="291">
        <v>35</v>
      </c>
    </row>
    <row r="48" spans="1:2">
      <c r="A48" s="293" t="s">
        <v>1144</v>
      </c>
      <c r="B48" s="291"/>
    </row>
    <row r="49" spans="1:2">
      <c r="A49" s="4"/>
      <c r="B49" s="291"/>
    </row>
    <row r="50" spans="1:2">
      <c r="A50" s="4"/>
      <c r="B50" s="291">
        <f>SUM(B27:B49)</f>
        <v>385</v>
      </c>
    </row>
    <row r="53" spans="1:2">
      <c r="A53" s="293" t="s">
        <v>1055</v>
      </c>
      <c r="B53" s="291"/>
    </row>
    <row r="54" spans="1:2">
      <c r="A54" s="293" t="s">
        <v>270</v>
      </c>
      <c r="B54" s="291">
        <v>35</v>
      </c>
    </row>
    <row r="55" spans="1:2">
      <c r="A55" s="293" t="s">
        <v>271</v>
      </c>
      <c r="B55" s="291"/>
    </row>
    <row r="56" spans="1:2">
      <c r="A56" s="293" t="s">
        <v>1064</v>
      </c>
      <c r="B56" s="291"/>
    </row>
    <row r="57" spans="1:2">
      <c r="A57" s="282" t="s">
        <v>273</v>
      </c>
      <c r="B57" s="291">
        <v>35</v>
      </c>
    </row>
    <row r="58" spans="1:2">
      <c r="A58" s="293" t="s">
        <v>1073</v>
      </c>
      <c r="B58" s="291">
        <v>35</v>
      </c>
    </row>
    <row r="59" spans="1:2">
      <c r="A59" s="293" t="s">
        <v>274</v>
      </c>
      <c r="B59" s="291">
        <v>35</v>
      </c>
    </row>
    <row r="60" spans="1:2">
      <c r="A60" s="282" t="s">
        <v>1079</v>
      </c>
      <c r="B60" s="291">
        <v>35</v>
      </c>
    </row>
    <row r="61" spans="1:2">
      <c r="A61" s="293" t="s">
        <v>1082</v>
      </c>
      <c r="B61" s="291">
        <v>35</v>
      </c>
    </row>
    <row r="62" spans="1:2">
      <c r="A62" s="293" t="s">
        <v>1131</v>
      </c>
      <c r="B62" s="291"/>
    </row>
    <row r="63" spans="1:2">
      <c r="A63" s="293" t="s">
        <v>1085</v>
      </c>
      <c r="B63" s="291">
        <v>35</v>
      </c>
    </row>
    <row r="64" spans="1:2">
      <c r="A64" s="282" t="s">
        <v>275</v>
      </c>
      <c r="B64" s="291">
        <v>35</v>
      </c>
    </row>
    <row r="65" spans="1:2">
      <c r="A65" s="282" t="s">
        <v>1090</v>
      </c>
      <c r="B65" s="291">
        <v>35</v>
      </c>
    </row>
    <row r="66" spans="1:2">
      <c r="A66" s="293" t="s">
        <v>1093</v>
      </c>
      <c r="B66" s="291">
        <v>35</v>
      </c>
    </row>
    <row r="67" spans="1:2">
      <c r="A67" s="293" t="s">
        <v>1096</v>
      </c>
      <c r="B67" s="291">
        <v>35</v>
      </c>
    </row>
    <row r="68" spans="1:2">
      <c r="A68" s="282" t="s">
        <v>1142</v>
      </c>
      <c r="B68" s="291"/>
    </row>
    <row r="69" spans="1:2">
      <c r="A69" s="282" t="s">
        <v>1098</v>
      </c>
      <c r="B69" s="291">
        <v>35</v>
      </c>
    </row>
    <row r="70" spans="1:2">
      <c r="A70" s="293" t="s">
        <v>1076</v>
      </c>
      <c r="B70" s="291">
        <v>35</v>
      </c>
    </row>
    <row r="71" spans="1:2">
      <c r="A71" s="4"/>
      <c r="B71" s="291">
        <f>SUM(B53:B70)</f>
        <v>455</v>
      </c>
    </row>
    <row r="73" spans="1:2">
      <c r="B73" s="12">
        <f>+B25+B50+B71</f>
        <v>1155</v>
      </c>
    </row>
  </sheetData>
  <mergeCells count="1">
    <mergeCell ref="A2:B2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10154-1529-4F8D-A384-FA9181554C22}">
  <dimension ref="B4:C19"/>
  <sheetViews>
    <sheetView workbookViewId="0">
      <selection activeCell="D35" sqref="D35"/>
    </sheetView>
  </sheetViews>
  <sheetFormatPr defaultColWidth="11.42578125" defaultRowHeight="15"/>
  <cols>
    <col min="2" max="2" width="25.7109375" customWidth="1"/>
    <col min="6" max="6" width="16.5703125" customWidth="1"/>
  </cols>
  <sheetData>
    <row r="4" spans="2:3">
      <c r="B4" t="s">
        <v>2290</v>
      </c>
    </row>
    <row r="7" spans="2:3">
      <c r="B7" t="s">
        <v>2291</v>
      </c>
      <c r="C7" s="8">
        <v>2150</v>
      </c>
    </row>
    <row r="8" spans="2:3">
      <c r="B8" t="s">
        <v>2292</v>
      </c>
      <c r="C8" s="8">
        <v>1900</v>
      </c>
    </row>
    <row r="9" spans="2:3">
      <c r="B9" t="s">
        <v>2293</v>
      </c>
      <c r="C9" s="8">
        <v>2280</v>
      </c>
    </row>
    <row r="10" spans="2:3">
      <c r="B10" t="s">
        <v>2294</v>
      </c>
      <c r="C10" s="8">
        <v>1440</v>
      </c>
    </row>
    <row r="11" spans="2:3">
      <c r="B11" t="s">
        <v>2295</v>
      </c>
      <c r="C11" s="8">
        <v>2500</v>
      </c>
    </row>
    <row r="12" spans="2:3">
      <c r="B12" t="s">
        <v>2296</v>
      </c>
      <c r="C12" s="8">
        <v>1200</v>
      </c>
    </row>
    <row r="13" spans="2:3">
      <c r="B13" t="s">
        <v>2296</v>
      </c>
      <c r="C13" s="8">
        <v>1200</v>
      </c>
    </row>
    <row r="14" spans="2:3">
      <c r="B14" t="s">
        <v>2297</v>
      </c>
      <c r="C14" s="8">
        <v>1200</v>
      </c>
    </row>
    <row r="15" spans="2:3">
      <c r="B15" t="s">
        <v>2298</v>
      </c>
      <c r="C15" s="8">
        <v>1358</v>
      </c>
    </row>
    <row r="16" spans="2:3">
      <c r="B16" t="s">
        <v>2299</v>
      </c>
      <c r="C16" s="8">
        <v>8535</v>
      </c>
    </row>
    <row r="17" spans="3:3">
      <c r="C17" s="8">
        <f>SUM(C7:C16)</f>
        <v>23763</v>
      </c>
    </row>
    <row r="19" spans="3:3">
      <c r="C19" s="8"/>
    </row>
  </sheetData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1D861-5026-44D2-8B5F-5473C7FE3965}">
  <dimension ref="C4:E30"/>
  <sheetViews>
    <sheetView workbookViewId="0">
      <selection activeCell="D18" sqref="D18"/>
    </sheetView>
  </sheetViews>
  <sheetFormatPr defaultColWidth="11.42578125" defaultRowHeight="15"/>
  <sheetData>
    <row r="4" spans="3:5">
      <c r="C4">
        <v>500</v>
      </c>
    </row>
    <row r="5" spans="3:5">
      <c r="C5">
        <v>200</v>
      </c>
      <c r="D5">
        <v>1</v>
      </c>
      <c r="E5">
        <f>+C5*D5</f>
        <v>200</v>
      </c>
    </row>
    <row r="6" spans="3:5">
      <c r="C6">
        <v>100</v>
      </c>
      <c r="D6">
        <v>4</v>
      </c>
      <c r="E6">
        <f t="shared" ref="E6:E12" si="0">+C6*D6</f>
        <v>400</v>
      </c>
    </row>
    <row r="7" spans="3:5">
      <c r="C7">
        <v>50</v>
      </c>
      <c r="D7">
        <v>3</v>
      </c>
      <c r="E7">
        <f t="shared" si="0"/>
        <v>150</v>
      </c>
    </row>
    <row r="8" spans="3:5">
      <c r="C8">
        <v>20</v>
      </c>
      <c r="D8">
        <v>55</v>
      </c>
      <c r="E8">
        <f t="shared" si="0"/>
        <v>1100</v>
      </c>
    </row>
    <row r="9" spans="3:5">
      <c r="C9">
        <v>10</v>
      </c>
      <c r="D9">
        <v>35</v>
      </c>
      <c r="E9">
        <f t="shared" si="0"/>
        <v>350</v>
      </c>
    </row>
    <row r="10" spans="3:5">
      <c r="C10">
        <v>5</v>
      </c>
      <c r="D10">
        <v>45</v>
      </c>
      <c r="E10">
        <f t="shared" si="0"/>
        <v>225</v>
      </c>
    </row>
    <row r="11" spans="3:5">
      <c r="C11">
        <v>2</v>
      </c>
      <c r="D11">
        <v>4</v>
      </c>
      <c r="E11">
        <f t="shared" si="0"/>
        <v>8</v>
      </c>
    </row>
    <row r="12" spans="3:5">
      <c r="C12">
        <v>1</v>
      </c>
      <c r="D12">
        <v>21</v>
      </c>
      <c r="E12">
        <f t="shared" si="0"/>
        <v>21</v>
      </c>
    </row>
    <row r="13" spans="3:5">
      <c r="E13">
        <f>SUM(E5:E12)</f>
        <v>2454</v>
      </c>
    </row>
    <row r="15" spans="3:5">
      <c r="C15">
        <v>500</v>
      </c>
      <c r="E15">
        <f>+C15*D15</f>
        <v>0</v>
      </c>
    </row>
    <row r="16" spans="3:5">
      <c r="C16">
        <v>200</v>
      </c>
      <c r="D16">
        <v>1</v>
      </c>
      <c r="E16">
        <f t="shared" ref="E16:E23" si="1">+C16*D16</f>
        <v>200</v>
      </c>
    </row>
    <row r="17" spans="3:5">
      <c r="C17">
        <v>100</v>
      </c>
      <c r="D17">
        <v>10</v>
      </c>
      <c r="E17">
        <f t="shared" si="1"/>
        <v>1000</v>
      </c>
    </row>
    <row r="18" spans="3:5">
      <c r="C18">
        <v>50</v>
      </c>
      <c r="D18">
        <v>5</v>
      </c>
      <c r="E18">
        <f t="shared" si="1"/>
        <v>250</v>
      </c>
    </row>
    <row r="19" spans="3:5">
      <c r="C19">
        <v>20</v>
      </c>
      <c r="D19">
        <v>16</v>
      </c>
      <c r="E19">
        <f t="shared" si="1"/>
        <v>320</v>
      </c>
    </row>
    <row r="20" spans="3:5">
      <c r="C20">
        <v>10</v>
      </c>
      <c r="D20">
        <v>35</v>
      </c>
      <c r="E20">
        <f t="shared" si="1"/>
        <v>350</v>
      </c>
    </row>
    <row r="21" spans="3:5">
      <c r="C21">
        <v>5</v>
      </c>
      <c r="E21">
        <f t="shared" si="1"/>
        <v>0</v>
      </c>
    </row>
    <row r="22" spans="3:5">
      <c r="C22">
        <v>2</v>
      </c>
      <c r="E22">
        <f t="shared" si="1"/>
        <v>0</v>
      </c>
    </row>
    <row r="23" spans="3:5">
      <c r="C23">
        <v>1</v>
      </c>
      <c r="E23">
        <f t="shared" si="1"/>
        <v>0</v>
      </c>
    </row>
    <row r="25" spans="3:5">
      <c r="E25">
        <f>SUM(E15:E24)</f>
        <v>2120</v>
      </c>
    </row>
    <row r="28" spans="3:5">
      <c r="E28">
        <f>+E13+E25</f>
        <v>4574</v>
      </c>
    </row>
    <row r="29" spans="3:5">
      <c r="E29">
        <v>1693</v>
      </c>
    </row>
    <row r="30" spans="3:5">
      <c r="E30">
        <f>+E28+E29</f>
        <v>6267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carlos velasquez</cp:lastModifiedBy>
  <cp:revision/>
  <dcterms:created xsi:type="dcterms:W3CDTF">2025-03-05T17:00:09Z</dcterms:created>
  <dcterms:modified xsi:type="dcterms:W3CDTF">2025-05-27T22:34:45Z</dcterms:modified>
  <cp:category/>
  <cp:contentStatus/>
</cp:coreProperties>
</file>