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CAM MFin\iBanana-MA challenge\"/>
    </mc:Choice>
  </mc:AlternateContent>
  <xr:revisionPtr revIDLastSave="0" documentId="13_ncr:1_{6835EE91-6FD9-487E-9430-C9AD18883CD0}" xr6:coauthVersionLast="47" xr6:coauthVersionMax="47" xr10:uidLastSave="{00000000-0000-0000-0000-000000000000}"/>
  <bookViews>
    <workbookView xWindow="760" yWindow="0" windowWidth="19790" windowHeight="13280" tabRatio="820" xr2:uid="{56638CC3-55A6-4652-BD76-40893186D74A}"/>
  </bookViews>
  <sheets>
    <sheet name="Exit Valuation  Base Case" sheetId="8" r:id="rId1"/>
    <sheet name="Exit Valuation Bull Case" sheetId="15" r:id="rId2"/>
    <sheet name="Exit Valuation Bear Case" sheetId="16" r:id="rId3"/>
    <sheet name="Forecast" sheetId="1" r:id="rId4"/>
    <sheet name="Assupmtions" sheetId="17" r:id="rId5"/>
    <sheet name="Net Working Capital" sheetId="6" r:id="rId6"/>
    <sheet name="New Debt" sheetId="7" r:id="rId7"/>
    <sheet name="Historical-BS" sheetId="5" r:id="rId8"/>
    <sheet name="Historical-CF" sheetId="4" r:id="rId9"/>
    <sheet name="Historical-IS" sheetId="2" r:id="rId10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16" l="1"/>
  <c r="K102" i="16"/>
  <c r="J102" i="16"/>
  <c r="I102" i="16"/>
  <c r="H102" i="16"/>
  <c r="G102" i="16"/>
  <c r="G98" i="16"/>
  <c r="L90" i="16"/>
  <c r="K90" i="16"/>
  <c r="J90" i="16"/>
  <c r="I90" i="16"/>
  <c r="H90" i="16"/>
  <c r="G86" i="16"/>
  <c r="G90" i="16" s="1"/>
  <c r="G85" i="16"/>
  <c r="L102" i="15"/>
  <c r="K102" i="15"/>
  <c r="J102" i="15"/>
  <c r="I102" i="15"/>
  <c r="H102" i="15"/>
  <c r="G98" i="15"/>
  <c r="G102" i="15" s="1"/>
  <c r="L90" i="15"/>
  <c r="K90" i="15"/>
  <c r="J90" i="15"/>
  <c r="I90" i="15"/>
  <c r="H90" i="15"/>
  <c r="G86" i="15"/>
  <c r="G90" i="15" s="1"/>
  <c r="G85" i="15"/>
  <c r="M87" i="15" s="1"/>
  <c r="L102" i="8"/>
  <c r="K102" i="8"/>
  <c r="J102" i="8"/>
  <c r="I102" i="8"/>
  <c r="H102" i="8"/>
  <c r="H90" i="8"/>
  <c r="I90" i="8"/>
  <c r="J90" i="8"/>
  <c r="K90" i="8"/>
  <c r="L90" i="8"/>
  <c r="G85" i="8"/>
  <c r="M87" i="16" l="1"/>
  <c r="M99" i="15"/>
  <c r="M99" i="16" l="1"/>
  <c r="H26" i="15" l="1"/>
  <c r="H28" i="15"/>
  <c r="H27" i="15"/>
  <c r="G25" i="15"/>
  <c r="G24" i="15"/>
  <c r="M24" i="15"/>
  <c r="M27" i="15"/>
  <c r="M47" i="1"/>
  <c r="G26" i="16"/>
  <c r="I27" i="16"/>
  <c r="J27" i="16"/>
  <c r="K27" i="16"/>
  <c r="L27" i="16"/>
  <c r="M27" i="16"/>
  <c r="H27" i="16"/>
  <c r="I102" i="1"/>
  <c r="M26" i="16"/>
  <c r="L26" i="16"/>
  <c r="M27" i="8"/>
  <c r="G28" i="15"/>
  <c r="I28" i="15" s="1"/>
  <c r="J28" i="15" s="1"/>
  <c r="K28" i="15" s="1"/>
  <c r="L28" i="15" s="1"/>
  <c r="M28" i="15" s="1"/>
  <c r="G28" i="8"/>
  <c r="G27" i="8" s="1"/>
  <c r="G26" i="8" s="1"/>
  <c r="J15" i="8"/>
  <c r="J11" i="16"/>
  <c r="J12" i="16" s="1"/>
  <c r="J11" i="15"/>
  <c r="J12" i="15" s="1"/>
  <c r="J11" i="8"/>
  <c r="J12" i="8" s="1"/>
  <c r="AP11" i="1"/>
  <c r="AB107" i="1"/>
  <c r="AP107" i="1" s="1"/>
  <c r="AC107" i="1"/>
  <c r="AQ107" i="1" s="1"/>
  <c r="AD107" i="1"/>
  <c r="AR107" i="1" s="1"/>
  <c r="AE107" i="1"/>
  <c r="AS107" i="1" s="1"/>
  <c r="AF107" i="1"/>
  <c r="AT107" i="1" s="1"/>
  <c r="AG107" i="1"/>
  <c r="AU107" i="1" s="1"/>
  <c r="AB108" i="1"/>
  <c r="AP108" i="1" s="1"/>
  <c r="AC108" i="1"/>
  <c r="AQ108" i="1" s="1"/>
  <c r="AD108" i="1"/>
  <c r="AR108" i="1" s="1"/>
  <c r="AE108" i="1"/>
  <c r="AS108" i="1" s="1"/>
  <c r="AF108" i="1"/>
  <c r="AT108" i="1" s="1"/>
  <c r="AG108" i="1"/>
  <c r="AU108" i="1" s="1"/>
  <c r="AB109" i="1"/>
  <c r="AP109" i="1" s="1"/>
  <c r="AC109" i="1"/>
  <c r="AQ109" i="1" s="1"/>
  <c r="AD109" i="1"/>
  <c r="AR109" i="1" s="1"/>
  <c r="AE109" i="1"/>
  <c r="AS109" i="1" s="1"/>
  <c r="AF109" i="1"/>
  <c r="AT109" i="1" s="1"/>
  <c r="AG109" i="1"/>
  <c r="AU109" i="1" s="1"/>
  <c r="AB111" i="1"/>
  <c r="AC111" i="1"/>
  <c r="AD111" i="1"/>
  <c r="AE111" i="1"/>
  <c r="AF111" i="1"/>
  <c r="AG111" i="1"/>
  <c r="AA107" i="1"/>
  <c r="AO107" i="1" s="1"/>
  <c r="AA108" i="1"/>
  <c r="AO108" i="1" s="1"/>
  <c r="AA109" i="1"/>
  <c r="AO109" i="1" s="1"/>
  <c r="AA111" i="1"/>
  <c r="E75" i="16"/>
  <c r="E74" i="16" s="1"/>
  <c r="E73" i="16" s="1"/>
  <c r="E63" i="16"/>
  <c r="E62" i="16" s="1"/>
  <c r="E61" i="16" s="1"/>
  <c r="K48" i="16"/>
  <c r="F32" i="16"/>
  <c r="J15" i="16"/>
  <c r="J17" i="16"/>
  <c r="J52" i="16" s="1"/>
  <c r="I4" i="16"/>
  <c r="E75" i="15"/>
  <c r="E74" i="15" s="1"/>
  <c r="E73" i="15" s="1"/>
  <c r="E63" i="15"/>
  <c r="E62" i="15" s="1"/>
  <c r="E61" i="15" s="1"/>
  <c r="K48" i="15"/>
  <c r="F32" i="15"/>
  <c r="J15" i="15"/>
  <c r="J17" i="15"/>
  <c r="J52" i="15" s="1"/>
  <c r="I4" i="15"/>
  <c r="AQ11" i="1"/>
  <c r="AR11" i="1"/>
  <c r="AS11" i="1"/>
  <c r="AT11" i="1"/>
  <c r="AU11" i="1"/>
  <c r="AO113" i="1"/>
  <c r="AP113" i="1" s="1"/>
  <c r="AQ113" i="1" s="1"/>
  <c r="AR113" i="1" s="1"/>
  <c r="AS113" i="1" s="1"/>
  <c r="AT113" i="1" s="1"/>
  <c r="AU113" i="1" s="1"/>
  <c r="AN112" i="1"/>
  <c r="AM112" i="1"/>
  <c r="AL112" i="1"/>
  <c r="AK112" i="1"/>
  <c r="AJ112" i="1"/>
  <c r="AI112" i="1"/>
  <c r="AO110" i="1"/>
  <c r="AP110" i="1" s="1"/>
  <c r="AQ110" i="1" s="1"/>
  <c r="AR110" i="1" s="1"/>
  <c r="AS110" i="1" s="1"/>
  <c r="AT110" i="1" s="1"/>
  <c r="AU110" i="1" s="1"/>
  <c r="AN102" i="1"/>
  <c r="AM102" i="1"/>
  <c r="AL102" i="1"/>
  <c r="AK102" i="1"/>
  <c r="AJ102" i="1"/>
  <c r="AI102" i="1"/>
  <c r="AO99" i="1"/>
  <c r="AO98" i="1"/>
  <c r="AO95" i="1"/>
  <c r="AP95" i="1" s="1"/>
  <c r="AQ95" i="1" s="1"/>
  <c r="AR95" i="1" s="1"/>
  <c r="AS95" i="1" s="1"/>
  <c r="AT95" i="1" s="1"/>
  <c r="AU95" i="1" s="1"/>
  <c r="AO94" i="1"/>
  <c r="AN91" i="1"/>
  <c r="AM91" i="1"/>
  <c r="AL91" i="1"/>
  <c r="AK91" i="1"/>
  <c r="AJ91" i="1"/>
  <c r="AI91" i="1"/>
  <c r="AO90" i="1"/>
  <c r="AO88" i="1"/>
  <c r="AP88" i="1" s="1"/>
  <c r="AQ88" i="1" s="1"/>
  <c r="AR88" i="1" s="1"/>
  <c r="AS88" i="1" s="1"/>
  <c r="AT88" i="1" s="1"/>
  <c r="AU88" i="1" s="1"/>
  <c r="AO87" i="1"/>
  <c r="AP87" i="1" s="1"/>
  <c r="AQ87" i="1" s="1"/>
  <c r="AR87" i="1" s="1"/>
  <c r="AS87" i="1" s="1"/>
  <c r="AT87" i="1" s="1"/>
  <c r="AU87" i="1" s="1"/>
  <c r="AN85" i="1"/>
  <c r="AM85" i="1"/>
  <c r="AL85" i="1"/>
  <c r="AK85" i="1"/>
  <c r="AJ85" i="1"/>
  <c r="AI85" i="1"/>
  <c r="AU75" i="1"/>
  <c r="AT75" i="1"/>
  <c r="AS75" i="1"/>
  <c r="AR75" i="1"/>
  <c r="AQ75" i="1"/>
  <c r="AP75" i="1"/>
  <c r="AO75" i="1"/>
  <c r="AU69" i="1"/>
  <c r="AT69" i="1"/>
  <c r="AS69" i="1"/>
  <c r="AR69" i="1"/>
  <c r="AQ69" i="1"/>
  <c r="AP69" i="1"/>
  <c r="AO69" i="1"/>
  <c r="AU62" i="1"/>
  <c r="AT62" i="1"/>
  <c r="AS62" i="1"/>
  <c r="AR62" i="1"/>
  <c r="AQ62" i="1"/>
  <c r="AP62" i="1"/>
  <c r="AO62" i="1"/>
  <c r="AU47" i="1"/>
  <c r="AT47" i="1"/>
  <c r="AS47" i="1"/>
  <c r="AR47" i="1"/>
  <c r="AQ47" i="1"/>
  <c r="AP47" i="1"/>
  <c r="AO47" i="1"/>
  <c r="AA113" i="1"/>
  <c r="AB113" i="1" s="1"/>
  <c r="AC113" i="1" s="1"/>
  <c r="AD113" i="1" s="1"/>
  <c r="AE113" i="1" s="1"/>
  <c r="AF113" i="1" s="1"/>
  <c r="AG113" i="1" s="1"/>
  <c r="AA99" i="1"/>
  <c r="AB99" i="1" s="1"/>
  <c r="AC99" i="1" s="1"/>
  <c r="AD99" i="1" s="1"/>
  <c r="AE99" i="1" s="1"/>
  <c r="AF99" i="1" s="1"/>
  <c r="AG99" i="1" s="1"/>
  <c r="AA98" i="1"/>
  <c r="AB98" i="1" s="1"/>
  <c r="AC98" i="1" s="1"/>
  <c r="AD98" i="1" s="1"/>
  <c r="AE98" i="1" s="1"/>
  <c r="AF98" i="1" s="1"/>
  <c r="AG98" i="1" s="1"/>
  <c r="AA95" i="1"/>
  <c r="AB95" i="1" s="1"/>
  <c r="AC95" i="1" s="1"/>
  <c r="AD95" i="1" s="1"/>
  <c r="AE95" i="1" s="1"/>
  <c r="AF95" i="1" s="1"/>
  <c r="AG95" i="1" s="1"/>
  <c r="AA94" i="1"/>
  <c r="AA90" i="1"/>
  <c r="AB90" i="1" s="1"/>
  <c r="AC90" i="1" s="1"/>
  <c r="AD90" i="1" s="1"/>
  <c r="AE90" i="1" s="1"/>
  <c r="AF90" i="1" s="1"/>
  <c r="AG90" i="1" s="1"/>
  <c r="AA88" i="1"/>
  <c r="AB88" i="1" s="1"/>
  <c r="AC88" i="1" s="1"/>
  <c r="AD88" i="1" s="1"/>
  <c r="AE88" i="1" s="1"/>
  <c r="AF88" i="1" s="1"/>
  <c r="AG88" i="1" s="1"/>
  <c r="AA87" i="1"/>
  <c r="Z112" i="1"/>
  <c r="Y112" i="1"/>
  <c r="X112" i="1"/>
  <c r="W112" i="1"/>
  <c r="V112" i="1"/>
  <c r="U112" i="1"/>
  <c r="Z102" i="1"/>
  <c r="Y102" i="1"/>
  <c r="X102" i="1"/>
  <c r="W102" i="1"/>
  <c r="V102" i="1"/>
  <c r="U102" i="1"/>
  <c r="Z91" i="1"/>
  <c r="Y91" i="1"/>
  <c r="X91" i="1"/>
  <c r="W91" i="1"/>
  <c r="V91" i="1"/>
  <c r="U91" i="1"/>
  <c r="Z85" i="1"/>
  <c r="Y85" i="1"/>
  <c r="X85" i="1"/>
  <c r="W85" i="1"/>
  <c r="V85" i="1"/>
  <c r="U85" i="1"/>
  <c r="AB47" i="1"/>
  <c r="AC47" i="1"/>
  <c r="AD47" i="1"/>
  <c r="AE47" i="1"/>
  <c r="AF47" i="1"/>
  <c r="AG47" i="1"/>
  <c r="AB62" i="1"/>
  <c r="AC62" i="1"/>
  <c r="AD62" i="1"/>
  <c r="AE62" i="1"/>
  <c r="AF62" i="1"/>
  <c r="AG62" i="1"/>
  <c r="AB69" i="1"/>
  <c r="AC69" i="1"/>
  <c r="AD69" i="1"/>
  <c r="AE69" i="1"/>
  <c r="AF69" i="1"/>
  <c r="AG69" i="1"/>
  <c r="AB75" i="1"/>
  <c r="AC75" i="1"/>
  <c r="AD75" i="1"/>
  <c r="AE75" i="1"/>
  <c r="AF75" i="1"/>
  <c r="AG75" i="1"/>
  <c r="AA75" i="1"/>
  <c r="AA69" i="1"/>
  <c r="AA62" i="1"/>
  <c r="AA47" i="1"/>
  <c r="V12" i="1"/>
  <c r="AJ12" i="1" s="1"/>
  <c r="W12" i="1"/>
  <c r="AK12" i="1" s="1"/>
  <c r="X12" i="1"/>
  <c r="AL12" i="1" s="1"/>
  <c r="Y12" i="1"/>
  <c r="AM12" i="1" s="1"/>
  <c r="Z12" i="1"/>
  <c r="AN12" i="1" s="1"/>
  <c r="V16" i="1"/>
  <c r="AJ16" i="1" s="1"/>
  <c r="W16" i="1"/>
  <c r="AK16" i="1" s="1"/>
  <c r="X16" i="1"/>
  <c r="AL16" i="1" s="1"/>
  <c r="Y16" i="1"/>
  <c r="AM16" i="1" s="1"/>
  <c r="Z16" i="1"/>
  <c r="AN16" i="1" s="1"/>
  <c r="V20" i="1"/>
  <c r="AJ20" i="1" s="1"/>
  <c r="W20" i="1"/>
  <c r="AK20" i="1" s="1"/>
  <c r="X20" i="1"/>
  <c r="AL20" i="1" s="1"/>
  <c r="Y20" i="1"/>
  <c r="AM20" i="1" s="1"/>
  <c r="Z20" i="1"/>
  <c r="AN20" i="1" s="1"/>
  <c r="V24" i="1"/>
  <c r="AJ24" i="1" s="1"/>
  <c r="W24" i="1"/>
  <c r="AK24" i="1" s="1"/>
  <c r="X24" i="1"/>
  <c r="AL24" i="1" s="1"/>
  <c r="Y24" i="1"/>
  <c r="AM24" i="1" s="1"/>
  <c r="Z24" i="1"/>
  <c r="AN24" i="1" s="1"/>
  <c r="V31" i="1"/>
  <c r="AJ31" i="1" s="1"/>
  <c r="W31" i="1"/>
  <c r="AK31" i="1" s="1"/>
  <c r="X31" i="1"/>
  <c r="AL31" i="1" s="1"/>
  <c r="Y31" i="1"/>
  <c r="AM31" i="1" s="1"/>
  <c r="Z31" i="1"/>
  <c r="AN31" i="1" s="1"/>
  <c r="U11" i="1"/>
  <c r="AI11" i="1" s="1"/>
  <c r="U12" i="1"/>
  <c r="AI12" i="1" s="1"/>
  <c r="U16" i="1"/>
  <c r="AI16" i="1" s="1"/>
  <c r="U20" i="1"/>
  <c r="AI20" i="1" s="1"/>
  <c r="U24" i="1"/>
  <c r="AI24" i="1" s="1"/>
  <c r="U31" i="1"/>
  <c r="AI31" i="1" s="1"/>
  <c r="K48" i="8"/>
  <c r="E63" i="8"/>
  <c r="E75" i="8"/>
  <c r="E74" i="8" s="1"/>
  <c r="E73" i="8" s="1"/>
  <c r="J72" i="8"/>
  <c r="H27" i="8" l="1"/>
  <c r="H28" i="8"/>
  <c r="I28" i="8" s="1"/>
  <c r="J28" i="8" s="1"/>
  <c r="K28" i="8" s="1"/>
  <c r="L28" i="8" s="1"/>
  <c r="M28" i="8" s="1"/>
  <c r="M26" i="8" s="1"/>
  <c r="AM92" i="1"/>
  <c r="AM103" i="1" s="1"/>
  <c r="AM114" i="1" s="1"/>
  <c r="E76" i="15"/>
  <c r="E77" i="15" s="1"/>
  <c r="AP76" i="1"/>
  <c r="V92" i="1"/>
  <c r="V103" i="1" s="1"/>
  <c r="V114" i="1" s="1"/>
  <c r="H26" i="16"/>
  <c r="I26" i="16"/>
  <c r="J26" i="16"/>
  <c r="K26" i="16"/>
  <c r="AK92" i="1"/>
  <c r="AK103" i="1" s="1"/>
  <c r="AK114" i="1" s="1"/>
  <c r="AC76" i="1"/>
  <c r="J16" i="15"/>
  <c r="J51" i="15" s="1"/>
  <c r="M26" i="15"/>
  <c r="H72" i="15" s="1"/>
  <c r="E64" i="16"/>
  <c r="E65" i="16" s="1"/>
  <c r="AD76" i="1"/>
  <c r="AB76" i="1"/>
  <c r="AG76" i="1"/>
  <c r="E76" i="16"/>
  <c r="E77" i="16" s="1"/>
  <c r="U92" i="1"/>
  <c r="U103" i="1" s="1"/>
  <c r="U114" i="1" s="1"/>
  <c r="AI92" i="1"/>
  <c r="J16" i="16"/>
  <c r="J51" i="16" s="1"/>
  <c r="AE76" i="1"/>
  <c r="AF76" i="1"/>
  <c r="Z92" i="1"/>
  <c r="Z103" i="1" s="1"/>
  <c r="Z114" i="1" s="1"/>
  <c r="AJ92" i="1"/>
  <c r="AJ103" i="1" s="1"/>
  <c r="AJ114" i="1" s="1"/>
  <c r="Y92" i="1"/>
  <c r="AT76" i="1"/>
  <c r="AU76" i="1"/>
  <c r="AA76" i="1"/>
  <c r="AO76" i="1"/>
  <c r="AL92" i="1"/>
  <c r="AQ76" i="1"/>
  <c r="AN92" i="1"/>
  <c r="E64" i="15"/>
  <c r="E65" i="15" s="1"/>
  <c r="G27" i="15"/>
  <c r="AR76" i="1"/>
  <c r="X92" i="1"/>
  <c r="AS76" i="1"/>
  <c r="W92" i="1"/>
  <c r="H72" i="16"/>
  <c r="H60" i="16"/>
  <c r="AP90" i="1"/>
  <c r="AQ90" i="1" s="1"/>
  <c r="AR90" i="1" s="1"/>
  <c r="AP94" i="1"/>
  <c r="AQ94" i="1" s="1"/>
  <c r="AP98" i="1"/>
  <c r="AQ98" i="1" s="1"/>
  <c r="AP99" i="1"/>
  <c r="AQ99" i="1" s="1"/>
  <c r="AO102" i="1"/>
  <c r="AB87" i="1"/>
  <c r="AA102" i="1"/>
  <c r="AB94" i="1"/>
  <c r="E76" i="8"/>
  <c r="E77" i="8" s="1"/>
  <c r="AM116" i="1" l="1"/>
  <c r="J18" i="16"/>
  <c r="H60" i="15"/>
  <c r="I60" i="15" s="1"/>
  <c r="J60" i="15" s="1"/>
  <c r="J18" i="15"/>
  <c r="V116" i="1"/>
  <c r="Z116" i="1"/>
  <c r="AJ116" i="1"/>
  <c r="AK116" i="1"/>
  <c r="AR98" i="1"/>
  <c r="AS98" i="1" s="1"/>
  <c r="AT98" i="1" s="1"/>
  <c r="AU98" i="1" s="1"/>
  <c r="U116" i="1"/>
  <c r="AI103" i="1"/>
  <c r="AI114" i="1" s="1"/>
  <c r="AI116" i="1"/>
  <c r="H72" i="8"/>
  <c r="H60" i="8"/>
  <c r="AS90" i="1"/>
  <c r="AT90" i="1" s="1"/>
  <c r="AU90" i="1" s="1"/>
  <c r="AR99" i="1"/>
  <c r="AS99" i="1" s="1"/>
  <c r="AN103" i="1"/>
  <c r="AN114" i="1" s="1"/>
  <c r="AN116" i="1"/>
  <c r="Y103" i="1"/>
  <c r="Y114" i="1" s="1"/>
  <c r="Y116" i="1"/>
  <c r="AL103" i="1"/>
  <c r="AL114" i="1" s="1"/>
  <c r="AL116" i="1"/>
  <c r="X103" i="1"/>
  <c r="X114" i="1" s="1"/>
  <c r="X116" i="1"/>
  <c r="G26" i="15"/>
  <c r="W103" i="1"/>
  <c r="W114" i="1" s="1"/>
  <c r="W116" i="1"/>
  <c r="AR94" i="1"/>
  <c r="H26" i="8"/>
  <c r="I27" i="8"/>
  <c r="I60" i="16"/>
  <c r="J60" i="16" s="1"/>
  <c r="G60" i="16"/>
  <c r="F60" i="16" s="1"/>
  <c r="G72" i="16"/>
  <c r="F72" i="16" s="1"/>
  <c r="I72" i="16"/>
  <c r="J72" i="16" s="1"/>
  <c r="I72" i="15"/>
  <c r="J72" i="15" s="1"/>
  <c r="G72" i="15"/>
  <c r="F72" i="15" s="1"/>
  <c r="J53" i="16"/>
  <c r="J55" i="16" s="1"/>
  <c r="J53" i="15"/>
  <c r="J55" i="15" s="1"/>
  <c r="AP102" i="1"/>
  <c r="AB102" i="1"/>
  <c r="AC94" i="1"/>
  <c r="AC87" i="1"/>
  <c r="E62" i="8"/>
  <c r="E61" i="8" s="1"/>
  <c r="E64" i="8"/>
  <c r="E65" i="8" s="1"/>
  <c r="G60" i="15" l="1"/>
  <c r="F60" i="15" s="1"/>
  <c r="AS94" i="1"/>
  <c r="AT99" i="1"/>
  <c r="AU99" i="1" s="1"/>
  <c r="I26" i="8"/>
  <c r="J27" i="8"/>
  <c r="I27" i="15"/>
  <c r="K54" i="16"/>
  <c r="J44" i="16"/>
  <c r="J45" i="16"/>
  <c r="J46" i="16"/>
  <c r="P44" i="16" s="1"/>
  <c r="J47" i="16"/>
  <c r="P45" i="16" s="1"/>
  <c r="K52" i="16"/>
  <c r="K51" i="16"/>
  <c r="K53" i="16"/>
  <c r="K54" i="15"/>
  <c r="J44" i="15"/>
  <c r="J45" i="15"/>
  <c r="J46" i="15"/>
  <c r="P44" i="15" s="1"/>
  <c r="J47" i="15"/>
  <c r="P45" i="15" s="1"/>
  <c r="K52" i="15"/>
  <c r="K51" i="15"/>
  <c r="K53" i="15"/>
  <c r="AQ102" i="1"/>
  <c r="AD87" i="1"/>
  <c r="AC102" i="1"/>
  <c r="AD94" i="1"/>
  <c r="F32" i="8"/>
  <c r="AT94" i="1" l="1"/>
  <c r="AU94" i="1" s="1"/>
  <c r="J27" i="15"/>
  <c r="I26" i="15"/>
  <c r="J26" i="8"/>
  <c r="K27" i="8"/>
  <c r="K55" i="16"/>
  <c r="P46" i="16"/>
  <c r="J48" i="16"/>
  <c r="K55" i="15"/>
  <c r="P46" i="15"/>
  <c r="J48" i="15"/>
  <c r="AR102" i="1"/>
  <c r="AD102" i="1"/>
  <c r="AE94" i="1"/>
  <c r="AE87" i="1"/>
  <c r="J16" i="8"/>
  <c r="J17" i="8"/>
  <c r="J52" i="8" s="1"/>
  <c r="F16" i="7"/>
  <c r="K21" i="7"/>
  <c r="L21" i="7"/>
  <c r="M21" i="7"/>
  <c r="K23" i="7"/>
  <c r="L23" i="7"/>
  <c r="M23" i="7"/>
  <c r="I63" i="7"/>
  <c r="J63" i="7"/>
  <c r="K63" i="7"/>
  <c r="L63" i="7"/>
  <c r="M63" i="7"/>
  <c r="I64" i="7"/>
  <c r="J64" i="7"/>
  <c r="K64" i="7"/>
  <c r="L64" i="7"/>
  <c r="M64" i="7"/>
  <c r="I68" i="7"/>
  <c r="I34" i="7" s="1"/>
  <c r="J68" i="7"/>
  <c r="J34" i="7" s="1"/>
  <c r="K68" i="7"/>
  <c r="K34" i="7" s="1"/>
  <c r="L68" i="7"/>
  <c r="L34" i="7" s="1"/>
  <c r="M68" i="7"/>
  <c r="M34" i="7" s="1"/>
  <c r="L90" i="7"/>
  <c r="M90" i="7"/>
  <c r="L91" i="7"/>
  <c r="M91" i="7"/>
  <c r="L95" i="7"/>
  <c r="L36" i="7" s="1"/>
  <c r="M95" i="7"/>
  <c r="M36" i="7" s="1"/>
  <c r="M110" i="1"/>
  <c r="G27" i="7"/>
  <c r="F28" i="7"/>
  <c r="F36" i="7"/>
  <c r="F35" i="7"/>
  <c r="F34" i="7"/>
  <c r="F33" i="7"/>
  <c r="H23" i="7"/>
  <c r="I23" i="7"/>
  <c r="J23" i="7"/>
  <c r="G24" i="7"/>
  <c r="G22" i="7"/>
  <c r="H21" i="7"/>
  <c r="I21" i="7"/>
  <c r="J21" i="7"/>
  <c r="F90" i="7"/>
  <c r="K95" i="7"/>
  <c r="K36" i="7" s="1"/>
  <c r="J95" i="7"/>
  <c r="J36" i="7" s="1"/>
  <c r="I95" i="7"/>
  <c r="I36" i="7" s="1"/>
  <c r="H95" i="7"/>
  <c r="H36" i="7" s="1"/>
  <c r="K91" i="7"/>
  <c r="J91" i="7"/>
  <c r="I91" i="7"/>
  <c r="H91" i="7"/>
  <c r="G91" i="7"/>
  <c r="F91" i="7"/>
  <c r="K90" i="7"/>
  <c r="J90" i="7"/>
  <c r="I90" i="7"/>
  <c r="H90" i="7"/>
  <c r="G90" i="7"/>
  <c r="G83" i="7"/>
  <c r="H68" i="7"/>
  <c r="H34" i="7" s="1"/>
  <c r="H63" i="7"/>
  <c r="G63" i="7"/>
  <c r="G64" i="7"/>
  <c r="H64" i="7"/>
  <c r="F64" i="7"/>
  <c r="F63" i="7"/>
  <c r="G56" i="7"/>
  <c r="I65" i="7" l="1"/>
  <c r="J66" i="7" s="1"/>
  <c r="Q105" i="1"/>
  <c r="AE105" i="1" s="1"/>
  <c r="AS105" i="1" s="1"/>
  <c r="M92" i="7"/>
  <c r="N105" i="1"/>
  <c r="AB105" i="1" s="1"/>
  <c r="L92" i="7"/>
  <c r="M93" i="7" s="1"/>
  <c r="M65" i="7"/>
  <c r="K26" i="8"/>
  <c r="L27" i="8"/>
  <c r="L26" i="8" s="1"/>
  <c r="F65" i="7"/>
  <c r="G66" i="7" s="1"/>
  <c r="G67" i="7" s="1"/>
  <c r="G33" i="7" s="1"/>
  <c r="P105" i="1"/>
  <c r="AD105" i="1" s="1"/>
  <c r="F39" i="7"/>
  <c r="H65" i="7"/>
  <c r="I66" i="7" s="1"/>
  <c r="O105" i="1"/>
  <c r="AC105" i="1" s="1"/>
  <c r="K27" i="15"/>
  <c r="J26" i="15"/>
  <c r="N110" i="1"/>
  <c r="AA110" i="1"/>
  <c r="Q45" i="16"/>
  <c r="Q44" i="16"/>
  <c r="Q45" i="15"/>
  <c r="Q44" i="15"/>
  <c r="AS102" i="1"/>
  <c r="AF87" i="1"/>
  <c r="AE102" i="1"/>
  <c r="AF94" i="1"/>
  <c r="S105" i="1"/>
  <c r="R105" i="1"/>
  <c r="J51" i="8"/>
  <c r="J18" i="8"/>
  <c r="M106" i="1"/>
  <c r="AA106" i="1" s="1"/>
  <c r="AO106" i="1" s="1"/>
  <c r="L65" i="7"/>
  <c r="M66" i="7" s="1"/>
  <c r="K65" i="7"/>
  <c r="L66" i="7" s="1"/>
  <c r="J65" i="7"/>
  <c r="K66" i="7" s="1"/>
  <c r="K92" i="7"/>
  <c r="L93" i="7" s="1"/>
  <c r="G65" i="7"/>
  <c r="H66" i="7" s="1"/>
  <c r="H92" i="7"/>
  <c r="I93" i="7" s="1"/>
  <c r="J92" i="7"/>
  <c r="K93" i="7" s="1"/>
  <c r="G92" i="7"/>
  <c r="H93" i="7" s="1"/>
  <c r="G20" i="7"/>
  <c r="F92" i="7"/>
  <c r="G93" i="7" s="1"/>
  <c r="G94" i="7" s="1"/>
  <c r="G35" i="7" s="1"/>
  <c r="I92" i="7"/>
  <c r="J93" i="7" s="1"/>
  <c r="Q46" i="15" l="1"/>
  <c r="L27" i="15"/>
  <c r="L26" i="15" s="1"/>
  <c r="K26" i="15"/>
  <c r="Q46" i="16"/>
  <c r="AF105" i="1"/>
  <c r="AG105" i="1"/>
  <c r="O110" i="1"/>
  <c r="AB110" i="1"/>
  <c r="AP105" i="1"/>
  <c r="AQ105" i="1"/>
  <c r="AR105" i="1"/>
  <c r="J53" i="8"/>
  <c r="AT102" i="1"/>
  <c r="AU102" i="1"/>
  <c r="AF102" i="1"/>
  <c r="AG94" i="1"/>
  <c r="AG102" i="1" s="1"/>
  <c r="AG87" i="1"/>
  <c r="P110" i="1" l="1"/>
  <c r="AC110" i="1"/>
  <c r="AU105" i="1"/>
  <c r="AT105" i="1"/>
  <c r="F7" i="7"/>
  <c r="M113" i="1"/>
  <c r="N113" i="1" s="1"/>
  <c r="O113" i="1" s="1"/>
  <c r="P113" i="1" s="1"/>
  <c r="Q113" i="1" s="1"/>
  <c r="R113" i="1" s="1"/>
  <c r="S113" i="1" s="1"/>
  <c r="M99" i="1"/>
  <c r="N99" i="1" s="1"/>
  <c r="O99" i="1" s="1"/>
  <c r="P99" i="1" s="1"/>
  <c r="Q99" i="1" s="1"/>
  <c r="R99" i="1" s="1"/>
  <c r="S99" i="1" s="1"/>
  <c r="M98" i="1"/>
  <c r="N98" i="1" s="1"/>
  <c r="O98" i="1" s="1"/>
  <c r="P98" i="1" s="1"/>
  <c r="Q98" i="1" s="1"/>
  <c r="R98" i="1" s="1"/>
  <c r="S98" i="1" s="1"/>
  <c r="M95" i="1"/>
  <c r="N95" i="1" s="1"/>
  <c r="O95" i="1" s="1"/>
  <c r="P95" i="1" s="1"/>
  <c r="Q95" i="1" s="1"/>
  <c r="R95" i="1" s="1"/>
  <c r="S95" i="1" s="1"/>
  <c r="M94" i="1"/>
  <c r="M90" i="1"/>
  <c r="N90" i="1" s="1"/>
  <c r="O90" i="1" s="1"/>
  <c r="P90" i="1" s="1"/>
  <c r="Q90" i="1" s="1"/>
  <c r="R90" i="1" s="1"/>
  <c r="S90" i="1" s="1"/>
  <c r="M88" i="1"/>
  <c r="N88" i="1" s="1"/>
  <c r="O88" i="1" s="1"/>
  <c r="P88" i="1" s="1"/>
  <c r="Q88" i="1" s="1"/>
  <c r="R88" i="1" s="1"/>
  <c r="S88" i="1" s="1"/>
  <c r="M87" i="1"/>
  <c r="L112" i="1"/>
  <c r="L102" i="1"/>
  <c r="L91" i="1"/>
  <c r="L85" i="1"/>
  <c r="L92" i="1" l="1"/>
  <c r="L103" i="1" s="1"/>
  <c r="L114" i="1" s="1"/>
  <c r="Q110" i="1"/>
  <c r="AD110" i="1"/>
  <c r="N87" i="1"/>
  <c r="M102" i="1"/>
  <c r="N94" i="1"/>
  <c r="L122" i="1" l="1"/>
  <c r="L116" i="1"/>
  <c r="R110" i="1"/>
  <c r="AE110" i="1"/>
  <c r="N102" i="1"/>
  <c r="O94" i="1"/>
  <c r="O87" i="1"/>
  <c r="S110" i="1" l="1"/>
  <c r="AF110" i="1"/>
  <c r="P87" i="1"/>
  <c r="O102" i="1"/>
  <c r="P94" i="1"/>
  <c r="AG110" i="1" l="1"/>
  <c r="P102" i="1"/>
  <c r="Q94" i="1"/>
  <c r="Q87" i="1"/>
  <c r="R87" i="1" s="1"/>
  <c r="I4" i="8"/>
  <c r="S87" i="1" l="1"/>
  <c r="Q102" i="1"/>
  <c r="R94" i="1"/>
  <c r="F66" i="6"/>
  <c r="F73" i="6" s="1"/>
  <c r="F53" i="6"/>
  <c r="F52" i="6"/>
  <c r="F47" i="6"/>
  <c r="F42" i="6"/>
  <c r="G41" i="6"/>
  <c r="H41" i="6" s="1"/>
  <c r="I41" i="6" s="1"/>
  <c r="J41" i="6" s="1"/>
  <c r="K41" i="6" s="1"/>
  <c r="L41" i="6" s="1"/>
  <c r="M41" i="6" s="1"/>
  <c r="F33" i="6"/>
  <c r="F34" i="6" s="1"/>
  <c r="O48" i="4"/>
  <c r="N48" i="4"/>
  <c r="M48" i="4"/>
  <c r="L48" i="4"/>
  <c r="K48" i="4"/>
  <c r="J48" i="4"/>
  <c r="O47" i="4"/>
  <c r="N47" i="4"/>
  <c r="M47" i="4"/>
  <c r="L47" i="4"/>
  <c r="K47" i="4"/>
  <c r="J47" i="4"/>
  <c r="O45" i="4"/>
  <c r="N45" i="4"/>
  <c r="M45" i="4"/>
  <c r="L45" i="4"/>
  <c r="K45" i="4"/>
  <c r="J45" i="4"/>
  <c r="O44" i="4"/>
  <c r="N44" i="4"/>
  <c r="M44" i="4"/>
  <c r="L44" i="4"/>
  <c r="K44" i="4"/>
  <c r="J44" i="4"/>
  <c r="H44" i="4"/>
  <c r="O33" i="4"/>
  <c r="N33" i="4"/>
  <c r="M33" i="4"/>
  <c r="L33" i="4"/>
  <c r="K33" i="4"/>
  <c r="J33" i="4"/>
  <c r="H32" i="4"/>
  <c r="O31" i="4"/>
  <c r="N31" i="4"/>
  <c r="M31" i="4"/>
  <c r="L31" i="4"/>
  <c r="K31" i="4"/>
  <c r="J31" i="4"/>
  <c r="O30" i="4"/>
  <c r="N30" i="4"/>
  <c r="M30" i="4"/>
  <c r="L30" i="4"/>
  <c r="K30" i="4"/>
  <c r="J30" i="4"/>
  <c r="O28" i="4"/>
  <c r="N28" i="4"/>
  <c r="M28" i="4"/>
  <c r="L28" i="4"/>
  <c r="K28" i="4"/>
  <c r="J28" i="4"/>
  <c r="H28" i="4"/>
  <c r="O27" i="4"/>
  <c r="N27" i="4"/>
  <c r="M27" i="4"/>
  <c r="L27" i="4"/>
  <c r="K27" i="4"/>
  <c r="J27" i="4"/>
  <c r="O26" i="4"/>
  <c r="N26" i="4"/>
  <c r="M26" i="4"/>
  <c r="L26" i="4"/>
  <c r="K26" i="4"/>
  <c r="J26" i="4"/>
  <c r="H15" i="4"/>
  <c r="O13" i="4"/>
  <c r="N13" i="4"/>
  <c r="M13" i="4"/>
  <c r="L13" i="4"/>
  <c r="K13" i="4"/>
  <c r="J13" i="4"/>
  <c r="O12" i="4"/>
  <c r="N12" i="4"/>
  <c r="M12" i="4"/>
  <c r="L12" i="4"/>
  <c r="K12" i="4"/>
  <c r="J12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H3" i="4"/>
  <c r="J38" i="6"/>
  <c r="I38" i="6"/>
  <c r="H38" i="6"/>
  <c r="G38" i="6"/>
  <c r="F38" i="6"/>
  <c r="K85" i="1"/>
  <c r="H85" i="1"/>
  <c r="L61" i="1"/>
  <c r="Z61" i="1" s="1"/>
  <c r="AN61" i="1" s="1"/>
  <c r="K61" i="1"/>
  <c r="Y61" i="1" s="1"/>
  <c r="AM61" i="1" s="1"/>
  <c r="J61" i="1"/>
  <c r="X61" i="1" s="1"/>
  <c r="AL61" i="1" s="1"/>
  <c r="I61" i="1"/>
  <c r="W61" i="1" s="1"/>
  <c r="AK61" i="1" s="1"/>
  <c r="H61" i="1"/>
  <c r="V61" i="1" s="1"/>
  <c r="AJ61" i="1" s="1"/>
  <c r="L60" i="1"/>
  <c r="K60" i="1"/>
  <c r="Y60" i="1" s="1"/>
  <c r="AM60" i="1" s="1"/>
  <c r="J60" i="1"/>
  <c r="X60" i="1" s="1"/>
  <c r="AL60" i="1" s="1"/>
  <c r="I60" i="1"/>
  <c r="W60" i="1" s="1"/>
  <c r="AK60" i="1" s="1"/>
  <c r="H60" i="1"/>
  <c r="V60" i="1" s="1"/>
  <c r="AJ60" i="1" s="1"/>
  <c r="L59" i="1"/>
  <c r="Z59" i="1" s="1"/>
  <c r="K59" i="1"/>
  <c r="Y59" i="1" s="1"/>
  <c r="J59" i="1"/>
  <c r="X59" i="1" s="1"/>
  <c r="I59" i="1"/>
  <c r="W59" i="1" s="1"/>
  <c r="H59" i="1"/>
  <c r="V59" i="1" s="1"/>
  <c r="G61" i="1"/>
  <c r="U61" i="1" s="1"/>
  <c r="AI61" i="1" s="1"/>
  <c r="P62" i="1"/>
  <c r="O62" i="1"/>
  <c r="N62" i="1"/>
  <c r="M62" i="1"/>
  <c r="G60" i="1"/>
  <c r="U60" i="1" s="1"/>
  <c r="AI60" i="1" s="1"/>
  <c r="G59" i="1"/>
  <c r="U59" i="1" s="1"/>
  <c r="L74" i="1"/>
  <c r="Z74" i="1" s="1"/>
  <c r="AN74" i="1" s="1"/>
  <c r="K74" i="1"/>
  <c r="Y74" i="1" s="1"/>
  <c r="AM74" i="1" s="1"/>
  <c r="J74" i="1"/>
  <c r="X74" i="1" s="1"/>
  <c r="AL74" i="1" s="1"/>
  <c r="I74" i="1"/>
  <c r="W74" i="1" s="1"/>
  <c r="AK74" i="1" s="1"/>
  <c r="H74" i="1"/>
  <c r="V74" i="1" s="1"/>
  <c r="AJ74" i="1" s="1"/>
  <c r="L73" i="1"/>
  <c r="Z73" i="1" s="1"/>
  <c r="AN73" i="1" s="1"/>
  <c r="K73" i="1"/>
  <c r="Y73" i="1" s="1"/>
  <c r="AM73" i="1" s="1"/>
  <c r="J73" i="1"/>
  <c r="X73" i="1" s="1"/>
  <c r="AL73" i="1" s="1"/>
  <c r="I73" i="1"/>
  <c r="W73" i="1" s="1"/>
  <c r="AK73" i="1" s="1"/>
  <c r="H73" i="1"/>
  <c r="V73" i="1" s="1"/>
  <c r="AJ73" i="1" s="1"/>
  <c r="L72" i="1"/>
  <c r="Z72" i="1" s="1"/>
  <c r="AN72" i="1" s="1"/>
  <c r="K72" i="1"/>
  <c r="Y72" i="1" s="1"/>
  <c r="AM72" i="1" s="1"/>
  <c r="J72" i="1"/>
  <c r="X72" i="1" s="1"/>
  <c r="AL72" i="1" s="1"/>
  <c r="I72" i="1"/>
  <c r="W72" i="1" s="1"/>
  <c r="AK72" i="1" s="1"/>
  <c r="H72" i="1"/>
  <c r="V72" i="1" s="1"/>
  <c r="AJ72" i="1" s="1"/>
  <c r="L71" i="1"/>
  <c r="Z71" i="1" s="1"/>
  <c r="AN71" i="1" s="1"/>
  <c r="K71" i="1"/>
  <c r="Y71" i="1" s="1"/>
  <c r="AM71" i="1" s="1"/>
  <c r="J71" i="1"/>
  <c r="X71" i="1" s="1"/>
  <c r="AL71" i="1" s="1"/>
  <c r="I71" i="1"/>
  <c r="W71" i="1" s="1"/>
  <c r="AK71" i="1" s="1"/>
  <c r="H71" i="1"/>
  <c r="V71" i="1" s="1"/>
  <c r="AJ71" i="1" s="1"/>
  <c r="L70" i="1"/>
  <c r="Z70" i="1" s="1"/>
  <c r="K70" i="1"/>
  <c r="Y70" i="1" s="1"/>
  <c r="J70" i="1"/>
  <c r="X70" i="1" s="1"/>
  <c r="I70" i="1"/>
  <c r="W70" i="1" s="1"/>
  <c r="H70" i="1"/>
  <c r="V70" i="1" s="1"/>
  <c r="G74" i="1"/>
  <c r="U74" i="1" s="1"/>
  <c r="AI74" i="1" s="1"/>
  <c r="G73" i="1"/>
  <c r="U73" i="1" s="1"/>
  <c r="AI73" i="1" s="1"/>
  <c r="G72" i="1"/>
  <c r="U72" i="1" s="1"/>
  <c r="AI72" i="1" s="1"/>
  <c r="G71" i="1"/>
  <c r="U71" i="1" s="1"/>
  <c r="AI71" i="1" s="1"/>
  <c r="G70" i="1"/>
  <c r="U70" i="1" s="1"/>
  <c r="L68" i="1"/>
  <c r="Z68" i="1" s="1"/>
  <c r="AN68" i="1" s="1"/>
  <c r="K68" i="1"/>
  <c r="Y68" i="1" s="1"/>
  <c r="AM68" i="1" s="1"/>
  <c r="J68" i="1"/>
  <c r="X68" i="1" s="1"/>
  <c r="AL68" i="1" s="1"/>
  <c r="I68" i="1"/>
  <c r="W68" i="1" s="1"/>
  <c r="AK68" i="1" s="1"/>
  <c r="H68" i="1"/>
  <c r="V68" i="1" s="1"/>
  <c r="AJ68" i="1" s="1"/>
  <c r="G68" i="1"/>
  <c r="U68" i="1" s="1"/>
  <c r="AI68" i="1" s="1"/>
  <c r="L67" i="1"/>
  <c r="Z67" i="1" s="1"/>
  <c r="AN67" i="1" s="1"/>
  <c r="K67" i="1"/>
  <c r="Y67" i="1" s="1"/>
  <c r="AM67" i="1" s="1"/>
  <c r="J67" i="1"/>
  <c r="X67" i="1" s="1"/>
  <c r="AL67" i="1" s="1"/>
  <c r="I67" i="1"/>
  <c r="W67" i="1" s="1"/>
  <c r="AK67" i="1" s="1"/>
  <c r="H67" i="1"/>
  <c r="V67" i="1" s="1"/>
  <c r="AJ67" i="1" s="1"/>
  <c r="L66" i="1"/>
  <c r="Z66" i="1" s="1"/>
  <c r="AN66" i="1" s="1"/>
  <c r="K66" i="1"/>
  <c r="Y66" i="1" s="1"/>
  <c r="AM66" i="1" s="1"/>
  <c r="J66" i="1"/>
  <c r="X66" i="1" s="1"/>
  <c r="AL66" i="1" s="1"/>
  <c r="I66" i="1"/>
  <c r="W66" i="1" s="1"/>
  <c r="AK66" i="1" s="1"/>
  <c r="H66" i="1"/>
  <c r="V66" i="1" s="1"/>
  <c r="AJ66" i="1" s="1"/>
  <c r="L65" i="1"/>
  <c r="Z65" i="1" s="1"/>
  <c r="AN65" i="1" s="1"/>
  <c r="K65" i="1"/>
  <c r="Y65" i="1" s="1"/>
  <c r="AM65" i="1" s="1"/>
  <c r="J65" i="1"/>
  <c r="X65" i="1" s="1"/>
  <c r="AL65" i="1" s="1"/>
  <c r="I65" i="1"/>
  <c r="W65" i="1" s="1"/>
  <c r="AK65" i="1" s="1"/>
  <c r="H65" i="1"/>
  <c r="V65" i="1" s="1"/>
  <c r="AJ65" i="1" s="1"/>
  <c r="L64" i="1"/>
  <c r="Z64" i="1" s="1"/>
  <c r="AN64" i="1" s="1"/>
  <c r="K64" i="1"/>
  <c r="Y64" i="1" s="1"/>
  <c r="AM64" i="1" s="1"/>
  <c r="J64" i="1"/>
  <c r="X64" i="1" s="1"/>
  <c r="AL64" i="1" s="1"/>
  <c r="I64" i="1"/>
  <c r="W64" i="1" s="1"/>
  <c r="AK64" i="1" s="1"/>
  <c r="H64" i="1"/>
  <c r="V64" i="1" s="1"/>
  <c r="AJ64" i="1" s="1"/>
  <c r="L63" i="1"/>
  <c r="K63" i="1"/>
  <c r="J63" i="1"/>
  <c r="I63" i="1"/>
  <c r="H63" i="1"/>
  <c r="G67" i="1"/>
  <c r="U67" i="1" s="1"/>
  <c r="AI67" i="1" s="1"/>
  <c r="G66" i="1"/>
  <c r="U66" i="1" s="1"/>
  <c r="AI66" i="1" s="1"/>
  <c r="G65" i="1"/>
  <c r="U65" i="1" s="1"/>
  <c r="AI65" i="1" s="1"/>
  <c r="G64" i="1"/>
  <c r="U64" i="1" s="1"/>
  <c r="AI64" i="1" s="1"/>
  <c r="G63" i="1"/>
  <c r="U63" i="1" s="1"/>
  <c r="L43" i="1"/>
  <c r="Z43" i="1" s="1"/>
  <c r="AN43" i="1" s="1"/>
  <c r="K43" i="1"/>
  <c r="Y43" i="1" s="1"/>
  <c r="AM43" i="1" s="1"/>
  <c r="J43" i="1"/>
  <c r="X43" i="1" s="1"/>
  <c r="AL43" i="1" s="1"/>
  <c r="I43" i="1"/>
  <c r="W43" i="1" s="1"/>
  <c r="AK43" i="1" s="1"/>
  <c r="H43" i="1"/>
  <c r="V43" i="1" s="1"/>
  <c r="AJ43" i="1" s="1"/>
  <c r="G43" i="1"/>
  <c r="U43" i="1" s="1"/>
  <c r="AI43" i="1" s="1"/>
  <c r="L51" i="1"/>
  <c r="K51" i="1"/>
  <c r="Y51" i="1" s="1"/>
  <c r="AM51" i="1" s="1"/>
  <c r="J51" i="1"/>
  <c r="X51" i="1" s="1"/>
  <c r="AL51" i="1" s="1"/>
  <c r="I51" i="1"/>
  <c r="W51" i="1" s="1"/>
  <c r="AK51" i="1" s="1"/>
  <c r="H51" i="1"/>
  <c r="V51" i="1" s="1"/>
  <c r="AJ51" i="1" s="1"/>
  <c r="G51" i="1"/>
  <c r="U51" i="1" s="1"/>
  <c r="AI51" i="1" s="1"/>
  <c r="L53" i="1"/>
  <c r="K53" i="1"/>
  <c r="Y53" i="1" s="1"/>
  <c r="AM53" i="1" s="1"/>
  <c r="J53" i="1"/>
  <c r="X53" i="1" s="1"/>
  <c r="AL53" i="1" s="1"/>
  <c r="I53" i="1"/>
  <c r="W53" i="1" s="1"/>
  <c r="AK53" i="1" s="1"/>
  <c r="H53" i="1"/>
  <c r="V53" i="1" s="1"/>
  <c r="AJ53" i="1" s="1"/>
  <c r="G53" i="1"/>
  <c r="U53" i="1" s="1"/>
  <c r="AI53" i="1" s="1"/>
  <c r="L52" i="1"/>
  <c r="Z52" i="1" s="1"/>
  <c r="AN52" i="1" s="1"/>
  <c r="K52" i="1"/>
  <c r="Y52" i="1" s="1"/>
  <c r="AM52" i="1" s="1"/>
  <c r="J52" i="1"/>
  <c r="X52" i="1" s="1"/>
  <c r="AL52" i="1" s="1"/>
  <c r="I52" i="1"/>
  <c r="W52" i="1" s="1"/>
  <c r="AK52" i="1" s="1"/>
  <c r="H52" i="1"/>
  <c r="V52" i="1" s="1"/>
  <c r="AJ52" i="1" s="1"/>
  <c r="G52" i="1"/>
  <c r="U52" i="1" s="1"/>
  <c r="AI52" i="1" s="1"/>
  <c r="L50" i="1"/>
  <c r="K50" i="1"/>
  <c r="J50" i="1"/>
  <c r="I50" i="1"/>
  <c r="H50" i="1"/>
  <c r="G50" i="1"/>
  <c r="U50" i="1" s="1"/>
  <c r="AI50" i="1" s="1"/>
  <c r="L49" i="1"/>
  <c r="Z49" i="1" s="1"/>
  <c r="AN49" i="1" s="1"/>
  <c r="K49" i="1"/>
  <c r="Y49" i="1" s="1"/>
  <c r="AM49" i="1" s="1"/>
  <c r="J49" i="1"/>
  <c r="X49" i="1" s="1"/>
  <c r="AL49" i="1" s="1"/>
  <c r="I49" i="1"/>
  <c r="W49" i="1" s="1"/>
  <c r="AK49" i="1" s="1"/>
  <c r="H49" i="1"/>
  <c r="V49" i="1" s="1"/>
  <c r="AJ49" i="1" s="1"/>
  <c r="G49" i="1"/>
  <c r="U49" i="1" s="1"/>
  <c r="AI49" i="1" s="1"/>
  <c r="L48" i="1"/>
  <c r="Z48" i="1" s="1"/>
  <c r="K48" i="1"/>
  <c r="Y48" i="1" s="1"/>
  <c r="J48" i="1"/>
  <c r="X48" i="1" s="1"/>
  <c r="I48" i="1"/>
  <c r="W48" i="1" s="1"/>
  <c r="H48" i="1"/>
  <c r="V48" i="1" s="1"/>
  <c r="G48" i="1"/>
  <c r="U48" i="1" s="1"/>
  <c r="L46" i="1"/>
  <c r="Z46" i="1" s="1"/>
  <c r="AN46" i="1" s="1"/>
  <c r="K46" i="1"/>
  <c r="Y46" i="1" s="1"/>
  <c r="AM46" i="1" s="1"/>
  <c r="J46" i="1"/>
  <c r="X46" i="1" s="1"/>
  <c r="AL46" i="1" s="1"/>
  <c r="I46" i="1"/>
  <c r="W46" i="1" s="1"/>
  <c r="AK46" i="1" s="1"/>
  <c r="H46" i="1"/>
  <c r="V46" i="1" s="1"/>
  <c r="AJ46" i="1" s="1"/>
  <c r="G46" i="1"/>
  <c r="U46" i="1" s="1"/>
  <c r="AI46" i="1" s="1"/>
  <c r="L45" i="1"/>
  <c r="Z45" i="1" s="1"/>
  <c r="AN45" i="1" s="1"/>
  <c r="K45" i="1"/>
  <c r="Y45" i="1" s="1"/>
  <c r="AM45" i="1" s="1"/>
  <c r="J45" i="1"/>
  <c r="X45" i="1" s="1"/>
  <c r="AL45" i="1" s="1"/>
  <c r="I45" i="1"/>
  <c r="W45" i="1" s="1"/>
  <c r="AK45" i="1" s="1"/>
  <c r="H45" i="1"/>
  <c r="V45" i="1" s="1"/>
  <c r="AJ45" i="1" s="1"/>
  <c r="G45" i="1"/>
  <c r="U45" i="1" s="1"/>
  <c r="AI45" i="1" s="1"/>
  <c r="L44" i="1"/>
  <c r="Z44" i="1" s="1"/>
  <c r="AN44" i="1" s="1"/>
  <c r="K44" i="1"/>
  <c r="Y44" i="1" s="1"/>
  <c r="AM44" i="1" s="1"/>
  <c r="J44" i="1"/>
  <c r="X44" i="1" s="1"/>
  <c r="AL44" i="1" s="1"/>
  <c r="I44" i="1"/>
  <c r="W44" i="1" s="1"/>
  <c r="AK44" i="1" s="1"/>
  <c r="H44" i="1"/>
  <c r="V44" i="1" s="1"/>
  <c r="AJ44" i="1" s="1"/>
  <c r="G44" i="1"/>
  <c r="U44" i="1" s="1"/>
  <c r="AI44" i="1" s="1"/>
  <c r="L42" i="1"/>
  <c r="K42" i="1"/>
  <c r="Y42" i="1" s="1"/>
  <c r="J42" i="1"/>
  <c r="X42" i="1" s="1"/>
  <c r="I42" i="1"/>
  <c r="W42" i="1" s="1"/>
  <c r="H42" i="1"/>
  <c r="V42" i="1" s="1"/>
  <c r="G42" i="1"/>
  <c r="U42" i="1" s="1"/>
  <c r="P75" i="1"/>
  <c r="O75" i="1"/>
  <c r="N75" i="1"/>
  <c r="M75" i="1"/>
  <c r="M69" i="1"/>
  <c r="N69" i="1"/>
  <c r="P69" i="1"/>
  <c r="O69" i="1"/>
  <c r="P47" i="1"/>
  <c r="O47" i="1"/>
  <c r="N47" i="1"/>
  <c r="G10" i="1"/>
  <c r="G13" i="1"/>
  <c r="U13" i="1" s="1"/>
  <c r="AI13" i="1" s="1"/>
  <c r="G17" i="1"/>
  <c r="U17" i="1" s="1"/>
  <c r="AI17" i="1" s="1"/>
  <c r="G21" i="1"/>
  <c r="U21" i="1" s="1"/>
  <c r="AI21" i="1" s="1"/>
  <c r="G25" i="1"/>
  <c r="U25" i="1" s="1"/>
  <c r="AI25" i="1" s="1"/>
  <c r="G26" i="1"/>
  <c r="U26" i="1" s="1"/>
  <c r="AI26" i="1" s="1"/>
  <c r="G27" i="1"/>
  <c r="U27" i="1" s="1"/>
  <c r="AI27" i="1" s="1"/>
  <c r="G28" i="1"/>
  <c r="U28" i="1" s="1"/>
  <c r="AI28" i="1" s="1"/>
  <c r="G32" i="1"/>
  <c r="U32" i="1" s="1"/>
  <c r="AI32" i="1" s="1"/>
  <c r="I32" i="1"/>
  <c r="W32" i="1" s="1"/>
  <c r="AK32" i="1" s="1"/>
  <c r="J32" i="1"/>
  <c r="X32" i="1" s="1"/>
  <c r="AL32" i="1" s="1"/>
  <c r="K32" i="1"/>
  <c r="Y32" i="1" s="1"/>
  <c r="AM32" i="1" s="1"/>
  <c r="L32" i="1"/>
  <c r="Z32" i="1" s="1"/>
  <c r="AN32" i="1" s="1"/>
  <c r="H32" i="1"/>
  <c r="V32" i="1" s="1"/>
  <c r="AJ32" i="1" s="1"/>
  <c r="I26" i="1"/>
  <c r="W26" i="1" s="1"/>
  <c r="AK26" i="1" s="1"/>
  <c r="J26" i="1"/>
  <c r="X26" i="1" s="1"/>
  <c r="AL26" i="1" s="1"/>
  <c r="K26" i="1"/>
  <c r="Y26" i="1" s="1"/>
  <c r="AM26" i="1" s="1"/>
  <c r="L26" i="1"/>
  <c r="Z26" i="1" s="1"/>
  <c r="AN26" i="1" s="1"/>
  <c r="H26" i="1"/>
  <c r="V26" i="1" s="1"/>
  <c r="AJ26" i="1" s="1"/>
  <c r="I25" i="1"/>
  <c r="W25" i="1" s="1"/>
  <c r="AK25" i="1" s="1"/>
  <c r="J25" i="1"/>
  <c r="X25" i="1" s="1"/>
  <c r="AL25" i="1" s="1"/>
  <c r="K25" i="1"/>
  <c r="Y25" i="1" s="1"/>
  <c r="AM25" i="1" s="1"/>
  <c r="L25" i="1"/>
  <c r="Z25" i="1" s="1"/>
  <c r="AN25" i="1" s="1"/>
  <c r="H25" i="1"/>
  <c r="V25" i="1" s="1"/>
  <c r="AJ25" i="1" s="1"/>
  <c r="I28" i="1"/>
  <c r="W28" i="1" s="1"/>
  <c r="AK28" i="1" s="1"/>
  <c r="J28" i="1"/>
  <c r="X28" i="1" s="1"/>
  <c r="AL28" i="1" s="1"/>
  <c r="K28" i="1"/>
  <c r="Y28" i="1" s="1"/>
  <c r="AM28" i="1" s="1"/>
  <c r="L28" i="1"/>
  <c r="Z28" i="1" s="1"/>
  <c r="AN28" i="1" s="1"/>
  <c r="H28" i="1"/>
  <c r="V28" i="1" s="1"/>
  <c r="AJ28" i="1" s="1"/>
  <c r="I27" i="1"/>
  <c r="W27" i="1" s="1"/>
  <c r="AK27" i="1" s="1"/>
  <c r="J27" i="1"/>
  <c r="X27" i="1" s="1"/>
  <c r="AL27" i="1" s="1"/>
  <c r="K27" i="1"/>
  <c r="Y27" i="1" s="1"/>
  <c r="AM27" i="1" s="1"/>
  <c r="L27" i="1"/>
  <c r="Z27" i="1" s="1"/>
  <c r="AN27" i="1" s="1"/>
  <c r="H27" i="1"/>
  <c r="V27" i="1" s="1"/>
  <c r="AJ27" i="1" s="1"/>
  <c r="I21" i="1"/>
  <c r="W21" i="1" s="1"/>
  <c r="AK21" i="1" s="1"/>
  <c r="J21" i="1"/>
  <c r="X21" i="1" s="1"/>
  <c r="AL21" i="1" s="1"/>
  <c r="K21" i="1"/>
  <c r="Y21" i="1" s="1"/>
  <c r="AM21" i="1" s="1"/>
  <c r="L21" i="1"/>
  <c r="Z21" i="1" s="1"/>
  <c r="AN21" i="1" s="1"/>
  <c r="H21" i="1"/>
  <c r="V21" i="1" s="1"/>
  <c r="AJ21" i="1" s="1"/>
  <c r="I17" i="1"/>
  <c r="J17" i="1"/>
  <c r="K17" i="1"/>
  <c r="L17" i="1"/>
  <c r="I13" i="1"/>
  <c r="J13" i="1"/>
  <c r="K13" i="1"/>
  <c r="L13" i="1"/>
  <c r="H17" i="1"/>
  <c r="H13" i="1"/>
  <c r="I10" i="1"/>
  <c r="W10" i="1" s="1"/>
  <c r="AK10" i="1" s="1"/>
  <c r="J10" i="1"/>
  <c r="X10" i="1" s="1"/>
  <c r="AL10" i="1" s="1"/>
  <c r="K10" i="1"/>
  <c r="Y10" i="1" s="1"/>
  <c r="AM10" i="1" s="1"/>
  <c r="L10" i="1"/>
  <c r="H10" i="1"/>
  <c r="K8" i="4" l="1"/>
  <c r="J8" i="4"/>
  <c r="M50" i="4"/>
  <c r="K34" i="4"/>
  <c r="N50" i="4"/>
  <c r="L50" i="4"/>
  <c r="L34" i="4"/>
  <c r="J14" i="4"/>
  <c r="K14" i="4"/>
  <c r="O50" i="4"/>
  <c r="L8" i="4"/>
  <c r="N8" i="4"/>
  <c r="L14" i="4"/>
  <c r="O34" i="4"/>
  <c r="O8" i="4"/>
  <c r="M14" i="4"/>
  <c r="N14" i="4"/>
  <c r="J50" i="4"/>
  <c r="O14" i="4"/>
  <c r="K50" i="4"/>
  <c r="V10" i="1"/>
  <c r="AJ10" i="1" s="1"/>
  <c r="U10" i="1"/>
  <c r="AI10" i="1" s="1"/>
  <c r="Z10" i="1"/>
  <c r="F90" i="6"/>
  <c r="V13" i="1"/>
  <c r="AJ13" i="1" s="1"/>
  <c r="F78" i="6"/>
  <c r="V17" i="1"/>
  <c r="AJ17" i="1" s="1"/>
  <c r="Z13" i="1"/>
  <c r="AN13" i="1" s="1"/>
  <c r="Y13" i="1"/>
  <c r="AM13" i="1" s="1"/>
  <c r="H90" i="6"/>
  <c r="X13" i="1"/>
  <c r="AL13" i="1" s="1"/>
  <c r="G90" i="6"/>
  <c r="W13" i="1"/>
  <c r="AK13" i="1" s="1"/>
  <c r="Z17" i="1"/>
  <c r="AN17" i="1" s="1"/>
  <c r="Y17" i="1"/>
  <c r="AM17" i="1" s="1"/>
  <c r="X17" i="1"/>
  <c r="AL17" i="1" s="1"/>
  <c r="W17" i="1"/>
  <c r="AK17" i="1" s="1"/>
  <c r="AI42" i="1"/>
  <c r="AI47" i="1" s="1"/>
  <c r="U47" i="1"/>
  <c r="AJ42" i="1"/>
  <c r="AJ47" i="1" s="1"/>
  <c r="V47" i="1"/>
  <c r="AK42" i="1"/>
  <c r="AK47" i="1" s="1"/>
  <c r="W47" i="1"/>
  <c r="AL42" i="1"/>
  <c r="AL47" i="1" s="1"/>
  <c r="X47" i="1"/>
  <c r="AM42" i="1"/>
  <c r="AM47" i="1" s="1"/>
  <c r="Y47" i="1"/>
  <c r="F20" i="6"/>
  <c r="F24" i="6" s="1"/>
  <c r="F25" i="6" s="1"/>
  <c r="F6" i="6" s="1"/>
  <c r="Z42" i="1"/>
  <c r="AI48" i="1"/>
  <c r="AI54" i="1" s="1"/>
  <c r="U54" i="1"/>
  <c r="AJ48" i="1"/>
  <c r="AK48" i="1"/>
  <c r="AL48" i="1"/>
  <c r="AM48" i="1"/>
  <c r="AN48" i="1"/>
  <c r="F91" i="6"/>
  <c r="V50" i="1"/>
  <c r="G91" i="6"/>
  <c r="W50" i="1"/>
  <c r="H91" i="6"/>
  <c r="X50" i="1"/>
  <c r="I91" i="6"/>
  <c r="Y50" i="1"/>
  <c r="J91" i="6"/>
  <c r="Z50" i="1"/>
  <c r="L132" i="1"/>
  <c r="M130" i="1" s="1"/>
  <c r="Z53" i="1"/>
  <c r="AN53" i="1" s="1"/>
  <c r="F51" i="6"/>
  <c r="F60" i="6" s="1"/>
  <c r="G58" i="6" s="1"/>
  <c r="Z51" i="1"/>
  <c r="AN51" i="1" s="1"/>
  <c r="AI63" i="1"/>
  <c r="AI69" i="1" s="1"/>
  <c r="U69" i="1"/>
  <c r="F77" i="6"/>
  <c r="V63" i="1"/>
  <c r="G77" i="6"/>
  <c r="W63" i="1"/>
  <c r="H77" i="6"/>
  <c r="X63" i="1"/>
  <c r="I77" i="6"/>
  <c r="Y63" i="1"/>
  <c r="J77" i="6"/>
  <c r="F86" i="6" s="1"/>
  <c r="F11" i="6" s="1"/>
  <c r="Z63" i="1"/>
  <c r="AI70" i="1"/>
  <c r="AI75" i="1" s="1"/>
  <c r="U75" i="1"/>
  <c r="AJ70" i="1"/>
  <c r="AJ75" i="1" s="1"/>
  <c r="V75" i="1"/>
  <c r="AK70" i="1"/>
  <c r="AK75" i="1" s="1"/>
  <c r="W75" i="1"/>
  <c r="AL70" i="1"/>
  <c r="AL75" i="1" s="1"/>
  <c r="X75" i="1"/>
  <c r="AM70" i="1"/>
  <c r="AM75" i="1" s="1"/>
  <c r="Y75" i="1"/>
  <c r="AN70" i="1"/>
  <c r="AN75" i="1" s="1"/>
  <c r="Z75" i="1"/>
  <c r="AI59" i="1"/>
  <c r="AI62" i="1" s="1"/>
  <c r="U62" i="1"/>
  <c r="AJ59" i="1"/>
  <c r="AJ62" i="1" s="1"/>
  <c r="V62" i="1"/>
  <c r="AK59" i="1"/>
  <c r="AK62" i="1" s="1"/>
  <c r="W62" i="1"/>
  <c r="AL59" i="1"/>
  <c r="AL62" i="1" s="1"/>
  <c r="X62" i="1"/>
  <c r="AM59" i="1"/>
  <c r="AM62" i="1" s="1"/>
  <c r="Y62" i="1"/>
  <c r="AN59" i="1"/>
  <c r="F111" i="6"/>
  <c r="G108" i="6" s="1"/>
  <c r="Z60" i="1"/>
  <c r="S94" i="1"/>
  <c r="S102" i="1" s="1"/>
  <c r="R102" i="1"/>
  <c r="F70" i="6"/>
  <c r="F67" i="6"/>
  <c r="H66" i="6" s="1"/>
  <c r="I66" i="6" s="1"/>
  <c r="F57" i="6"/>
  <c r="F54" i="6"/>
  <c r="F95" i="6"/>
  <c r="J90" i="6"/>
  <c r="I90" i="6"/>
  <c r="F83" i="6"/>
  <c r="J78" i="6"/>
  <c r="I78" i="6"/>
  <c r="H78" i="6"/>
  <c r="G78" i="6"/>
  <c r="M8" i="4"/>
  <c r="J34" i="4"/>
  <c r="M34" i="4"/>
  <c r="N34" i="4"/>
  <c r="G71" i="6"/>
  <c r="F9" i="6"/>
  <c r="F35" i="6"/>
  <c r="G33" i="6" s="1"/>
  <c r="G34" i="6" s="1"/>
  <c r="G5" i="6" s="1"/>
  <c r="F5" i="6"/>
  <c r="I52" i="6"/>
  <c r="I53" i="6"/>
  <c r="G42" i="6"/>
  <c r="H42" i="6" s="1"/>
  <c r="I42" i="6" s="1"/>
  <c r="J42" i="6" s="1"/>
  <c r="K42" i="6" s="1"/>
  <c r="L42" i="6" s="1"/>
  <c r="M42" i="6" s="1"/>
  <c r="I85" i="1"/>
  <c r="K38" i="6"/>
  <c r="G85" i="1"/>
  <c r="H112" i="1"/>
  <c r="I112" i="1"/>
  <c r="G91" i="1"/>
  <c r="J85" i="1"/>
  <c r="H91" i="1"/>
  <c r="H92" i="1" s="1"/>
  <c r="H116" i="1" s="1"/>
  <c r="I91" i="1"/>
  <c r="J102" i="1"/>
  <c r="J112" i="1"/>
  <c r="K102" i="1"/>
  <c r="K112" i="1"/>
  <c r="J91" i="1"/>
  <c r="K91" i="1"/>
  <c r="K92" i="1" s="1"/>
  <c r="I62" i="1"/>
  <c r="G102" i="1"/>
  <c r="G112" i="1"/>
  <c r="H102" i="1"/>
  <c r="J62" i="1"/>
  <c r="H62" i="1"/>
  <c r="L62" i="1"/>
  <c r="K62" i="1"/>
  <c r="G62" i="1"/>
  <c r="K75" i="1"/>
  <c r="L75" i="1"/>
  <c r="J75" i="1"/>
  <c r="H75" i="1"/>
  <c r="I75" i="1"/>
  <c r="G75" i="1"/>
  <c r="I69" i="1"/>
  <c r="G69" i="1"/>
  <c r="J69" i="1"/>
  <c r="L69" i="1"/>
  <c r="K69" i="1"/>
  <c r="H69" i="1"/>
  <c r="G54" i="1"/>
  <c r="J54" i="1"/>
  <c r="H54" i="1"/>
  <c r="L54" i="1"/>
  <c r="K54" i="1"/>
  <c r="I54" i="1"/>
  <c r="L47" i="1"/>
  <c r="G47" i="1"/>
  <c r="J47" i="1"/>
  <c r="H47" i="1"/>
  <c r="K47" i="1"/>
  <c r="I47" i="1"/>
  <c r="I14" i="1"/>
  <c r="L14" i="1"/>
  <c r="K14" i="1"/>
  <c r="M76" i="1"/>
  <c r="H11" i="1"/>
  <c r="V11" i="1" s="1"/>
  <c r="N76" i="1"/>
  <c r="O76" i="1"/>
  <c r="P76" i="1"/>
  <c r="H14" i="1"/>
  <c r="G14" i="1"/>
  <c r="J14" i="1"/>
  <c r="L11" i="1"/>
  <c r="Z11" i="1" s="1"/>
  <c r="I11" i="1"/>
  <c r="W11" i="1" s="1"/>
  <c r="J11" i="1"/>
  <c r="X11" i="1" s="1"/>
  <c r="K11" i="1"/>
  <c r="Y11" i="1" s="1"/>
  <c r="K15" i="4" l="1"/>
  <c r="K16" i="4" s="1"/>
  <c r="J15" i="4"/>
  <c r="J16" i="4" s="1"/>
  <c r="H79" i="6"/>
  <c r="H80" i="6" s="1"/>
  <c r="F8" i="6"/>
  <c r="L15" i="4"/>
  <c r="L16" i="4" s="1"/>
  <c r="O15" i="4"/>
  <c r="O16" i="4" s="1"/>
  <c r="G53" i="6"/>
  <c r="F62" i="6" s="1"/>
  <c r="G52" i="6"/>
  <c r="F61" i="6" s="1"/>
  <c r="G79" i="6"/>
  <c r="G80" i="6" s="1"/>
  <c r="H51" i="6"/>
  <c r="I51" i="6" s="1"/>
  <c r="H92" i="6"/>
  <c r="I79" i="6"/>
  <c r="I80" i="6" s="1"/>
  <c r="F26" i="6"/>
  <c r="G24" i="6" s="1"/>
  <c r="G25" i="6" s="1"/>
  <c r="G6" i="6" s="1"/>
  <c r="N81" i="1" s="1"/>
  <c r="M81" i="1"/>
  <c r="AO81" i="1" s="1"/>
  <c r="F79" i="6"/>
  <c r="F80" i="6" s="1"/>
  <c r="F92" i="6"/>
  <c r="M15" i="4"/>
  <c r="M16" i="4" s="1"/>
  <c r="I92" i="6"/>
  <c r="G92" i="6"/>
  <c r="M46" i="6"/>
  <c r="F98" i="6"/>
  <c r="G84" i="6"/>
  <c r="N15" i="4"/>
  <c r="N16" i="4" s="1"/>
  <c r="K122" i="1"/>
  <c r="K116" i="1"/>
  <c r="I92" i="1"/>
  <c r="I116" i="1" s="1"/>
  <c r="J92" i="6"/>
  <c r="U76" i="1"/>
  <c r="L76" i="1"/>
  <c r="AI76" i="1"/>
  <c r="J79" i="6"/>
  <c r="J80" i="6" s="1"/>
  <c r="AA11" i="1"/>
  <c r="AA10" i="1" s="1"/>
  <c r="AB11" i="1"/>
  <c r="AM11" i="1"/>
  <c r="AL11" i="1"/>
  <c r="AK11" i="1"/>
  <c r="AN11" i="1"/>
  <c r="J15" i="1"/>
  <c r="X15" i="1" s="1"/>
  <c r="X14" i="1"/>
  <c r="AL14" i="1" s="1"/>
  <c r="G15" i="1"/>
  <c r="U15" i="1" s="1"/>
  <c r="AI15" i="1" s="1"/>
  <c r="U14" i="1"/>
  <c r="AI14" i="1" s="1"/>
  <c r="H15" i="1"/>
  <c r="V15" i="1" s="1"/>
  <c r="V14" i="1"/>
  <c r="AJ14" i="1" s="1"/>
  <c r="AJ11" i="1"/>
  <c r="K15" i="1"/>
  <c r="Y15" i="1" s="1"/>
  <c r="Y14" i="1"/>
  <c r="AM14" i="1" s="1"/>
  <c r="L15" i="1"/>
  <c r="Z15" i="1" s="1"/>
  <c r="Z14" i="1"/>
  <c r="AN14" i="1" s="1"/>
  <c r="I15" i="1"/>
  <c r="W15" i="1" s="1"/>
  <c r="W14" i="1"/>
  <c r="AK14" i="1" s="1"/>
  <c r="AN60" i="1"/>
  <c r="AN62" i="1" s="1"/>
  <c r="Z62" i="1"/>
  <c r="AN63" i="1"/>
  <c r="AN69" i="1" s="1"/>
  <c r="Z69" i="1"/>
  <c r="AM63" i="1"/>
  <c r="AM69" i="1" s="1"/>
  <c r="AM76" i="1" s="1"/>
  <c r="Y69" i="1"/>
  <c r="Y76" i="1" s="1"/>
  <c r="AL63" i="1"/>
  <c r="AL69" i="1" s="1"/>
  <c r="AL76" i="1" s="1"/>
  <c r="X69" i="1"/>
  <c r="X76" i="1" s="1"/>
  <c r="AK63" i="1"/>
  <c r="AK69" i="1" s="1"/>
  <c r="AK76" i="1" s="1"/>
  <c r="W69" i="1"/>
  <c r="W76" i="1" s="1"/>
  <c r="AJ63" i="1"/>
  <c r="AJ69" i="1" s="1"/>
  <c r="AJ76" i="1" s="1"/>
  <c r="V69" i="1"/>
  <c r="V76" i="1" s="1"/>
  <c r="AN50" i="1"/>
  <c r="AN54" i="1" s="1"/>
  <c r="Z54" i="1"/>
  <c r="AM50" i="1"/>
  <c r="AM54" i="1" s="1"/>
  <c r="AM57" i="1" s="1"/>
  <c r="Y54" i="1"/>
  <c r="Y57" i="1" s="1"/>
  <c r="AL50" i="1"/>
  <c r="AL54" i="1" s="1"/>
  <c r="AL57" i="1" s="1"/>
  <c r="X54" i="1"/>
  <c r="X57" i="1" s="1"/>
  <c r="AK50" i="1"/>
  <c r="AK54" i="1" s="1"/>
  <c r="AK57" i="1" s="1"/>
  <c r="W54" i="1"/>
  <c r="W57" i="1" s="1"/>
  <c r="AJ50" i="1"/>
  <c r="AJ54" i="1" s="1"/>
  <c r="AJ57" i="1" s="1"/>
  <c r="V54" i="1"/>
  <c r="V57" i="1" s="1"/>
  <c r="AN42" i="1"/>
  <c r="AN47" i="1" s="1"/>
  <c r="Z47" i="1"/>
  <c r="U57" i="1"/>
  <c r="AI57" i="1"/>
  <c r="AN10" i="1"/>
  <c r="H103" i="1"/>
  <c r="H114" i="1" s="1"/>
  <c r="H122" i="1"/>
  <c r="G35" i="6"/>
  <c r="H33" i="6" s="1"/>
  <c r="H34" i="6" s="1"/>
  <c r="G92" i="1"/>
  <c r="G116" i="1" s="1"/>
  <c r="J92" i="1"/>
  <c r="J116" i="1" s="1"/>
  <c r="F46" i="6"/>
  <c r="F48" i="6" s="1"/>
  <c r="G45" i="6" s="1"/>
  <c r="G46" i="6"/>
  <c r="H46" i="6"/>
  <c r="I46" i="6"/>
  <c r="J46" i="6"/>
  <c r="K46" i="6"/>
  <c r="L46" i="6"/>
  <c r="K103" i="1"/>
  <c r="K114" i="1" s="1"/>
  <c r="H76" i="1"/>
  <c r="I76" i="1"/>
  <c r="G76" i="1"/>
  <c r="J76" i="1"/>
  <c r="K76" i="1"/>
  <c r="G57" i="1"/>
  <c r="L57" i="1"/>
  <c r="K57" i="1"/>
  <c r="H57" i="1"/>
  <c r="J57" i="1"/>
  <c r="I57" i="1"/>
  <c r="K18" i="1"/>
  <c r="I18" i="1"/>
  <c r="L18" i="1"/>
  <c r="F23" i="8" s="1"/>
  <c r="F24" i="8" s="1"/>
  <c r="G18" i="1"/>
  <c r="J18" i="1"/>
  <c r="X18" i="1" s="1"/>
  <c r="AL18" i="1" s="1"/>
  <c r="M11" i="1"/>
  <c r="H18" i="1"/>
  <c r="V18" i="1" s="1"/>
  <c r="AJ18" i="1" s="1"/>
  <c r="K80" i="6" l="1"/>
  <c r="K79" i="6"/>
  <c r="G26" i="6"/>
  <c r="H24" i="6" s="1"/>
  <c r="H25" i="6" s="1"/>
  <c r="H6" i="6" s="1"/>
  <c r="AA81" i="1"/>
  <c r="K92" i="6"/>
  <c r="AB10" i="1"/>
  <c r="Z57" i="1"/>
  <c r="I122" i="1"/>
  <c r="F10" i="6"/>
  <c r="F12" i="6" s="1"/>
  <c r="G96" i="6"/>
  <c r="M15" i="1"/>
  <c r="N15" i="1" s="1"/>
  <c r="I103" i="1"/>
  <c r="I114" i="1" s="1"/>
  <c r="AN57" i="1"/>
  <c r="F25" i="8"/>
  <c r="N11" i="1"/>
  <c r="O11" i="1" s="1"/>
  <c r="P11" i="1" s="1"/>
  <c r="Q11" i="1" s="1"/>
  <c r="R11" i="1" s="1"/>
  <c r="S11" i="1" s="1"/>
  <c r="M10" i="1"/>
  <c r="N10" i="1" s="1"/>
  <c r="AD11" i="1"/>
  <c r="AE11" i="1"/>
  <c r="AF11" i="1"/>
  <c r="AG11" i="1"/>
  <c r="AC11" i="1"/>
  <c r="AP81" i="1"/>
  <c r="AB81" i="1"/>
  <c r="G19" i="1"/>
  <c r="U19" i="1" s="1"/>
  <c r="AI19" i="1" s="1"/>
  <c r="U18" i="1"/>
  <c r="AI18" i="1" s="1"/>
  <c r="Z18" i="1"/>
  <c r="F23" i="15" s="1"/>
  <c r="I19" i="1"/>
  <c r="W19" i="1" s="1"/>
  <c r="W18" i="1"/>
  <c r="AK18" i="1" s="1"/>
  <c r="Y18" i="1"/>
  <c r="AM18" i="1" s="1"/>
  <c r="AN76" i="1"/>
  <c r="Z76" i="1"/>
  <c r="AK15" i="1"/>
  <c r="AN15" i="1"/>
  <c r="AM15" i="1"/>
  <c r="AJ15" i="1"/>
  <c r="AA15" i="1"/>
  <c r="AL15" i="1"/>
  <c r="L22" i="1"/>
  <c r="L29" i="1" s="1"/>
  <c r="Z29" i="1" s="1"/>
  <c r="AN29" i="1" s="1"/>
  <c r="K19" i="1"/>
  <c r="Y19" i="1" s="1"/>
  <c r="J103" i="1"/>
  <c r="J114" i="1" s="1"/>
  <c r="J122" i="1"/>
  <c r="G103" i="1"/>
  <c r="G114" i="1" s="1"/>
  <c r="G122" i="1"/>
  <c r="H35" i="6"/>
  <c r="I33" i="6" s="1"/>
  <c r="I34" i="6" s="1"/>
  <c r="H5" i="6"/>
  <c r="G47" i="6"/>
  <c r="G48" i="6" s="1"/>
  <c r="H45" i="6" s="1"/>
  <c r="K22" i="1"/>
  <c r="Y22" i="1" s="1"/>
  <c r="AM22" i="1" s="1"/>
  <c r="I22" i="1"/>
  <c r="L19" i="1"/>
  <c r="Z19" i="1" s="1"/>
  <c r="J19" i="1"/>
  <c r="X19" i="1" s="1"/>
  <c r="J22" i="1"/>
  <c r="G22" i="1"/>
  <c r="H22" i="1"/>
  <c r="V22" i="1" s="1"/>
  <c r="AJ22" i="1" s="1"/>
  <c r="H19" i="1"/>
  <c r="V19" i="1" s="1"/>
  <c r="O81" i="1" l="1"/>
  <c r="AC81" i="1" s="1"/>
  <c r="H26" i="6"/>
  <c r="I24" i="6" s="1"/>
  <c r="I25" i="6" s="1"/>
  <c r="I6" i="6" s="1"/>
  <c r="F25" i="15"/>
  <c r="F24" i="15" s="1"/>
  <c r="AJ19" i="1"/>
  <c r="AA19" i="1"/>
  <c r="AB19" i="1" s="1"/>
  <c r="G29" i="1"/>
  <c r="U29" i="1" s="1"/>
  <c r="AI29" i="1" s="1"/>
  <c r="U22" i="1"/>
  <c r="AI22" i="1" s="1"/>
  <c r="J23" i="1"/>
  <c r="X23" i="1" s="1"/>
  <c r="X22" i="1"/>
  <c r="AL22" i="1" s="1"/>
  <c r="AL19" i="1"/>
  <c r="AN19" i="1"/>
  <c r="I29" i="1"/>
  <c r="W29" i="1" s="1"/>
  <c r="AK29" i="1" s="1"/>
  <c r="W22" i="1"/>
  <c r="AK22" i="1" s="1"/>
  <c r="AM19" i="1"/>
  <c r="L23" i="1"/>
  <c r="Z23" i="1" s="1"/>
  <c r="Z22" i="1"/>
  <c r="AN22" i="1" s="1"/>
  <c r="AA13" i="1"/>
  <c r="AA14" i="1" s="1"/>
  <c r="AB15" i="1"/>
  <c r="AO15" i="1"/>
  <c r="AP15" i="1" s="1"/>
  <c r="AK19" i="1"/>
  <c r="AN18" i="1"/>
  <c r="F23" i="16" s="1"/>
  <c r="M13" i="1"/>
  <c r="M14" i="1" s="1"/>
  <c r="G70" i="6"/>
  <c r="G73" i="6" s="1"/>
  <c r="G57" i="6"/>
  <c r="G60" i="6" s="1"/>
  <c r="I35" i="6"/>
  <c r="J33" i="6" s="1"/>
  <c r="J34" i="6" s="1"/>
  <c r="I5" i="6"/>
  <c r="H47" i="6"/>
  <c r="H48" i="6" s="1"/>
  <c r="I45" i="6" s="1"/>
  <c r="K23" i="1"/>
  <c r="Y23" i="1" s="1"/>
  <c r="K29" i="1"/>
  <c r="Y29" i="1" s="1"/>
  <c r="AM29" i="1" s="1"/>
  <c r="J29" i="1"/>
  <c r="I23" i="1"/>
  <c r="W23" i="1" s="1"/>
  <c r="M19" i="1"/>
  <c r="N19" i="1" s="1"/>
  <c r="G23" i="1"/>
  <c r="U23" i="1" s="1"/>
  <c r="AI23" i="1" s="1"/>
  <c r="O15" i="1"/>
  <c r="L33" i="1"/>
  <c r="Z33" i="1" s="1"/>
  <c r="AN33" i="1" s="1"/>
  <c r="L30" i="1"/>
  <c r="Z30" i="1" s="1"/>
  <c r="H29" i="1"/>
  <c r="V29" i="1" s="1"/>
  <c r="AJ29" i="1" s="1"/>
  <c r="H23" i="1"/>
  <c r="V23" i="1" s="1"/>
  <c r="AQ81" i="1" l="1"/>
  <c r="I26" i="6"/>
  <c r="J24" i="6" s="1"/>
  <c r="J25" i="6" s="1"/>
  <c r="J6" i="6" s="1"/>
  <c r="P81" i="1"/>
  <c r="AR81" i="1" s="1"/>
  <c r="G33" i="1"/>
  <c r="U33" i="1" s="1"/>
  <c r="AI33" i="1" s="1"/>
  <c r="G30" i="1"/>
  <c r="U30" i="1" s="1"/>
  <c r="AI30" i="1" s="1"/>
  <c r="I33" i="1"/>
  <c r="W33" i="1" s="1"/>
  <c r="AK33" i="1" s="1"/>
  <c r="I30" i="1"/>
  <c r="W30" i="1" s="1"/>
  <c r="AK30" i="1" s="1"/>
  <c r="AA17" i="1"/>
  <c r="AA18" i="1" s="1"/>
  <c r="G23" i="15" s="1"/>
  <c r="F25" i="16"/>
  <c r="F24" i="16" s="1"/>
  <c r="AJ23" i="1"/>
  <c r="AA23" i="1"/>
  <c r="AB23" i="1" s="1"/>
  <c r="AC23" i="1" s="1"/>
  <c r="AN30" i="1"/>
  <c r="AK23" i="1"/>
  <c r="J30" i="1"/>
  <c r="X30" i="1" s="1"/>
  <c r="X29" i="1"/>
  <c r="AL29" i="1" s="1"/>
  <c r="AM23" i="1"/>
  <c r="G95" i="6"/>
  <c r="G98" i="6" s="1"/>
  <c r="G10" i="6" s="1"/>
  <c r="AC19" i="1"/>
  <c r="AD19" i="1" s="1"/>
  <c r="AE19" i="1" s="1"/>
  <c r="AC10" i="1"/>
  <c r="AD10" i="1" s="1"/>
  <c r="AQ15" i="1"/>
  <c r="AB13" i="1"/>
  <c r="AC15" i="1"/>
  <c r="AN23" i="1"/>
  <c r="AL23" i="1"/>
  <c r="AO19" i="1"/>
  <c r="I47" i="6"/>
  <c r="I48" i="6" s="1"/>
  <c r="J45" i="6" s="1"/>
  <c r="N13" i="1"/>
  <c r="N14" i="1" s="1"/>
  <c r="N17" i="1" s="1"/>
  <c r="H70" i="6"/>
  <c r="H73" i="6" s="1"/>
  <c r="H57" i="6"/>
  <c r="H60" i="6" s="1"/>
  <c r="J35" i="6"/>
  <c r="K33" i="6" s="1"/>
  <c r="K34" i="6" s="1"/>
  <c r="J5" i="6"/>
  <c r="G8" i="6"/>
  <c r="G62" i="6"/>
  <c r="G61" i="6"/>
  <c r="H58" i="6"/>
  <c r="G59" i="6"/>
  <c r="G9" i="6"/>
  <c r="H71" i="6"/>
  <c r="G72" i="6"/>
  <c r="K30" i="1"/>
  <c r="Y30" i="1" s="1"/>
  <c r="K33" i="1"/>
  <c r="Y33" i="1" s="1"/>
  <c r="AM33" i="1" s="1"/>
  <c r="J33" i="1"/>
  <c r="X33" i="1" s="1"/>
  <c r="AL33" i="1" s="1"/>
  <c r="M23" i="1"/>
  <c r="N23" i="1" s="1"/>
  <c r="M17" i="1"/>
  <c r="M18" i="1" s="1"/>
  <c r="G23" i="8" s="1"/>
  <c r="O19" i="1"/>
  <c r="P15" i="1"/>
  <c r="O10" i="1"/>
  <c r="H30" i="1"/>
  <c r="V30" i="1" s="1"/>
  <c r="H33" i="1"/>
  <c r="V33" i="1" s="1"/>
  <c r="AJ33" i="1" s="1"/>
  <c r="J26" i="6" l="1"/>
  <c r="K24" i="6" s="1"/>
  <c r="K25" i="6" s="1"/>
  <c r="K6" i="6" s="1"/>
  <c r="Q81" i="1"/>
  <c r="AS81" i="1" s="1"/>
  <c r="AD81" i="1"/>
  <c r="G97" i="6"/>
  <c r="M82" i="1" s="1"/>
  <c r="AO82" i="1" s="1"/>
  <c r="H96" i="6"/>
  <c r="G34" i="1"/>
  <c r="U34" i="1" s="1"/>
  <c r="AI34" i="1" s="1"/>
  <c r="H72" i="6"/>
  <c r="J47" i="6"/>
  <c r="J48" i="6" s="1"/>
  <c r="K45" i="6" s="1"/>
  <c r="G29" i="15"/>
  <c r="AF19" i="1"/>
  <c r="AG19" i="1" s="1"/>
  <c r="G25" i="8"/>
  <c r="G24" i="8"/>
  <c r="AB14" i="1"/>
  <c r="AB17" i="1" s="1"/>
  <c r="AJ30" i="1"/>
  <c r="AA30" i="1"/>
  <c r="AB30" i="1" s="1"/>
  <c r="H83" i="6"/>
  <c r="H86" i="6" s="1"/>
  <c r="H11" i="6" s="1"/>
  <c r="AM30" i="1"/>
  <c r="H95" i="6"/>
  <c r="H98" i="6" s="1"/>
  <c r="AP19" i="1"/>
  <c r="AQ19" i="1" s="1"/>
  <c r="AD23" i="1"/>
  <c r="AE23" i="1" s="1"/>
  <c r="AF23" i="1" s="1"/>
  <c r="AC13" i="1"/>
  <c r="AC14" i="1" s="1"/>
  <c r="AC17" i="1" s="1"/>
  <c r="AC18" i="1" s="1"/>
  <c r="I23" i="15" s="1"/>
  <c r="AD15" i="1"/>
  <c r="AR15" i="1"/>
  <c r="AS15" i="1" s="1"/>
  <c r="AT15" i="1" s="1"/>
  <c r="AE10" i="1"/>
  <c r="AL30" i="1"/>
  <c r="AA21" i="1"/>
  <c r="AA22" i="1" s="1"/>
  <c r="AO23" i="1"/>
  <c r="H59" i="6"/>
  <c r="O13" i="1"/>
  <c r="O14" i="1" s="1"/>
  <c r="O17" i="1" s="1"/>
  <c r="I70" i="6"/>
  <c r="I73" i="6" s="1"/>
  <c r="I57" i="6"/>
  <c r="I60" i="6" s="1"/>
  <c r="G83" i="6"/>
  <c r="G86" i="6" s="1"/>
  <c r="M83" i="1"/>
  <c r="K35" i="6"/>
  <c r="L33" i="6" s="1"/>
  <c r="L34" i="6" s="1"/>
  <c r="K5" i="6"/>
  <c r="H8" i="6"/>
  <c r="H62" i="6"/>
  <c r="H61" i="6"/>
  <c r="I58" i="6"/>
  <c r="I71" i="6"/>
  <c r="H9" i="6"/>
  <c r="M30" i="1"/>
  <c r="N30" i="1" s="1"/>
  <c r="K34" i="1"/>
  <c r="Y34" i="1" s="1"/>
  <c r="J34" i="1"/>
  <c r="X34" i="1" s="1"/>
  <c r="M21" i="1"/>
  <c r="P19" i="1"/>
  <c r="O23" i="1"/>
  <c r="Q15" i="1"/>
  <c r="R15" i="1" s="1"/>
  <c r="N18" i="1"/>
  <c r="H23" i="8" s="1"/>
  <c r="P10" i="1"/>
  <c r="H34" i="1"/>
  <c r="V34" i="1" s="1"/>
  <c r="I34" i="1"/>
  <c r="W34" i="1" s="1"/>
  <c r="L34" i="1"/>
  <c r="Z34" i="1" s="1"/>
  <c r="R81" i="1" l="1"/>
  <c r="AE81" i="1"/>
  <c r="K26" i="6"/>
  <c r="L24" i="6" s="1"/>
  <c r="L25" i="6" s="1"/>
  <c r="L6" i="6" s="1"/>
  <c r="H97" i="6"/>
  <c r="N82" i="1" s="1"/>
  <c r="AB82" i="1" s="1"/>
  <c r="I96" i="6"/>
  <c r="AA82" i="1"/>
  <c r="N83" i="1"/>
  <c r="AB83" i="1" s="1"/>
  <c r="H10" i="6"/>
  <c r="H12" i="6" s="1"/>
  <c r="K47" i="6"/>
  <c r="K48" i="6" s="1"/>
  <c r="L45" i="6" s="1"/>
  <c r="I29" i="15"/>
  <c r="I25" i="15"/>
  <c r="I24" i="15" s="1"/>
  <c r="I84" i="6"/>
  <c r="H25" i="8"/>
  <c r="H24" i="8"/>
  <c r="AB18" i="1"/>
  <c r="AT81" i="1"/>
  <c r="AF81" i="1"/>
  <c r="AO83" i="1"/>
  <c r="AA83" i="1"/>
  <c r="AN34" i="1"/>
  <c r="AK34" i="1"/>
  <c r="AJ34" i="1"/>
  <c r="AA34" i="1"/>
  <c r="I83" i="6"/>
  <c r="I86" i="6" s="1"/>
  <c r="J84" i="6" s="1"/>
  <c r="AL34" i="1"/>
  <c r="AM34" i="1"/>
  <c r="I95" i="6"/>
  <c r="I98" i="6" s="1"/>
  <c r="AP23" i="1"/>
  <c r="AG23" i="1"/>
  <c r="AC30" i="1"/>
  <c r="AF10" i="1"/>
  <c r="AU15" i="1"/>
  <c r="AD13" i="1"/>
  <c r="AD14" i="1" s="1"/>
  <c r="AD17" i="1" s="1"/>
  <c r="AD18" i="1" s="1"/>
  <c r="J23" i="15" s="1"/>
  <c r="AE15" i="1"/>
  <c r="AC21" i="1"/>
  <c r="AC22" i="1" s="1"/>
  <c r="AR19" i="1"/>
  <c r="AS19" i="1" s="1"/>
  <c r="AA25" i="1"/>
  <c r="AA29" i="1" s="1"/>
  <c r="AO30" i="1"/>
  <c r="S15" i="1"/>
  <c r="I59" i="6"/>
  <c r="P13" i="1"/>
  <c r="P14" i="1" s="1"/>
  <c r="P17" i="1" s="1"/>
  <c r="J70" i="6"/>
  <c r="J73" i="6" s="1"/>
  <c r="J57" i="6"/>
  <c r="J60" i="6" s="1"/>
  <c r="N21" i="1"/>
  <c r="H29" i="8"/>
  <c r="L35" i="6"/>
  <c r="M33" i="6" s="1"/>
  <c r="L5" i="6"/>
  <c r="G11" i="6"/>
  <c r="G12" i="6" s="1"/>
  <c r="G13" i="6" s="1"/>
  <c r="G85" i="6"/>
  <c r="M84" i="1" s="1"/>
  <c r="H84" i="6"/>
  <c r="H85" i="6" s="1"/>
  <c r="N84" i="1" s="1"/>
  <c r="G29" i="8"/>
  <c r="I8" i="6"/>
  <c r="J58" i="6"/>
  <c r="I62" i="6"/>
  <c r="I61" i="6"/>
  <c r="J71" i="6"/>
  <c r="I9" i="6"/>
  <c r="I72" i="6"/>
  <c r="M34" i="1"/>
  <c r="P23" i="1"/>
  <c r="O18" i="1"/>
  <c r="I23" i="8" s="1"/>
  <c r="Q19" i="1"/>
  <c r="R19" i="1" s="1"/>
  <c r="O30" i="1"/>
  <c r="Q10" i="1"/>
  <c r="AP82" i="1" l="1"/>
  <c r="S81" i="1"/>
  <c r="AG81" i="1" s="1"/>
  <c r="L26" i="6"/>
  <c r="M24" i="6" s="1"/>
  <c r="M25" i="6" s="1"/>
  <c r="M6" i="6" s="1"/>
  <c r="I97" i="6"/>
  <c r="O82" i="1" s="1"/>
  <c r="AC82" i="1" s="1"/>
  <c r="AP83" i="1"/>
  <c r="I11" i="6"/>
  <c r="L47" i="6"/>
  <c r="L48" i="6" s="1"/>
  <c r="M45" i="6" s="1"/>
  <c r="M47" i="6" s="1"/>
  <c r="M48" i="6" s="1"/>
  <c r="AT19" i="1"/>
  <c r="AU19" i="1" s="1"/>
  <c r="I85" i="6"/>
  <c r="O84" i="1" s="1"/>
  <c r="AQ84" i="1" s="1"/>
  <c r="I10" i="6"/>
  <c r="J96" i="6"/>
  <c r="O83" i="1"/>
  <c r="AQ83" i="1" s="1"/>
  <c r="AD21" i="1"/>
  <c r="AD22" i="1" s="1"/>
  <c r="J29" i="15"/>
  <c r="J25" i="15"/>
  <c r="J24" i="15" s="1"/>
  <c r="I25" i="8"/>
  <c r="I24" i="8"/>
  <c r="AB21" i="1"/>
  <c r="AB22" i="1" s="1"/>
  <c r="AB25" i="1" s="1"/>
  <c r="AB29" i="1" s="1"/>
  <c r="H23" i="15"/>
  <c r="N85" i="1"/>
  <c r="AP84" i="1"/>
  <c r="AB84" i="1"/>
  <c r="AB85" i="1" s="1"/>
  <c r="M85" i="1"/>
  <c r="AO84" i="1"/>
  <c r="AO85" i="1" s="1"/>
  <c r="AA84" i="1"/>
  <c r="AA85" i="1" s="1"/>
  <c r="AU81" i="1"/>
  <c r="J83" i="6"/>
  <c r="J86" i="6" s="1"/>
  <c r="J85" i="6" s="1"/>
  <c r="P84" i="1" s="1"/>
  <c r="R10" i="1"/>
  <c r="L70" i="6" s="1"/>
  <c r="L73" i="6" s="1"/>
  <c r="J95" i="6"/>
  <c r="J98" i="6" s="1"/>
  <c r="AP30" i="1"/>
  <c r="AQ30" i="1" s="1"/>
  <c r="AE13" i="1"/>
  <c r="AE14" i="1" s="1"/>
  <c r="AE17" i="1" s="1"/>
  <c r="AE18" i="1" s="1"/>
  <c r="K23" i="15" s="1"/>
  <c r="AF15" i="1"/>
  <c r="AG10" i="1"/>
  <c r="AC25" i="1"/>
  <c r="AC29" i="1" s="1"/>
  <c r="AD30" i="1"/>
  <c r="AQ23" i="1"/>
  <c r="AR23" i="1" s="1"/>
  <c r="AS23" i="1" s="1"/>
  <c r="AA32" i="1"/>
  <c r="AB34" i="1"/>
  <c r="AO34" i="1"/>
  <c r="AP34" i="1" s="1"/>
  <c r="S19" i="1"/>
  <c r="M34" i="6"/>
  <c r="M5" i="6" s="1"/>
  <c r="Q13" i="1"/>
  <c r="Q14" i="1" s="1"/>
  <c r="K70" i="6"/>
  <c r="K73" i="6" s="1"/>
  <c r="L71" i="6" s="1"/>
  <c r="K57" i="6"/>
  <c r="K60" i="6" s="1"/>
  <c r="L58" i="6" s="1"/>
  <c r="O21" i="1"/>
  <c r="I29" i="8"/>
  <c r="H13" i="6"/>
  <c r="J8" i="6"/>
  <c r="J62" i="6"/>
  <c r="J61" i="6"/>
  <c r="J59" i="6"/>
  <c r="K58" i="6"/>
  <c r="K71" i="6"/>
  <c r="J9" i="6"/>
  <c r="J72" i="6"/>
  <c r="P18" i="1"/>
  <c r="J23" i="8" s="1"/>
  <c r="P30" i="1"/>
  <c r="Q23" i="1"/>
  <c r="R23" i="1" s="1"/>
  <c r="N34" i="1"/>
  <c r="AQ82" i="1" l="1"/>
  <c r="AQ85" i="1" s="1"/>
  <c r="AP85" i="1"/>
  <c r="I12" i="6"/>
  <c r="I13" i="6" s="1"/>
  <c r="R13" i="1"/>
  <c r="R14" i="1" s="1"/>
  <c r="R17" i="1" s="1"/>
  <c r="AC84" i="1"/>
  <c r="J97" i="6"/>
  <c r="P82" i="1" s="1"/>
  <c r="AR82" i="1" s="1"/>
  <c r="O85" i="1"/>
  <c r="K96" i="6"/>
  <c r="J10" i="6"/>
  <c r="K84" i="6"/>
  <c r="J11" i="6"/>
  <c r="AR30" i="1"/>
  <c r="AS30" i="1" s="1"/>
  <c r="AC83" i="1"/>
  <c r="K59" i="6"/>
  <c r="M26" i="6"/>
  <c r="K29" i="15"/>
  <c r="K25" i="15"/>
  <c r="K24" i="15" s="1"/>
  <c r="H29" i="15"/>
  <c r="H25" i="15"/>
  <c r="H24" i="15" s="1"/>
  <c r="L57" i="6"/>
  <c r="L60" i="6" s="1"/>
  <c r="L8" i="6" s="1"/>
  <c r="S10" i="1"/>
  <c r="S13" i="1" s="1"/>
  <c r="M95" i="6" s="1"/>
  <c r="M98" i="6" s="1"/>
  <c r="M10" i="6" s="1"/>
  <c r="J25" i="8"/>
  <c r="J24" i="8"/>
  <c r="AR84" i="1"/>
  <c r="AD84" i="1"/>
  <c r="K95" i="6"/>
  <c r="K98" i="6" s="1"/>
  <c r="L96" i="6" s="1"/>
  <c r="AQ34" i="1"/>
  <c r="AB32" i="1"/>
  <c r="AC34" i="1"/>
  <c r="AD34" i="1" s="1"/>
  <c r="AE34" i="1" s="1"/>
  <c r="AA89" i="1"/>
  <c r="AA91" i="1" s="1"/>
  <c r="AA33" i="1"/>
  <c r="AA80" i="1" s="1"/>
  <c r="AT23" i="1"/>
  <c r="AU23" i="1" s="1"/>
  <c r="AD25" i="1"/>
  <c r="AD29" i="1" s="1"/>
  <c r="AE30" i="1"/>
  <c r="AF13" i="1"/>
  <c r="AF14" i="1" s="1"/>
  <c r="AF17" i="1" s="1"/>
  <c r="AF18" i="1" s="1"/>
  <c r="L23" i="15" s="1"/>
  <c r="AG15" i="1"/>
  <c r="AG13" i="1" s="1"/>
  <c r="AG14" i="1" s="1"/>
  <c r="AG17" i="1" s="1"/>
  <c r="AG18" i="1" s="1"/>
  <c r="M23" i="15" s="1"/>
  <c r="AE21" i="1"/>
  <c r="AE22" i="1" s="1"/>
  <c r="S23" i="1"/>
  <c r="M71" i="6"/>
  <c r="L72" i="6"/>
  <c r="L9" i="6"/>
  <c r="M35" i="6"/>
  <c r="P21" i="1"/>
  <c r="J29" i="8"/>
  <c r="P83" i="1"/>
  <c r="K8" i="6"/>
  <c r="K62" i="6"/>
  <c r="K61" i="6"/>
  <c r="K9" i="6"/>
  <c r="K72" i="6"/>
  <c r="O34" i="1"/>
  <c r="Q30" i="1"/>
  <c r="R30" i="1" s="1"/>
  <c r="Q17" i="1"/>
  <c r="AC85" i="1" l="1"/>
  <c r="J12" i="6"/>
  <c r="J13" i="6" s="1"/>
  <c r="Q83" i="1"/>
  <c r="AS83" i="1" s="1"/>
  <c r="L95" i="6"/>
  <c r="L98" i="6" s="1"/>
  <c r="M96" i="6" s="1"/>
  <c r="M97" i="6" s="1"/>
  <c r="S82" i="1" s="1"/>
  <c r="AD82" i="1"/>
  <c r="L59" i="6"/>
  <c r="R83" i="1" s="1"/>
  <c r="AT83" i="1" s="1"/>
  <c r="L61" i="6"/>
  <c r="K97" i="6"/>
  <c r="Q82" i="1" s="1"/>
  <c r="AS82" i="1" s="1"/>
  <c r="M58" i="6"/>
  <c r="K10" i="6"/>
  <c r="L62" i="6"/>
  <c r="S14" i="1"/>
  <c r="S17" i="1" s="1"/>
  <c r="S18" i="1" s="1"/>
  <c r="S21" i="1" s="1"/>
  <c r="S22" i="1" s="1"/>
  <c r="M57" i="6"/>
  <c r="M60" i="6" s="1"/>
  <c r="M8" i="6" s="1"/>
  <c r="M29" i="15"/>
  <c r="M25" i="15"/>
  <c r="L29" i="15"/>
  <c r="L25" i="15"/>
  <c r="L24" i="15" s="1"/>
  <c r="M70" i="6"/>
  <c r="M73" i="6" s="1"/>
  <c r="M9" i="6" s="1"/>
  <c r="P85" i="1"/>
  <c r="AR83" i="1"/>
  <c r="AR85" i="1" s="1"/>
  <c r="AD83" i="1"/>
  <c r="AT30" i="1"/>
  <c r="AU30" i="1" s="1"/>
  <c r="AG21" i="1"/>
  <c r="AG22" i="1" s="1"/>
  <c r="AF21" i="1"/>
  <c r="AF22" i="1" s="1"/>
  <c r="AE25" i="1"/>
  <c r="AE29" i="1" s="1"/>
  <c r="AE32" i="1" s="1"/>
  <c r="AE89" i="1" s="1"/>
  <c r="AE91" i="1" s="1"/>
  <c r="AF30" i="1"/>
  <c r="AA92" i="1"/>
  <c r="AA103" i="1" s="1"/>
  <c r="AF34" i="1"/>
  <c r="AG34" i="1" s="1"/>
  <c r="AD32" i="1"/>
  <c r="AC32" i="1"/>
  <c r="AB89" i="1"/>
  <c r="AB91" i="1" s="1"/>
  <c r="AB33" i="1"/>
  <c r="AB80" i="1" s="1"/>
  <c r="AR34" i="1"/>
  <c r="S30" i="1"/>
  <c r="R18" i="1"/>
  <c r="L23" i="8" s="1"/>
  <c r="L83" i="6"/>
  <c r="L86" i="6" s="1"/>
  <c r="Q18" i="1"/>
  <c r="K83" i="6"/>
  <c r="K86" i="6" s="1"/>
  <c r="L84" i="6" s="1"/>
  <c r="P34" i="1"/>
  <c r="L10" i="6" l="1"/>
  <c r="L97" i="6"/>
  <c r="R82" i="1" s="1"/>
  <c r="AF82" i="1" s="1"/>
  <c r="M72" i="6"/>
  <c r="AE83" i="1"/>
  <c r="AD85" i="1"/>
  <c r="AE82" i="1"/>
  <c r="AF83" i="1"/>
  <c r="M83" i="6"/>
  <c r="M86" i="6" s="1"/>
  <c r="M11" i="6" s="1"/>
  <c r="M12" i="6" s="1"/>
  <c r="M59" i="6"/>
  <c r="M62" i="6"/>
  <c r="M61" i="6"/>
  <c r="L25" i="8"/>
  <c r="L24" i="8"/>
  <c r="K23" i="8"/>
  <c r="K29" i="8" s="1"/>
  <c r="M23" i="8"/>
  <c r="AU82" i="1"/>
  <c r="AG82" i="1"/>
  <c r="AS34" i="1"/>
  <c r="AT34" i="1" s="1"/>
  <c r="AU34" i="1" s="1"/>
  <c r="AB92" i="1"/>
  <c r="AB103" i="1" s="1"/>
  <c r="AC89" i="1"/>
  <c r="AC91" i="1" s="1"/>
  <c r="AC33" i="1"/>
  <c r="AC80" i="1" s="1"/>
  <c r="AD89" i="1"/>
  <c r="AD91" i="1" s="1"/>
  <c r="AD33" i="1"/>
  <c r="AD80" i="1" s="1"/>
  <c r="AF25" i="1"/>
  <c r="AF29" i="1" s="1"/>
  <c r="AG30" i="1"/>
  <c r="AG25" i="1" s="1"/>
  <c r="AG29" i="1" s="1"/>
  <c r="AE33" i="1"/>
  <c r="AE80" i="1" s="1"/>
  <c r="M84" i="6"/>
  <c r="L85" i="6"/>
  <c r="R84" i="1" s="1"/>
  <c r="L11" i="6"/>
  <c r="L29" i="8"/>
  <c r="R21" i="1"/>
  <c r="R22" i="1" s="1"/>
  <c r="R25" i="1" s="1"/>
  <c r="R29" i="1" s="1"/>
  <c r="S25" i="1"/>
  <c r="S29" i="1" s="1"/>
  <c r="K11" i="6"/>
  <c r="K12" i="6" s="1"/>
  <c r="K85" i="6"/>
  <c r="Q84" i="1" s="1"/>
  <c r="Q21" i="1"/>
  <c r="Q34" i="1"/>
  <c r="R34" i="1" s="1"/>
  <c r="L12" i="6" l="1"/>
  <c r="M13" i="6" s="1"/>
  <c r="AT82" i="1"/>
  <c r="R85" i="1"/>
  <c r="S83" i="1"/>
  <c r="AU83" i="1" s="1"/>
  <c r="M85" i="6"/>
  <c r="S84" i="1" s="1"/>
  <c r="M29" i="8"/>
  <c r="M25" i="8"/>
  <c r="M24" i="8"/>
  <c r="K25" i="8"/>
  <c r="K24" i="8"/>
  <c r="Q85" i="1"/>
  <c r="AS84" i="1"/>
  <c r="AS85" i="1" s="1"/>
  <c r="AE84" i="1"/>
  <c r="AE85" i="1" s="1"/>
  <c r="AE92" i="1" s="1"/>
  <c r="AE103" i="1" s="1"/>
  <c r="AT84" i="1"/>
  <c r="AF84" i="1"/>
  <c r="AF85" i="1" s="1"/>
  <c r="AG32" i="1"/>
  <c r="AF32" i="1"/>
  <c r="AD92" i="1"/>
  <c r="AD103" i="1" s="1"/>
  <c r="AC92" i="1"/>
  <c r="AC103" i="1" s="1"/>
  <c r="R32" i="1"/>
  <c r="S34" i="1"/>
  <c r="S32" i="1" s="1"/>
  <c r="K13" i="6"/>
  <c r="M22" i="1"/>
  <c r="M25" i="1" s="1"/>
  <c r="L13" i="6" l="1"/>
  <c r="AT85" i="1"/>
  <c r="AG83" i="1"/>
  <c r="S85" i="1"/>
  <c r="AG84" i="1"/>
  <c r="AU84" i="1"/>
  <c r="AU85" i="1" s="1"/>
  <c r="AF89" i="1"/>
  <c r="AF91" i="1" s="1"/>
  <c r="AF33" i="1"/>
  <c r="AF80" i="1" s="1"/>
  <c r="AG89" i="1"/>
  <c r="AG91" i="1" s="1"/>
  <c r="AG33" i="1"/>
  <c r="AG80" i="1" s="1"/>
  <c r="S33" i="1"/>
  <c r="S89" i="1"/>
  <c r="S91" i="1" s="1"/>
  <c r="R33" i="1"/>
  <c r="R89" i="1"/>
  <c r="R91" i="1" s="1"/>
  <c r="M29" i="1"/>
  <c r="O22" i="1"/>
  <c r="Q22" i="1"/>
  <c r="N22" i="1"/>
  <c r="P22" i="1"/>
  <c r="AG85" i="1" l="1"/>
  <c r="AG92" i="1" s="1"/>
  <c r="AG103" i="1" s="1"/>
  <c r="AF92" i="1"/>
  <c r="AF103" i="1" s="1"/>
  <c r="L109" i="6"/>
  <c r="R80" i="1"/>
  <c r="R92" i="1" s="1"/>
  <c r="R103" i="1" s="1"/>
  <c r="M109" i="6"/>
  <c r="S80" i="1"/>
  <c r="S92" i="1" s="1"/>
  <c r="S103" i="1" s="1"/>
  <c r="O25" i="1"/>
  <c r="O29" i="1" s="1"/>
  <c r="P25" i="1"/>
  <c r="P29" i="1" s="1"/>
  <c r="P32" i="1" s="1"/>
  <c r="P89" i="1" s="1"/>
  <c r="P91" i="1" s="1"/>
  <c r="N25" i="1"/>
  <c r="N29" i="1" s="1"/>
  <c r="Q25" i="1"/>
  <c r="Q29" i="1" s="1"/>
  <c r="M32" i="1"/>
  <c r="M33" i="1" l="1"/>
  <c r="M89" i="1"/>
  <c r="M91" i="1" s="1"/>
  <c r="Q32" i="1"/>
  <c r="N32" i="1"/>
  <c r="O32" i="1"/>
  <c r="P33" i="1"/>
  <c r="M80" i="1" l="1"/>
  <c r="M92" i="1" s="1"/>
  <c r="P80" i="1"/>
  <c r="P92" i="1" s="1"/>
  <c r="J109" i="6"/>
  <c r="O33" i="1"/>
  <c r="O89" i="1"/>
  <c r="O91" i="1" s="1"/>
  <c r="N33" i="1"/>
  <c r="N89" i="1"/>
  <c r="N91" i="1" s="1"/>
  <c r="Q33" i="1"/>
  <c r="Q89" i="1"/>
  <c r="Q91" i="1" s="1"/>
  <c r="G109" i="6"/>
  <c r="G111" i="6" s="1"/>
  <c r="H108" i="6" s="1"/>
  <c r="H109" i="6" l="1"/>
  <c r="H111" i="6" s="1"/>
  <c r="I108" i="6" s="1"/>
  <c r="M122" i="1"/>
  <c r="M103" i="1"/>
  <c r="Q80" i="1"/>
  <c r="Q92" i="1" s="1"/>
  <c r="K109" i="6"/>
  <c r="N80" i="1"/>
  <c r="N92" i="1" s="1"/>
  <c r="O80" i="1"/>
  <c r="O92" i="1" s="1"/>
  <c r="I109" i="6"/>
  <c r="P122" i="1"/>
  <c r="P103" i="1"/>
  <c r="O122" i="1" l="1"/>
  <c r="O103" i="1"/>
  <c r="I111" i="6"/>
  <c r="J108" i="6" s="1"/>
  <c r="J111" i="6" s="1"/>
  <c r="K108" i="6" s="1"/>
  <c r="K111" i="6" s="1"/>
  <c r="L108" i="6" s="1"/>
  <c r="L111" i="6" s="1"/>
  <c r="M108" i="6" s="1"/>
  <c r="M111" i="6" s="1"/>
  <c r="N122" i="1"/>
  <c r="N103" i="1"/>
  <c r="Q122" i="1"/>
  <c r="Q103" i="1"/>
  <c r="J60" i="8" l="1"/>
  <c r="J55" i="8"/>
  <c r="K54" i="8" l="1"/>
  <c r="K52" i="8"/>
  <c r="K51" i="8"/>
  <c r="K53" i="8"/>
  <c r="J44" i="8"/>
  <c r="E46" i="7" s="1"/>
  <c r="J46" i="8"/>
  <c r="J45" i="8"/>
  <c r="E73" i="7" s="1"/>
  <c r="J47" i="8"/>
  <c r="P45" i="8" s="1"/>
  <c r="G98" i="8" s="1"/>
  <c r="G102" i="8" s="1"/>
  <c r="P44" i="8" l="1"/>
  <c r="G86" i="8"/>
  <c r="G90" i="8" s="1"/>
  <c r="G84" i="7"/>
  <c r="G57" i="7"/>
  <c r="P46" i="8"/>
  <c r="K55" i="8"/>
  <c r="J48" i="8"/>
  <c r="Q44" i="8" l="1"/>
  <c r="M87" i="8"/>
  <c r="M99" i="8" s="1"/>
  <c r="I58" i="7"/>
  <c r="I22" i="7" s="1"/>
  <c r="J58" i="7"/>
  <c r="J22" i="7" s="1"/>
  <c r="K58" i="7"/>
  <c r="K22" i="7" s="1"/>
  <c r="L58" i="7"/>
  <c r="L22" i="7" s="1"/>
  <c r="M58" i="7"/>
  <c r="M22" i="7" s="1"/>
  <c r="H58" i="7"/>
  <c r="H22" i="7" s="1"/>
  <c r="I85" i="7"/>
  <c r="I24" i="7" s="1"/>
  <c r="J85" i="7"/>
  <c r="J24" i="7" s="1"/>
  <c r="K85" i="7"/>
  <c r="K24" i="7" s="1"/>
  <c r="L85" i="7"/>
  <c r="L24" i="7" s="1"/>
  <c r="M85" i="7"/>
  <c r="M24" i="7" s="1"/>
  <c r="H85" i="7"/>
  <c r="H24" i="7" s="1"/>
  <c r="Q45" i="8"/>
  <c r="Q46" i="8" s="1"/>
  <c r="G68" i="7"/>
  <c r="G34" i="7" s="1"/>
  <c r="G21" i="7"/>
  <c r="G59" i="7"/>
  <c r="H56" i="7" s="1"/>
  <c r="G86" i="7"/>
  <c r="H83" i="7" s="1"/>
  <c r="G23" i="7"/>
  <c r="G95" i="7"/>
  <c r="G36" i="7" s="1"/>
  <c r="N106" i="1" l="1"/>
  <c r="S106" i="1"/>
  <c r="R106" i="1"/>
  <c r="Q106" i="1"/>
  <c r="P106" i="1"/>
  <c r="O106" i="1"/>
  <c r="G39" i="7"/>
  <c r="M123" i="1" s="1"/>
  <c r="H86" i="7"/>
  <c r="I83" i="7" s="1"/>
  <c r="H94" i="7"/>
  <c r="H35" i="7" s="1"/>
  <c r="H67" i="7"/>
  <c r="H33" i="7" s="1"/>
  <c r="H59" i="7"/>
  <c r="I56" i="7" s="1"/>
  <c r="M105" i="1"/>
  <c r="M116" i="1" s="1"/>
  <c r="G28" i="7"/>
  <c r="H39" i="7" l="1"/>
  <c r="AC106" i="1"/>
  <c r="AC116" i="1" s="1"/>
  <c r="O116" i="1"/>
  <c r="O112" i="1"/>
  <c r="O114" i="1" s="1"/>
  <c r="O131" i="1" s="1"/>
  <c r="AD106" i="1"/>
  <c r="AD116" i="1" s="1"/>
  <c r="P116" i="1"/>
  <c r="P112" i="1"/>
  <c r="P114" i="1" s="1"/>
  <c r="P131" i="1" s="1"/>
  <c r="Q116" i="1"/>
  <c r="AE106" i="1"/>
  <c r="AE116" i="1" s="1"/>
  <c r="Q112" i="1"/>
  <c r="Q114" i="1" s="1"/>
  <c r="Q131" i="1" s="1"/>
  <c r="AF106" i="1"/>
  <c r="AF116" i="1" s="1"/>
  <c r="R116" i="1"/>
  <c r="R112" i="1"/>
  <c r="R114" i="1" s="1"/>
  <c r="R131" i="1" s="1"/>
  <c r="AG106" i="1"/>
  <c r="AG116" i="1" s="1"/>
  <c r="S116" i="1"/>
  <c r="S112" i="1"/>
  <c r="S114" i="1" s="1"/>
  <c r="S131" i="1" s="1"/>
  <c r="AB106" i="1"/>
  <c r="AB116" i="1" s="1"/>
  <c r="N116" i="1"/>
  <c r="N112" i="1"/>
  <c r="N114" i="1" s="1"/>
  <c r="N131" i="1" s="1"/>
  <c r="G30" i="16"/>
  <c r="G30" i="15"/>
  <c r="M112" i="1"/>
  <c r="M114" i="1" s="1"/>
  <c r="M53" i="1" s="1"/>
  <c r="N53" i="1" s="1"/>
  <c r="AA105" i="1"/>
  <c r="AA116" i="1" s="1"/>
  <c r="G30" i="8"/>
  <c r="I67" i="7"/>
  <c r="I33" i="7" s="1"/>
  <c r="I59" i="7"/>
  <c r="J56" i="7" s="1"/>
  <c r="G14" i="7"/>
  <c r="H20" i="7"/>
  <c r="H28" i="7" s="1"/>
  <c r="I94" i="7"/>
  <c r="I35" i="7" s="1"/>
  <c r="I86" i="7"/>
  <c r="J83" i="7" s="1"/>
  <c r="M131" i="1" l="1"/>
  <c r="M132" i="1" s="1"/>
  <c r="G31" i="8"/>
  <c r="G32" i="8" s="1"/>
  <c r="G37" i="8" s="1"/>
  <c r="AP106" i="1"/>
  <c r="AB112" i="1"/>
  <c r="AB114" i="1" s="1"/>
  <c r="AU106" i="1"/>
  <c r="AG112" i="1"/>
  <c r="AG114" i="1" s="1"/>
  <c r="AT106" i="1"/>
  <c r="AF112" i="1"/>
  <c r="AF114" i="1" s="1"/>
  <c r="AS106" i="1"/>
  <c r="AE112" i="1"/>
  <c r="AE114" i="1" s="1"/>
  <c r="AR106" i="1"/>
  <c r="AD112" i="1"/>
  <c r="AD114" i="1" s="1"/>
  <c r="AQ106" i="1"/>
  <c r="AC112" i="1"/>
  <c r="AC114" i="1" s="1"/>
  <c r="H30" i="16"/>
  <c r="H30" i="15"/>
  <c r="AO105" i="1"/>
  <c r="AA112" i="1"/>
  <c r="AA114" i="1" s="1"/>
  <c r="AA53" i="1" s="1"/>
  <c r="G31" i="16"/>
  <c r="G31" i="15"/>
  <c r="G32" i="15" s="1"/>
  <c r="G37" i="15" s="1"/>
  <c r="H30" i="8"/>
  <c r="H14" i="7"/>
  <c r="I20" i="7"/>
  <c r="I28" i="7" s="1"/>
  <c r="J67" i="7"/>
  <c r="J33" i="7" s="1"/>
  <c r="J59" i="7"/>
  <c r="K56" i="7" s="1"/>
  <c r="I39" i="7"/>
  <c r="J94" i="7"/>
  <c r="J35" i="7" s="1"/>
  <c r="J86" i="7"/>
  <c r="K83" i="7" s="1"/>
  <c r="M54" i="1"/>
  <c r="M57" i="1" s="1"/>
  <c r="N130" i="1" l="1"/>
  <c r="N132" i="1" s="1"/>
  <c r="G15" i="7"/>
  <c r="G16" i="7" s="1"/>
  <c r="AO112" i="1"/>
  <c r="AQ112" i="1"/>
  <c r="AR112" i="1"/>
  <c r="AS112" i="1"/>
  <c r="AT112" i="1"/>
  <c r="AU112" i="1"/>
  <c r="AP112" i="1"/>
  <c r="I30" i="16"/>
  <c r="I30" i="15"/>
  <c r="AA54" i="1"/>
  <c r="AA57" i="1" s="1"/>
  <c r="AB53" i="1"/>
  <c r="H31" i="16"/>
  <c r="H31" i="15"/>
  <c r="H32" i="15" s="1"/>
  <c r="I30" i="8"/>
  <c r="J39" i="7"/>
  <c r="H31" i="8"/>
  <c r="H32" i="8" s="1"/>
  <c r="O53" i="1"/>
  <c r="N54" i="1"/>
  <c r="N57" i="1" s="1"/>
  <c r="K67" i="7"/>
  <c r="K33" i="7" s="1"/>
  <c r="K59" i="7"/>
  <c r="L56" i="7" s="1"/>
  <c r="K94" i="7"/>
  <c r="K35" i="7" s="1"/>
  <c r="K86" i="7"/>
  <c r="L83" i="7" s="1"/>
  <c r="J20" i="7"/>
  <c r="J28" i="7" s="1"/>
  <c r="I14" i="7"/>
  <c r="O130" i="1"/>
  <c r="O132" i="1" s="1"/>
  <c r="H15" i="7"/>
  <c r="H16" i="7" s="1"/>
  <c r="J30" i="16" l="1"/>
  <c r="J30" i="15"/>
  <c r="AB54" i="1"/>
  <c r="AB57" i="1" s="1"/>
  <c r="AC53" i="1"/>
  <c r="I31" i="16"/>
  <c r="I31" i="15"/>
  <c r="I32" i="15" s="1"/>
  <c r="H38" i="8"/>
  <c r="H37" i="8"/>
  <c r="H37" i="15"/>
  <c r="H38" i="15"/>
  <c r="J30" i="8"/>
  <c r="L59" i="7"/>
  <c r="M56" i="7" s="1"/>
  <c r="L67" i="7"/>
  <c r="L33" i="7" s="1"/>
  <c r="K39" i="7"/>
  <c r="I15" i="7"/>
  <c r="I16" i="7" s="1"/>
  <c r="P130" i="1"/>
  <c r="P132" i="1" s="1"/>
  <c r="O54" i="1"/>
  <c r="O57" i="1" s="1"/>
  <c r="I31" i="8"/>
  <c r="I32" i="8" s="1"/>
  <c r="I38" i="8" s="1"/>
  <c r="P53" i="1"/>
  <c r="J14" i="7"/>
  <c r="K20" i="7"/>
  <c r="K28" i="7" s="1"/>
  <c r="L94" i="7"/>
  <c r="L35" i="7" s="1"/>
  <c r="L86" i="7"/>
  <c r="M83" i="7" s="1"/>
  <c r="K30" i="16" l="1"/>
  <c r="K30" i="15"/>
  <c r="AD53" i="1"/>
  <c r="AC54" i="1"/>
  <c r="AC57" i="1" s="1"/>
  <c r="J31" i="16"/>
  <c r="J31" i="15"/>
  <c r="J32" i="15" s="1"/>
  <c r="I37" i="15"/>
  <c r="I38" i="15"/>
  <c r="K30" i="8"/>
  <c r="I37" i="8"/>
  <c r="Q130" i="1"/>
  <c r="Q132" i="1" s="1"/>
  <c r="J15" i="7"/>
  <c r="J16" i="7" s="1"/>
  <c r="K14" i="7"/>
  <c r="L20" i="7"/>
  <c r="L28" i="7" s="1"/>
  <c r="L39" i="7"/>
  <c r="Q53" i="1"/>
  <c r="P54" i="1"/>
  <c r="P57" i="1" s="1"/>
  <c r="J31" i="8"/>
  <c r="J32" i="8" s="1"/>
  <c r="M94" i="7"/>
  <c r="M35" i="7" s="1"/>
  <c r="M86" i="7"/>
  <c r="M67" i="7"/>
  <c r="M33" i="7" s="1"/>
  <c r="M59" i="7"/>
  <c r="K15" i="7" l="1"/>
  <c r="R130" i="1"/>
  <c r="R132" i="1" s="1"/>
  <c r="J38" i="8"/>
  <c r="J37" i="8"/>
  <c r="M39" i="7"/>
  <c r="L30" i="16"/>
  <c r="L30" i="15"/>
  <c r="AE53" i="1"/>
  <c r="AD54" i="1"/>
  <c r="AD57" i="1" s="1"/>
  <c r="K31" i="16"/>
  <c r="K31" i="15"/>
  <c r="K32" i="15" s="1"/>
  <c r="J37" i="15"/>
  <c r="J38" i="15"/>
  <c r="L30" i="8"/>
  <c r="Q54" i="1"/>
  <c r="Q57" i="1" s="1"/>
  <c r="M20" i="7"/>
  <c r="M28" i="7" s="1"/>
  <c r="L14" i="7"/>
  <c r="K16" i="7"/>
  <c r="K31" i="8"/>
  <c r="K32" i="8" s="1"/>
  <c r="K38" i="8" s="1"/>
  <c r="R53" i="1"/>
  <c r="S130" i="1" l="1"/>
  <c r="S132" i="1" s="1"/>
  <c r="M15" i="7" s="1"/>
  <c r="L15" i="7"/>
  <c r="L16" i="7" s="1"/>
  <c r="M30" i="16"/>
  <c r="M30" i="15"/>
  <c r="AF53" i="1"/>
  <c r="AE54" i="1"/>
  <c r="AE57" i="1" s="1"/>
  <c r="L31" i="16"/>
  <c r="L31" i="15"/>
  <c r="L32" i="15" s="1"/>
  <c r="K37" i="15"/>
  <c r="K38" i="15"/>
  <c r="M30" i="8"/>
  <c r="R54" i="1"/>
  <c r="R57" i="1" s="1"/>
  <c r="M14" i="7"/>
  <c r="K37" i="8"/>
  <c r="S53" i="1"/>
  <c r="M31" i="8" s="1"/>
  <c r="L31" i="8"/>
  <c r="L32" i="8" s="1"/>
  <c r="L38" i="8" s="1"/>
  <c r="M16" i="7" l="1"/>
  <c r="AG53" i="1"/>
  <c r="AG54" i="1" s="1"/>
  <c r="AG57" i="1" s="1"/>
  <c r="AF54" i="1"/>
  <c r="AF57" i="1" s="1"/>
  <c r="M31" i="16"/>
  <c r="M31" i="15"/>
  <c r="L37" i="15"/>
  <c r="L38" i="15"/>
  <c r="L37" i="8"/>
  <c r="S54" i="1"/>
  <c r="S57" i="1" s="1"/>
  <c r="M32" i="15" l="1"/>
  <c r="F73" i="15"/>
  <c r="G73" i="15"/>
  <c r="I73" i="15"/>
  <c r="J73" i="15"/>
  <c r="F74" i="15"/>
  <c r="G74" i="15"/>
  <c r="I74" i="15"/>
  <c r="J74" i="15"/>
  <c r="F75" i="15"/>
  <c r="G75" i="15"/>
  <c r="I75" i="15"/>
  <c r="J75" i="15"/>
  <c r="F76" i="15"/>
  <c r="G76" i="15"/>
  <c r="I76" i="15"/>
  <c r="J76" i="15"/>
  <c r="F77" i="15"/>
  <c r="G77" i="15"/>
  <c r="I77" i="15"/>
  <c r="J77" i="15"/>
  <c r="F61" i="15"/>
  <c r="G61" i="15"/>
  <c r="I61" i="15"/>
  <c r="J61" i="15"/>
  <c r="F62" i="15"/>
  <c r="G62" i="15"/>
  <c r="I62" i="15"/>
  <c r="J62" i="15"/>
  <c r="F63" i="15"/>
  <c r="G63" i="15"/>
  <c r="I63" i="15"/>
  <c r="J63" i="15"/>
  <c r="F64" i="15"/>
  <c r="G64" i="15"/>
  <c r="I64" i="15"/>
  <c r="J64" i="15"/>
  <c r="F65" i="15"/>
  <c r="G65" i="15"/>
  <c r="I65" i="15"/>
  <c r="J65" i="15"/>
  <c r="H61" i="15"/>
  <c r="H62" i="15"/>
  <c r="H63" i="15"/>
  <c r="H64" i="15"/>
  <c r="H65" i="15"/>
  <c r="H73" i="15"/>
  <c r="H74" i="15"/>
  <c r="H75" i="15"/>
  <c r="H76" i="15"/>
  <c r="H77" i="15"/>
  <c r="J61" i="8"/>
  <c r="F73" i="8"/>
  <c r="F61" i="8"/>
  <c r="F74" i="8"/>
  <c r="G74" i="8"/>
  <c r="H74" i="8"/>
  <c r="I74" i="8"/>
  <c r="J74" i="8"/>
  <c r="F75" i="8"/>
  <c r="G75" i="8"/>
  <c r="H75" i="8"/>
  <c r="I75" i="8"/>
  <c r="J75" i="8"/>
  <c r="F76" i="8"/>
  <c r="G76" i="8"/>
  <c r="H76" i="8"/>
  <c r="I76" i="8"/>
  <c r="J76" i="8"/>
  <c r="F77" i="8"/>
  <c r="G77" i="8"/>
  <c r="H77" i="8"/>
  <c r="I77" i="8"/>
  <c r="J77" i="8"/>
  <c r="G73" i="8"/>
  <c r="H73" i="8"/>
  <c r="I73" i="8"/>
  <c r="J73" i="8"/>
  <c r="M32" i="8"/>
  <c r="F62" i="8"/>
  <c r="G62" i="8"/>
  <c r="I62" i="8"/>
  <c r="J62" i="8"/>
  <c r="F63" i="8"/>
  <c r="G63" i="8"/>
  <c r="I63" i="8"/>
  <c r="J63" i="8"/>
  <c r="F64" i="8"/>
  <c r="G64" i="8"/>
  <c r="I64" i="8"/>
  <c r="J64" i="8"/>
  <c r="F65" i="8"/>
  <c r="G65" i="8"/>
  <c r="I65" i="8"/>
  <c r="J65" i="8"/>
  <c r="H62" i="8"/>
  <c r="H63" i="8"/>
  <c r="H64" i="8"/>
  <c r="H65" i="8"/>
  <c r="G61" i="8"/>
  <c r="I61" i="8"/>
  <c r="H61" i="8"/>
  <c r="M101" i="15" l="1"/>
  <c r="M89" i="15"/>
  <c r="M88" i="15"/>
  <c r="M89" i="8"/>
  <c r="M101" i="8"/>
  <c r="M38" i="8"/>
  <c r="E72" i="8" s="1"/>
  <c r="M37" i="15"/>
  <c r="E60" i="15" s="1"/>
  <c r="M38" i="15"/>
  <c r="E72" i="15" s="1"/>
  <c r="M37" i="8"/>
  <c r="E60" i="8" s="1"/>
  <c r="M100" i="15" l="1"/>
  <c r="M102" i="15" s="1"/>
  <c r="M90" i="15"/>
  <c r="M88" i="8"/>
  <c r="AO10" i="1"/>
  <c r="AP10" i="1" s="1"/>
  <c r="AQ10" i="1" s="1"/>
  <c r="AR10" i="1" s="1"/>
  <c r="AS10" i="1" s="1"/>
  <c r="AT10" i="1" s="1"/>
  <c r="AU10" i="1" s="1"/>
  <c r="M93" i="15" l="1"/>
  <c r="M92" i="15"/>
  <c r="M105" i="15"/>
  <c r="M104" i="15"/>
  <c r="M90" i="8"/>
  <c r="M93" i="8" s="1"/>
  <c r="M100" i="8"/>
  <c r="M102" i="8" s="1"/>
  <c r="M105" i="8" s="1"/>
  <c r="M92" i="8"/>
  <c r="AU13" i="1"/>
  <c r="AU14" i="1" s="1"/>
  <c r="AU17" i="1" s="1"/>
  <c r="AT13" i="1"/>
  <c r="AT14" i="1" s="1"/>
  <c r="AS13" i="1"/>
  <c r="AS14" i="1" s="1"/>
  <c r="AR13" i="1"/>
  <c r="AR14" i="1" s="1"/>
  <c r="AQ13" i="1"/>
  <c r="AQ14" i="1" s="1"/>
  <c r="AP13" i="1"/>
  <c r="AP14" i="1" s="1"/>
  <c r="AO13" i="1"/>
  <c r="AO14" i="1" s="1"/>
  <c r="AO17" i="1" s="1"/>
  <c r="M104" i="8" l="1"/>
  <c r="AO18" i="1"/>
  <c r="G23" i="16" s="1"/>
  <c r="AU18" i="1"/>
  <c r="M23" i="16" s="1"/>
  <c r="AP17" i="1"/>
  <c r="AP18" i="1" s="1"/>
  <c r="H23" i="16" s="1"/>
  <c r="AQ17" i="1"/>
  <c r="AQ18" i="1" s="1"/>
  <c r="I23" i="16" s="1"/>
  <c r="AR17" i="1"/>
  <c r="AR18" i="1" s="1"/>
  <c r="J23" i="16" s="1"/>
  <c r="AS17" i="1"/>
  <c r="AS18" i="1" s="1"/>
  <c r="K23" i="16" s="1"/>
  <c r="AT17" i="1"/>
  <c r="AT18" i="1" s="1"/>
  <c r="L23" i="16" s="1"/>
  <c r="AU21" i="1" l="1"/>
  <c r="AU22" i="1" s="1"/>
  <c r="AU25" i="1" s="1"/>
  <c r="AU29" i="1" s="1"/>
  <c r="AU32" i="1" s="1"/>
  <c r="AU89" i="1" s="1"/>
  <c r="L29" i="16"/>
  <c r="L32" i="16" s="1"/>
  <c r="L37" i="16" s="1"/>
  <c r="L25" i="16"/>
  <c r="L24" i="16" s="1"/>
  <c r="K29" i="16"/>
  <c r="K32" i="16" s="1"/>
  <c r="K38" i="16" s="1"/>
  <c r="K25" i="16"/>
  <c r="K24" i="16" s="1"/>
  <c r="J29" i="16"/>
  <c r="J32" i="16" s="1"/>
  <c r="J37" i="16" s="1"/>
  <c r="J25" i="16"/>
  <c r="J24" i="16" s="1"/>
  <c r="I29" i="16"/>
  <c r="I32" i="16" s="1"/>
  <c r="I38" i="16" s="1"/>
  <c r="I25" i="16"/>
  <c r="I24" i="16" s="1"/>
  <c r="H29" i="16"/>
  <c r="H32" i="16" s="1"/>
  <c r="H38" i="16" s="1"/>
  <c r="H25" i="16"/>
  <c r="H24" i="16" s="1"/>
  <c r="M25" i="16"/>
  <c r="M24" i="16" s="1"/>
  <c r="G29" i="16"/>
  <c r="G32" i="16" s="1"/>
  <c r="G37" i="16" s="1"/>
  <c r="G25" i="16"/>
  <c r="G24" i="16" s="1"/>
  <c r="M29" i="16"/>
  <c r="M32" i="16" s="1"/>
  <c r="F73" i="16"/>
  <c r="G73" i="16"/>
  <c r="I73" i="16"/>
  <c r="J73" i="16"/>
  <c r="F74" i="16"/>
  <c r="G74" i="16"/>
  <c r="I74" i="16"/>
  <c r="J74" i="16"/>
  <c r="F75" i="16"/>
  <c r="G75" i="16"/>
  <c r="I75" i="16"/>
  <c r="J75" i="16"/>
  <c r="F76" i="16"/>
  <c r="G76" i="16"/>
  <c r="I76" i="16"/>
  <c r="J76" i="16"/>
  <c r="F77" i="16"/>
  <c r="G77" i="16"/>
  <c r="I77" i="16"/>
  <c r="J77" i="16"/>
  <c r="F61" i="16"/>
  <c r="G61" i="16"/>
  <c r="I61" i="16"/>
  <c r="J61" i="16"/>
  <c r="F62" i="16"/>
  <c r="G62" i="16"/>
  <c r="I62" i="16"/>
  <c r="J62" i="16"/>
  <c r="F63" i="16"/>
  <c r="G63" i="16"/>
  <c r="I63" i="16"/>
  <c r="J63" i="16"/>
  <c r="F64" i="16"/>
  <c r="G64" i="16"/>
  <c r="I64" i="16"/>
  <c r="J64" i="16"/>
  <c r="F65" i="16"/>
  <c r="G65" i="16"/>
  <c r="I65" i="16"/>
  <c r="J65" i="16"/>
  <c r="H61" i="16"/>
  <c r="H62" i="16"/>
  <c r="H63" i="16"/>
  <c r="H64" i="16"/>
  <c r="H65" i="16"/>
  <c r="H73" i="16"/>
  <c r="H74" i="16"/>
  <c r="H75" i="16"/>
  <c r="H76" i="16"/>
  <c r="H77" i="16"/>
  <c r="AT21" i="1"/>
  <c r="AT22" i="1" s="1"/>
  <c r="AS21" i="1"/>
  <c r="AS22" i="1" s="1"/>
  <c r="AR21" i="1"/>
  <c r="AR22" i="1" s="1"/>
  <c r="AQ21" i="1"/>
  <c r="AQ22" i="1" s="1"/>
  <c r="AP21" i="1"/>
  <c r="AP22" i="1" s="1"/>
  <c r="AO21" i="1"/>
  <c r="AO22" i="1" s="1"/>
  <c r="AO25" i="1" s="1"/>
  <c r="AO29" i="1" s="1"/>
  <c r="AO32" i="1" s="1"/>
  <c r="M89" i="16" l="1"/>
  <c r="M101" i="16"/>
  <c r="M88" i="16"/>
  <c r="L38" i="16"/>
  <c r="H37" i="16"/>
  <c r="K37" i="16"/>
  <c r="I37" i="16"/>
  <c r="J38" i="16"/>
  <c r="M37" i="16"/>
  <c r="E60" i="16" s="1"/>
  <c r="M38" i="16"/>
  <c r="E72" i="16" s="1"/>
  <c r="AP25" i="1"/>
  <c r="AP29" i="1" s="1"/>
  <c r="AP32" i="1" s="1"/>
  <c r="AP89" i="1" s="1"/>
  <c r="AP91" i="1" s="1"/>
  <c r="AQ25" i="1"/>
  <c r="AQ29" i="1" s="1"/>
  <c r="AQ32" i="1" s="1"/>
  <c r="AQ89" i="1" s="1"/>
  <c r="AQ91" i="1" s="1"/>
  <c r="AR25" i="1"/>
  <c r="AR29" i="1" s="1"/>
  <c r="AS25" i="1"/>
  <c r="AS29" i="1" s="1"/>
  <c r="AT25" i="1"/>
  <c r="AT29" i="1" s="1"/>
  <c r="AT32" i="1" s="1"/>
  <c r="AT89" i="1" s="1"/>
  <c r="AT91" i="1" s="1"/>
  <c r="AO89" i="1"/>
  <c r="AO91" i="1" s="1"/>
  <c r="AO33" i="1"/>
  <c r="AO80" i="1" s="1"/>
  <c r="AU91" i="1"/>
  <c r="AU33" i="1"/>
  <c r="AU80" i="1" s="1"/>
  <c r="M100" i="16" l="1"/>
  <c r="M102" i="16" s="1"/>
  <c r="M90" i="16"/>
  <c r="AO92" i="1"/>
  <c r="AO116" i="1" s="1"/>
  <c r="AU92" i="1"/>
  <c r="AU103" i="1" s="1"/>
  <c r="AU114" i="1" s="1"/>
  <c r="AR32" i="1"/>
  <c r="AR89" i="1" s="1"/>
  <c r="AR91" i="1" s="1"/>
  <c r="AS32" i="1"/>
  <c r="AS89" i="1" s="1"/>
  <c r="AS91" i="1" s="1"/>
  <c r="AQ33" i="1"/>
  <c r="AQ80" i="1" s="1"/>
  <c r="AQ92" i="1" s="1"/>
  <c r="AT33" i="1"/>
  <c r="AT80" i="1" s="1"/>
  <c r="AT92" i="1" s="1"/>
  <c r="AP33" i="1"/>
  <c r="AP80" i="1" s="1"/>
  <c r="AP92" i="1" s="1"/>
  <c r="M92" i="16" l="1"/>
  <c r="M93" i="16"/>
  <c r="M104" i="16"/>
  <c r="M105" i="16"/>
  <c r="AO103" i="1"/>
  <c r="AO114" i="1" s="1"/>
  <c r="AO53" i="1" s="1"/>
  <c r="AO54" i="1" s="1"/>
  <c r="AO57" i="1" s="1"/>
  <c r="AR33" i="1"/>
  <c r="AR80" i="1" s="1"/>
  <c r="AR92" i="1" s="1"/>
  <c r="AR103" i="1" s="1"/>
  <c r="AR114" i="1" s="1"/>
  <c r="AS33" i="1"/>
  <c r="AS80" i="1" s="1"/>
  <c r="AS92" i="1" s="1"/>
  <c r="AU116" i="1"/>
  <c r="AT103" i="1"/>
  <c r="AT114" i="1" s="1"/>
  <c r="AT116" i="1"/>
  <c r="AP103" i="1"/>
  <c r="AP114" i="1" s="1"/>
  <c r="AP116" i="1"/>
  <c r="AQ103" i="1"/>
  <c r="AQ114" i="1" s="1"/>
  <c r="AQ116" i="1"/>
  <c r="AP53" i="1" l="1"/>
  <c r="AP54" i="1" s="1"/>
  <c r="AP57" i="1" s="1"/>
  <c r="AR116" i="1"/>
  <c r="AS116" i="1"/>
  <c r="AS103" i="1"/>
  <c r="AS114" i="1" s="1"/>
  <c r="AQ53" i="1" l="1"/>
  <c r="AQ54" i="1" l="1"/>
  <c r="AQ57" i="1" s="1"/>
  <c r="AR53" i="1"/>
  <c r="AS53" i="1" l="1"/>
  <c r="AR54" i="1"/>
  <c r="AR57" i="1" s="1"/>
  <c r="AS54" i="1" l="1"/>
  <c r="AS57" i="1" s="1"/>
  <c r="AT53" i="1"/>
  <c r="AU53" i="1" l="1"/>
  <c r="AU54" i="1" s="1"/>
  <c r="AU57" i="1" s="1"/>
  <c r="AT54" i="1"/>
  <c r="AT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tc={88A36DDB-69FE-4D7A-959B-53932AACA30B}</author>
  </authors>
  <commentList>
    <comment ref="E48" authorId="0" shapeId="0" xr:uid="{88A36DDB-69FE-4D7A-959B-53932AACA30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@Kejun, can you justify all of these figures in your assumptions. Why they were picked, based on what, etc.?
Reply:
    Do the same for each of the loans. Thanks!</t>
        </r>
      </text>
    </comment>
  </commentList>
</comments>
</file>

<file path=xl/sharedStrings.xml><?xml version="1.0" encoding="utf-8"?>
<sst xmlns="http://schemas.openxmlformats.org/spreadsheetml/2006/main" count="1356" uniqueCount="626">
  <si>
    <t>Take-private date</t>
  </si>
  <si>
    <t>Holding period (# of Years)</t>
  </si>
  <si>
    <t>Exit date</t>
  </si>
  <si>
    <t>x</t>
  </si>
  <si>
    <t>Valuation Analysis</t>
  </si>
  <si>
    <t>Million EUR</t>
  </si>
  <si>
    <t>Valuation metrics</t>
  </si>
  <si>
    <t>Stock price (16-Oct-23) per share</t>
  </si>
  <si>
    <t>Number of shares</t>
  </si>
  <si>
    <t>Market cap (16-Oct)</t>
  </si>
  <si>
    <t>Entry equity price (premium)</t>
  </si>
  <si>
    <t>Implied purchased share price</t>
  </si>
  <si>
    <t>Purchased equity price</t>
  </si>
  <si>
    <t>(+) Net debt (30-Sep-22)</t>
  </si>
  <si>
    <t>Purchased Enterprise value</t>
  </si>
  <si>
    <t>FY22</t>
  </si>
  <si>
    <t>FY23</t>
  </si>
  <si>
    <t>FY24</t>
  </si>
  <si>
    <t>FY25</t>
  </si>
  <si>
    <t>FY26</t>
  </si>
  <si>
    <t>FY27</t>
  </si>
  <si>
    <t>FY28</t>
  </si>
  <si>
    <t>FY29</t>
  </si>
  <si>
    <t>Numerical Year:</t>
  </si>
  <si>
    <t>EBITDA</t>
  </si>
  <si>
    <t>Zeiss Premium</t>
  </si>
  <si>
    <t>Zeiss Euipment</t>
  </si>
  <si>
    <t>Exit EV price (EBITDA multiple)</t>
  </si>
  <si>
    <t>Exit EV (Enterprise value)</t>
  </si>
  <si>
    <t>(-)Debt balance</t>
  </si>
  <si>
    <t>(+)cash balance</t>
  </si>
  <si>
    <t>Exit Equity value</t>
  </si>
  <si>
    <t>Project Return</t>
  </si>
  <si>
    <t>Exit MOIC:</t>
  </si>
  <si>
    <t>IRR:</t>
  </si>
  <si>
    <t>%</t>
  </si>
  <si>
    <t>-</t>
  </si>
  <si>
    <t>Sources and Uses</t>
  </si>
  <si>
    <t>Sources</t>
  </si>
  <si>
    <t>€m</t>
  </si>
  <si>
    <t>Ownership Details</t>
  </si>
  <si>
    <t>Term loan</t>
  </si>
  <si>
    <t>Management</t>
  </si>
  <si>
    <t>Subordinated loan</t>
  </si>
  <si>
    <t>Sponsor</t>
  </si>
  <si>
    <t>Management roll-over equity</t>
  </si>
  <si>
    <t>Total</t>
  </si>
  <si>
    <t>Sponsor equity</t>
  </si>
  <si>
    <t>Total uses</t>
  </si>
  <si>
    <t>Uses</t>
  </si>
  <si>
    <t>Purchase Enterprise Value</t>
  </si>
  <si>
    <t>Refinancing existing debt</t>
  </si>
  <si>
    <t>Transaction advisory fee</t>
  </si>
  <si>
    <t>Financing advisory fee</t>
  </si>
  <si>
    <t>Multiple of Money (Exit in FY29)</t>
  </si>
  <si>
    <t>Exit EBITDA Multiple</t>
  </si>
  <si>
    <t>Entry Premium</t>
  </si>
  <si>
    <t>IRR (Exit in FY29)</t>
  </si>
  <si>
    <t>Base Case</t>
  </si>
  <si>
    <t>Bull Case</t>
  </si>
  <si>
    <t>Bear Case</t>
  </si>
  <si>
    <t>Act.</t>
  </si>
  <si>
    <t>Fct.</t>
  </si>
  <si>
    <t>Fiscal Yr</t>
  </si>
  <si>
    <t>FY17</t>
  </si>
  <si>
    <t>FY18</t>
  </si>
  <si>
    <t>FY19</t>
  </si>
  <si>
    <t>FY20</t>
  </si>
  <si>
    <t>FY21</t>
  </si>
  <si>
    <t>Profit &amp; Loss Statement</t>
  </si>
  <si>
    <t>Revenue</t>
  </si>
  <si>
    <t>% YoY Growth</t>
  </si>
  <si>
    <t>Cost of Sales</t>
  </si>
  <si>
    <t>Gross Profit</t>
  </si>
  <si>
    <t>% Revenue</t>
  </si>
  <si>
    <t>Operating Expenses (Excl. D&amp;A)</t>
  </si>
  <si>
    <t>D&amp;A</t>
  </si>
  <si>
    <t>Operating Income (Rep. EBIT)</t>
  </si>
  <si>
    <t>)</t>
  </si>
  <si>
    <t>Financing Income/(Expenses)</t>
  </si>
  <si>
    <t>Other Non-operating Income/(Expenses)</t>
  </si>
  <si>
    <t>Unsual Items</t>
  </si>
  <si>
    <t>Earnings of Discontinued Ops.</t>
  </si>
  <si>
    <t>EBT</t>
  </si>
  <si>
    <t>Tax</t>
  </si>
  <si>
    <t>Net Income</t>
  </si>
  <si>
    <t>Balance Sheet</t>
  </si>
  <si>
    <t>PP&amp;E</t>
  </si>
  <si>
    <t>Long-term Investments</t>
  </si>
  <si>
    <t>Goodwill</t>
  </si>
  <si>
    <t>Other Intangibles</t>
  </si>
  <si>
    <t>Other Long-Term Assets</t>
  </si>
  <si>
    <t>Non-current Assets</t>
  </si>
  <si>
    <t>Other Current Assets</t>
  </si>
  <si>
    <t>Prepaid Expenses</t>
  </si>
  <si>
    <t>Inventory</t>
  </si>
  <si>
    <t>Accounts Receivables</t>
  </si>
  <si>
    <t>Short Term Investments and TAS</t>
  </si>
  <si>
    <t>Cash</t>
  </si>
  <si>
    <t>Current Assets</t>
  </si>
  <si>
    <t>Deferred Tax Assets, LT</t>
  </si>
  <si>
    <t>Deferred Charges, LT</t>
  </si>
  <si>
    <t>Total Assets</t>
  </si>
  <si>
    <t>Share Capital</t>
  </si>
  <si>
    <t>Retained Earnings</t>
  </si>
  <si>
    <t>Minority Interest</t>
  </si>
  <si>
    <t>Shareholder's Equity</t>
  </si>
  <si>
    <t xml:space="preserve">Accounts Payable </t>
  </si>
  <si>
    <t>Accrued Expenses</t>
  </si>
  <si>
    <t>Current Portion of Capital Lease</t>
  </si>
  <si>
    <t>Income Taxes Payable</t>
  </si>
  <si>
    <t>Short-term Debt</t>
  </si>
  <si>
    <t>Other Current</t>
  </si>
  <si>
    <t>Current Liabilities</t>
  </si>
  <si>
    <t>Pension &amp; Other Post-Retire. Benefits</t>
  </si>
  <si>
    <t>Long-term Leases</t>
  </si>
  <si>
    <t>Long-term Debt</t>
  </si>
  <si>
    <t>Def. Tax Liability, Non-Curr.</t>
  </si>
  <si>
    <t>Other Non-Current</t>
  </si>
  <si>
    <t>Non-current Liabilities</t>
  </si>
  <si>
    <t>Total Liabilities and Shareholder's Equity</t>
  </si>
  <si>
    <t>Cash Flow Statement</t>
  </si>
  <si>
    <t>+ D&amp;A</t>
  </si>
  <si>
    <t>+/- Inventory</t>
  </si>
  <si>
    <t>+/- Accounts Receivables</t>
  </si>
  <si>
    <t xml:space="preserve">+/- Accounts Payables </t>
  </si>
  <si>
    <t>TWC</t>
  </si>
  <si>
    <t>+/- Prepaid Expenses</t>
  </si>
  <si>
    <t>+/- Other Current Assets</t>
  </si>
  <si>
    <t>+/- Income Taxes Payables</t>
  </si>
  <si>
    <t>+/- Other</t>
  </si>
  <si>
    <t>OWC</t>
  </si>
  <si>
    <t>Cash Flow from Operating Activities</t>
  </si>
  <si>
    <t>CAPEX</t>
  </si>
  <si>
    <t>Sale of Property, Plant, and Equipment</t>
  </si>
  <si>
    <t>Cash Acquisitions</t>
  </si>
  <si>
    <t>Divestitures</t>
  </si>
  <si>
    <t>Sale (Purchase) of Intangible assets</t>
  </si>
  <si>
    <t>Invest. in Marketable &amp; Equity Securt.</t>
  </si>
  <si>
    <t>Net (Inc.) Dec. in Loans Originated/Sold</t>
  </si>
  <si>
    <t>Other Investing Activities</t>
  </si>
  <si>
    <t>Cash Flow from Investing Activities</t>
  </si>
  <si>
    <t>Free Cash Flow</t>
  </si>
  <si>
    <t>Long-Term Debt Issued</t>
  </si>
  <si>
    <t>Long Term Debt Repaid</t>
  </si>
  <si>
    <t>Issuance of Common Stock</t>
  </si>
  <si>
    <t>Repurchase of Common Stock</t>
  </si>
  <si>
    <t>Common Dividends Paid</t>
  </si>
  <si>
    <t>Other Financing Activities</t>
  </si>
  <si>
    <t>Total Debt Repaid</t>
  </si>
  <si>
    <t>Cash Flow from Financing Activities</t>
  </si>
  <si>
    <t>Foreign Exchange Effects - Cash Flow</t>
  </si>
  <si>
    <t>Total Change in Cash</t>
  </si>
  <si>
    <t>36）</t>
  </si>
  <si>
    <t>FCFE</t>
  </si>
  <si>
    <t>Cash flow for debt and equity calculation</t>
  </si>
  <si>
    <t>Cash flow from operating activities</t>
  </si>
  <si>
    <t>Adjust for net interest payment</t>
  </si>
  <si>
    <t>Net cash flow from operating activities</t>
  </si>
  <si>
    <t>Cash account calculation</t>
  </si>
  <si>
    <t>Cash opening balance</t>
  </si>
  <si>
    <t>Net cash flow</t>
  </si>
  <si>
    <t>Cash closing balance</t>
  </si>
  <si>
    <t>Carl Zeiss Meditech LBO: Case Assumptions</t>
  </si>
  <si>
    <t>Financial Statement</t>
  </si>
  <si>
    <t>Topic</t>
  </si>
  <si>
    <t>Assumption: Base Case</t>
  </si>
  <si>
    <t>Assumption: Bull Case</t>
  </si>
  <si>
    <t>Assumption: Bear Case</t>
  </si>
  <si>
    <t>General</t>
  </si>
  <si>
    <t xml:space="preserve">- Fiscal year from 1 October to 30 September
- FY17-FY22 Actual, FY23 and afterwards forecasts 
- Forecasts based on investor presentations and financial reports notes about forecasts segments </t>
  </si>
  <si>
    <t>Profit and loss</t>
  </si>
  <si>
    <t>Sales</t>
  </si>
  <si>
    <t>- Growth rate at 10.4% p.a., as the average revenue growth rate over past 5 years
- Considering the factory leadships role of Zeiss and the notes made by the CEO published in the financial statements, we believe this growth rate is achievable and conservative.</t>
  </si>
  <si>
    <t>- Growth rate at 12.5% p.a., as 1.2 times average revenue growth rate over past 5 years
- Considering the factory leadships role of Zeiss and the notes made by the CEO published in the financial statements, we believe this growth rate is achievable and conservative.</t>
  </si>
  <si>
    <t>- Growth rate at 5.6% p.a., as 80% of the worst performance on revenue growth rate over the past 5 years
- Considering the factory leadships role of Zeiss and the notes made by the CEO published in the financial statements, we believe this growth rate is achievable and conservative.</t>
  </si>
  <si>
    <t>- COGS margin historically stable with no clear indication for deviation from this pattern
- FY23-FY29: stable at average level over past 5 years as % of revenue at 57.3%, which is the base case assumption, as it is more conservative</t>
  </si>
  <si>
    <t>- COGS margin historically stable with no clear indication for deviation from this pattern
- FY23-FY29: stable at average level over every past 5 years as % of revenue</t>
  </si>
  <si>
    <t>Operating Expenses</t>
  </si>
  <si>
    <t>-All operating expenses projected as the margin stable, which is the average of previous five years</t>
  </si>
  <si>
    <t>-All operating expenses projected as the margin stable, which is the running average of previous five years</t>
  </si>
  <si>
    <t>Depreciation</t>
  </si>
  <si>
    <t>-Depreciation expenses projected as the margin stable, which is the average of previous five years</t>
  </si>
  <si>
    <t>-Depreciation expenses projected as the margin stable, which is the running average of previous five years</t>
  </si>
  <si>
    <t>Financial Result</t>
  </si>
  <si>
    <t>- Debt: by using various hedge contract, 4% as fitted to current market conditions</t>
  </si>
  <si>
    <t>Taxes</t>
  </si>
  <si>
    <t>-Tax rate projected as stable, which is the average of past five years</t>
  </si>
  <si>
    <t xml:space="preserve">General </t>
  </si>
  <si>
    <t>- Balance sheet expansion in line with business growth</t>
  </si>
  <si>
    <t xml:space="preserve">Starting Cash </t>
  </si>
  <si>
    <t>- Cash and Cash equivalents assumed to be already at minimum level according to information directly received by company management</t>
  </si>
  <si>
    <t>Working Capital</t>
  </si>
  <si>
    <t>FY23-FY29 (all average L5Y):
- Days Receivable outstanding: 262 days
- Days Payable outstanding: 85 days
- Days sales of inventory: 163 days</t>
  </si>
  <si>
    <t>Financing/ Debt</t>
  </si>
  <si>
    <t>- Long-term debt: Interest bearing liability (interest rate: 5.93%), however hedge 80% debt with 4% interest rate</t>
  </si>
  <si>
    <t>Cash Flow</t>
  </si>
  <si>
    <t>Capex</t>
  </si>
  <si>
    <t>- CAPEX constant at the average level over past 5 years</t>
  </si>
  <si>
    <t>- CAPEX constant at the average level over every  past 5 years</t>
  </si>
  <si>
    <t>The forecast of income statements are based on the average of previous years performance</t>
  </si>
  <si>
    <t>The finance structure is assumed to be 60% debt and 40% equity.</t>
  </si>
  <si>
    <t>The price premium is 40% and the exit EV multiple is assumed based on the performance of competitors</t>
  </si>
  <si>
    <t>Zeiss Premium and Zeiss Equipment is assumed to make up 40% and 60% respectively of EBITDA, and therefore valuation, based on the current business line revenues (microsurgery, Ophthalmic Surgical, and Ophthalmology) and comparable business line splits with J&amp;J v</t>
  </si>
  <si>
    <t>The maturity of debt is assumed to be 6 years, but it is assumed to renew every 6 years</t>
  </si>
  <si>
    <t>The arrangement fee is based on the market common value as 2%</t>
  </si>
  <si>
    <t>The basic interest rate is assumed to be 2.68%, which is German 5 Year Bond</t>
  </si>
  <si>
    <t>The margin of debt is assumed to be 3.25%, due to low credit risk (0.06% probability of default) and is in line with Alcon's interest rate (5.93% and 0.05% probability of default</t>
  </si>
  <si>
    <t>The interest rate of the new debt is assumed to be 5.93%, based on the 2.68% German 5 Year Bond and increased by 3.2% due to low credit risk (0.06% probability of default) and is in line with Alcon's interest rate (5.93% and 0.05% probability of default</t>
  </si>
  <si>
    <t>In order to deal with interest rate exposure, we assume a 80% of Interest rate hedge, and the interest rate after hedge is 4%.</t>
  </si>
  <si>
    <t>Balance sheet items summary</t>
  </si>
  <si>
    <t>Amortisation</t>
  </si>
  <si>
    <t>of Intangibles and LT assets</t>
  </si>
  <si>
    <t>of PPE</t>
  </si>
  <si>
    <t>Account receivables</t>
  </si>
  <si>
    <t>LT investments</t>
  </si>
  <si>
    <t>Inventories</t>
  </si>
  <si>
    <t>Account payables</t>
  </si>
  <si>
    <t>NWC</t>
  </si>
  <si>
    <t>Change in NWC</t>
  </si>
  <si>
    <t>Balance sheet items calculation</t>
  </si>
  <si>
    <t>BS</t>
  </si>
  <si>
    <t>Amortisaiton Period</t>
  </si>
  <si>
    <t>Amortisation year</t>
  </si>
  <si>
    <t>Opening balance</t>
  </si>
  <si>
    <t>(-) Depreciation</t>
  </si>
  <si>
    <t>Closing balance</t>
  </si>
  <si>
    <t>(-) Amortisation</t>
  </si>
  <si>
    <t>Average</t>
  </si>
  <si>
    <t>CF</t>
  </si>
  <si>
    <t>inflation rate</t>
  </si>
  <si>
    <t>Indexation</t>
  </si>
  <si>
    <t>(+) Addition</t>
  </si>
  <si>
    <t>(after considering inflation)</t>
  </si>
  <si>
    <t>days receivable outstanding</t>
  </si>
  <si>
    <t>Derivative Financial Instruments - Hedging - Short-Term</t>
  </si>
  <si>
    <t>Loans &amp; Receivables - Net - Short-Term</t>
  </si>
  <si>
    <t>Addition</t>
  </si>
  <si>
    <t>days receivables outstanding</t>
  </si>
  <si>
    <t>Accounts &amp; Notes Receivable - Trade - Net - Long-Term</t>
  </si>
  <si>
    <t>Operating expenses</t>
  </si>
  <si>
    <t>average</t>
  </si>
  <si>
    <t>% of OpExpenses</t>
  </si>
  <si>
    <t>Days Payable outstanding</t>
  </si>
  <si>
    <t>COGS</t>
  </si>
  <si>
    <t>inventory</t>
  </si>
  <si>
    <t>Days sales of inventory (360)</t>
  </si>
  <si>
    <t>Retained earnings</t>
  </si>
  <si>
    <t>Net income</t>
  </si>
  <si>
    <t>Dividend paid</t>
  </si>
  <si>
    <t>New Debt Structure</t>
  </si>
  <si>
    <t>Holding period</t>
  </si>
  <si>
    <t>New Debt Interest Rate</t>
  </si>
  <si>
    <t>New Debt</t>
  </si>
  <si>
    <t>(-)cash</t>
  </si>
  <si>
    <t xml:space="preserve">Net new debt </t>
  </si>
  <si>
    <t>Debt schedule</t>
  </si>
  <si>
    <t>Drawdown (Term loan)</t>
  </si>
  <si>
    <t>Repayment (Term loan)</t>
  </si>
  <si>
    <t>Drawdown (Subordinated loan)</t>
  </si>
  <si>
    <t>Repayment (Subordinated loan)</t>
  </si>
  <si>
    <t>Drawdown (Capex facility)</t>
  </si>
  <si>
    <t>Repayment (Capex facility)</t>
  </si>
  <si>
    <t>Repayment of existing debts</t>
  </si>
  <si>
    <t>Interest Payment schedule</t>
  </si>
  <si>
    <t>Interest payment (Term loan)</t>
  </si>
  <si>
    <t>Arrangement fee (Term loan)</t>
  </si>
  <si>
    <t>Interest payment (Subordinated loan)</t>
  </si>
  <si>
    <t>Arrangement fee (Subordinated loan)</t>
  </si>
  <si>
    <t>Interest payment (Capex facility)</t>
  </si>
  <si>
    <t>Arrangement and commitment fee (Capex facility)</t>
  </si>
  <si>
    <t>Term Loan</t>
  </si>
  <si>
    <t>Debt size (£m)</t>
  </si>
  <si>
    <t>Drawdown date</t>
  </si>
  <si>
    <t>Release Date</t>
  </si>
  <si>
    <t>Maturity</t>
  </si>
  <si>
    <t>Arrangement fee</t>
  </si>
  <si>
    <t>Margin</t>
  </si>
  <si>
    <t>% of Interest rate hedge</t>
  </si>
  <si>
    <t>Interest rate hedge rate</t>
  </si>
  <si>
    <t>Principle calculaiton</t>
  </si>
  <si>
    <t>Drawdown</t>
  </si>
  <si>
    <t>Repayment</t>
  </si>
  <si>
    <t>Interest rate calculation</t>
  </si>
  <si>
    <t>Base interest rate</t>
  </si>
  <si>
    <t>All-in rate floating rate</t>
  </si>
  <si>
    <t>Effective interest rate</t>
  </si>
  <si>
    <t>Interest payment</t>
  </si>
  <si>
    <t>Surbordinated Loan</t>
  </si>
  <si>
    <t>Company Fundamentals - Balance Sheet</t>
  </si>
  <si>
    <t>Company Name</t>
  </si>
  <si>
    <t>Country of Exchange</t>
  </si>
  <si>
    <t>Country of Headquarters</t>
  </si>
  <si>
    <t>TRBC Industry Group</t>
  </si>
  <si>
    <t>CF Template</t>
  </si>
  <si>
    <t>Consolidation Basis</t>
  </si>
  <si>
    <t>Scaling</t>
  </si>
  <si>
    <t>Period</t>
  </si>
  <si>
    <t>Export Date</t>
  </si>
  <si>
    <t>Statement Data</t>
  </si>
  <si>
    <t>2017</t>
  </si>
  <si>
    <t>Period End Date</t>
  </si>
  <si>
    <t>Standardized Currency</t>
  </si>
  <si>
    <t>EUR</t>
  </si>
  <si>
    <t>Balance Sheet - Standardized (Currency: Standardized)</t>
  </si>
  <si>
    <t>30-09-2017</t>
  </si>
  <si>
    <t>30-09-2018</t>
  </si>
  <si>
    <t>30-09-2019</t>
  </si>
  <si>
    <t>30-09-2020</t>
  </si>
  <si>
    <t>30-09-2021</t>
  </si>
  <si>
    <t>30-09-2022</t>
  </si>
  <si>
    <t>Field Name</t>
  </si>
  <si>
    <t>Cash &amp; Short-Term Investments</t>
  </si>
  <si>
    <t>Cash &amp; Cash Equivalents</t>
  </si>
  <si>
    <t>Short-Term Investments - Total</t>
  </si>
  <si>
    <t>Financial Assets - Short-Term</t>
  </si>
  <si>
    <t>Trade Accounts &amp; Trade Notes Receivable - Net</t>
  </si>
  <si>
    <t>Loans - Short-Term</t>
  </si>
  <si>
    <t>Income Tax - Receivables - Short-Term</t>
  </si>
  <si>
    <t>Receivables - Other - Total</t>
  </si>
  <si>
    <t>Inventories - Total</t>
  </si>
  <si>
    <t>Inventories - Raw Materials</t>
  </si>
  <si>
    <t>Inventories - Work in Progress</t>
  </si>
  <si>
    <t>Inventories - Finished Goods</t>
  </si>
  <si>
    <t>Inventories - Other - Total</t>
  </si>
  <si>
    <t>Prepaid Expenses - Short-Term</t>
  </si>
  <si>
    <t>Other Current Assets - Total</t>
  </si>
  <si>
    <t>Total Current Assets</t>
  </si>
  <si>
    <t>Non-Current Assets</t>
  </si>
  <si>
    <t>Investments - Long-Term</t>
  </si>
  <si>
    <t>Investments - Available for Sale/Held to Maturity - Long-Term</t>
  </si>
  <si>
    <t>Investments in Associates, Joint Ventures and Unconsolidated Subsidiaries</t>
  </si>
  <si>
    <t>Receivables &amp; Loans - Long-Term</t>
  </si>
  <si>
    <t>Loans - Long-Term</t>
  </si>
  <si>
    <t>Property, Plant &amp; Equipment - Net - Total</t>
  </si>
  <si>
    <t>Property, Plant &amp; Equipment - excluding Assets Leased Out - Net - Total</t>
  </si>
  <si>
    <t>Land &amp; Buildings - Net</t>
  </si>
  <si>
    <t>Plant, Machinery &amp; Equipment - Net</t>
  </si>
  <si>
    <t>Construction in Progress - Net</t>
  </si>
  <si>
    <t>Property, Plant &amp; Equipment - Other - Net</t>
  </si>
  <si>
    <t>Property, Plant &amp; Equipment - Gross - Total</t>
  </si>
  <si>
    <t>Property, Plant &amp; Equipment - excluding Assets Leased Out - Gross</t>
  </si>
  <si>
    <t>Land &amp; Buildings - Gross</t>
  </si>
  <si>
    <t>Plant, Machinery &amp; Equipment - Gross</t>
  </si>
  <si>
    <t>Construction in Progress - Gross</t>
  </si>
  <si>
    <t>Property, Plant &amp; Equipment - Other - Gross</t>
  </si>
  <si>
    <t>Property, Plant &amp; Equipment - Accumulated Depreciation &amp; Impairment - Total</t>
  </si>
  <si>
    <t>Property, Plant &amp; Equipment - excluding Assets Leased Out - Accumulated Depreciation &amp; Impairment - Total</t>
  </si>
  <si>
    <t>Land &amp; Buildings - Accumulated Depreciation &amp; Impairment</t>
  </si>
  <si>
    <t>Plant, Machinery &amp; Equipment - Accumulated Depreciation &amp; Impairment</t>
  </si>
  <si>
    <t>Construction in Progress - Accumulated Depreciation &amp; Impairment</t>
  </si>
  <si>
    <t>Property, Plant &amp; Equipment - Other - Accumulated Depreciation &amp; Impairment</t>
  </si>
  <si>
    <t>Assets Held for Sale/Discontinued Operations - Long-Term</t>
  </si>
  <si>
    <t>Other Non-Current Assets - Total</t>
  </si>
  <si>
    <t>Deferred Tax - Asset - Long-Term</t>
  </si>
  <si>
    <t>Pension Assets - Long-Term</t>
  </si>
  <si>
    <t>Other Non-Current Assets</t>
  </si>
  <si>
    <t>Intangible Assets - Total - Net</t>
  </si>
  <si>
    <t>Goodwill/Cost in Excess of Assets Purchased - Net</t>
  </si>
  <si>
    <t>Intangible Assets - excluding Goodwill - Net - Total</t>
  </si>
  <si>
    <t>Computer Software - Intangible Assets - Net</t>
  </si>
  <si>
    <t>Research &amp; Development Costs - Net</t>
  </si>
  <si>
    <t>Brands, Patents, Trademarks, Marketing &amp; Artistic Intangibles - Net</t>
  </si>
  <si>
    <t>Licenses, Franchises, Copyrights, Property Rights, Prototypes, Contract Based, Models &amp; Designs - Net</t>
  </si>
  <si>
    <t>Intangible Assets - Other - Net</t>
  </si>
  <si>
    <t>Total Non-Current Assets</t>
  </si>
  <si>
    <t>Trade Accounts Payable &amp; Accruals - Short-Term</t>
  </si>
  <si>
    <t>Trade Accounts &amp; Trade Notes Payable - Short-Term</t>
  </si>
  <si>
    <t>Accrued Expenses - Short-Term</t>
  </si>
  <si>
    <t>Short-Term Debt &amp; Current Portion of Long-Term Debt</t>
  </si>
  <si>
    <t>Short-Term Debt &amp; Notes Payable</t>
  </si>
  <si>
    <t>Current Portion of Long-Term Debt including Capitalized Leases</t>
  </si>
  <si>
    <t>Current Portion of Long-Term Debt excluding Capitalized Leases</t>
  </si>
  <si>
    <t>Capitalized Leases - Current Portion</t>
  </si>
  <si>
    <t>Derivative Liabilities - Hedging - Short-Term</t>
  </si>
  <si>
    <t>Income Taxes - Payable - Short-Term</t>
  </si>
  <si>
    <t>Other Current Liabilities - Total</t>
  </si>
  <si>
    <t>Deferred Income - Short-Term</t>
  </si>
  <si>
    <t>Customer Advances - Short-Term</t>
  </si>
  <si>
    <t>Provisions - Short-Term</t>
  </si>
  <si>
    <t>Other Current Liabilities</t>
  </si>
  <si>
    <t>Total Current Liabilities</t>
  </si>
  <si>
    <t>Non-Current Liabilities</t>
  </si>
  <si>
    <t>Debt - Long-Term - Total</t>
  </si>
  <si>
    <t>Long-Term Debt excluding Capitalized Leases</t>
  </si>
  <si>
    <t>Debt - Non-Convertible - Long-Term</t>
  </si>
  <si>
    <t>Capitalized Lease Obligations - Long-Term</t>
  </si>
  <si>
    <t>Deferred Tax &amp; Investment Tax Credits - Long-Term</t>
  </si>
  <si>
    <t>Deferred Tax - Liability - Long-Term</t>
  </si>
  <si>
    <t>Other Non-Current Liabilities - Total</t>
  </si>
  <si>
    <t>Provisions - Long-Term</t>
  </si>
  <si>
    <t>Post Employment Benefits - Pension &amp; Other - Long-Term</t>
  </si>
  <si>
    <t>Provisions - Other - Long-Term</t>
  </si>
  <si>
    <t>Other Non-Current Liabilities</t>
  </si>
  <si>
    <t>Total Non-Current Liabilities</t>
  </si>
  <si>
    <t>Total Liabilities</t>
  </si>
  <si>
    <t>Shareholders' Equity</t>
  </si>
  <si>
    <t>Shareholders' Equity - Attributable to Parent Shareholders - Total</t>
  </si>
  <si>
    <t>Common Equity Attributable to Parent Shareholders</t>
  </si>
  <si>
    <t>Common Equity - Contributed</t>
  </si>
  <si>
    <t>Common Stock - Issued &amp; Paid</t>
  </si>
  <si>
    <t>Common Stock - Additional Paid in Capital including Option Reserve</t>
  </si>
  <si>
    <t>Equity - Non-Contributed - Reserves &amp; Retained Earnings</t>
  </si>
  <si>
    <t>Retained Earnings - Total</t>
  </si>
  <si>
    <t>Comprehensive Income - Accumulated - Total</t>
  </si>
  <si>
    <t>Comprehensive Income - Other - Total</t>
  </si>
  <si>
    <t>Common Equity - Total</t>
  </si>
  <si>
    <t>Minority Interest - Equity</t>
  </si>
  <si>
    <t>Total Shareholders' Equity</t>
  </si>
  <si>
    <t>Total Shareholders' Equity - including Minority Interest &amp; Hybrid Debt</t>
  </si>
  <si>
    <t>Total Liabilities &amp; Shareholders' Equity</t>
  </si>
  <si>
    <t>Total Liabilities &amp; Equity</t>
  </si>
  <si>
    <t>Share/Per Share - Common</t>
  </si>
  <si>
    <t>Common Shares - Issued - Total</t>
  </si>
  <si>
    <t>Common Shares - Outstanding - Total</t>
  </si>
  <si>
    <t>Common Shares - Treasury - Total</t>
  </si>
  <si>
    <t>Common Shares - Issued - Issue Specific</t>
  </si>
  <si>
    <t>Common Shares - Outstanding - Issue Specific</t>
  </si>
  <si>
    <t>Common Shares - Treasury - Issue Specific</t>
  </si>
  <si>
    <t>Share/Per Share - Other</t>
  </si>
  <si>
    <t>Asset Allocation Factor - Issue Specific</t>
  </si>
  <si>
    <t>Right of Use Tangible Assets</t>
  </si>
  <si>
    <t>Right of Use Tangible Assets - Total - Net - Supplemental</t>
  </si>
  <si>
    <t>Right of Use Tangible Assets - Capital/Finance Lease - Net - Supplemental</t>
  </si>
  <si>
    <t>Property, Plant &amp; Equipment - excluding Right of Use Tangible Assets &amp; Capital Leases - Net</t>
  </si>
  <si>
    <t>Right of Use Liabilities</t>
  </si>
  <si>
    <t>Finance and Operating Lease Liabilities - Total</t>
  </si>
  <si>
    <t>Debt including Finance and Operating Lease Liabilities</t>
  </si>
  <si>
    <t>Long-Term &amp; Short-Term</t>
  </si>
  <si>
    <t>Derivative Financial Instruments - Hedging - Total</t>
  </si>
  <si>
    <t>Investments - Total</t>
  </si>
  <si>
    <t>Loans &amp; Receivables - Total</t>
  </si>
  <si>
    <t>Assets Held for Sale/Discontinued Operations - Long-Term &amp; Short-Term</t>
  </si>
  <si>
    <t>Other Assets - Total</t>
  </si>
  <si>
    <t>Income Taxes - Payable - Long-Term &amp; Short-Term</t>
  </si>
  <si>
    <t>Payables &amp; Accrued Expenses</t>
  </si>
  <si>
    <t>Trade Account Payables - Total</t>
  </si>
  <si>
    <t>Derivative Liabilities - Hedging</t>
  </si>
  <si>
    <t>Debt Related</t>
  </si>
  <si>
    <t>Net Debt</t>
  </si>
  <si>
    <t>Debt - Total</t>
  </si>
  <si>
    <t>Debt Maturity</t>
  </si>
  <si>
    <t>Debt - Long-Term - Maturities - Total</t>
  </si>
  <si>
    <t>Debt - Long-Term - Maturities - within 1 Year</t>
  </si>
  <si>
    <t>Debt - Long-Term - Maturities - Year 2</t>
  </si>
  <si>
    <t>Debt - Long-Term - Maturities - Year 3</t>
  </si>
  <si>
    <t>Debt - Long-Term - Maturities - Year 4</t>
  </si>
  <si>
    <t>Debt - Long-Term - Maturities - Year 5</t>
  </si>
  <si>
    <t>Debt - Long-Term - Maturities - Remaining</t>
  </si>
  <si>
    <t>Debt - Long-Term - Maturities - 2-3 Years</t>
  </si>
  <si>
    <t>Debt - Long-Term - Maturities - 4-5 Years</t>
  </si>
  <si>
    <t>Debt - Long-Term - Maturities - Year 6 &amp; Beyond</t>
  </si>
  <si>
    <t>Capital Lease Maturity</t>
  </si>
  <si>
    <t>Capital Lease Maturities - Total</t>
  </si>
  <si>
    <t>Capital Lease Maturities - Due within 1 Year</t>
  </si>
  <si>
    <t>Capital Lease Maturities - Due in Year 5</t>
  </si>
  <si>
    <t>Capital Lease Maturities - Remaining Maturities</t>
  </si>
  <si>
    <t>Capital Lease Maturities - Due in 4-5 Years</t>
  </si>
  <si>
    <t>Capital Lease Maturities - Due in Year 6 &amp; Beyond</t>
  </si>
  <si>
    <t>Other</t>
  </si>
  <si>
    <t>Contract Liabilities - Short-Term - Advance Consideration &amp; Progress Billings in Excess of Unbilled Revenue</t>
  </si>
  <si>
    <t>Minority Interest - Total</t>
  </si>
  <si>
    <t>Accruals - Short-Term</t>
  </si>
  <si>
    <t>Asset Accruals</t>
  </si>
  <si>
    <t>Cash &amp; Cash Equivalents - Total</t>
  </si>
  <si>
    <t>Cash &amp; Short Term Investments - Total</t>
  </si>
  <si>
    <t>Debt - including Preferred Equity &amp; Minority Interest - Total</t>
  </si>
  <si>
    <t>Investments - Permanent</t>
  </si>
  <si>
    <t>Net Book Capital</t>
  </si>
  <si>
    <t>Net Operating Assets</t>
  </si>
  <si>
    <t>Provisions - Total</t>
  </si>
  <si>
    <t>Shareholders Equity - Common</t>
  </si>
  <si>
    <t>Tangible Total Equity</t>
  </si>
  <si>
    <t>Tangible Book Value</t>
  </si>
  <si>
    <t>Total Book Capital</t>
  </si>
  <si>
    <t>Total Capital</t>
  </si>
  <si>
    <t>Total Long Term Capital</t>
  </si>
  <si>
    <t>Total Fixed Assets - Net</t>
  </si>
  <si>
    <t>Unearned Revenue - Total</t>
  </si>
  <si>
    <t>Working Capital - Non-Cash</t>
  </si>
  <si>
    <t>Working Capital excluding Other Current Assets &amp; Liabilities</t>
  </si>
  <si>
    <t>Book Value excluding Other Equity</t>
  </si>
  <si>
    <t>Order Backlog</t>
  </si>
  <si>
    <t>Operating Lease Maturity</t>
  </si>
  <si>
    <t>Operating Lease Payments - Total</t>
  </si>
  <si>
    <t>Operating Lease Payments - Due in Year 1</t>
  </si>
  <si>
    <t>Operating Lease Payments - Due in Year 2</t>
  </si>
  <si>
    <t>Operating Lease Payments - Due in Year 3</t>
  </si>
  <si>
    <t>Operating Lease Payments - Due in Year 4</t>
  </si>
  <si>
    <t>Operating Lease Payments - Due in Year 5</t>
  </si>
  <si>
    <t>Operating Lease Payments - Remaining Maturities</t>
  </si>
  <si>
    <t>Operating Lease Payments - Due in 2-3 Years</t>
  </si>
  <si>
    <t>Operating Lease Payments - Due in 4-5 Years</t>
  </si>
  <si>
    <t>Operating Lease Payments - Due in Year 6 &amp; Beyond</t>
  </si>
  <si>
    <t>Employees</t>
  </si>
  <si>
    <t>Employees - Full-Time/Full-Time Equivalents - Period End</t>
  </si>
  <si>
    <t>Employees - Full-Time/Full-Time Equivalents - Current Date</t>
  </si>
  <si>
    <t>Operating Cash Flow - Indirect</t>
  </si>
  <si>
    <t>Profit/(Loss) - Starting Line - Cash Flow</t>
  </si>
  <si>
    <t>Non-cash Items &amp; Reconciliation Adjustments - Cash Flow</t>
  </si>
  <si>
    <t>Equity Income/(Loss) in Net Earnings - Cash Flow - to Reconcile</t>
  </si>
  <si>
    <t>Income Tax Expense - Cash Flow - to Reconcile</t>
  </si>
  <si>
    <t>Financial Income/(Expense) - Cash Flow - to Reconcile</t>
  </si>
  <si>
    <t>Other Non-Cash Items &amp; Reconciliation Adjustments - Cash Flow - to Reconcile</t>
  </si>
  <si>
    <t>Depreciation, Depletion &amp; Amortization including Impairment - Cash Flow - to Reconcile</t>
  </si>
  <si>
    <t>Depreciation &amp; Depletion - Property, Plant &amp; Equipment - Cash Flow - to Reconcile</t>
  </si>
  <si>
    <t>Assets Sale - Gain/(Loss) - Cash Flow - to Reconcile</t>
  </si>
  <si>
    <t>Income Taxes - Paid/(Reimbursed) - Cash Flow</t>
  </si>
  <si>
    <t>Interest Paid - Cash</t>
  </si>
  <si>
    <t>Interest &amp; Dividends - Received - Total - Cash Flow</t>
  </si>
  <si>
    <t>Cash Flow from Operating Activities before Changes in Working Capital</t>
  </si>
  <si>
    <t>Working Capital - Increase/(Decrease) - Cash Flow</t>
  </si>
  <si>
    <t>Accounts Receivables - Decrease/(Increase) - Cash Flow</t>
  </si>
  <si>
    <t>Inventories - Decrease/(Increase) - Cash Flow</t>
  </si>
  <si>
    <t>Other Assets - Decrease/(Increase) - Cash Flow</t>
  </si>
  <si>
    <t>Accounts Payable - Increase/(Decrease) - Cash Flow</t>
  </si>
  <si>
    <t>Other Liabilities - Increase/(Decrease) -Total - Cash Flow</t>
  </si>
  <si>
    <t>Net Cash Flow from Operating Activities</t>
  </si>
  <si>
    <t>Investing Cash Flow</t>
  </si>
  <si>
    <t>Capital Expenditures - Net - Cash Flow</t>
  </si>
  <si>
    <t>Property, Plant &amp; Equipment - Purchased/(Sold) - Net - Cash Flow</t>
  </si>
  <si>
    <t>Property, Plant &amp; Equipment - Purchased - Cash Flow</t>
  </si>
  <si>
    <t>Property, Plant &amp; Equipment Sold - Cash Flow</t>
  </si>
  <si>
    <t>Intangible Assets - Purchased/(Sold) - Net - Total - Cash Flow</t>
  </si>
  <si>
    <t>Intangible Assets - Purchased/Acquired - Cash Flow</t>
  </si>
  <si>
    <t>Capital Expenditures - Total</t>
  </si>
  <si>
    <t>Acquisition &amp; Disposals of Business - Assets - Sold/(Acquired) - Net - Cash Flow</t>
  </si>
  <si>
    <t>Acquisition of Business - Cash Flow</t>
  </si>
  <si>
    <t>Business - Sold - Cash Flow</t>
  </si>
  <si>
    <t>Investments excluding Loans - Decrease/(Increase) - Cash Flow</t>
  </si>
  <si>
    <t>Investment Securities - Unclassified - Sold/(Purchased) - Net - Total - Cash Flow</t>
  </si>
  <si>
    <t>Investment Securities - Sold/Matured - Unclassified - Cash Flow</t>
  </si>
  <si>
    <t>Investment Securities - Purchased - Unclassified - Cash Flow</t>
  </si>
  <si>
    <t>Investments - Associated Companies &amp; Joint Ventures - Sold/(Purchased) - Cash Flow</t>
  </si>
  <si>
    <t>Other Investing Cash Flow - Decrease/(Increase)</t>
  </si>
  <si>
    <t>Net Cash Flow from Investing Activities</t>
  </si>
  <si>
    <t>Financing Cash Flow</t>
  </si>
  <si>
    <t>Dividends Paid - Cash - Total - Cash Flow</t>
  </si>
  <si>
    <t>Dividends - Common - Cash Paid</t>
  </si>
  <si>
    <t>Stock - Total - Issuance/(Retirement) - Net - Cash Flow</t>
  </si>
  <si>
    <t>Stock - Issuance/(Retirement) - Net - Excluding Options/Warrants - Cash Flow</t>
  </si>
  <si>
    <t>Stock - Common - Issuance/(Retirement) - Net - Cash Flow</t>
  </si>
  <si>
    <t>Stock - Common - Issued/Sold - Cash Flow</t>
  </si>
  <si>
    <t>Debt - Long-Term &amp; Short-Term - Issuance/(Retirement) - Total - Cash Flow</t>
  </si>
  <si>
    <t>Debt - Issued/(Reduced) - Short-Term - Total - Cash Flow</t>
  </si>
  <si>
    <t>Debt - Issued/(Reduced) - Long-Term - Cash Flow</t>
  </si>
  <si>
    <t>Debt - Reduced - Long-Term - Cash Flow</t>
  </si>
  <si>
    <t>Other Financing Cash Flow - Increase/(Decrease)</t>
  </si>
  <si>
    <t>Net Cash Flow from Financing Activities</t>
  </si>
  <si>
    <t>Foreign Exchange Effects</t>
  </si>
  <si>
    <t>Change in Cash</t>
  </si>
  <si>
    <t>Net Change in Cash - Total</t>
  </si>
  <si>
    <t>Net Cash from Continuing Operations</t>
  </si>
  <si>
    <t>Net Cash - Beginning Balance</t>
  </si>
  <si>
    <t>Net Cash - Ending Balance</t>
  </si>
  <si>
    <t>Income Statement</t>
  </si>
  <si>
    <t>2018</t>
  </si>
  <si>
    <t>2019</t>
  </si>
  <si>
    <t>2020</t>
  </si>
  <si>
    <t>2021</t>
  </si>
  <si>
    <t>2022</t>
  </si>
  <si>
    <t>Revenues</t>
  </si>
  <si>
    <t>Revenue from Goods &amp; Services</t>
  </si>
  <si>
    <t>Sales of Goods &amp; Services - Net - Unclassified</t>
  </si>
  <si>
    <t>Revenue from Business Activities - Total</t>
  </si>
  <si>
    <t>Cost of Operating Revenue</t>
  </si>
  <si>
    <t>Cost of Revenues - Total</t>
  </si>
  <si>
    <t>Gross Profit - Industrials/Property - Total</t>
  </si>
  <si>
    <t>Selling, General &amp; Administrative Expenses - Total</t>
  </si>
  <si>
    <t>Selling, General &amp; Administrative Expenses - Unclassified</t>
  </si>
  <si>
    <t>Research &amp; Development Expense</t>
  </si>
  <si>
    <t>Other Operating Expense/(Income) - Net</t>
  </si>
  <si>
    <t>Other Operating Income - Total</t>
  </si>
  <si>
    <t>Other Operating Expense</t>
  </si>
  <si>
    <t>Operating Expenses - Total</t>
  </si>
  <si>
    <t>Operating Profit</t>
  </si>
  <si>
    <t>Operating Profit before Non-Recurring Income/Expense</t>
  </si>
  <si>
    <t>Non-Operating Expenses</t>
  </si>
  <si>
    <t>Financing Income/(Expense) - Net - Total</t>
  </si>
  <si>
    <t>Interest Expense - Net of (Interest Income)</t>
  </si>
  <si>
    <t>Interest Income - Non-Bank</t>
  </si>
  <si>
    <t>Interest Expense - Net of Capitalized Interest</t>
  </si>
  <si>
    <t>Non-Interest Financial Income/(Expense) - Total</t>
  </si>
  <si>
    <t>Dividend &amp; Investment Income</t>
  </si>
  <si>
    <t>Foreign Exchange Gain/(Loss) - Non-Business</t>
  </si>
  <si>
    <t>Non-Interest Financial Income/(Expense) - Other - Net</t>
  </si>
  <si>
    <t>Sale of Tangible &amp; Intangible Fixed Assets - Gain/(Loss)</t>
  </si>
  <si>
    <t>Sale of Leased Fixed Assets - Gain/(Loss)</t>
  </si>
  <si>
    <t>Equity Earnings/(Loss) - before Taxes including Non-Recurring</t>
  </si>
  <si>
    <t>Other Non-Operating Income/(Expense) - Total</t>
  </si>
  <si>
    <t>Non-Recurring Adjustments - Non-Operating- Decrease/(Increase)</t>
  </si>
  <si>
    <t>Normalized Pre-tax Profit</t>
  </si>
  <si>
    <t>Non-Recurring Income/Expense</t>
  </si>
  <si>
    <t>Non-Recurring Income/(Expense) - Total</t>
  </si>
  <si>
    <t>Impairment - Tangible &amp; Intangible Fixed Assets</t>
  </si>
  <si>
    <t>Impairment - Intangibles excluding Goodwill</t>
  </si>
  <si>
    <t>Restructuring Charges</t>
  </si>
  <si>
    <t>Sale &amp; Acquisition of Group Companies - Gain/(Loss)</t>
  </si>
  <si>
    <t>Pre-Tax Income</t>
  </si>
  <si>
    <t>Income before Taxes</t>
  </si>
  <si>
    <t>Income Taxes</t>
  </si>
  <si>
    <t>Income Taxes for the Year - Current</t>
  </si>
  <si>
    <t>Income Taxes - Domestic - Current</t>
  </si>
  <si>
    <t>Income Taxes - Foreign - Current</t>
  </si>
  <si>
    <t>Income Taxes - Deferred</t>
  </si>
  <si>
    <t>Income Taxes - Domestic - Deferred</t>
  </si>
  <si>
    <t>Net Income After Tax</t>
  </si>
  <si>
    <t>Net Income after Tax</t>
  </si>
  <si>
    <t>After Tax Income/Expense</t>
  </si>
  <si>
    <t>Income before Discontinued Operations &amp; Extraordinary Items</t>
  </si>
  <si>
    <t>Net Income before Minority Interest</t>
  </si>
  <si>
    <t>Net Income after Minority Interest</t>
  </si>
  <si>
    <t>Income Available to Common Shares</t>
  </si>
  <si>
    <t>Depreciation/Amortization - Income Statement</t>
  </si>
  <si>
    <t>Depreciation &amp; Amortization - Supplemental</t>
  </si>
  <si>
    <t>Returns Details</t>
  </si>
  <si>
    <t>Returns to Management:</t>
  </si>
  <si>
    <t>Management Common Equity:</t>
  </si>
  <si>
    <t>Initial Investment:</t>
  </si>
  <si>
    <t>(-) Cash from Management Options:</t>
  </si>
  <si>
    <t>(+) Equity to Management Options:</t>
  </si>
  <si>
    <t>(+) Exit Equity Proceeds:</t>
  </si>
  <si>
    <t>Total Cash Flows:</t>
  </si>
  <si>
    <t>Returns to Sponsor:</t>
  </si>
  <si>
    <t>(+) Cash from Management Options:</t>
  </si>
  <si>
    <t>(-) Equity to Management Options: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</si>
</sst>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(* #,##0_);_(* \(#,##0\);_(* &quot;-&quot;_);@_)"/>
    <numFmt numFmtId="165" formatCode="0.0%_);\(0.0%\);_(* &quot;-&quot;_);@_)"/>
    <numFmt numFmtId="166" formatCode="#,##0.0"/>
    <numFmt numFmtId="167" formatCode="0.0%"/>
    <numFmt numFmtId="168" formatCode="#,##0.0\x_)_);\(#,##0.0\x\)_);&quot;-&quot;_)_%"/>
    <numFmt numFmtId="169" formatCode="dd\-mm\-yyyy"/>
    <numFmt numFmtId="170" formatCode="_(* #,##0.0_);_(* \(#,##0.0\);_(* &quot;-&quot;_);@_)"/>
    <numFmt numFmtId="171" formatCode="_(* #,##0.00_);_(* \(#,##0.00\);_(* &quot;-&quot;_);@_)"/>
    <numFmt numFmtId="172" formatCode="\1\)"/>
    <numFmt numFmtId="173" formatCode="#\)"/>
    <numFmt numFmtId="174" formatCode="_-* #,##0_-;\-* #,##0_-;_-* &quot;-&quot;??_-;_-@_-"/>
    <numFmt numFmtId="175" formatCode="_-* #,##0.0_-;\-* #,##0.0_-;_-* &quot;-&quot;??_-;_-@_-"/>
    <numFmt numFmtId="176" formatCode="#\ &quot;years&quot;"/>
    <numFmt numFmtId="177" formatCode="#,##0.0;\(#,##0.0\);&quot;-&quot;"/>
    <numFmt numFmtId="178" formatCode="0.0&quot;x&quot;"/>
    <numFmt numFmtId="179" formatCode="_([$€-2]\ * #,##0.00_);_([$€-2]\ * \(#,##0.00\);_([$€-2]\ * &quot;-&quot;??_);_(@_)"/>
    <numFmt numFmtId="180" formatCode="_([$€-2]\ * #,##0_);_([$€-2]\ * \(#,##0\);_([$€-2]\ * &quot;-&quot;??_);_(@_)"/>
    <numFmt numFmtId="181" formatCode="0.0"/>
    <numFmt numFmtId="182" formatCode="#,##0.0\x"/>
    <numFmt numFmtId="183" formatCode="#,##0.00\x"/>
  </numFmts>
  <fonts count="8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rgb="FF2E3641"/>
      <name val="Arial Nova"/>
      <family val="2"/>
    </font>
    <font>
      <i/>
      <sz val="9"/>
      <color theme="1"/>
      <name val="Calibri"/>
      <family val="2"/>
      <scheme val="minor"/>
    </font>
    <font>
      <sz val="9"/>
      <color rgb="FF2E3641"/>
      <name val="Arial Nova"/>
      <family val="2"/>
    </font>
    <font>
      <b/>
      <sz val="9"/>
      <color rgb="FF2E3641"/>
      <name val="Arial Nova"/>
      <family val="2"/>
    </font>
    <font>
      <sz val="9"/>
      <color theme="1"/>
      <name val="Calibri"/>
      <family val="2"/>
      <scheme val="minor"/>
    </font>
    <font>
      <b/>
      <sz val="9"/>
      <color theme="0"/>
      <name val="Arial Nova"/>
      <family val="2"/>
    </font>
    <font>
      <b/>
      <sz val="9"/>
      <color theme="1"/>
      <name val="Calibri"/>
      <family val="2"/>
      <scheme val="minor"/>
    </font>
    <font>
      <i/>
      <sz val="9"/>
      <color theme="1"/>
      <name val="Arial Nova"/>
      <family val="2"/>
    </font>
    <font>
      <sz val="9"/>
      <color rgb="FF009800"/>
      <name val="Arial Nova"/>
      <family val="2"/>
    </font>
    <font>
      <sz val="9"/>
      <color theme="1"/>
      <name val="Arial Nov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5475B"/>
      <name val="Calibri"/>
      <family val="2"/>
    </font>
    <font>
      <sz val="8"/>
      <name val="Calibri"/>
      <family val="2"/>
      <scheme val="minor"/>
    </font>
    <font>
      <b/>
      <sz val="9"/>
      <color theme="9"/>
      <name val="Arial Nova"/>
      <family val="2"/>
    </font>
    <font>
      <b/>
      <sz val="9"/>
      <color theme="9" tint="-0.249977111117893"/>
      <name val="Arial Nova"/>
      <family val="2"/>
    </font>
    <font>
      <i/>
      <sz val="9"/>
      <color theme="9" tint="-0.249977111117893"/>
      <name val="Arial Nova"/>
      <family val="2"/>
    </font>
    <font>
      <sz val="9"/>
      <color theme="9" tint="-0.249977111117893"/>
      <name val="Arial Nov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 Nova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color theme="9" tint="-0.249977111117893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Accounting"/>
      <sz val="10"/>
      <name val="Arial"/>
      <family val="2"/>
    </font>
    <font>
      <b/>
      <u val="singleAccounting"/>
      <sz val="9"/>
      <name val="Arial"/>
      <family val="2"/>
    </font>
    <font>
      <b/>
      <u val="singleAccounting"/>
      <sz val="9"/>
      <name val="Arial Nova"/>
      <family val="2"/>
    </font>
    <font>
      <sz val="10"/>
      <color rgb="FF0000FF"/>
      <name val="Arial"/>
      <family val="2"/>
    </font>
    <font>
      <sz val="9"/>
      <color rgb="FF0000FF"/>
      <name val="Arial Nova"/>
      <family val="2"/>
    </font>
    <font>
      <sz val="9"/>
      <color rgb="FF0070C0"/>
      <name val="Arial Nova"/>
      <family val="2"/>
    </font>
    <font>
      <sz val="9"/>
      <color theme="1"/>
      <name val="Arial Nova"/>
    </font>
    <font>
      <b/>
      <sz val="9"/>
      <name val="Arial"/>
      <family val="2"/>
    </font>
    <font>
      <b/>
      <sz val="9"/>
      <name val="Arial Nova"/>
      <family val="2"/>
    </font>
    <font>
      <i/>
      <sz val="9"/>
      <color rgb="FF2E3641"/>
      <name val="Arial Nova"/>
    </font>
    <font>
      <sz val="9"/>
      <color rgb="FF000000"/>
      <name val="Arial Nova"/>
      <family val="2"/>
    </font>
    <font>
      <b/>
      <sz val="9"/>
      <color rgb="FF000000"/>
      <name val="Arial Nova"/>
      <family val="2"/>
    </font>
    <font>
      <b/>
      <sz val="12"/>
      <color theme="0"/>
      <name val="Arial Nova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u val="singleAccounting"/>
      <sz val="9"/>
      <name val="Arial"/>
      <family val="2"/>
    </font>
    <font>
      <b/>
      <sz val="9"/>
      <name val="Arial Nova"/>
    </font>
    <font>
      <b/>
      <u val="singleAccounting"/>
      <sz val="9"/>
      <name val="Arial Nova"/>
    </font>
    <font>
      <b/>
      <sz val="9"/>
      <color theme="1"/>
      <name val="Arial Nova"/>
    </font>
    <font>
      <sz val="9"/>
      <color rgb="FF0000FF"/>
      <name val="Arial Nova"/>
    </font>
    <font>
      <sz val="9"/>
      <color rgb="FF0070C0"/>
      <name val="Arial Nova"/>
    </font>
    <font>
      <sz val="11"/>
      <color rgb="FF000000"/>
      <name val="Calibri"/>
      <family val="2"/>
      <scheme val="minor"/>
    </font>
    <font>
      <b/>
      <sz val="9"/>
      <color theme="9" tint="-0.249977111117893"/>
      <name val="Arial Nova"/>
    </font>
    <font>
      <b/>
      <sz val="9"/>
      <color rgb="FF2E3641"/>
      <name val="Arial Nova"/>
    </font>
    <font>
      <sz val="9"/>
      <color theme="9" tint="-0.249977111117893"/>
      <name val="Arial Nova"/>
    </font>
    <font>
      <i/>
      <sz val="9"/>
      <color theme="9" tint="-0.249977111117893"/>
      <name val="Arial Nova"/>
    </font>
    <font>
      <sz val="9"/>
      <color rgb="FF2E3641"/>
      <name val="Arial Nova"/>
    </font>
    <font>
      <b/>
      <sz val="9"/>
      <color theme="0"/>
      <name val="Arial Nova"/>
    </font>
    <font>
      <b/>
      <sz val="12"/>
      <color theme="0"/>
      <name val="Arial Nova"/>
    </font>
    <font>
      <i/>
      <sz val="9"/>
      <color theme="0"/>
      <name val="Arial Nova"/>
    </font>
    <font>
      <i/>
      <sz val="11"/>
      <color rgb="FF000000"/>
      <name val="Calibri"/>
      <family val="2"/>
      <scheme val="minor"/>
    </font>
    <font>
      <sz val="9"/>
      <color theme="0"/>
      <name val="Arial Nova"/>
      <family val="2"/>
    </font>
    <font>
      <b/>
      <sz val="11"/>
      <color theme="5" tint="0.59999389629810485"/>
      <name val="Calibri"/>
      <family val="2"/>
      <scheme val="minor"/>
    </font>
    <font>
      <sz val="9"/>
      <color theme="1" tint="0.499984740745262"/>
      <name val="Arial Nova"/>
      <family val="2"/>
    </font>
    <font>
      <b/>
      <sz val="9"/>
      <color theme="1" tint="0.499984740745262"/>
      <name val="Arial Nova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Arial Nova"/>
    </font>
    <font>
      <b/>
      <sz val="11"/>
      <color theme="0"/>
      <name val="Arial Nova"/>
    </font>
    <font>
      <b/>
      <u val="singleAccounting"/>
      <sz val="11"/>
      <color theme="0"/>
      <name val="Arial Nova"/>
    </font>
    <font>
      <sz val="10"/>
      <color theme="1"/>
      <name val="Arial Nova"/>
    </font>
    <font>
      <b/>
      <sz val="10"/>
      <color rgb="FF336699"/>
      <name val="Arial Nova"/>
    </font>
    <font>
      <b/>
      <sz val="11"/>
      <color indexed="8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8DB"/>
        <bgColor rgb="FFD5D8DB"/>
      </patternFill>
    </fill>
    <fill>
      <patternFill patternType="solid">
        <fgColor theme="5"/>
        <bgColor indexed="64"/>
      </patternFill>
    </fill>
    <fill>
      <patternFill patternType="solid">
        <fgColor rgb="FFFF9933"/>
        <bgColor rgb="FFFF993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CF5DD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rgb="FFFF993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rgb="FFD77300"/>
      </top>
      <bottom/>
      <diagonal/>
    </border>
    <border>
      <left/>
      <right/>
      <top style="thin">
        <color rgb="FFD77300"/>
      </top>
      <bottom style="medium">
        <color rgb="FFD77300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D77300"/>
      </top>
      <bottom style="thin">
        <color rgb="FFD773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D77300"/>
      </top>
      <bottom/>
      <diagonal/>
    </border>
    <border>
      <left/>
      <right style="medium">
        <color rgb="FF000000"/>
      </right>
      <top style="thin">
        <color rgb="FFD77300"/>
      </top>
      <bottom/>
      <diagonal/>
    </border>
    <border>
      <left style="medium">
        <color rgb="FF000000"/>
      </left>
      <right/>
      <top style="thin">
        <color rgb="FFD77300"/>
      </top>
      <bottom style="medium">
        <color rgb="FFD77300"/>
      </bottom>
      <diagonal/>
    </border>
    <border>
      <left/>
      <right style="medium">
        <color rgb="FF000000"/>
      </right>
      <top style="thin">
        <color rgb="FFD77300"/>
      </top>
      <bottom style="medium">
        <color rgb="FFD773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D77300"/>
      </top>
      <bottom style="thin">
        <color rgb="FFD77300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/>
      <top style="thin">
        <color rgb="FFD77300"/>
      </top>
      <bottom style="medium">
        <color rgb="FF000000"/>
      </bottom>
      <diagonal/>
    </border>
    <border>
      <left/>
      <right/>
      <top style="thin">
        <color rgb="FFD77300"/>
      </top>
      <bottom style="medium">
        <color rgb="FF000000"/>
      </bottom>
      <diagonal/>
    </border>
    <border>
      <left/>
      <right style="medium">
        <color rgb="FF000000"/>
      </right>
      <top style="thin">
        <color rgb="FFD773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22" fillId="0" borderId="0"/>
    <xf numFmtId="168" fontId="23" fillId="0" borderId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0" borderId="0" applyNumberFormat="0" applyProtection="0">
      <alignment horizontal="centerContinuous" vertical="center"/>
    </xf>
    <xf numFmtId="0" fontId="41" fillId="14" borderId="8" applyNumberFormat="0" applyAlignment="0" applyProtection="0">
      <alignment vertical="center"/>
    </xf>
    <xf numFmtId="0" fontId="3" fillId="0" borderId="0"/>
  </cellStyleXfs>
  <cellXfs count="554">
    <xf numFmtId="0" fontId="0" fillId="0" borderId="0" xfId="0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8" fillId="0" borderId="0" xfId="0" applyFont="1"/>
    <xf numFmtId="164" fontId="6" fillId="5" borderId="0" xfId="0" applyNumberFormat="1" applyFont="1" applyFill="1"/>
    <xf numFmtId="164" fontId="7" fillId="5" borderId="0" xfId="0" applyNumberFormat="1" applyFont="1" applyFill="1"/>
    <xf numFmtId="0" fontId="8" fillId="5" borderId="0" xfId="0" applyFont="1" applyFill="1"/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10" fillId="0" borderId="0" xfId="0" applyFont="1"/>
    <xf numFmtId="0" fontId="10" fillId="5" borderId="0" xfId="0" applyFont="1" applyFill="1"/>
    <xf numFmtId="165" fontId="4" fillId="0" borderId="0" xfId="0" applyNumberFormat="1" applyFont="1"/>
    <xf numFmtId="165" fontId="11" fillId="0" borderId="0" xfId="0" applyNumberFormat="1" applyFont="1"/>
    <xf numFmtId="164" fontId="7" fillId="0" borderId="1" xfId="0" applyNumberFormat="1" applyFont="1" applyBorder="1"/>
    <xf numFmtId="164" fontId="7" fillId="5" borderId="1" xfId="0" applyNumberFormat="1" applyFont="1" applyFill="1" applyBorder="1"/>
    <xf numFmtId="164" fontId="11" fillId="0" borderId="0" xfId="0" applyNumberFormat="1" applyFont="1"/>
    <xf numFmtId="164" fontId="7" fillId="0" borderId="2" xfId="0" applyNumberFormat="1" applyFont="1" applyBorder="1"/>
    <xf numFmtId="164" fontId="7" fillId="5" borderId="2" xfId="0" applyNumberFormat="1" applyFont="1" applyFill="1" applyBorder="1"/>
    <xf numFmtId="166" fontId="15" fillId="0" borderId="3" xfId="0" applyNumberFormat="1" applyFont="1" applyBorder="1" applyAlignment="1">
      <alignment horizontal="right" vertical="center" wrapText="1"/>
    </xf>
    <xf numFmtId="166" fontId="14" fillId="0" borderId="3" xfId="0" applyNumberFormat="1" applyFont="1" applyBorder="1" applyAlignment="1">
      <alignment horizontal="right" vertical="center" wrapText="1"/>
    </xf>
    <xf numFmtId="4" fontId="16" fillId="0" borderId="3" xfId="0" applyNumberFormat="1" applyFont="1" applyBorder="1" applyAlignment="1">
      <alignment horizontal="right" vertical="center" wrapText="1"/>
    </xf>
    <xf numFmtId="166" fontId="0" fillId="0" borderId="0" xfId="0" applyNumberFormat="1"/>
    <xf numFmtId="4" fontId="0" fillId="0" borderId="0" xfId="0" applyNumberFormat="1"/>
    <xf numFmtId="164" fontId="0" fillId="0" borderId="0" xfId="0" applyNumberFormat="1"/>
    <xf numFmtId="164" fontId="18" fillId="5" borderId="0" xfId="0" applyNumberFormat="1" applyFont="1" applyFill="1"/>
    <xf numFmtId="167" fontId="0" fillId="0" borderId="0" xfId="0" applyNumberFormat="1"/>
    <xf numFmtId="164" fontId="24" fillId="5" borderId="1" xfId="0" applyNumberFormat="1" applyFont="1" applyFill="1" applyBorder="1"/>
    <xf numFmtId="164" fontId="7" fillId="0" borderId="6" xfId="0" applyNumberFormat="1" applyFont="1" applyBorder="1"/>
    <xf numFmtId="164" fontId="7" fillId="5" borderId="6" xfId="0" applyNumberFormat="1" applyFont="1" applyFill="1" applyBorder="1"/>
    <xf numFmtId="170" fontId="7" fillId="5" borderId="2" xfId="0" applyNumberFormat="1" applyFont="1" applyFill="1" applyBorder="1"/>
    <xf numFmtId="164" fontId="6" fillId="0" borderId="0" xfId="0" quotePrefix="1" applyNumberFormat="1" applyFont="1" applyAlignment="1">
      <alignment horizontal="left" indent="1"/>
    </xf>
    <xf numFmtId="164" fontId="7" fillId="0" borderId="5" xfId="0" applyNumberFormat="1" applyFont="1" applyBorder="1"/>
    <xf numFmtId="166" fontId="14" fillId="0" borderId="0" xfId="0" applyNumberFormat="1" applyFont="1" applyAlignment="1">
      <alignment horizontal="right" vertical="center" wrapText="1"/>
    </xf>
    <xf numFmtId="4" fontId="8" fillId="0" borderId="0" xfId="0" applyNumberFormat="1" applyFont="1"/>
    <xf numFmtId="171" fontId="7" fillId="0" borderId="1" xfId="0" applyNumberFormat="1" applyFont="1" applyBorder="1"/>
    <xf numFmtId="43" fontId="0" fillId="0" borderId="0" xfId="0" applyNumberFormat="1"/>
    <xf numFmtId="3" fontId="0" fillId="0" borderId="0" xfId="0" applyNumberFormat="1"/>
    <xf numFmtId="0" fontId="0" fillId="0" borderId="4" xfId="0" applyBorder="1"/>
    <xf numFmtId="43" fontId="0" fillId="0" borderId="0" xfId="5" applyFont="1"/>
    <xf numFmtId="2" fontId="0" fillId="0" borderId="4" xfId="5" applyNumberFormat="1" applyFont="1" applyBorder="1"/>
    <xf numFmtId="2" fontId="0" fillId="0" borderId="0" xfId="5" applyNumberFormat="1" applyFont="1"/>
    <xf numFmtId="0" fontId="28" fillId="0" borderId="0" xfId="0" applyFont="1"/>
    <xf numFmtId="2" fontId="28" fillId="0" borderId="0" xfId="5" applyNumberFormat="1" applyFont="1"/>
    <xf numFmtId="0" fontId="28" fillId="0" borderId="0" xfId="0" applyFont="1" applyAlignment="1">
      <alignment horizontal="right"/>
    </xf>
    <xf numFmtId="173" fontId="0" fillId="0" borderId="0" xfId="0" applyNumberFormat="1"/>
    <xf numFmtId="0" fontId="29" fillId="0" borderId="0" xfId="0" applyFont="1"/>
    <xf numFmtId="173" fontId="28" fillId="0" borderId="0" xfId="0" applyNumberFormat="1" applyFont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174" fontId="28" fillId="0" borderId="0" xfId="5" applyNumberFormat="1" applyFont="1" applyAlignment="1">
      <alignment horizontal="right"/>
    </xf>
    <xf numFmtId="174" fontId="0" fillId="0" borderId="0" xfId="5" applyNumberFormat="1" applyFont="1"/>
    <xf numFmtId="174" fontId="0" fillId="0" borderId="4" xfId="5" applyNumberFormat="1" applyFont="1" applyBorder="1"/>
    <xf numFmtId="0" fontId="0" fillId="0" borderId="0" xfId="0" applyAlignment="1">
      <alignment horizontal="left" indent="1"/>
    </xf>
    <xf numFmtId="4" fontId="0" fillId="0" borderId="4" xfId="0" applyNumberFormat="1" applyBorder="1"/>
    <xf numFmtId="174" fontId="28" fillId="0" borderId="0" xfId="5" applyNumberFormat="1" applyFont="1"/>
    <xf numFmtId="174" fontId="0" fillId="0" borderId="0" xfId="0" applyNumberFormat="1"/>
    <xf numFmtId="1" fontId="0" fillId="0" borderId="4" xfId="0" applyNumberFormat="1" applyBorder="1"/>
    <xf numFmtId="1" fontId="0" fillId="0" borderId="0" xfId="0" applyNumberFormat="1"/>
    <xf numFmtId="2" fontId="0" fillId="0" borderId="0" xfId="0" applyNumberFormat="1"/>
    <xf numFmtId="174" fontId="0" fillId="0" borderId="4" xfId="0" applyNumberFormat="1" applyBorder="1"/>
    <xf numFmtId="0" fontId="28" fillId="9" borderId="0" xfId="0" applyFont="1" applyFill="1"/>
    <xf numFmtId="173" fontId="28" fillId="9" borderId="0" xfId="0" applyNumberFormat="1" applyFont="1" applyFill="1"/>
    <xf numFmtId="0" fontId="0" fillId="9" borderId="0" xfId="0" applyFill="1"/>
    <xf numFmtId="14" fontId="0" fillId="0" borderId="0" xfId="0" applyNumberFormat="1"/>
    <xf numFmtId="15" fontId="0" fillId="0" borderId="0" xfId="0" applyNumberFormat="1"/>
    <xf numFmtId="177" fontId="0" fillId="0" borderId="0" xfId="0" applyNumberFormat="1"/>
    <xf numFmtId="0" fontId="31" fillId="0" borderId="0" xfId="0" applyFont="1"/>
    <xf numFmtId="177" fontId="33" fillId="0" borderId="0" xfId="0" applyNumberFormat="1" applyFont="1"/>
    <xf numFmtId="0" fontId="30" fillId="11" borderId="0" xfId="0" applyFont="1" applyFill="1"/>
    <xf numFmtId="0" fontId="30" fillId="11" borderId="0" xfId="0" applyFont="1" applyFill="1" applyAlignment="1">
      <alignment horizontal="right"/>
    </xf>
    <xf numFmtId="0" fontId="28" fillId="0" borderId="5" xfId="0" applyFont="1" applyBorder="1"/>
    <xf numFmtId="177" fontId="28" fillId="0" borderId="5" xfId="0" applyNumberFormat="1" applyFont="1" applyBorder="1"/>
    <xf numFmtId="0" fontId="34" fillId="0" borderId="0" xfId="0" applyFont="1"/>
    <xf numFmtId="9" fontId="34" fillId="0" borderId="0" xfId="1" applyFont="1"/>
    <xf numFmtId="43" fontId="0" fillId="0" borderId="4" xfId="0" applyNumberFormat="1" applyBorder="1"/>
    <xf numFmtId="0" fontId="28" fillId="2" borderId="0" xfId="0" applyFont="1" applyFill="1"/>
    <xf numFmtId="9" fontId="0" fillId="0" borderId="4" xfId="0" applyNumberFormat="1" applyBorder="1"/>
    <xf numFmtId="0" fontId="29" fillId="10" borderId="0" xfId="0" applyFont="1" applyFill="1"/>
    <xf numFmtId="164" fontId="0" fillId="0" borderId="4" xfId="0" applyNumberFormat="1" applyBorder="1"/>
    <xf numFmtId="0" fontId="29" fillId="13" borderId="0" xfId="0" applyFont="1" applyFill="1"/>
    <xf numFmtId="180" fontId="0" fillId="0" borderId="0" xfId="0" applyNumberFormat="1"/>
    <xf numFmtId="174" fontId="28" fillId="0" borderId="0" xfId="0" applyNumberFormat="1" applyFont="1"/>
    <xf numFmtId="0" fontId="28" fillId="0" borderId="0" xfId="0" applyFont="1" applyAlignment="1">
      <alignment horizontal="right" vertical="top"/>
    </xf>
    <xf numFmtId="0" fontId="0" fillId="0" borderId="7" xfId="0" applyBorder="1"/>
    <xf numFmtId="174" fontId="0" fillId="0" borderId="7" xfId="5" applyNumberFormat="1" applyFont="1" applyBorder="1"/>
    <xf numFmtId="177" fontId="28" fillId="0" borderId="0" xfId="0" applyNumberFormat="1" applyFont="1"/>
    <xf numFmtId="0" fontId="36" fillId="0" borderId="0" xfId="0" applyFont="1" applyAlignment="1">
      <alignment horizontal="center"/>
    </xf>
    <xf numFmtId="178" fontId="0" fillId="0" borderId="0" xfId="0" applyNumberFormat="1"/>
    <xf numFmtId="181" fontId="0" fillId="0" borderId="0" xfId="0" applyNumberFormat="1" applyAlignment="1">
      <alignment horizontal="right"/>
    </xf>
    <xf numFmtId="167" fontId="3" fillId="0" borderId="0" xfId="1" applyNumberFormat="1" applyFont="1"/>
    <xf numFmtId="0" fontId="31" fillId="0" borderId="0" xfId="0" applyFont="1" applyAlignment="1">
      <alignment horizontal="left"/>
    </xf>
    <xf numFmtId="164" fontId="0" fillId="0" borderId="4" xfId="5" applyNumberFormat="1" applyFont="1" applyBorder="1"/>
    <xf numFmtId="164" fontId="0" fillId="0" borderId="0" xfId="5" applyNumberFormat="1" applyFont="1"/>
    <xf numFmtId="9" fontId="13" fillId="0" borderId="0" xfId="1" applyFont="1"/>
    <xf numFmtId="177" fontId="0" fillId="0" borderId="4" xfId="0" applyNumberFormat="1" applyBorder="1"/>
    <xf numFmtId="167" fontId="28" fillId="0" borderId="0" xfId="0" applyNumberFormat="1" applyFont="1"/>
    <xf numFmtId="167" fontId="0" fillId="0" borderId="4" xfId="0" applyNumberFormat="1" applyBorder="1"/>
    <xf numFmtId="167" fontId="0" fillId="0" borderId="0" xfId="1" applyNumberFormat="1" applyFont="1"/>
    <xf numFmtId="178" fontId="13" fillId="0" borderId="0" xfId="0" applyNumberFormat="1" applyFont="1"/>
    <xf numFmtId="168" fontId="13" fillId="0" borderId="0" xfId="3" applyFont="1" applyBorder="1" applyAlignment="1"/>
    <xf numFmtId="168" fontId="44" fillId="9" borderId="0" xfId="3" applyFont="1" applyFill="1" applyBorder="1" applyAlignment="1"/>
    <xf numFmtId="168" fontId="44" fillId="0" borderId="0" xfId="3" applyFont="1" applyBorder="1" applyAlignment="1"/>
    <xf numFmtId="182" fontId="13" fillId="0" borderId="7" xfId="0" applyNumberFormat="1" applyFont="1" applyBorder="1"/>
    <xf numFmtId="9" fontId="13" fillId="0" borderId="10" xfId="1" applyFont="1" applyBorder="1"/>
    <xf numFmtId="9" fontId="43" fillId="0" borderId="10" xfId="1" applyFont="1" applyBorder="1"/>
    <xf numFmtId="9" fontId="13" fillId="0" borderId="10" xfId="1" applyFont="1" applyFill="1" applyBorder="1"/>
    <xf numFmtId="168" fontId="44" fillId="2" borderId="0" xfId="3" applyFont="1" applyFill="1" applyBorder="1" applyAlignment="1"/>
    <xf numFmtId="167" fontId="13" fillId="0" borderId="0" xfId="3" applyNumberFormat="1" applyFont="1" applyBorder="1" applyAlignment="1"/>
    <xf numFmtId="167" fontId="44" fillId="0" borderId="0" xfId="3" applyNumberFormat="1" applyFont="1" applyBorder="1" applyAlignment="1"/>
    <xf numFmtId="9" fontId="42" fillId="15" borderId="11" xfId="1" applyFont="1" applyFill="1" applyBorder="1" applyAlignment="1"/>
    <xf numFmtId="167" fontId="44" fillId="2" borderId="0" xfId="3" applyNumberFormat="1" applyFont="1" applyFill="1" applyBorder="1" applyAlignment="1"/>
    <xf numFmtId="9" fontId="0" fillId="5" borderId="0" xfId="1" applyFont="1" applyFill="1"/>
    <xf numFmtId="167" fontId="44" fillId="9" borderId="0" xfId="3" applyNumberFormat="1" applyFont="1" applyFill="1" applyBorder="1" applyAlignment="1"/>
    <xf numFmtId="164" fontId="4" fillId="0" borderId="0" xfId="0" applyNumberFormat="1" applyFont="1" applyAlignment="1">
      <alignment horizontal="left"/>
    </xf>
    <xf numFmtId="0" fontId="28" fillId="16" borderId="9" xfId="0" applyFont="1" applyFill="1" applyBorder="1" applyAlignment="1">
      <alignment horizontal="right"/>
    </xf>
    <xf numFmtId="0" fontId="28" fillId="16" borderId="9" xfId="0" applyFont="1" applyFill="1" applyBorder="1" applyAlignment="1">
      <alignment horizontal="right" vertical="top"/>
    </xf>
    <xf numFmtId="167" fontId="32" fillId="0" borderId="0" xfId="1" applyNumberFormat="1" applyFont="1"/>
    <xf numFmtId="167" fontId="32" fillId="0" borderId="7" xfId="1" applyNumberFormat="1" applyFont="1" applyBorder="1"/>
    <xf numFmtId="0" fontId="37" fillId="0" borderId="7" xfId="0" applyFont="1" applyBorder="1"/>
    <xf numFmtId="0" fontId="39" fillId="0" borderId="7" xfId="6" applyFont="1" applyBorder="1">
      <alignment horizontal="centerContinuous" vertical="center"/>
    </xf>
    <xf numFmtId="0" fontId="45" fillId="0" borderId="7" xfId="6" applyFont="1" applyBorder="1">
      <alignment horizontal="centerContinuous" vertical="center"/>
    </xf>
    <xf numFmtId="182" fontId="44" fillId="0" borderId="7" xfId="0" applyNumberFormat="1" applyFont="1" applyBorder="1"/>
    <xf numFmtId="183" fontId="42" fillId="15" borderId="12" xfId="7" applyNumberFormat="1" applyFont="1" applyFill="1" applyBorder="1" applyAlignment="1"/>
    <xf numFmtId="0" fontId="46" fillId="16" borderId="7" xfId="6" applyFont="1" applyFill="1" applyBorder="1">
      <alignment horizontal="centerContinuous" vertical="center"/>
    </xf>
    <xf numFmtId="0" fontId="40" fillId="16" borderId="7" xfId="6" applyFont="1" applyFill="1" applyBorder="1">
      <alignment horizontal="centerContinuous" vertical="center"/>
    </xf>
    <xf numFmtId="0" fontId="13" fillId="16" borderId="0" xfId="0" applyFont="1" applyFill="1"/>
    <xf numFmtId="0" fontId="13" fillId="16" borderId="7" xfId="0" applyFont="1" applyFill="1" applyBorder="1"/>
    <xf numFmtId="164" fontId="47" fillId="0" borderId="0" xfId="0" applyNumberFormat="1" applyFont="1"/>
    <xf numFmtId="164" fontId="49" fillId="0" borderId="1" xfId="0" applyNumberFormat="1" applyFont="1" applyBorder="1"/>
    <xf numFmtId="164" fontId="49" fillId="0" borderId="2" xfId="0" applyNumberFormat="1" applyFont="1" applyBorder="1"/>
    <xf numFmtId="170" fontId="49" fillId="0" borderId="2" xfId="0" applyNumberFormat="1" applyFont="1" applyBorder="1"/>
    <xf numFmtId="0" fontId="0" fillId="2" borderId="0" xfId="0" applyFill="1"/>
    <xf numFmtId="164" fontId="6" fillId="2" borderId="4" xfId="0" applyNumberFormat="1" applyFont="1" applyFill="1" applyBorder="1"/>
    <xf numFmtId="164" fontId="7" fillId="2" borderId="5" xfId="0" applyNumberFormat="1" applyFont="1" applyFill="1" applyBorder="1"/>
    <xf numFmtId="164" fontId="7" fillId="2" borderId="1" xfId="0" applyNumberFormat="1" applyFont="1" applyFill="1" applyBorder="1"/>
    <xf numFmtId="164" fontId="7" fillId="2" borderId="2" xfId="0" applyNumberFormat="1" applyFont="1" applyFill="1" applyBorder="1"/>
    <xf numFmtId="164" fontId="47" fillId="0" borderId="0" xfId="0" applyNumberFormat="1" applyFont="1" applyAlignment="1">
      <alignment horizontal="left"/>
    </xf>
    <xf numFmtId="0" fontId="51" fillId="0" borderId="7" xfId="0" applyFont="1" applyBorder="1"/>
    <xf numFmtId="0" fontId="52" fillId="0" borderId="7" xfId="6" applyFont="1" applyBorder="1">
      <alignment horizontal="centerContinuous" vertical="center"/>
    </xf>
    <xf numFmtId="0" fontId="53" fillId="0" borderId="7" xfId="6" applyFont="1" applyBorder="1">
      <alignment horizontal="centerContinuous" vertical="center"/>
    </xf>
    <xf numFmtId="0" fontId="44" fillId="16" borderId="0" xfId="0" applyFont="1" applyFill="1"/>
    <xf numFmtId="0" fontId="44" fillId="16" borderId="7" xfId="0" applyFont="1" applyFill="1" applyBorder="1"/>
    <xf numFmtId="0" fontId="54" fillId="16" borderId="7" xfId="6" applyFont="1" applyFill="1" applyBorder="1">
      <alignment horizontal="centerContinuous" vertical="center"/>
    </xf>
    <xf numFmtId="0" fontId="55" fillId="16" borderId="7" xfId="6" applyFont="1" applyFill="1" applyBorder="1">
      <alignment horizontal="centerContinuous" vertical="center"/>
    </xf>
    <xf numFmtId="178" fontId="44" fillId="0" borderId="0" xfId="0" applyNumberFormat="1" applyFont="1"/>
    <xf numFmtId="183" fontId="57" fillId="15" borderId="12" xfId="7" applyNumberFormat="1" applyFont="1" applyFill="1" applyBorder="1" applyAlignment="1"/>
    <xf numFmtId="9" fontId="44" fillId="0" borderId="10" xfId="1" applyFont="1" applyBorder="1"/>
    <xf numFmtId="168" fontId="44" fillId="0" borderId="0" xfId="3" applyFont="1" applyAlignment="1"/>
    <xf numFmtId="168" fontId="44" fillId="2" borderId="0" xfId="3" applyFont="1" applyFill="1" applyAlignment="1"/>
    <xf numFmtId="9" fontId="58" fillId="0" borderId="10" xfId="1" applyFont="1" applyBorder="1"/>
    <xf numFmtId="168" fontId="44" fillId="9" borderId="0" xfId="3" applyFont="1" applyFill="1" applyAlignment="1"/>
    <xf numFmtId="9" fontId="44" fillId="0" borderId="0" xfId="1" applyFont="1"/>
    <xf numFmtId="167" fontId="44" fillId="0" borderId="0" xfId="3" applyNumberFormat="1" applyFont="1" applyAlignment="1"/>
    <xf numFmtId="167" fontId="44" fillId="2" borderId="0" xfId="3" applyNumberFormat="1" applyFont="1" applyFill="1" applyAlignment="1"/>
    <xf numFmtId="9" fontId="57" fillId="15" borderId="11" xfId="1" applyFont="1" applyFill="1" applyBorder="1"/>
    <xf numFmtId="167" fontId="44" fillId="9" borderId="0" xfId="3" applyNumberFormat="1" applyFont="1" applyFill="1" applyAlignment="1"/>
    <xf numFmtId="0" fontId="0" fillId="20" borderId="0" xfId="0" applyFill="1"/>
    <xf numFmtId="0" fontId="0" fillId="20" borderId="0" xfId="0" applyFill="1" applyAlignment="1">
      <alignment horizontal="left"/>
    </xf>
    <xf numFmtId="43" fontId="0" fillId="20" borderId="0" xfId="5" applyFont="1" applyFill="1"/>
    <xf numFmtId="0" fontId="28" fillId="20" borderId="0" xfId="0" applyFont="1" applyFill="1" applyAlignment="1">
      <alignment horizontal="right"/>
    </xf>
    <xf numFmtId="9" fontId="28" fillId="20" borderId="0" xfId="0" applyNumberFormat="1" applyFont="1" applyFill="1"/>
    <xf numFmtId="0" fontId="0" fillId="20" borderId="0" xfId="0" applyFill="1" applyAlignment="1">
      <alignment horizontal="left" indent="1"/>
    </xf>
    <xf numFmtId="174" fontId="28" fillId="20" borderId="0" xfId="5" applyNumberFormat="1" applyFont="1" applyFill="1"/>
    <xf numFmtId="0" fontId="28" fillId="0" borderId="0" xfId="0" applyFont="1" applyAlignment="1">
      <alignment horizontal="left"/>
    </xf>
    <xf numFmtId="177" fontId="59" fillId="0" borderId="0" xfId="0" applyNumberFormat="1" applyFont="1"/>
    <xf numFmtId="164" fontId="60" fillId="2" borderId="2" xfId="0" applyNumberFormat="1" applyFont="1" applyFill="1" applyBorder="1"/>
    <xf numFmtId="164" fontId="61" fillId="5" borderId="2" xfId="0" applyNumberFormat="1" applyFont="1" applyFill="1" applyBorder="1"/>
    <xf numFmtId="164" fontId="61" fillId="0" borderId="2" xfId="0" applyNumberFormat="1" applyFont="1" applyBorder="1"/>
    <xf numFmtId="164" fontId="60" fillId="2" borderId="1" xfId="0" applyNumberFormat="1" applyFont="1" applyFill="1" applyBorder="1"/>
    <xf numFmtId="164" fontId="61" fillId="5" borderId="1" xfId="0" applyNumberFormat="1" applyFont="1" applyFill="1" applyBorder="1"/>
    <xf numFmtId="164" fontId="61" fillId="0" borderId="1" xfId="0" applyNumberFormat="1" applyFont="1" applyBorder="1"/>
    <xf numFmtId="164" fontId="61" fillId="0" borderId="17" xfId="0" applyNumberFormat="1" applyFont="1" applyBorder="1" applyAlignment="1">
      <alignment horizontal="left"/>
    </xf>
    <xf numFmtId="164" fontId="64" fillId="0" borderId="18" xfId="0" applyNumberFormat="1" applyFont="1" applyBorder="1"/>
    <xf numFmtId="164" fontId="64" fillId="3" borderId="17" xfId="0" applyNumberFormat="1" applyFont="1" applyFill="1" applyBorder="1"/>
    <xf numFmtId="164" fontId="47" fillId="3" borderId="18" xfId="0" applyNumberFormat="1" applyFont="1" applyFill="1" applyBorder="1" applyAlignment="1">
      <alignment horizontal="right"/>
    </xf>
    <xf numFmtId="164" fontId="61" fillId="4" borderId="17" xfId="0" applyNumberFormat="1" applyFont="1" applyFill="1" applyBorder="1"/>
    <xf numFmtId="164" fontId="61" fillId="4" borderId="18" xfId="0" applyNumberFormat="1" applyFont="1" applyFill="1" applyBorder="1" applyAlignment="1">
      <alignment horizontal="right"/>
    </xf>
    <xf numFmtId="164" fontId="61" fillId="5" borderId="17" xfId="0" applyNumberFormat="1" applyFont="1" applyFill="1" applyBorder="1"/>
    <xf numFmtId="164" fontId="61" fillId="5" borderId="18" xfId="0" applyNumberFormat="1" applyFont="1" applyFill="1" applyBorder="1" applyAlignment="1">
      <alignment horizontal="right"/>
    </xf>
    <xf numFmtId="164" fontId="65" fillId="7" borderId="17" xfId="0" applyNumberFormat="1" applyFont="1" applyFill="1" applyBorder="1"/>
    <xf numFmtId="164" fontId="65" fillId="7" borderId="18" xfId="0" applyNumberFormat="1" applyFont="1" applyFill="1" applyBorder="1"/>
    <xf numFmtId="164" fontId="65" fillId="5" borderId="17" xfId="0" applyNumberFormat="1" applyFont="1" applyFill="1" applyBorder="1"/>
    <xf numFmtId="164" fontId="65" fillId="5" borderId="18" xfId="0" applyNumberFormat="1" applyFont="1" applyFill="1" applyBorder="1"/>
    <xf numFmtId="164" fontId="61" fillId="0" borderId="17" xfId="0" applyNumberFormat="1" applyFont="1" applyBorder="1"/>
    <xf numFmtId="164" fontId="60" fillId="2" borderId="18" xfId="0" applyNumberFormat="1" applyFont="1" applyFill="1" applyBorder="1"/>
    <xf numFmtId="165" fontId="47" fillId="0" borderId="17" xfId="0" applyNumberFormat="1" applyFont="1" applyBorder="1" applyAlignment="1">
      <alignment horizontal="left" indent="1"/>
    </xf>
    <xf numFmtId="165" fontId="63" fillId="2" borderId="18" xfId="0" applyNumberFormat="1" applyFont="1" applyFill="1" applyBorder="1"/>
    <xf numFmtId="164" fontId="64" fillId="0" borderId="17" xfId="0" applyNumberFormat="1" applyFont="1" applyBorder="1" applyAlignment="1">
      <alignment horizontal="left" indent="1"/>
    </xf>
    <xf numFmtId="164" fontId="62" fillId="2" borderId="18" xfId="0" applyNumberFormat="1" applyFont="1" applyFill="1" applyBorder="1"/>
    <xf numFmtId="164" fontId="61" fillId="0" borderId="19" xfId="0" applyNumberFormat="1" applyFont="1" applyBorder="1"/>
    <xf numFmtId="164" fontId="60" fillId="2" borderId="20" xfId="0" applyNumberFormat="1" applyFont="1" applyFill="1" applyBorder="1"/>
    <xf numFmtId="164" fontId="47" fillId="0" borderId="17" xfId="0" applyNumberFormat="1" applyFont="1" applyBorder="1" applyAlignment="1">
      <alignment horizontal="left" indent="1"/>
    </xf>
    <xf numFmtId="164" fontId="63" fillId="2" borderId="18" xfId="0" applyNumberFormat="1" applyFont="1" applyFill="1" applyBorder="1"/>
    <xf numFmtId="164" fontId="62" fillId="17" borderId="18" xfId="0" applyNumberFormat="1" applyFont="1" applyFill="1" applyBorder="1"/>
    <xf numFmtId="164" fontId="61" fillId="0" borderId="19" xfId="0" applyNumberFormat="1" applyFont="1" applyBorder="1" applyAlignment="1">
      <alignment horizontal="left"/>
    </xf>
    <xf numFmtId="164" fontId="61" fillId="0" borderId="21" xfId="0" applyNumberFormat="1" applyFont="1" applyBorder="1"/>
    <xf numFmtId="164" fontId="60" fillId="2" borderId="22" xfId="0" applyNumberFormat="1" applyFont="1" applyFill="1" applyBorder="1"/>
    <xf numFmtId="165" fontId="47" fillId="0" borderId="23" xfId="0" applyNumberFormat="1" applyFont="1" applyBorder="1" applyAlignment="1">
      <alignment horizontal="left" indent="1"/>
    </xf>
    <xf numFmtId="165" fontId="47" fillId="0" borderId="9" xfId="0" applyNumberFormat="1" applyFont="1" applyBorder="1"/>
    <xf numFmtId="165" fontId="47" fillId="5" borderId="9" xfId="0" applyNumberFormat="1" applyFont="1" applyFill="1" applyBorder="1"/>
    <xf numFmtId="165" fontId="63" fillId="2" borderId="9" xfId="0" applyNumberFormat="1" applyFont="1" applyFill="1" applyBorder="1"/>
    <xf numFmtId="165" fontId="63" fillId="2" borderId="24" xfId="0" applyNumberFormat="1" applyFont="1" applyFill="1" applyBorder="1"/>
    <xf numFmtId="164" fontId="67" fillId="7" borderId="13" xfId="0" applyNumberFormat="1" applyFont="1" applyFill="1" applyBorder="1" applyAlignment="1">
      <alignment horizontal="left"/>
    </xf>
    <xf numFmtId="164" fontId="47" fillId="7" borderId="14" xfId="0" applyNumberFormat="1" applyFont="1" applyFill="1" applyBorder="1" applyAlignment="1">
      <alignment horizontal="left"/>
    </xf>
    <xf numFmtId="179" fontId="0" fillId="0" borderId="0" xfId="0" applyNumberFormat="1"/>
    <xf numFmtId="0" fontId="0" fillId="0" borderId="0" xfId="0" applyAlignment="1">
      <alignment wrapText="1"/>
    </xf>
    <xf numFmtId="0" fontId="0" fillId="0" borderId="7" xfId="0" applyBorder="1" applyAlignment="1">
      <alignment horizontal="left" indent="1"/>
    </xf>
    <xf numFmtId="2" fontId="35" fillId="0" borderId="7" xfId="5" applyNumberFormat="1" applyFont="1" applyBorder="1"/>
    <xf numFmtId="2" fontId="68" fillId="0" borderId="0" xfId="5" applyNumberFormat="1" applyFont="1" applyBorder="1"/>
    <xf numFmtId="2" fontId="59" fillId="0" borderId="7" xfId="5" applyNumberFormat="1" applyFont="1" applyBorder="1"/>
    <xf numFmtId="0" fontId="0" fillId="0" borderId="0" xfId="0" applyAlignment="1">
      <alignment horizontal="left" vertical="center" wrapText="1"/>
    </xf>
    <xf numFmtId="0" fontId="0" fillId="0" borderId="9" xfId="0" applyBorder="1"/>
    <xf numFmtId="0" fontId="28" fillId="0" borderId="9" xfId="0" applyFont="1" applyBorder="1"/>
    <xf numFmtId="0" fontId="30" fillId="21" borderId="0" xfId="0" applyFont="1" applyFill="1" applyAlignment="1">
      <alignment horizontal="center"/>
    </xf>
    <xf numFmtId="0" fontId="28" fillId="5" borderId="9" xfId="0" applyFont="1" applyFill="1" applyBorder="1"/>
    <xf numFmtId="0" fontId="0" fillId="5" borderId="0" xfId="0" applyFill="1"/>
    <xf numFmtId="0" fontId="30" fillId="5" borderId="0" xfId="0" applyFont="1" applyFill="1" applyAlignment="1">
      <alignment horizontal="center"/>
    </xf>
    <xf numFmtId="0" fontId="28" fillId="5" borderId="0" xfId="0" applyFont="1" applyFill="1" applyAlignment="1">
      <alignment horizontal="left"/>
    </xf>
    <xf numFmtId="0" fontId="30" fillId="5" borderId="0" xfId="0" applyFont="1" applyFill="1" applyAlignment="1">
      <alignment horizontal="left"/>
    </xf>
    <xf numFmtId="0" fontId="3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9" xfId="0" applyFill="1" applyBorder="1"/>
    <xf numFmtId="164" fontId="7" fillId="5" borderId="0" xfId="8" applyNumberFormat="1" applyFont="1" applyFill="1" applyAlignment="1">
      <alignment vertical="center" wrapText="1"/>
    </xf>
    <xf numFmtId="164" fontId="7" fillId="5" borderId="0" xfId="8" applyNumberFormat="1" applyFont="1" applyFill="1" applyAlignment="1">
      <alignment horizontal="left" vertical="center"/>
    </xf>
    <xf numFmtId="164" fontId="9" fillId="5" borderId="0" xfId="8" applyNumberFormat="1" applyFont="1" applyFill="1" applyAlignment="1">
      <alignment horizontal="center" vertical="center"/>
    </xf>
    <xf numFmtId="164" fontId="9" fillId="5" borderId="0" xfId="8" applyNumberFormat="1" applyFont="1" applyFill="1" applyAlignment="1">
      <alignment horizontal="center" vertical="center" wrapText="1"/>
    </xf>
    <xf numFmtId="164" fontId="9" fillId="0" borderId="0" xfId="8" applyNumberFormat="1" applyFont="1" applyAlignment="1">
      <alignment horizontal="center" vertical="center"/>
    </xf>
    <xf numFmtId="0" fontId="0" fillId="4" borderId="0" xfId="0" applyFill="1"/>
    <xf numFmtId="0" fontId="28" fillId="4" borderId="0" xfId="0" applyFont="1" applyFill="1" applyAlignment="1">
      <alignment horizontal="left"/>
    </xf>
    <xf numFmtId="0" fontId="30" fillId="7" borderId="0" xfId="0" applyFont="1" applyFill="1" applyAlignment="1">
      <alignment horizontal="center"/>
    </xf>
    <xf numFmtId="0" fontId="30" fillId="19" borderId="0" xfId="0" applyFont="1" applyFill="1" applyAlignment="1">
      <alignment horizontal="center"/>
    </xf>
    <xf numFmtId="0" fontId="30" fillId="18" borderId="0" xfId="0" applyFont="1" applyFill="1" applyAlignment="1">
      <alignment horizontal="center"/>
    </xf>
    <xf numFmtId="164" fontId="56" fillId="4" borderId="0" xfId="8" applyNumberFormat="1" applyFont="1" applyFill="1" applyAlignment="1">
      <alignment horizontal="center" vertical="center" wrapText="1"/>
    </xf>
    <xf numFmtId="164" fontId="24" fillId="4" borderId="0" xfId="8" applyNumberFormat="1" applyFont="1" applyFill="1" applyAlignment="1">
      <alignment horizontal="center" vertical="center" wrapText="1"/>
    </xf>
    <xf numFmtId="0" fontId="0" fillId="22" borderId="0" xfId="0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0" fillId="0" borderId="0" xfId="0" applyAlignment="1">
      <alignment vertical="center"/>
    </xf>
    <xf numFmtId="0" fontId="0" fillId="23" borderId="0" xfId="0" quotePrefix="1" applyFill="1" applyAlignment="1">
      <alignment horizontal="left" vertical="center" wrapText="1"/>
    </xf>
    <xf numFmtId="0" fontId="0" fillId="23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59" fillId="2" borderId="0" xfId="0" quotePrefix="1" applyFont="1" applyFill="1" applyAlignment="1">
      <alignment horizontal="left" vertical="center" wrapText="1"/>
    </xf>
    <xf numFmtId="0" fontId="0" fillId="2" borderId="7" xfId="0" applyFill="1" applyBorder="1"/>
    <xf numFmtId="1" fontId="0" fillId="2" borderId="7" xfId="0" applyNumberFormat="1" applyFill="1" applyBorder="1"/>
    <xf numFmtId="174" fontId="28" fillId="2" borderId="0" xfId="0" applyNumberFormat="1" applyFont="1" applyFill="1" applyAlignment="1">
      <alignment horizontal="right"/>
    </xf>
    <xf numFmtId="0" fontId="28" fillId="2" borderId="5" xfId="0" applyFont="1" applyFill="1" applyBorder="1"/>
    <xf numFmtId="177" fontId="28" fillId="2" borderId="5" xfId="0" applyNumberFormat="1" applyFont="1" applyFill="1" applyBorder="1"/>
    <xf numFmtId="0" fontId="28" fillId="4" borderId="0" xfId="0" applyFont="1" applyFill="1" applyAlignment="1">
      <alignment horizontal="left" vertical="center"/>
    </xf>
    <xf numFmtId="0" fontId="28" fillId="24" borderId="9" xfId="0" applyFont="1" applyFill="1" applyBorder="1" applyAlignment="1">
      <alignment horizontal="right"/>
    </xf>
    <xf numFmtId="174" fontId="28" fillId="2" borderId="0" xfId="0" applyNumberFormat="1" applyFont="1" applyFill="1"/>
    <xf numFmtId="164" fontId="61" fillId="0" borderId="0" xfId="0" applyNumberFormat="1" applyFont="1" applyAlignment="1">
      <alignment horizontal="left"/>
    </xf>
    <xf numFmtId="164" fontId="64" fillId="0" borderId="0" xfId="0" applyNumberFormat="1" applyFont="1"/>
    <xf numFmtId="164" fontId="64" fillId="3" borderId="0" xfId="0" applyNumberFormat="1" applyFont="1" applyFill="1"/>
    <xf numFmtId="164" fontId="47" fillId="3" borderId="0" xfId="0" applyNumberFormat="1" applyFont="1" applyFill="1" applyAlignment="1">
      <alignment horizontal="right"/>
    </xf>
    <xf numFmtId="164" fontId="64" fillId="4" borderId="0" xfId="0" applyNumberFormat="1" applyFont="1" applyFill="1"/>
    <xf numFmtId="164" fontId="61" fillId="4" borderId="0" xfId="0" applyNumberFormat="1" applyFont="1" applyFill="1" applyAlignment="1">
      <alignment horizontal="right"/>
    </xf>
    <xf numFmtId="164" fontId="64" fillId="5" borderId="0" xfId="0" applyNumberFormat="1" applyFont="1" applyFill="1"/>
    <xf numFmtId="164" fontId="61" fillId="5" borderId="0" xfId="0" applyNumberFormat="1" applyFont="1" applyFill="1" applyAlignment="1">
      <alignment horizontal="right"/>
    </xf>
    <xf numFmtId="164" fontId="65" fillId="7" borderId="0" xfId="0" applyNumberFormat="1" applyFont="1" applyFill="1"/>
    <xf numFmtId="164" fontId="65" fillId="5" borderId="0" xfId="0" applyNumberFormat="1" applyFont="1" applyFill="1"/>
    <xf numFmtId="164" fontId="61" fillId="0" borderId="0" xfId="0" applyNumberFormat="1" applyFont="1"/>
    <xf numFmtId="164" fontId="60" fillId="2" borderId="0" xfId="0" applyNumberFormat="1" applyFont="1" applyFill="1"/>
    <xf numFmtId="165" fontId="47" fillId="0" borderId="0" xfId="0" applyNumberFormat="1" applyFont="1"/>
    <xf numFmtId="165" fontId="47" fillId="5" borderId="0" xfId="0" applyNumberFormat="1" applyFont="1" applyFill="1"/>
    <xf numFmtId="165" fontId="63" fillId="2" borderId="0" xfId="0" applyNumberFormat="1" applyFont="1" applyFill="1"/>
    <xf numFmtId="164" fontId="44" fillId="5" borderId="0" xfId="0" applyNumberFormat="1" applyFont="1" applyFill="1"/>
    <xf numFmtId="164" fontId="62" fillId="2" borderId="0" xfId="0" applyNumberFormat="1" applyFont="1" applyFill="1"/>
    <xf numFmtId="164" fontId="47" fillId="5" borderId="0" xfId="0" applyNumberFormat="1" applyFont="1" applyFill="1"/>
    <xf numFmtId="164" fontId="63" fillId="2" borderId="0" xfId="0" applyNumberFormat="1" applyFont="1" applyFill="1"/>
    <xf numFmtId="164" fontId="44" fillId="0" borderId="0" xfId="0" applyNumberFormat="1" applyFont="1"/>
    <xf numFmtId="164" fontId="62" fillId="17" borderId="0" xfId="0" applyNumberFormat="1" applyFont="1" applyFill="1"/>
    <xf numFmtId="164" fontId="6" fillId="0" borderId="17" xfId="0" applyNumberFormat="1" applyFont="1" applyBorder="1"/>
    <xf numFmtId="164" fontId="6" fillId="0" borderId="18" xfId="0" applyNumberFormat="1" applyFont="1" applyBorder="1"/>
    <xf numFmtId="164" fontId="4" fillId="3" borderId="17" xfId="0" applyNumberFormat="1" applyFont="1" applyFill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3" borderId="18" xfId="0" applyNumberFormat="1" applyFont="1" applyFill="1" applyBorder="1" applyAlignment="1">
      <alignment horizontal="right"/>
    </xf>
    <xf numFmtId="164" fontId="7" fillId="4" borderId="17" xfId="0" applyNumberFormat="1" applyFont="1" applyFill="1" applyBorder="1" applyAlignment="1">
      <alignment horizontal="right"/>
    </xf>
    <xf numFmtId="164" fontId="7" fillId="4" borderId="0" xfId="0" applyNumberFormat="1" applyFont="1" applyFill="1" applyAlignment="1">
      <alignment horizontal="right"/>
    </xf>
    <xf numFmtId="164" fontId="7" fillId="4" borderId="18" xfId="0" applyNumberFormat="1" applyFont="1" applyFill="1" applyBorder="1" applyAlignment="1">
      <alignment horizontal="right"/>
    </xf>
    <xf numFmtId="164" fontId="6" fillId="5" borderId="17" xfId="0" applyNumberFormat="1" applyFont="1" applyFill="1" applyBorder="1"/>
    <xf numFmtId="164" fontId="7" fillId="5" borderId="0" xfId="0" applyNumberFormat="1" applyFont="1" applyFill="1" applyAlignment="1">
      <alignment horizontal="right"/>
    </xf>
    <xf numFmtId="164" fontId="7" fillId="5" borderId="18" xfId="0" applyNumberFormat="1" applyFont="1" applyFill="1" applyBorder="1" applyAlignment="1">
      <alignment horizontal="right"/>
    </xf>
    <xf numFmtId="164" fontId="9" fillId="19" borderId="17" xfId="0" applyNumberFormat="1" applyFont="1" applyFill="1" applyBorder="1"/>
    <xf numFmtId="164" fontId="9" fillId="19" borderId="0" xfId="0" applyNumberFormat="1" applyFont="1" applyFill="1"/>
    <xf numFmtId="164" fontId="9" fillId="19" borderId="18" xfId="0" applyNumberFormat="1" applyFont="1" applyFill="1" applyBorder="1"/>
    <xf numFmtId="164" fontId="7" fillId="5" borderId="17" xfId="0" applyNumberFormat="1" applyFont="1" applyFill="1" applyBorder="1"/>
    <xf numFmtId="164" fontId="9" fillId="5" borderId="0" xfId="0" applyNumberFormat="1" applyFont="1" applyFill="1"/>
    <xf numFmtId="164" fontId="9" fillId="5" borderId="18" xfId="0" applyNumberFormat="1" applyFont="1" applyFill="1" applyBorder="1"/>
    <xf numFmtId="164" fontId="7" fillId="0" borderId="17" xfId="0" applyNumberFormat="1" applyFont="1" applyBorder="1"/>
    <xf numFmtId="165" fontId="4" fillId="0" borderId="17" xfId="0" applyNumberFormat="1" applyFont="1" applyBorder="1"/>
    <xf numFmtId="164" fontId="13" fillId="5" borderId="17" xfId="0" applyNumberFormat="1" applyFont="1" applyFill="1" applyBorder="1"/>
    <xf numFmtId="164" fontId="13" fillId="5" borderId="0" xfId="0" applyNumberFormat="1" applyFont="1" applyFill="1"/>
    <xf numFmtId="164" fontId="7" fillId="5" borderId="19" xfId="0" applyNumberFormat="1" applyFont="1" applyFill="1" applyBorder="1"/>
    <xf numFmtId="165" fontId="4" fillId="5" borderId="17" xfId="0" applyNumberFormat="1" applyFont="1" applyFill="1" applyBorder="1"/>
    <xf numFmtId="165" fontId="4" fillId="5" borderId="0" xfId="0" applyNumberFormat="1" applyFont="1" applyFill="1"/>
    <xf numFmtId="164" fontId="4" fillId="5" borderId="17" xfId="0" applyNumberFormat="1" applyFont="1" applyFill="1" applyBorder="1"/>
    <xf numFmtId="164" fontId="4" fillId="5" borderId="0" xfId="0" applyNumberFormat="1" applyFont="1" applyFill="1"/>
    <xf numFmtId="164" fontId="13" fillId="0" borderId="17" xfId="0" applyNumberFormat="1" applyFont="1" applyBorder="1"/>
    <xf numFmtId="164" fontId="13" fillId="0" borderId="0" xfId="0" applyNumberFormat="1" applyFont="1"/>
    <xf numFmtId="164" fontId="7" fillId="5" borderId="21" xfId="0" applyNumberFormat="1" applyFont="1" applyFill="1" applyBorder="1"/>
    <xf numFmtId="165" fontId="4" fillId="5" borderId="23" xfId="0" applyNumberFormat="1" applyFont="1" applyFill="1" applyBorder="1"/>
    <xf numFmtId="165" fontId="4" fillId="5" borderId="9" xfId="0" applyNumberFormat="1" applyFont="1" applyFill="1" applyBorder="1"/>
    <xf numFmtId="164" fontId="9" fillId="18" borderId="17" xfId="0" applyNumberFormat="1" applyFont="1" applyFill="1" applyBorder="1"/>
    <xf numFmtId="164" fontId="9" fillId="18" borderId="0" xfId="0" applyNumberFormat="1" applyFont="1" applyFill="1"/>
    <xf numFmtId="164" fontId="9" fillId="18" borderId="18" xfId="0" applyNumberFormat="1" applyFont="1" applyFill="1" applyBorder="1"/>
    <xf numFmtId="164" fontId="9" fillId="7" borderId="25" xfId="0" applyNumberFormat="1" applyFont="1" applyFill="1" applyBorder="1"/>
    <xf numFmtId="164" fontId="9" fillId="7" borderId="15" xfId="0" applyNumberFormat="1" applyFont="1" applyFill="1" applyBorder="1"/>
    <xf numFmtId="164" fontId="9" fillId="7" borderId="16" xfId="0" applyNumberFormat="1" applyFont="1" applyFill="1" applyBorder="1"/>
    <xf numFmtId="164" fontId="6" fillId="0" borderId="17" xfId="0" applyNumberFormat="1" applyFont="1" applyBorder="1" applyAlignment="1">
      <alignment horizontal="left" indent="1"/>
    </xf>
    <xf numFmtId="164" fontId="6" fillId="17" borderId="0" xfId="0" applyNumberFormat="1" applyFont="1" applyFill="1"/>
    <xf numFmtId="164" fontId="6" fillId="17" borderId="18" xfId="0" applyNumberFormat="1" applyFont="1" applyFill="1" applyBorder="1"/>
    <xf numFmtId="164" fontId="7" fillId="0" borderId="19" xfId="0" applyNumberFormat="1" applyFont="1" applyBorder="1"/>
    <xf numFmtId="164" fontId="48" fillId="0" borderId="17" xfId="0" applyNumberFormat="1" applyFont="1" applyBorder="1" applyAlignment="1">
      <alignment horizontal="left" indent="1"/>
    </xf>
    <xf numFmtId="164" fontId="48" fillId="0" borderId="0" xfId="0" applyNumberFormat="1" applyFont="1"/>
    <xf numFmtId="164" fontId="49" fillId="0" borderId="19" xfId="0" applyNumberFormat="1" applyFont="1" applyBorder="1"/>
    <xf numFmtId="164" fontId="12" fillId="5" borderId="0" xfId="0" applyNumberFormat="1" applyFont="1" applyFill="1"/>
    <xf numFmtId="164" fontId="49" fillId="0" borderId="21" xfId="0" applyNumberFormat="1" applyFont="1" applyBorder="1"/>
    <xf numFmtId="164" fontId="49" fillId="0" borderId="17" xfId="0" applyNumberFormat="1" applyFont="1" applyBorder="1"/>
    <xf numFmtId="164" fontId="49" fillId="0" borderId="0" xfId="0" applyNumberFormat="1" applyFont="1"/>
    <xf numFmtId="164" fontId="49" fillId="0" borderId="17" xfId="0" applyNumberFormat="1" applyFont="1" applyBorder="1" applyAlignment="1">
      <alignment horizontal="left" indent="1"/>
    </xf>
    <xf numFmtId="164" fontId="7" fillId="0" borderId="26" xfId="0" applyNumberFormat="1" applyFont="1" applyBorder="1"/>
    <xf numFmtId="164" fontId="7" fillId="0" borderId="23" xfId="0" applyNumberFormat="1" applyFont="1" applyBorder="1"/>
    <xf numFmtId="164" fontId="7" fillId="0" borderId="9" xfId="0" applyNumberFormat="1" applyFont="1" applyBorder="1"/>
    <xf numFmtId="164" fontId="7" fillId="5" borderId="9" xfId="0" applyNumberFormat="1" applyFont="1" applyFill="1" applyBorder="1"/>
    <xf numFmtId="164" fontId="9" fillId="5" borderId="17" xfId="0" applyNumberFormat="1" applyFont="1" applyFill="1" applyBorder="1"/>
    <xf numFmtId="164" fontId="9" fillId="2" borderId="0" xfId="0" applyNumberFormat="1" applyFont="1" applyFill="1"/>
    <xf numFmtId="0" fontId="0" fillId="2" borderId="18" xfId="0" applyFill="1" applyBorder="1"/>
    <xf numFmtId="164" fontId="7" fillId="2" borderId="0" xfId="0" applyNumberFormat="1" applyFont="1" applyFill="1"/>
    <xf numFmtId="164" fontId="7" fillId="2" borderId="18" xfId="0" applyNumberFormat="1" applyFont="1" applyFill="1" applyBorder="1"/>
    <xf numFmtId="164" fontId="6" fillId="0" borderId="17" xfId="0" quotePrefix="1" applyNumberFormat="1" applyFont="1" applyBorder="1" applyAlignment="1">
      <alignment horizontal="left" indent="1"/>
    </xf>
    <xf numFmtId="164" fontId="6" fillId="2" borderId="0" xfId="0" applyNumberFormat="1" applyFont="1" applyFill="1"/>
    <xf numFmtId="164" fontId="6" fillId="2" borderId="18" xfId="0" applyNumberFormat="1" applyFont="1" applyFill="1" applyBorder="1"/>
    <xf numFmtId="164" fontId="7" fillId="0" borderId="27" xfId="0" applyNumberFormat="1" applyFont="1" applyBorder="1"/>
    <xf numFmtId="164" fontId="7" fillId="2" borderId="28" xfId="0" applyNumberFormat="1" applyFont="1" applyFill="1" applyBorder="1"/>
    <xf numFmtId="164" fontId="7" fillId="2" borderId="20" xfId="0" applyNumberFormat="1" applyFont="1" applyFill="1" applyBorder="1"/>
    <xf numFmtId="9" fontId="7" fillId="0" borderId="0" xfId="1" applyFont="1" applyBorder="1"/>
    <xf numFmtId="9" fontId="7" fillId="2" borderId="0" xfId="1" applyFont="1" applyFill="1" applyBorder="1"/>
    <xf numFmtId="9" fontId="7" fillId="2" borderId="18" xfId="1" applyFont="1" applyFill="1" applyBorder="1"/>
    <xf numFmtId="164" fontId="7" fillId="0" borderId="21" xfId="0" applyNumberFormat="1" applyFont="1" applyBorder="1"/>
    <xf numFmtId="164" fontId="7" fillId="2" borderId="22" xfId="0" applyNumberFormat="1" applyFont="1" applyFill="1" applyBorder="1"/>
    <xf numFmtId="0" fontId="0" fillId="0" borderId="17" xfId="0" applyBorder="1"/>
    <xf numFmtId="0" fontId="0" fillId="0" borderId="18" xfId="0" applyBorder="1"/>
    <xf numFmtId="164" fontId="7" fillId="0" borderId="29" xfId="0" applyNumberFormat="1" applyFont="1" applyBorder="1"/>
    <xf numFmtId="164" fontId="7" fillId="0" borderId="30" xfId="0" applyNumberFormat="1" applyFont="1" applyBorder="1"/>
    <xf numFmtId="164" fontId="7" fillId="2" borderId="30" xfId="0" applyNumberFormat="1" applyFont="1" applyFill="1" applyBorder="1"/>
    <xf numFmtId="164" fontId="7" fillId="2" borderId="31" xfId="0" applyNumberFormat="1" applyFont="1" applyFill="1" applyBorder="1"/>
    <xf numFmtId="164" fontId="9" fillId="19" borderId="25" xfId="0" applyNumberFormat="1" applyFont="1" applyFill="1" applyBorder="1" applyAlignment="1">
      <alignment horizontal="right"/>
    </xf>
    <xf numFmtId="164" fontId="9" fillId="19" borderId="15" xfId="0" applyNumberFormat="1" applyFont="1" applyFill="1" applyBorder="1" applyAlignment="1">
      <alignment horizontal="right"/>
    </xf>
    <xf numFmtId="164" fontId="9" fillId="19" borderId="16" xfId="0" applyNumberFormat="1" applyFont="1" applyFill="1" applyBorder="1" applyAlignment="1">
      <alignment horizontal="right"/>
    </xf>
    <xf numFmtId="164" fontId="61" fillId="0" borderId="29" xfId="0" applyNumberFormat="1" applyFont="1" applyBorder="1"/>
    <xf numFmtId="164" fontId="61" fillId="0" borderId="30" xfId="0" applyNumberFormat="1" applyFont="1" applyBorder="1"/>
    <xf numFmtId="164" fontId="48" fillId="0" borderId="17" xfId="0" applyNumberFormat="1" applyFont="1" applyBorder="1"/>
    <xf numFmtId="170" fontId="49" fillId="0" borderId="21" xfId="0" applyNumberFormat="1" applyFont="1" applyBorder="1"/>
    <xf numFmtId="164" fontId="7" fillId="5" borderId="26" xfId="0" applyNumberFormat="1" applyFont="1" applyFill="1" applyBorder="1"/>
    <xf numFmtId="164" fontId="7" fillId="5" borderId="23" xfId="0" applyNumberFormat="1" applyFont="1" applyFill="1" applyBorder="1"/>
    <xf numFmtId="164" fontId="9" fillId="18" borderId="25" xfId="0" applyNumberFormat="1" applyFont="1" applyFill="1" applyBorder="1" applyAlignment="1">
      <alignment horizontal="right"/>
    </xf>
    <xf numFmtId="164" fontId="9" fillId="18" borderId="15" xfId="0" applyNumberFormat="1" applyFont="1" applyFill="1" applyBorder="1" applyAlignment="1">
      <alignment horizontal="right"/>
    </xf>
    <xf numFmtId="164" fontId="9" fillId="18" borderId="16" xfId="0" applyNumberFormat="1" applyFont="1" applyFill="1" applyBorder="1" applyAlignment="1">
      <alignment horizontal="right"/>
    </xf>
    <xf numFmtId="164" fontId="69" fillId="0" borderId="0" xfId="0" applyNumberFormat="1" applyFont="1" applyAlignment="1">
      <alignment horizontal="right"/>
    </xf>
    <xf numFmtId="173" fontId="29" fillId="0" borderId="0" xfId="0" applyNumberFormat="1" applyFont="1"/>
    <xf numFmtId="173" fontId="70" fillId="9" borderId="0" xfId="0" applyNumberFormat="1" applyFont="1" applyFill="1"/>
    <xf numFmtId="172" fontId="70" fillId="9" borderId="0" xfId="0" applyNumberFormat="1" applyFont="1" applyFill="1"/>
    <xf numFmtId="164" fontId="71" fillId="17" borderId="0" xfId="0" applyNumberFormat="1" applyFont="1" applyFill="1"/>
    <xf numFmtId="164" fontId="71" fillId="17" borderId="18" xfId="0" applyNumberFormat="1" applyFont="1" applyFill="1" applyBorder="1"/>
    <xf numFmtId="164" fontId="72" fillId="17" borderId="0" xfId="0" applyNumberFormat="1" applyFont="1" applyFill="1"/>
    <xf numFmtId="164" fontId="72" fillId="17" borderId="18" xfId="0" applyNumberFormat="1" applyFont="1" applyFill="1" applyBorder="1"/>
    <xf numFmtId="164" fontId="72" fillId="17" borderId="9" xfId="0" applyNumberFormat="1" applyFont="1" applyFill="1" applyBorder="1"/>
    <xf numFmtId="164" fontId="72" fillId="17" borderId="24" xfId="0" applyNumberFormat="1" applyFont="1" applyFill="1" applyBorder="1"/>
    <xf numFmtId="170" fontId="72" fillId="17" borderId="0" xfId="0" applyNumberFormat="1" applyFont="1" applyFill="1"/>
    <xf numFmtId="170" fontId="72" fillId="17" borderId="18" xfId="0" applyNumberFormat="1" applyFont="1" applyFill="1" applyBorder="1"/>
    <xf numFmtId="0" fontId="28" fillId="16" borderId="32" xfId="0" applyFont="1" applyFill="1" applyBorder="1" applyAlignment="1">
      <alignment horizontal="right"/>
    </xf>
    <xf numFmtId="43" fontId="28" fillId="0" borderId="0" xfId="0" applyNumberFormat="1" applyFont="1"/>
    <xf numFmtId="10" fontId="28" fillId="0" borderId="0" xfId="0" applyNumberFormat="1" applyFont="1"/>
    <xf numFmtId="0" fontId="14" fillId="6" borderId="0" xfId="0" applyFont="1" applyFill="1" applyAlignment="1">
      <alignment horizontal="left" vertical="center" wrapText="1"/>
    </xf>
    <xf numFmtId="0" fontId="0" fillId="6" borderId="0" xfId="0" applyFill="1" applyAlignment="1">
      <alignment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 indent="2"/>
    </xf>
    <xf numFmtId="4" fontId="16" fillId="0" borderId="0" xfId="0" applyNumberFormat="1" applyFont="1" applyAlignment="1">
      <alignment horizontal="right" vertical="center" wrapText="1"/>
    </xf>
    <xf numFmtId="4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 indent="4"/>
    </xf>
    <xf numFmtId="166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 indent="6"/>
    </xf>
    <xf numFmtId="0" fontId="15" fillId="0" borderId="0" xfId="0" applyFont="1" applyAlignment="1">
      <alignment vertical="center" wrapText="1"/>
    </xf>
    <xf numFmtId="0" fontId="25" fillId="8" borderId="0" xfId="0" applyFont="1" applyFill="1"/>
    <xf numFmtId="0" fontId="26" fillId="8" borderId="0" xfId="0" applyFont="1" applyFill="1"/>
    <xf numFmtId="0" fontId="15" fillId="0" borderId="0" xfId="0" applyFont="1"/>
    <xf numFmtId="0" fontId="26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169" fontId="15" fillId="0" borderId="0" xfId="0" applyNumberFormat="1" applyFont="1" applyAlignment="1">
      <alignment horizontal="center" vertical="center" wrapText="1"/>
    </xf>
    <xf numFmtId="0" fontId="26" fillId="25" borderId="0" xfId="0" applyFont="1" applyFill="1" applyAlignment="1">
      <alignment wrapText="1"/>
    </xf>
    <xf numFmtId="0" fontId="15" fillId="0" borderId="0" xfId="0" applyFont="1" applyAlignment="1">
      <alignment horizontal="left" vertical="center" wrapText="1" indent="8"/>
    </xf>
    <xf numFmtId="0" fontId="27" fillId="0" borderId="0" xfId="0" applyFont="1" applyAlignment="1">
      <alignment vertical="center" wrapText="1"/>
    </xf>
    <xf numFmtId="166" fontId="73" fillId="0" borderId="0" xfId="0" applyNumberFormat="1" applyFont="1" applyAlignment="1">
      <alignment horizontal="right" vertical="center" wrapText="1"/>
    </xf>
    <xf numFmtId="4" fontId="73" fillId="0" borderId="0" xfId="0" applyNumberFormat="1" applyFont="1" applyAlignment="1">
      <alignment horizontal="right" vertical="center" wrapText="1"/>
    </xf>
    <xf numFmtId="4" fontId="74" fillId="0" borderId="0" xfId="0" applyNumberFormat="1" applyFont="1" applyAlignment="1">
      <alignment horizontal="right" vertical="center" wrapText="1"/>
    </xf>
    <xf numFmtId="166" fontId="74" fillId="0" borderId="0" xfId="0" applyNumberFormat="1" applyFont="1" applyAlignment="1">
      <alignment horizontal="right" vertical="center" wrapText="1"/>
    </xf>
    <xf numFmtId="3" fontId="74" fillId="0" borderId="0" xfId="0" applyNumberFormat="1" applyFont="1" applyAlignment="1">
      <alignment horizontal="right" vertical="center" wrapText="1"/>
    </xf>
    <xf numFmtId="3" fontId="73" fillId="0" borderId="0" xfId="0" applyNumberFormat="1" applyFont="1" applyAlignment="1">
      <alignment horizontal="right" vertical="center" wrapText="1"/>
    </xf>
    <xf numFmtId="0" fontId="73" fillId="6" borderId="0" xfId="0" applyFont="1" applyFill="1" applyAlignment="1">
      <alignment horizontal="left" vertical="center" wrapText="1"/>
    </xf>
    <xf numFmtId="0" fontId="74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 indent="2"/>
    </xf>
    <xf numFmtId="0" fontId="73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 indent="4"/>
    </xf>
    <xf numFmtId="0" fontId="25" fillId="25" borderId="0" xfId="0" applyFont="1" applyFill="1" applyAlignment="1">
      <alignment wrapText="1"/>
    </xf>
    <xf numFmtId="0" fontId="25" fillId="25" borderId="0" xfId="0" applyFont="1" applyFill="1" applyAlignment="1">
      <alignment horizontal="left" vertical="center" wrapText="1"/>
    </xf>
    <xf numFmtId="0" fontId="25" fillId="25" borderId="0" xfId="0" applyFont="1" applyFill="1" applyAlignment="1">
      <alignment horizontal="right" vertical="center" wrapText="1"/>
    </xf>
    <xf numFmtId="0" fontId="25" fillId="25" borderId="0" xfId="0" applyFont="1" applyFill="1" applyAlignment="1">
      <alignment horizontal="right" wrapText="1"/>
    </xf>
    <xf numFmtId="164" fontId="19" fillId="23" borderId="0" xfId="0" applyNumberFormat="1" applyFont="1" applyFill="1"/>
    <xf numFmtId="164" fontId="19" fillId="23" borderId="18" xfId="0" applyNumberFormat="1" applyFont="1" applyFill="1" applyBorder="1"/>
    <xf numFmtId="165" fontId="20" fillId="23" borderId="0" xfId="0" applyNumberFormat="1" applyFont="1" applyFill="1"/>
    <xf numFmtId="165" fontId="20" fillId="23" borderId="18" xfId="0" applyNumberFormat="1" applyFont="1" applyFill="1" applyBorder="1"/>
    <xf numFmtId="164" fontId="21" fillId="23" borderId="0" xfId="0" applyNumberFormat="1" applyFont="1" applyFill="1"/>
    <xf numFmtId="164" fontId="21" fillId="23" borderId="18" xfId="0" applyNumberFormat="1" applyFont="1" applyFill="1" applyBorder="1"/>
    <xf numFmtId="164" fontId="19" fillId="23" borderId="1" xfId="0" applyNumberFormat="1" applyFont="1" applyFill="1" applyBorder="1"/>
    <xf numFmtId="164" fontId="19" fillId="23" borderId="20" xfId="0" applyNumberFormat="1" applyFont="1" applyFill="1" applyBorder="1"/>
    <xf numFmtId="164" fontId="20" fillId="23" borderId="0" xfId="0" applyNumberFormat="1" applyFont="1" applyFill="1"/>
    <xf numFmtId="164" fontId="20" fillId="23" borderId="18" xfId="0" applyNumberFormat="1" applyFont="1" applyFill="1" applyBorder="1"/>
    <xf numFmtId="164" fontId="19" fillId="23" borderId="2" xfId="0" applyNumberFormat="1" applyFont="1" applyFill="1" applyBorder="1"/>
    <xf numFmtId="164" fontId="19" fillId="23" borderId="22" xfId="0" applyNumberFormat="1" applyFont="1" applyFill="1" applyBorder="1"/>
    <xf numFmtId="165" fontId="20" fillId="23" borderId="9" xfId="0" applyNumberFormat="1" applyFont="1" applyFill="1" applyBorder="1"/>
    <xf numFmtId="165" fontId="20" fillId="23" borderId="24" xfId="0" applyNumberFormat="1" applyFont="1" applyFill="1" applyBorder="1"/>
    <xf numFmtId="164" fontId="7" fillId="23" borderId="0" xfId="0" applyNumberFormat="1" applyFont="1" applyFill="1"/>
    <xf numFmtId="164" fontId="7" fillId="23" borderId="18" xfId="0" applyNumberFormat="1" applyFont="1" applyFill="1" applyBorder="1"/>
    <xf numFmtId="164" fontId="6" fillId="23" borderId="0" xfId="0" applyNumberFormat="1" applyFont="1" applyFill="1"/>
    <xf numFmtId="164" fontId="6" fillId="23" borderId="18" xfId="0" applyNumberFormat="1" applyFont="1" applyFill="1" applyBorder="1"/>
    <xf numFmtId="164" fontId="7" fillId="23" borderId="5" xfId="0" applyNumberFormat="1" applyFont="1" applyFill="1" applyBorder="1"/>
    <xf numFmtId="164" fontId="7" fillId="23" borderId="28" xfId="0" applyNumberFormat="1" applyFont="1" applyFill="1" applyBorder="1"/>
    <xf numFmtId="0" fontId="0" fillId="23" borderId="0" xfId="0" applyFill="1"/>
    <xf numFmtId="164" fontId="7" fillId="23" borderId="1" xfId="0" applyNumberFormat="1" applyFont="1" applyFill="1" applyBorder="1"/>
    <xf numFmtId="164" fontId="7" fillId="23" borderId="20" xfId="0" applyNumberFormat="1" applyFont="1" applyFill="1" applyBorder="1"/>
    <xf numFmtId="9" fontId="7" fillId="23" borderId="0" xfId="1" applyFont="1" applyFill="1" applyBorder="1"/>
    <xf numFmtId="9" fontId="7" fillId="23" borderId="18" xfId="1" applyFont="1" applyFill="1" applyBorder="1"/>
    <xf numFmtId="164" fontId="7" fillId="23" borderId="2" xfId="0" applyNumberFormat="1" applyFont="1" applyFill="1" applyBorder="1"/>
    <xf numFmtId="164" fontId="7" fillId="23" borderId="22" xfId="0" applyNumberFormat="1" applyFont="1" applyFill="1" applyBorder="1"/>
    <xf numFmtId="0" fontId="0" fillId="23" borderId="18" xfId="0" applyFill="1" applyBorder="1"/>
    <xf numFmtId="164" fontId="61" fillId="23" borderId="30" xfId="0" applyNumberFormat="1" applyFont="1" applyFill="1" applyBorder="1"/>
    <xf numFmtId="164" fontId="61" fillId="23" borderId="31" xfId="0" applyNumberFormat="1" applyFont="1" applyFill="1" applyBorder="1"/>
    <xf numFmtId="164" fontId="7" fillId="22" borderId="0" xfId="0" applyNumberFormat="1" applyFont="1" applyFill="1"/>
    <xf numFmtId="164" fontId="7" fillId="22" borderId="18" xfId="0" applyNumberFormat="1" applyFont="1" applyFill="1" applyBorder="1"/>
    <xf numFmtId="164" fontId="6" fillId="22" borderId="0" xfId="0" applyNumberFormat="1" applyFont="1" applyFill="1"/>
    <xf numFmtId="164" fontId="6" fillId="22" borderId="18" xfId="0" applyNumberFormat="1" applyFont="1" applyFill="1" applyBorder="1"/>
    <xf numFmtId="164" fontId="7" fillId="22" borderId="5" xfId="0" applyNumberFormat="1" applyFont="1" applyFill="1" applyBorder="1"/>
    <xf numFmtId="164" fontId="7" fillId="22" borderId="28" xfId="0" applyNumberFormat="1" applyFont="1" applyFill="1" applyBorder="1"/>
    <xf numFmtId="0" fontId="0" fillId="22" borderId="0" xfId="0" applyFill="1"/>
    <xf numFmtId="164" fontId="7" fillId="22" borderId="1" xfId="0" applyNumberFormat="1" applyFont="1" applyFill="1" applyBorder="1"/>
    <xf numFmtId="164" fontId="7" fillId="22" borderId="20" xfId="0" applyNumberFormat="1" applyFont="1" applyFill="1" applyBorder="1"/>
    <xf numFmtId="9" fontId="7" fillId="22" borderId="0" xfId="1" applyFont="1" applyFill="1" applyBorder="1"/>
    <xf numFmtId="9" fontId="7" fillId="22" borderId="18" xfId="1" applyFont="1" applyFill="1" applyBorder="1"/>
    <xf numFmtId="164" fontId="7" fillId="22" borderId="2" xfId="0" applyNumberFormat="1" applyFont="1" applyFill="1" applyBorder="1"/>
    <xf numFmtId="164" fontId="7" fillId="22" borderId="22" xfId="0" applyNumberFormat="1" applyFont="1" applyFill="1" applyBorder="1"/>
    <xf numFmtId="0" fontId="0" fillId="22" borderId="18" xfId="0" applyFill="1" applyBorder="1"/>
    <xf numFmtId="164" fontId="61" fillId="22" borderId="30" xfId="0" applyNumberFormat="1" applyFont="1" applyFill="1" applyBorder="1"/>
    <xf numFmtId="164" fontId="61" fillId="22" borderId="31" xfId="0" applyNumberFormat="1" applyFont="1" applyFill="1" applyBorder="1"/>
    <xf numFmtId="164" fontId="19" fillId="22" borderId="0" xfId="0" applyNumberFormat="1" applyFont="1" applyFill="1"/>
    <xf numFmtId="164" fontId="19" fillId="22" borderId="18" xfId="0" applyNumberFormat="1" applyFont="1" applyFill="1" applyBorder="1"/>
    <xf numFmtId="165" fontId="20" fillId="22" borderId="0" xfId="0" applyNumberFormat="1" applyFont="1" applyFill="1"/>
    <xf numFmtId="165" fontId="20" fillId="22" borderId="18" xfId="0" applyNumberFormat="1" applyFont="1" applyFill="1" applyBorder="1"/>
    <xf numFmtId="164" fontId="21" fillId="22" borderId="0" xfId="0" applyNumberFormat="1" applyFont="1" applyFill="1"/>
    <xf numFmtId="164" fontId="21" fillId="22" borderId="18" xfId="0" applyNumberFormat="1" applyFont="1" applyFill="1" applyBorder="1"/>
    <xf numFmtId="164" fontId="19" fillId="22" borderId="1" xfId="0" applyNumberFormat="1" applyFont="1" applyFill="1" applyBorder="1"/>
    <xf numFmtId="164" fontId="19" fillId="22" borderId="20" xfId="0" applyNumberFormat="1" applyFont="1" applyFill="1" applyBorder="1"/>
    <xf numFmtId="164" fontId="20" fillId="22" borderId="0" xfId="0" applyNumberFormat="1" applyFont="1" applyFill="1"/>
    <xf numFmtId="164" fontId="20" fillId="22" borderId="18" xfId="0" applyNumberFormat="1" applyFont="1" applyFill="1" applyBorder="1"/>
    <xf numFmtId="164" fontId="19" fillId="22" borderId="2" xfId="0" applyNumberFormat="1" applyFont="1" applyFill="1" applyBorder="1"/>
    <xf numFmtId="164" fontId="19" fillId="22" borderId="22" xfId="0" applyNumberFormat="1" applyFont="1" applyFill="1" applyBorder="1"/>
    <xf numFmtId="165" fontId="20" fillId="22" borderId="9" xfId="0" applyNumberFormat="1" applyFont="1" applyFill="1" applyBorder="1"/>
    <xf numFmtId="165" fontId="20" fillId="22" borderId="24" xfId="0" applyNumberFormat="1" applyFont="1" applyFill="1" applyBorder="1"/>
    <xf numFmtId="0" fontId="2" fillId="2" borderId="0" xfId="0" quotePrefix="1" applyFont="1" applyFill="1" applyAlignment="1">
      <alignment vertical="center" wrapText="1"/>
    </xf>
    <xf numFmtId="0" fontId="78" fillId="21" borderId="0" xfId="0" applyFont="1" applyFill="1"/>
    <xf numFmtId="0" fontId="76" fillId="26" borderId="9" xfId="0" applyFont="1" applyFill="1" applyBorder="1" applyAlignment="1">
      <alignment horizontal="right"/>
    </xf>
    <xf numFmtId="0" fontId="76" fillId="26" borderId="9" xfId="0" applyFont="1" applyFill="1" applyBorder="1" applyAlignment="1">
      <alignment horizontal="right" vertical="top"/>
    </xf>
    <xf numFmtId="0" fontId="30" fillId="26" borderId="0" xfId="0" applyFont="1" applyFill="1"/>
    <xf numFmtId="0" fontId="30" fillId="26" borderId="0" xfId="0" applyFont="1" applyFill="1" applyAlignment="1">
      <alignment horizontal="right"/>
    </xf>
    <xf numFmtId="0" fontId="79" fillId="26" borderId="0" xfId="0" applyFont="1" applyFill="1"/>
    <xf numFmtId="0" fontId="76" fillId="11" borderId="0" xfId="0" applyFont="1" applyFill="1"/>
    <xf numFmtId="0" fontId="76" fillId="11" borderId="0" xfId="0" applyFont="1" applyFill="1" applyAlignment="1">
      <alignment horizontal="right"/>
    </xf>
    <xf numFmtId="0" fontId="79" fillId="11" borderId="0" xfId="0" applyFont="1" applyFill="1"/>
    <xf numFmtId="0" fontId="79" fillId="11" borderId="0" xfId="0" applyFont="1" applyFill="1" applyAlignment="1">
      <alignment horizontal="right"/>
    </xf>
    <xf numFmtId="0" fontId="80" fillId="26" borderId="0" xfId="0" applyFont="1" applyFill="1"/>
    <xf numFmtId="0" fontId="80" fillId="26" borderId="7" xfId="0" applyFont="1" applyFill="1" applyBorder="1"/>
    <xf numFmtId="0" fontId="81" fillId="26" borderId="7" xfId="6" applyFont="1" applyFill="1" applyBorder="1">
      <alignment horizontal="centerContinuous" vertical="center"/>
    </xf>
    <xf numFmtId="0" fontId="82" fillId="26" borderId="7" xfId="6" applyFont="1" applyFill="1" applyBorder="1">
      <alignment horizontal="centerContinuous" vertical="center"/>
    </xf>
    <xf numFmtId="0" fontId="1" fillId="0" borderId="0" xfId="0" applyFont="1"/>
    <xf numFmtId="14" fontId="1" fillId="0" borderId="0" xfId="0" applyNumberFormat="1" applyFont="1"/>
    <xf numFmtId="176" fontId="1" fillId="0" borderId="0" xfId="0" applyNumberFormat="1" applyFont="1"/>
    <xf numFmtId="15" fontId="1" fillId="0" borderId="0" xfId="0" applyNumberFormat="1" applyFont="1"/>
    <xf numFmtId="10" fontId="1" fillId="0" borderId="0" xfId="0" applyNumberFormat="1" applyFont="1"/>
    <xf numFmtId="4" fontId="1" fillId="12" borderId="0" xfId="0" applyNumberFormat="1" applyFont="1" applyFill="1"/>
    <xf numFmtId="174" fontId="1" fillId="0" borderId="0" xfId="0" applyNumberFormat="1" applyFont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12" borderId="4" xfId="0" applyFont="1" applyFill="1" applyBorder="1"/>
    <xf numFmtId="170" fontId="1" fillId="0" borderId="4" xfId="0" applyNumberFormat="1" applyFont="1" applyBorder="1"/>
    <xf numFmtId="170" fontId="1" fillId="0" borderId="0" xfId="0" applyNumberFormat="1" applyFont="1"/>
    <xf numFmtId="174" fontId="1" fillId="0" borderId="4" xfId="0" applyNumberFormat="1" applyFont="1" applyBorder="1"/>
    <xf numFmtId="175" fontId="1" fillId="0" borderId="0" xfId="5" applyNumberFormat="1" applyFont="1"/>
    <xf numFmtId="171" fontId="1" fillId="0" borderId="0" xfId="5" applyNumberFormat="1" applyFont="1"/>
    <xf numFmtId="2" fontId="1" fillId="0" borderId="4" xfId="5" applyNumberFormat="1" applyFont="1" applyBorder="1"/>
    <xf numFmtId="175" fontId="1" fillId="0" borderId="4" xfId="5" applyNumberFormat="1" applyFont="1" applyBorder="1"/>
    <xf numFmtId="0" fontId="77" fillId="0" borderId="0" xfId="0" applyFont="1"/>
    <xf numFmtId="174" fontId="77" fillId="0" borderId="0" xfId="5" applyNumberFormat="1" applyFont="1"/>
    <xf numFmtId="178" fontId="83" fillId="0" borderId="0" xfId="0" applyNumberFormat="1" applyFont="1" applyAlignment="1">
      <alignment horizontal="center"/>
    </xf>
    <xf numFmtId="182" fontId="83" fillId="0" borderId="7" xfId="0" applyNumberFormat="1" applyFont="1" applyBorder="1" applyAlignment="1">
      <alignment horizontal="center"/>
    </xf>
    <xf numFmtId="183" fontId="84" fillId="15" borderId="12" xfId="7" applyNumberFormat="1" applyFont="1" applyFill="1" applyBorder="1" applyAlignment="1">
      <alignment horizontal="center"/>
    </xf>
    <xf numFmtId="9" fontId="83" fillId="0" borderId="10" xfId="1" applyFont="1" applyBorder="1" applyAlignment="1">
      <alignment horizontal="center"/>
    </xf>
    <xf numFmtId="168" fontId="83" fillId="0" borderId="0" xfId="3" applyFont="1" applyAlignment="1">
      <alignment horizontal="center"/>
    </xf>
    <xf numFmtId="168" fontId="83" fillId="2" borderId="0" xfId="3" applyFont="1" applyFill="1" applyAlignment="1">
      <alignment horizontal="center"/>
    </xf>
    <xf numFmtId="9" fontId="84" fillId="0" borderId="10" xfId="1" applyFont="1" applyBorder="1" applyAlignment="1">
      <alignment horizontal="center"/>
    </xf>
    <xf numFmtId="168" fontId="83" fillId="9" borderId="0" xfId="3" applyFont="1" applyFill="1" applyAlignment="1">
      <alignment horizontal="center"/>
    </xf>
    <xf numFmtId="9" fontId="83" fillId="0" borderId="0" xfId="1" applyFont="1" applyAlignment="1">
      <alignment horizontal="center"/>
    </xf>
    <xf numFmtId="167" fontId="83" fillId="0" borderId="0" xfId="3" applyNumberFormat="1" applyFont="1" applyAlignment="1">
      <alignment horizontal="center"/>
    </xf>
    <xf numFmtId="167" fontId="83" fillId="2" borderId="0" xfId="3" applyNumberFormat="1" applyFont="1" applyFill="1" applyAlignment="1">
      <alignment horizontal="center"/>
    </xf>
    <xf numFmtId="9" fontId="84" fillId="15" borderId="11" xfId="1" applyFont="1" applyFill="1" applyBorder="1" applyAlignment="1">
      <alignment horizontal="center"/>
    </xf>
    <xf numFmtId="167" fontId="83" fillId="9" borderId="0" xfId="3" applyNumberFormat="1" applyFont="1" applyFill="1" applyAlignment="1">
      <alignment horizontal="center"/>
    </xf>
    <xf numFmtId="0" fontId="77" fillId="16" borderId="32" xfId="0" applyFont="1" applyFill="1" applyBorder="1"/>
    <xf numFmtId="0" fontId="0" fillId="16" borderId="32" xfId="0" applyFill="1" applyBorder="1"/>
    <xf numFmtId="0" fontId="1" fillId="0" borderId="0" xfId="0" applyFont="1" applyAlignment="1">
      <alignment horizontal="left" indent="1"/>
    </xf>
    <xf numFmtId="0" fontId="3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70" fontId="0" fillId="0" borderId="0" xfId="5" applyNumberFormat="1" applyFont="1"/>
    <xf numFmtId="0" fontId="77" fillId="0" borderId="0" xfId="0" applyFont="1" applyAlignment="1">
      <alignment horizontal="left" indent="1"/>
    </xf>
    <xf numFmtId="0" fontId="1" fillId="0" borderId="32" xfId="0" applyFont="1" applyBorder="1" applyAlignment="1">
      <alignment horizontal="left" indent="1"/>
    </xf>
    <xf numFmtId="0" fontId="0" fillId="0" borderId="32" xfId="0" applyBorder="1"/>
    <xf numFmtId="174" fontId="0" fillId="0" borderId="32" xfId="5" applyNumberFormat="1" applyFont="1" applyBorder="1"/>
    <xf numFmtId="170" fontId="0" fillId="0" borderId="0" xfId="0" applyNumberFormat="1"/>
    <xf numFmtId="183" fontId="28" fillId="0" borderId="0" xfId="0" applyNumberFormat="1" applyFont="1"/>
    <xf numFmtId="167" fontId="28" fillId="0" borderId="0" xfId="1" applyNumberFormat="1" applyFont="1"/>
    <xf numFmtId="0" fontId="85" fillId="0" borderId="0" xfId="0" applyFont="1"/>
    <xf numFmtId="183" fontId="85" fillId="0" borderId="0" xfId="0" applyNumberFormat="1" applyFont="1"/>
    <xf numFmtId="167" fontId="85" fillId="0" borderId="0" xfId="1" applyNumberFormat="1" applyFont="1"/>
    <xf numFmtId="0" fontId="24" fillId="16" borderId="10" xfId="0" applyFont="1" applyFill="1" applyBorder="1" applyAlignment="1">
      <alignment horizontal="center" vertical="center" textRotation="90"/>
    </xf>
    <xf numFmtId="0" fontId="56" fillId="16" borderId="10" xfId="0" applyFont="1" applyFill="1" applyBorder="1" applyAlignment="1">
      <alignment horizontal="center" vertical="center" textRotation="90"/>
    </xf>
    <xf numFmtId="0" fontId="81" fillId="26" borderId="10" xfId="0" applyFont="1" applyFill="1" applyBorder="1" applyAlignment="1">
      <alignment horizontal="center" vertical="center" textRotation="90"/>
    </xf>
    <xf numFmtId="0" fontId="52" fillId="0" borderId="7" xfId="6" applyFont="1" applyBorder="1" applyAlignment="1">
      <alignment horizontal="center" vertical="center"/>
    </xf>
    <xf numFmtId="164" fontId="50" fillId="19" borderId="25" xfId="0" applyNumberFormat="1" applyFont="1" applyFill="1" applyBorder="1" applyAlignment="1">
      <alignment horizontal="center" vertical="center"/>
    </xf>
    <xf numFmtId="164" fontId="50" fillId="19" borderId="15" xfId="0" applyNumberFormat="1" applyFont="1" applyFill="1" applyBorder="1" applyAlignment="1">
      <alignment horizontal="center" vertical="center"/>
    </xf>
    <xf numFmtId="164" fontId="50" fillId="19" borderId="16" xfId="0" applyNumberFormat="1" applyFont="1" applyFill="1" applyBorder="1" applyAlignment="1">
      <alignment horizontal="center" vertical="center"/>
    </xf>
    <xf numFmtId="164" fontId="50" fillId="18" borderId="25" xfId="0" applyNumberFormat="1" applyFont="1" applyFill="1" applyBorder="1" applyAlignment="1">
      <alignment horizontal="center" vertical="center"/>
    </xf>
    <xf numFmtId="164" fontId="50" fillId="18" borderId="15" xfId="0" applyNumberFormat="1" applyFont="1" applyFill="1" applyBorder="1" applyAlignment="1">
      <alignment horizontal="center" vertical="center"/>
    </xf>
    <xf numFmtId="164" fontId="50" fillId="18" borderId="16" xfId="0" applyNumberFormat="1" applyFont="1" applyFill="1" applyBorder="1" applyAlignment="1">
      <alignment horizontal="center" vertical="center"/>
    </xf>
    <xf numFmtId="164" fontId="66" fillId="7" borderId="15" xfId="0" applyNumberFormat="1" applyFont="1" applyFill="1" applyBorder="1" applyAlignment="1">
      <alignment horizontal="center"/>
    </xf>
    <xf numFmtId="164" fontId="66" fillId="7" borderId="16" xfId="0" applyNumberFormat="1" applyFont="1" applyFill="1" applyBorder="1" applyAlignment="1">
      <alignment horizontal="center"/>
    </xf>
    <xf numFmtId="0" fontId="75" fillId="0" borderId="0" xfId="0" applyFont="1" applyAlignment="1">
      <alignment horizontal="left" wrapText="1"/>
    </xf>
    <xf numFmtId="15" fontId="86" fillId="0" borderId="0" xfId="0" applyNumberFormat="1" applyFont="1"/>
    <xf numFmtId="0" fontId="86" fillId="0" borderId="0" xfId="0" applyFont="1"/>
    <xf numFmtId="0" fontId="30" fillId="0" borderId="0" xfId="0" applyFont="1" applyFill="1" applyAlignment="1">
      <alignment vertical="center"/>
    </xf>
    <xf numFmtId="0" fontId="0" fillId="0" borderId="0" xfId="0" applyFill="1"/>
    <xf numFmtId="0" fontId="30" fillId="27" borderId="0" xfId="0" applyFont="1" applyFill="1" applyAlignment="1">
      <alignment vertical="center"/>
    </xf>
    <xf numFmtId="0" fontId="1" fillId="27" borderId="0" xfId="0" applyFont="1" applyFill="1"/>
  </cellXfs>
  <cellStyles count="9">
    <cellStyle name="# 03_1 Eingabe" xfId="7" xr:uid="{E6EF67B3-0E0A-4896-8FE5-5F79285A871E}"/>
    <cellStyle name="# 11 Kategorie" xfId="6" xr:uid="{06D68C21-EB2F-477A-A113-D71D69C3FAE5}"/>
    <cellStyle name="# 13 Multiple 1" xfId="3" xr:uid="{00000000-0005-0000-0000-000000000000}"/>
    <cellStyle name="Normal 2 2" xfId="8" xr:uid="{D5FFF355-A2B1-4DEF-B1B3-86E7ABB48579}"/>
    <cellStyle name="Normal 4" xfId="2" xr:uid="{00000000-0005-0000-0000-000001000000}"/>
    <cellStyle name="Percent 2" xfId="4" xr:uid="{00000000-0005-0000-0000-000002000000}"/>
    <cellStyle name="千位分隔" xfId="5" builtinId="3"/>
    <cellStyle name="常规" xfId="0" builtinId="0"/>
    <cellStyle name="百分比" xfId="1" builtinId="5"/>
  </cellStyles>
  <dxfs count="0"/>
  <tableStyles count="0" defaultTableStyle="TableStyleMedium2" defaultPivotStyle="PivotStyleLight16"/>
  <colors>
    <mruColors>
      <color rgb="FF336699"/>
      <color rgb="FFB44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50818BCA-E4CD-409B-BBDB-55540D3AB61A}" userId="S::urn:spo:anon#44900766b3622d8bb5d95f0f76b8f8142fe5758edda24bce21e280b3572c420e::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8" dT="2023-10-18T13:50:56.89" personId="{50818BCA-E4CD-409B-BBDB-55540D3AB61A}" id="{88A36DDB-69FE-4D7A-959B-53932AACA30B}">
    <text>@Kejun, can you justify all of these figures in your assumptions. Why they were picked, based on what, etc.?</text>
  </threadedComment>
  <threadedComment ref="E48" dT="2023-10-18T13:51:19.77" personId="{50818BCA-E4CD-409B-BBDB-55540D3AB61A}" id="{80BD61A3-E4A8-45D9-B72A-D92F5D1C5748}" parentId="{88A36DDB-69FE-4D7A-959B-53932AACA30B}">
    <text>Do the same for each of the loans. Thanks!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A6C5-E312-4D7F-B750-221ED1E6CC4A}">
  <dimension ref="A1:R108"/>
  <sheetViews>
    <sheetView showGridLines="0" tabSelected="1" zoomScale="99" zoomScaleNormal="99" workbookViewId="0">
      <pane xSplit="3" ySplit="6" topLeftCell="D13" activePane="bottomRight" state="frozen"/>
      <selection activeCell="I28" sqref="I28"/>
      <selection pane="topRight" activeCell="I28" sqref="I28"/>
      <selection pane="bottomLeft" activeCell="I28" sqref="I28"/>
      <selection pane="bottomRight" activeCell="I28" sqref="I28"/>
    </sheetView>
  </sheetViews>
  <sheetFormatPr defaultColWidth="0" defaultRowHeight="14.5" zeroHeight="1" outlineLevelRow="1" x14ac:dyDescent="0.35"/>
  <cols>
    <col min="1" max="2" width="3.1796875" customWidth="1"/>
    <col min="3" max="3" width="4.81640625" customWidth="1"/>
    <col min="4" max="4" width="9.81640625" customWidth="1"/>
    <col min="5" max="5" width="8.6328125" customWidth="1"/>
    <col min="6" max="6" width="10.453125" customWidth="1"/>
    <col min="7" max="13" width="9.81640625" customWidth="1"/>
    <col min="14" max="14" width="13.36328125" bestFit="1" customWidth="1"/>
    <col min="15" max="18" width="9.1796875" customWidth="1"/>
  </cols>
  <sheetData>
    <row r="1" spans="1:11" x14ac:dyDescent="0.35"/>
    <row r="2" spans="1:11" x14ac:dyDescent="0.35">
      <c r="C2" t="s">
        <v>0</v>
      </c>
      <c r="I2" s="548">
        <v>45291</v>
      </c>
    </row>
    <row r="3" spans="1:11" x14ac:dyDescent="0.35">
      <c r="C3" t="s">
        <v>1</v>
      </c>
      <c r="I3" s="549">
        <v>6</v>
      </c>
    </row>
    <row r="4" spans="1:11" x14ac:dyDescent="0.35">
      <c r="C4" t="s">
        <v>2</v>
      </c>
      <c r="I4" s="67">
        <f>+EDATE(I2,I3*12)</f>
        <v>47483</v>
      </c>
    </row>
    <row r="5" spans="1:11" ht="14" customHeight="1" x14ac:dyDescent="0.35"/>
    <row r="6" spans="1:11" s="82" customFormat="1" x14ac:dyDescent="0.35">
      <c r="A6" t="s">
        <v>3</v>
      </c>
      <c r="B6"/>
      <c r="C6" s="82" t="s">
        <v>4</v>
      </c>
    </row>
    <row r="7" spans="1:11" x14ac:dyDescent="0.35">
      <c r="C7" s="116" t="s">
        <v>5</v>
      </c>
    </row>
    <row r="8" spans="1:11" x14ac:dyDescent="0.35">
      <c r="C8" s="42" t="s">
        <v>6</v>
      </c>
    </row>
    <row r="9" spans="1:11" x14ac:dyDescent="0.35"/>
    <row r="10" spans="1:11" x14ac:dyDescent="0.35">
      <c r="D10" t="s">
        <v>7</v>
      </c>
      <c r="J10" s="207">
        <v>77.72</v>
      </c>
      <c r="K10" s="93"/>
    </row>
    <row r="11" spans="1:11" x14ac:dyDescent="0.35">
      <c r="D11" t="s">
        <v>8</v>
      </c>
      <c r="J11" s="167">
        <f>89.44</f>
        <v>89.44</v>
      </c>
      <c r="K11" s="93"/>
    </row>
    <row r="12" spans="1:11" x14ac:dyDescent="0.35">
      <c r="D12" t="s">
        <v>9</v>
      </c>
      <c r="J12" s="83">
        <f>+J10*J11</f>
        <v>6951.2767999999996</v>
      </c>
    </row>
    <row r="13" spans="1:11" x14ac:dyDescent="0.35">
      <c r="D13" t="s">
        <v>10</v>
      </c>
      <c r="J13" s="114">
        <v>0.4</v>
      </c>
      <c r="K13" s="93"/>
    </row>
    <row r="14" spans="1:11" x14ac:dyDescent="0.35"/>
    <row r="15" spans="1:11" x14ac:dyDescent="0.35">
      <c r="D15" t="s">
        <v>11</v>
      </c>
      <c r="J15" s="68">
        <f>J10*(1+J13)</f>
        <v>108.80799999999999</v>
      </c>
    </row>
    <row r="16" spans="1:11" x14ac:dyDescent="0.35">
      <c r="D16" t="s">
        <v>12</v>
      </c>
      <c r="J16" s="68">
        <f>J15*J11</f>
        <v>9731.7875199999999</v>
      </c>
    </row>
    <row r="17" spans="4:13" x14ac:dyDescent="0.35">
      <c r="D17" t="s">
        <v>13</v>
      </c>
      <c r="J17" s="70">
        <f>'Historical-BS'!G153</f>
        <v>212.04</v>
      </c>
    </row>
    <row r="18" spans="4:13" x14ac:dyDescent="0.35">
      <c r="D18" s="249" t="s">
        <v>14</v>
      </c>
      <c r="E18" s="249"/>
      <c r="F18" s="249"/>
      <c r="G18" s="249"/>
      <c r="H18" s="249"/>
      <c r="I18" s="249"/>
      <c r="J18" s="250">
        <f>SUM(J16:J17)</f>
        <v>9943.8275200000007</v>
      </c>
    </row>
    <row r="19" spans="4:13" x14ac:dyDescent="0.35"/>
    <row r="20" spans="4:13" x14ac:dyDescent="0.35">
      <c r="D20" s="117"/>
      <c r="E20" s="117"/>
      <c r="F20" s="117" t="s">
        <v>15</v>
      </c>
      <c r="G20" s="117" t="s">
        <v>16</v>
      </c>
      <c r="H20" s="117" t="s">
        <v>17</v>
      </c>
      <c r="I20" s="117" t="s">
        <v>18</v>
      </c>
      <c r="J20" s="117" t="s">
        <v>19</v>
      </c>
      <c r="K20" s="117" t="s">
        <v>20</v>
      </c>
      <c r="L20" s="118" t="s">
        <v>21</v>
      </c>
      <c r="M20" s="118" t="s">
        <v>22</v>
      </c>
    </row>
    <row r="21" spans="4:13" x14ac:dyDescent="0.35">
      <c r="D21" t="s">
        <v>23</v>
      </c>
      <c r="F21" s="44"/>
      <c r="G21" s="91">
        <v>0</v>
      </c>
      <c r="H21" s="91">
        <v>1</v>
      </c>
      <c r="I21" s="91">
        <v>2</v>
      </c>
      <c r="J21" s="91">
        <v>3</v>
      </c>
      <c r="K21" s="91">
        <v>4</v>
      </c>
      <c r="L21" s="91">
        <v>5</v>
      </c>
      <c r="M21" s="91">
        <v>6</v>
      </c>
    </row>
    <row r="22" spans="4:13" x14ac:dyDescent="0.35">
      <c r="F22" s="44"/>
      <c r="G22" s="44"/>
      <c r="H22" s="44"/>
      <c r="I22" s="44"/>
      <c r="J22" s="44"/>
      <c r="K22" s="44"/>
      <c r="L22" s="85"/>
      <c r="M22" s="85"/>
    </row>
    <row r="23" spans="4:13" x14ac:dyDescent="0.35">
      <c r="D23" s="246" t="s">
        <v>24</v>
      </c>
      <c r="E23" s="246"/>
      <c r="F23" s="247">
        <f>VLOOKUP(Forecast!L18,Forecast!L18,1, FALSE)</f>
        <v>466.65</v>
      </c>
      <c r="G23" s="247">
        <f>VLOOKUP(Forecast!M18,Forecast!M18,1, FALSE)</f>
        <v>453.31827915168833</v>
      </c>
      <c r="H23" s="247">
        <f>VLOOKUP(Forecast!N18,Forecast!N18,1, FALSE)</f>
        <v>500.41885224954501</v>
      </c>
      <c r="I23" s="247">
        <f>VLOOKUP(Forecast!O18,Forecast!O18,1, FALSE)</f>
        <v>552.41325841828063</v>
      </c>
      <c r="J23" s="247">
        <f>VLOOKUP(Forecast!P18,Forecast!P18,1, FALSE)</f>
        <v>609.80997559246055</v>
      </c>
      <c r="K23" s="247">
        <f>VLOOKUP(Forecast!Q18,Forecast!Q18,1, FALSE)</f>
        <v>673.17031346576255</v>
      </c>
      <c r="L23" s="247">
        <f>VLOOKUP(Forecast!R18,Forecast!R18,1, FALSE)</f>
        <v>743.11390280443902</v>
      </c>
      <c r="M23" s="247">
        <f>VLOOKUP(Forecast!S18,Forecast!S18,1, FALSE)</f>
        <v>820.32475511018083</v>
      </c>
    </row>
    <row r="24" spans="4:13" x14ac:dyDescent="0.35">
      <c r="D24" s="55" t="s">
        <v>25</v>
      </c>
      <c r="F24" s="60">
        <f t="shared" ref="F24:M24" si="0">0.4*F23</f>
        <v>186.66</v>
      </c>
      <c r="G24" s="60">
        <f t="shared" si="0"/>
        <v>181.32731166067535</v>
      </c>
      <c r="H24" s="60">
        <f t="shared" si="0"/>
        <v>200.16754089981802</v>
      </c>
      <c r="I24" s="60">
        <f t="shared" si="0"/>
        <v>220.96530336731226</v>
      </c>
      <c r="J24" s="60">
        <f t="shared" si="0"/>
        <v>243.92399023698422</v>
      </c>
      <c r="K24" s="60">
        <f t="shared" si="0"/>
        <v>269.26812538630503</v>
      </c>
      <c r="L24" s="60">
        <f t="shared" si="0"/>
        <v>297.24556112177561</v>
      </c>
      <c r="M24" s="60">
        <f t="shared" si="0"/>
        <v>328.12990204407237</v>
      </c>
    </row>
    <row r="25" spans="4:13" x14ac:dyDescent="0.35">
      <c r="D25" s="55" t="s">
        <v>26</v>
      </c>
      <c r="F25" s="60">
        <f t="shared" ref="F25:M25" si="1">0.6*F23</f>
        <v>279.98999999999995</v>
      </c>
      <c r="G25" s="60">
        <f t="shared" si="1"/>
        <v>271.99096749101301</v>
      </c>
      <c r="H25" s="60">
        <f t="shared" si="1"/>
        <v>300.25131134972702</v>
      </c>
      <c r="I25" s="60">
        <f t="shared" si="1"/>
        <v>331.44795505096835</v>
      </c>
      <c r="J25" s="60">
        <f t="shared" si="1"/>
        <v>365.88598535547629</v>
      </c>
      <c r="K25" s="60">
        <f t="shared" si="1"/>
        <v>403.90218807945752</v>
      </c>
      <c r="L25" s="60">
        <f t="shared" si="1"/>
        <v>445.86834168266341</v>
      </c>
      <c r="M25" s="60">
        <f t="shared" si="1"/>
        <v>492.19485306610846</v>
      </c>
    </row>
    <row r="26" spans="4:13" x14ac:dyDescent="0.35">
      <c r="D26" s="86" t="s">
        <v>27</v>
      </c>
      <c r="E26" s="86"/>
      <c r="F26" s="86"/>
      <c r="G26" s="210">
        <f>(0.4*G27)+(0.6*G28)</f>
        <v>16.11</v>
      </c>
      <c r="H26" s="210">
        <f t="shared" ref="H26:M26" si="2">(0.4*H27)+(0.6*H28)</f>
        <v>17.5056400002</v>
      </c>
      <c r="I26" s="210">
        <f t="shared" si="2"/>
        <v>18.9012800004</v>
      </c>
      <c r="J26" s="210">
        <f t="shared" si="2"/>
        <v>20.2969200006</v>
      </c>
      <c r="K26" s="210">
        <f t="shared" si="2"/>
        <v>21.6925600008</v>
      </c>
      <c r="L26" s="210">
        <f t="shared" si="2"/>
        <v>23.088200001000001</v>
      </c>
      <c r="M26" s="210">
        <f t="shared" si="2"/>
        <v>24.485760001199999</v>
      </c>
    </row>
    <row r="27" spans="4:13" x14ac:dyDescent="0.35">
      <c r="D27" s="55" t="s">
        <v>25</v>
      </c>
      <c r="G27" s="211">
        <f>G28</f>
        <v>16.11</v>
      </c>
      <c r="H27" s="211">
        <f>G27+2.7966</f>
        <v>18.906600000000001</v>
      </c>
      <c r="I27" s="211">
        <f>H27+2.7966</f>
        <v>21.703200000000002</v>
      </c>
      <c r="J27" s="211">
        <f>I27+2.7966</f>
        <v>24.499800000000004</v>
      </c>
      <c r="K27" s="211">
        <f>J27+2.7966</f>
        <v>27.296400000000006</v>
      </c>
      <c r="L27" s="211">
        <f>K27+2.7966</f>
        <v>30.093000000000007</v>
      </c>
      <c r="M27" s="211">
        <f>(0.66*21.56)+(56.56*0.33)</f>
        <v>32.894400000000005</v>
      </c>
    </row>
    <row r="28" spans="4:13" x14ac:dyDescent="0.35">
      <c r="D28" s="209" t="s">
        <v>26</v>
      </c>
      <c r="E28" s="86"/>
      <c r="F28" s="86"/>
      <c r="G28" s="212">
        <f>16.11</f>
        <v>16.11</v>
      </c>
      <c r="H28" s="212">
        <f>G28+0.461666667</f>
        <v>16.571666666999999</v>
      </c>
      <c r="I28" s="212">
        <f t="shared" ref="I28:M28" si="3">H28+0.461666667</f>
        <v>17.033333333999998</v>
      </c>
      <c r="J28" s="212">
        <f t="shared" si="3"/>
        <v>17.495000000999998</v>
      </c>
      <c r="K28" s="212">
        <f t="shared" si="3"/>
        <v>17.956666667999997</v>
      </c>
      <c r="L28" s="212">
        <f t="shared" si="3"/>
        <v>18.418333334999996</v>
      </c>
      <c r="M28" s="212">
        <f t="shared" si="3"/>
        <v>18.880000001999996</v>
      </c>
    </row>
    <row r="29" spans="4:13" x14ac:dyDescent="0.35">
      <c r="D29" t="s">
        <v>28</v>
      </c>
      <c r="G29" s="53">
        <f t="shared" ref="G29:M29" si="4">$M26*G23</f>
        <v>11099.842587465226</v>
      </c>
      <c r="H29" s="53">
        <f t="shared" si="4"/>
        <v>12253.135916258321</v>
      </c>
      <c r="I29" s="53">
        <f t="shared" si="4"/>
        <v>13526.258467110894</v>
      </c>
      <c r="J29" s="53">
        <f t="shared" si="4"/>
        <v>14931.660708694619</v>
      </c>
      <c r="K29" s="53">
        <f t="shared" si="4"/>
        <v>16483.086735455232</v>
      </c>
      <c r="L29" s="53">
        <f t="shared" si="4"/>
        <v>18195.708677624556</v>
      </c>
      <c r="M29" s="53">
        <f t="shared" si="4"/>
        <v>20086.275076671049</v>
      </c>
    </row>
    <row r="30" spans="4:13" x14ac:dyDescent="0.35">
      <c r="D30" t="s">
        <v>29</v>
      </c>
      <c r="G30" s="95">
        <f>-'New Debt'!G28</f>
        <v>-6302.7605000832018</v>
      </c>
      <c r="H30" s="95">
        <f>-'New Debt'!H28</f>
        <v>-5287.6404167360015</v>
      </c>
      <c r="I30" s="95">
        <f>-'New Debt'!I28</f>
        <v>-4272.5203333888012</v>
      </c>
      <c r="J30" s="95">
        <f>-'New Debt'!J28</f>
        <v>-3257.4002500416009</v>
      </c>
      <c r="K30" s="95">
        <f>-'New Debt'!K28</f>
        <v>-2242.2801666944006</v>
      </c>
      <c r="L30" s="95">
        <f>-'New Debt'!L28</f>
        <v>-1227.1600833472005</v>
      </c>
      <c r="M30" s="95">
        <f>-'New Debt'!M28</f>
        <v>-212.04000000000025</v>
      </c>
    </row>
    <row r="31" spans="4:13" x14ac:dyDescent="0.35">
      <c r="D31" s="86" t="s">
        <v>30</v>
      </c>
      <c r="E31" s="86"/>
      <c r="F31" s="86"/>
      <c r="G31" s="87">
        <f>Forecast!M53</f>
        <v>6032.2629062873702</v>
      </c>
      <c r="H31" s="87">
        <f>Forecast!N53</f>
        <v>5051.8639022038451</v>
      </c>
      <c r="I31" s="87">
        <f>Forecast!O53</f>
        <v>4085.9251465944367</v>
      </c>
      <c r="J31" s="87">
        <f>Forecast!P53</f>
        <v>3136.6270593735444</v>
      </c>
      <c r="K31" s="87">
        <f>Forecast!Q53</f>
        <v>2206.3169662332107</v>
      </c>
      <c r="L31" s="87">
        <f>Forecast!R53</f>
        <v>1297.5318612393919</v>
      </c>
      <c r="M31" s="87">
        <f>Forecast!S53</f>
        <v>413.02302866213165</v>
      </c>
    </row>
    <row r="32" spans="4:13" x14ac:dyDescent="0.35">
      <c r="D32" s="78" t="s">
        <v>31</v>
      </c>
      <c r="E32" s="134"/>
      <c r="F32" s="248">
        <f t="shared" ref="F32:L32" si="5">SUM(F29:F31)</f>
        <v>0</v>
      </c>
      <c r="G32" s="248">
        <f>SUM(G29:G31)</f>
        <v>10829.344993669394</v>
      </c>
      <c r="H32" s="248">
        <f t="shared" si="5"/>
        <v>12017.359401726164</v>
      </c>
      <c r="I32" s="248">
        <f t="shared" si="5"/>
        <v>13339.66328031653</v>
      </c>
      <c r="J32" s="248">
        <f t="shared" si="5"/>
        <v>14810.887518026562</v>
      </c>
      <c r="K32" s="248">
        <f>SUM(K29:K31)</f>
        <v>16447.123534994043</v>
      </c>
      <c r="L32" s="248">
        <f t="shared" si="5"/>
        <v>18266.080455516749</v>
      </c>
      <c r="M32" s="248">
        <f>SUM(M29:M31)</f>
        <v>20287.258105333178</v>
      </c>
    </row>
    <row r="33" spans="1:17" x14ac:dyDescent="0.35">
      <c r="E33" s="42"/>
      <c r="F33" s="42"/>
      <c r="G33" s="42"/>
      <c r="H33" s="42"/>
      <c r="I33" s="42"/>
      <c r="J33" s="42"/>
      <c r="M33" s="84"/>
    </row>
    <row r="34" spans="1:17" s="82" customFormat="1" x14ac:dyDescent="0.35">
      <c r="A34" t="s">
        <v>3</v>
      </c>
      <c r="B34"/>
      <c r="C34" s="82" t="s">
        <v>32</v>
      </c>
    </row>
    <row r="35" spans="1:17" s="46" customFormat="1" x14ac:dyDescent="0.35">
      <c r="A35"/>
      <c r="B35"/>
    </row>
    <row r="36" spans="1:17" x14ac:dyDescent="0.35">
      <c r="E36" s="42"/>
      <c r="F36" s="117" t="s">
        <v>15</v>
      </c>
      <c r="G36" s="117" t="s">
        <v>16</v>
      </c>
      <c r="H36" s="117" t="s">
        <v>17</v>
      </c>
      <c r="I36" s="117" t="s">
        <v>18</v>
      </c>
      <c r="J36" s="117" t="s">
        <v>19</v>
      </c>
      <c r="K36" s="117" t="s">
        <v>20</v>
      </c>
      <c r="L36" s="118" t="s">
        <v>21</v>
      </c>
      <c r="M36" s="118" t="s">
        <v>22</v>
      </c>
    </row>
    <row r="37" spans="1:17" ht="15.5" x14ac:dyDescent="0.35">
      <c r="D37" t="s">
        <v>33</v>
      </c>
      <c r="E37" s="89" t="s">
        <v>3</v>
      </c>
      <c r="F37" s="42"/>
      <c r="G37" s="90">
        <f t="shared" ref="G37:M37" si="6">G32/$P$46</f>
        <v>2.6670108224933649</v>
      </c>
      <c r="H37" s="90">
        <f t="shared" si="6"/>
        <v>2.9595905939770195</v>
      </c>
      <c r="I37" s="90">
        <f t="shared" si="6"/>
        <v>3.2852426769873064</v>
      </c>
      <c r="J37" s="90">
        <f t="shared" si="6"/>
        <v>3.6475703123688517</v>
      </c>
      <c r="K37" s="90">
        <f t="shared" si="6"/>
        <v>4.0505364352467108</v>
      </c>
      <c r="L37" s="90">
        <f t="shared" si="6"/>
        <v>4.4985023829119806</v>
      </c>
      <c r="M37" s="90">
        <f t="shared" si="6"/>
        <v>4.9962704999489107</v>
      </c>
    </row>
    <row r="38" spans="1:17" ht="15.5" x14ac:dyDescent="0.35">
      <c r="D38" t="s">
        <v>34</v>
      </c>
      <c r="E38" s="89" t="s">
        <v>35</v>
      </c>
      <c r="F38" s="42"/>
      <c r="G38" s="100" t="s">
        <v>36</v>
      </c>
      <c r="H38" s="92">
        <f t="shared" ref="H38:M38" si="7">(H32/$P$46)^(1/H21)-1</f>
        <v>1.9595905939770195</v>
      </c>
      <c r="I38" s="92">
        <f t="shared" si="7"/>
        <v>0.81252384177072456</v>
      </c>
      <c r="J38" s="92">
        <f t="shared" si="7"/>
        <v>0.53934000959167205</v>
      </c>
      <c r="K38" s="92">
        <f t="shared" si="7"/>
        <v>0.41865938609145759</v>
      </c>
      <c r="L38" s="92">
        <f t="shared" si="7"/>
        <v>0.35087010562163812</v>
      </c>
      <c r="M38" s="92">
        <f t="shared" si="7"/>
        <v>0.30749787147027319</v>
      </c>
    </row>
    <row r="39" spans="1:17" x14ac:dyDescent="0.35">
      <c r="E39" s="42"/>
      <c r="F39" s="42"/>
      <c r="G39" s="42"/>
      <c r="H39" s="42"/>
      <c r="I39" s="42"/>
      <c r="J39" s="42"/>
      <c r="M39" s="84"/>
    </row>
    <row r="40" spans="1:17" x14ac:dyDescent="0.35"/>
    <row r="41" spans="1:17" s="82" customFormat="1" x14ac:dyDescent="0.35">
      <c r="A41"/>
      <c r="B41"/>
      <c r="C41" s="82" t="s">
        <v>37</v>
      </c>
    </row>
    <row r="42" spans="1:17" x14ac:dyDescent="0.35"/>
    <row r="43" spans="1:17" x14ac:dyDescent="0.35">
      <c r="D43" s="71" t="s">
        <v>38</v>
      </c>
      <c r="E43" s="71"/>
      <c r="F43" s="71"/>
      <c r="G43" s="71"/>
      <c r="H43" s="71"/>
      <c r="I43" s="71"/>
      <c r="J43" s="72" t="s">
        <v>39</v>
      </c>
      <c r="K43" s="72" t="s">
        <v>35</v>
      </c>
      <c r="M43" s="71" t="s">
        <v>40</v>
      </c>
      <c r="N43" s="71"/>
      <c r="O43" s="71"/>
      <c r="P43" s="72" t="s">
        <v>39</v>
      </c>
      <c r="Q43" s="72" t="s">
        <v>35</v>
      </c>
    </row>
    <row r="44" spans="1:17" x14ac:dyDescent="0.35">
      <c r="D44" t="s">
        <v>41</v>
      </c>
      <c r="J44" s="68">
        <f>$J$55*K44</f>
        <v>4060.4803333888008</v>
      </c>
      <c r="K44" s="119">
        <v>0.4</v>
      </c>
      <c r="M44" t="s">
        <v>42</v>
      </c>
      <c r="P44" s="68">
        <f>J46</f>
        <v>507.5600416736001</v>
      </c>
      <c r="Q44" s="26">
        <f>P44/$P$46</f>
        <v>0.12500000000000006</v>
      </c>
    </row>
    <row r="45" spans="1:17" x14ac:dyDescent="0.35">
      <c r="D45" t="s">
        <v>43</v>
      </c>
      <c r="J45" s="68">
        <f t="shared" ref="J45:J47" si="8">$J$55*K45</f>
        <v>2030.2401666944004</v>
      </c>
      <c r="K45" s="119">
        <v>0.2</v>
      </c>
      <c r="M45" s="38" t="s">
        <v>44</v>
      </c>
      <c r="N45" s="38"/>
      <c r="O45" s="38"/>
      <c r="P45" s="97">
        <f>J47</f>
        <v>3552.9202917151993</v>
      </c>
      <c r="Q45" s="99">
        <f>P45/$P$46</f>
        <v>0.87499999999999989</v>
      </c>
    </row>
    <row r="46" spans="1:17" x14ac:dyDescent="0.35">
      <c r="D46" t="s">
        <v>45</v>
      </c>
      <c r="J46" s="68">
        <f>$J$55*K46</f>
        <v>507.5600416736001</v>
      </c>
      <c r="K46" s="119">
        <v>0.05</v>
      </c>
      <c r="M46" s="42" t="s">
        <v>46</v>
      </c>
      <c r="P46" s="88">
        <f>SUM(P44:P45)</f>
        <v>4060.4803333887994</v>
      </c>
      <c r="Q46" s="98">
        <f>SUM(Q44:Q45)</f>
        <v>1</v>
      </c>
    </row>
    <row r="47" spans="1:17" x14ac:dyDescent="0.35">
      <c r="D47" s="38" t="s">
        <v>47</v>
      </c>
      <c r="E47" s="38"/>
      <c r="F47" s="38"/>
      <c r="G47" s="38"/>
      <c r="H47" s="38"/>
      <c r="I47" s="38"/>
      <c r="J47" s="97">
        <f t="shared" si="8"/>
        <v>3552.9202917151993</v>
      </c>
      <c r="K47" s="120">
        <v>0.34999999999999987</v>
      </c>
    </row>
    <row r="48" spans="1:17" x14ac:dyDescent="0.35">
      <c r="D48" s="42" t="s">
        <v>48</v>
      </c>
      <c r="J48" s="88">
        <f>SUM(J44:J47)</f>
        <v>10151.200833471999</v>
      </c>
      <c r="K48" s="98">
        <f>SUM(K44:K47)</f>
        <v>1</v>
      </c>
    </row>
    <row r="49" spans="4:11" x14ac:dyDescent="0.35"/>
    <row r="50" spans="4:11" x14ac:dyDescent="0.35">
      <c r="D50" s="71" t="s">
        <v>49</v>
      </c>
      <c r="E50" s="71"/>
      <c r="F50" s="71"/>
      <c r="G50" s="71"/>
      <c r="H50" s="71"/>
      <c r="I50" s="71"/>
      <c r="J50" s="72" t="s">
        <v>39</v>
      </c>
      <c r="K50" s="72" t="s">
        <v>35</v>
      </c>
    </row>
    <row r="51" spans="4:11" x14ac:dyDescent="0.35">
      <c r="D51" t="s">
        <v>50</v>
      </c>
      <c r="J51" s="68">
        <f>J16</f>
        <v>9731.7875199999999</v>
      </c>
      <c r="K51" s="119">
        <f>J51/$J$55</f>
        <v>0.95868337939989801</v>
      </c>
    </row>
    <row r="52" spans="4:11" x14ac:dyDescent="0.35">
      <c r="D52" t="s">
        <v>51</v>
      </c>
      <c r="F52" s="48"/>
      <c r="J52" s="68">
        <f>J17</f>
        <v>212.04</v>
      </c>
      <c r="K52" s="119">
        <f t="shared" ref="K52:K54" si="9">J52/$J$55</f>
        <v>2.0888169141608466E-2</v>
      </c>
    </row>
    <row r="53" spans="4:11" ht="14" customHeight="1" x14ac:dyDescent="0.35">
      <c r="D53" t="s">
        <v>52</v>
      </c>
      <c r="J53" s="68">
        <f>J51*1.5%</f>
        <v>145.9768128</v>
      </c>
      <c r="K53" s="119">
        <f t="shared" si="9"/>
        <v>1.4380250690998471E-2</v>
      </c>
    </row>
    <row r="54" spans="4:11" ht="14" customHeight="1" x14ac:dyDescent="0.35">
      <c r="D54" t="s">
        <v>53</v>
      </c>
      <c r="J54" s="68">
        <v>61.396500672000002</v>
      </c>
      <c r="K54" s="120">
        <f t="shared" si="9"/>
        <v>6.0482007674948777E-3</v>
      </c>
    </row>
    <row r="55" spans="4:11" x14ac:dyDescent="0.35">
      <c r="D55" s="73" t="s">
        <v>48</v>
      </c>
      <c r="E55" s="73"/>
      <c r="F55" s="73"/>
      <c r="G55" s="73"/>
      <c r="H55" s="73"/>
      <c r="I55" s="73"/>
      <c r="J55" s="74">
        <f>SUM(J51:J54)</f>
        <v>10151.200833472001</v>
      </c>
      <c r="K55" s="98">
        <f>SUM(K51:K54)</f>
        <v>0.99999999999999989</v>
      </c>
    </row>
    <row r="56" spans="4:11" x14ac:dyDescent="0.35"/>
    <row r="57" spans="4:11" x14ac:dyDescent="0.35"/>
    <row r="58" spans="4:11" x14ac:dyDescent="0.35">
      <c r="D58" s="121"/>
      <c r="E58" s="141"/>
      <c r="F58" s="141" t="s">
        <v>54</v>
      </c>
      <c r="G58" s="122"/>
      <c r="H58" s="122"/>
      <c r="I58" s="122"/>
      <c r="J58" s="122"/>
    </row>
    <row r="59" spans="4:11" x14ac:dyDescent="0.35">
      <c r="D59" s="128"/>
      <c r="E59" s="129"/>
      <c r="F59" s="126" t="s">
        <v>55</v>
      </c>
      <c r="G59" s="127"/>
      <c r="H59" s="127"/>
      <c r="I59" s="127"/>
      <c r="J59" s="127"/>
    </row>
    <row r="60" spans="4:11" x14ac:dyDescent="0.35">
      <c r="D60" s="535" t="s">
        <v>56</v>
      </c>
      <c r="E60" s="101">
        <f>M37</f>
        <v>4.9962704999489107</v>
      </c>
      <c r="F60" s="124">
        <v>16</v>
      </c>
      <c r="G60" s="105">
        <v>17</v>
      </c>
      <c r="H60" s="125">
        <f>M26</f>
        <v>24.485760001199999</v>
      </c>
      <c r="I60" s="105">
        <v>19</v>
      </c>
      <c r="J60" s="105">
        <f>+I60+1</f>
        <v>20</v>
      </c>
    </row>
    <row r="61" spans="4:11" x14ac:dyDescent="0.35">
      <c r="D61" s="535"/>
      <c r="E61" s="106">
        <f>+E62-10%</f>
        <v>0.20000000000000004</v>
      </c>
      <c r="F61" s="102">
        <f t="shared" ref="F61:J65" si="10">(((F$60*$M$23)+$M$30+$M$31)/(($E61/$J$13)*$P$46))</f>
        <v>6.5638436915187555</v>
      </c>
      <c r="G61" s="102">
        <f t="shared" si="10"/>
        <v>6.9678967531059559</v>
      </c>
      <c r="H61" s="109">
        <f t="shared" si="10"/>
        <v>9.9925409998978196</v>
      </c>
      <c r="I61" s="102">
        <f t="shared" si="10"/>
        <v>7.7760028762803568</v>
      </c>
      <c r="J61" s="102">
        <f t="shared" si="10"/>
        <v>8.1800559378675572</v>
      </c>
    </row>
    <row r="62" spans="4:11" x14ac:dyDescent="0.35">
      <c r="D62" s="535"/>
      <c r="E62" s="106">
        <f>+E63-10%</f>
        <v>0.30000000000000004</v>
      </c>
      <c r="F62" s="104">
        <f t="shared" si="10"/>
        <v>4.375895794345837</v>
      </c>
      <c r="G62" s="104">
        <f t="shared" si="10"/>
        <v>4.6452645020706376</v>
      </c>
      <c r="H62" s="109">
        <f t="shared" si="10"/>
        <v>6.6616939999318801</v>
      </c>
      <c r="I62" s="104">
        <f t="shared" si="10"/>
        <v>5.1840019175202379</v>
      </c>
      <c r="J62" s="104">
        <f t="shared" si="10"/>
        <v>5.4533706252450385</v>
      </c>
    </row>
    <row r="63" spans="4:11" x14ac:dyDescent="0.35">
      <c r="D63" s="535"/>
      <c r="E63" s="107">
        <f>J13</f>
        <v>0.4</v>
      </c>
      <c r="F63" s="109">
        <f t="shared" si="10"/>
        <v>3.2819218457593782</v>
      </c>
      <c r="G63" s="109">
        <f t="shared" si="10"/>
        <v>3.4839483765529788</v>
      </c>
      <c r="H63" s="103">
        <f t="shared" si="10"/>
        <v>4.9962704999489107</v>
      </c>
      <c r="I63" s="109">
        <f t="shared" si="10"/>
        <v>3.8880014381401793</v>
      </c>
      <c r="J63" s="109">
        <f t="shared" si="10"/>
        <v>4.0900279689337795</v>
      </c>
    </row>
    <row r="64" spans="4:11" x14ac:dyDescent="0.35">
      <c r="D64" s="535"/>
      <c r="E64" s="106">
        <f>+E63+10%</f>
        <v>0.5</v>
      </c>
      <c r="F64" s="104">
        <f t="shared" si="10"/>
        <v>2.6255374766075028</v>
      </c>
      <c r="G64" s="104">
        <f t="shared" si="10"/>
        <v>2.7871587012423831</v>
      </c>
      <c r="H64" s="109">
        <f t="shared" si="10"/>
        <v>3.9970163999591293</v>
      </c>
      <c r="I64" s="104">
        <f t="shared" si="10"/>
        <v>3.1104011505121436</v>
      </c>
      <c r="J64" s="104">
        <f t="shared" si="10"/>
        <v>3.2720223751470239</v>
      </c>
    </row>
    <row r="65" spans="4:10" x14ac:dyDescent="0.35">
      <c r="D65" s="535"/>
      <c r="E65" s="108">
        <f>+E64+10%</f>
        <v>0.6</v>
      </c>
      <c r="F65" s="104">
        <f t="shared" si="10"/>
        <v>2.1879478971729194</v>
      </c>
      <c r="G65" s="104">
        <f t="shared" si="10"/>
        <v>2.3226322510353197</v>
      </c>
      <c r="H65" s="109">
        <f t="shared" si="10"/>
        <v>3.3308469999659414</v>
      </c>
      <c r="I65" s="104">
        <f t="shared" si="10"/>
        <v>2.5920009587601198</v>
      </c>
      <c r="J65" s="104">
        <f t="shared" si="10"/>
        <v>2.7266853126225201</v>
      </c>
    </row>
    <row r="66" spans="4:10" x14ac:dyDescent="0.35"/>
    <row r="67" spans="4:10" hidden="1" outlineLevel="1" x14ac:dyDescent="0.35"/>
    <row r="68" spans="4:10" hidden="1" outlineLevel="1" x14ac:dyDescent="0.35"/>
    <row r="69" spans="4:10" hidden="1" outlineLevel="1" x14ac:dyDescent="0.35"/>
    <row r="70" spans="4:10" collapsed="1" x14ac:dyDescent="0.35">
      <c r="D70" s="121"/>
      <c r="E70" s="121"/>
      <c r="F70" s="123" t="s">
        <v>57</v>
      </c>
      <c r="G70" s="122"/>
      <c r="H70" s="122"/>
      <c r="I70" s="122"/>
      <c r="J70" s="122"/>
    </row>
    <row r="71" spans="4:10" x14ac:dyDescent="0.35">
      <c r="D71" s="128"/>
      <c r="E71" s="129"/>
      <c r="F71" s="126" t="s">
        <v>55</v>
      </c>
      <c r="G71" s="127"/>
      <c r="H71" s="127"/>
      <c r="I71" s="127"/>
      <c r="J71" s="127"/>
    </row>
    <row r="72" spans="4:10" ht="14.5" customHeight="1" x14ac:dyDescent="0.35">
      <c r="D72" s="535" t="s">
        <v>56</v>
      </c>
      <c r="E72" s="96">
        <f>M38</f>
        <v>0.30749787147027319</v>
      </c>
      <c r="F72" s="105">
        <v>16</v>
      </c>
      <c r="G72" s="105">
        <v>17</v>
      </c>
      <c r="H72" s="125">
        <f>M26</f>
        <v>24.485760001199999</v>
      </c>
      <c r="I72" s="105">
        <v>19</v>
      </c>
      <c r="J72" s="105">
        <f>+I72+1</f>
        <v>20</v>
      </c>
    </row>
    <row r="73" spans="4:10" x14ac:dyDescent="0.35">
      <c r="D73" s="535"/>
      <c r="E73" s="106">
        <f>+E74-10%</f>
        <v>0.20000000000000004</v>
      </c>
      <c r="F73" s="110">
        <f t="shared" ref="F73:J77" si="11">(((F$72*$M$23)+$M$30+$M$31)/(($E73/$J$13)*$P$46))^(1/$M$21)-1</f>
        <v>0.36833689888039611</v>
      </c>
      <c r="G73" s="110">
        <f t="shared" si="11"/>
        <v>0.38202834743134995</v>
      </c>
      <c r="H73" s="113">
        <f t="shared" si="11"/>
        <v>0.46761673897066802</v>
      </c>
      <c r="I73" s="110">
        <f t="shared" si="11"/>
        <v>0.40753564559056721</v>
      </c>
      <c r="J73" s="110">
        <f t="shared" si="11"/>
        <v>0.41946943550744598</v>
      </c>
    </row>
    <row r="74" spans="4:10" x14ac:dyDescent="0.35">
      <c r="D74" s="535"/>
      <c r="E74" s="106">
        <f>+E75-10%</f>
        <v>0.30000000000000004</v>
      </c>
      <c r="F74" s="111">
        <f t="shared" si="11"/>
        <v>0.27892328708420089</v>
      </c>
      <c r="G74" s="111">
        <f t="shared" si="11"/>
        <v>0.29172007156034652</v>
      </c>
      <c r="H74" s="113">
        <f t="shared" si="11"/>
        <v>0.3717157123512056</v>
      </c>
      <c r="I74" s="111">
        <f t="shared" si="11"/>
        <v>0.31556060208547865</v>
      </c>
      <c r="J74" s="111">
        <f t="shared" si="11"/>
        <v>0.32671458166488998</v>
      </c>
    </row>
    <row r="75" spans="4:10" x14ac:dyDescent="0.35">
      <c r="D75" s="535"/>
      <c r="E75" s="112">
        <f>J13</f>
        <v>0.4</v>
      </c>
      <c r="F75" s="113">
        <f t="shared" si="11"/>
        <v>0.21904958919667217</v>
      </c>
      <c r="G75" s="113">
        <f t="shared" si="11"/>
        <v>0.23124728316020127</v>
      </c>
      <c r="H75" s="115">
        <f t="shared" si="11"/>
        <v>0.30749787147027319</v>
      </c>
      <c r="I75" s="113">
        <f t="shared" si="11"/>
        <v>0.25397170239347133</v>
      </c>
      <c r="J75" s="113">
        <f t="shared" si="11"/>
        <v>0.26460350053297454</v>
      </c>
    </row>
    <row r="76" spans="4:10" x14ac:dyDescent="0.35">
      <c r="D76" s="535"/>
      <c r="E76" s="106">
        <f>+E75+10%</f>
        <v>0.5</v>
      </c>
      <c r="F76" s="111">
        <f t="shared" si="11"/>
        <v>0.1745451168130574</v>
      </c>
      <c r="G76" s="111">
        <f t="shared" si="11"/>
        <v>0.18629750326903771</v>
      </c>
      <c r="H76" s="113">
        <f t="shared" si="11"/>
        <v>0.25976437200629365</v>
      </c>
      <c r="I76" s="111">
        <f t="shared" si="11"/>
        <v>0.20819231040353547</v>
      </c>
      <c r="J76" s="111">
        <f t="shared" si="11"/>
        <v>0.21843596800234155</v>
      </c>
    </row>
    <row r="77" spans="4:10" x14ac:dyDescent="0.35">
      <c r="D77" s="535"/>
      <c r="E77" s="106">
        <f>+E76+10%</f>
        <v>0.6</v>
      </c>
      <c r="F77" s="111">
        <f t="shared" si="11"/>
        <v>0.13939111706314389</v>
      </c>
      <c r="G77" s="111">
        <f t="shared" si="11"/>
        <v>0.1507917559492602</v>
      </c>
      <c r="H77" s="113">
        <f t="shared" si="11"/>
        <v>0.22205976978665154</v>
      </c>
      <c r="I77" s="111">
        <f t="shared" si="11"/>
        <v>0.17203125403388597</v>
      </c>
      <c r="J77" s="111">
        <f t="shared" si="11"/>
        <v>0.18196832014334707</v>
      </c>
    </row>
    <row r="78" spans="4:10" x14ac:dyDescent="0.35"/>
    <row r="79" spans="4:10" x14ac:dyDescent="0.35"/>
    <row r="80" spans="4:10" x14ac:dyDescent="0.35"/>
    <row r="81" spans="1:18" x14ac:dyDescent="0.35"/>
    <row r="82" spans="1:18" x14ac:dyDescent="0.35">
      <c r="A82" t="s">
        <v>3</v>
      </c>
      <c r="C82" s="82" t="s">
        <v>615</v>
      </c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 x14ac:dyDescent="0.35"/>
    <row r="84" spans="1:18" ht="16" thickBot="1" x14ac:dyDescent="0.4">
      <c r="C84" s="519" t="s">
        <v>616</v>
      </c>
      <c r="D84" s="520"/>
      <c r="E84" s="520"/>
      <c r="F84" s="520"/>
      <c r="G84" s="374" t="s">
        <v>16</v>
      </c>
      <c r="H84" s="117" t="s">
        <v>17</v>
      </c>
      <c r="I84" s="117" t="s">
        <v>18</v>
      </c>
      <c r="J84" s="117" t="s">
        <v>19</v>
      </c>
      <c r="K84" s="117" t="s">
        <v>20</v>
      </c>
      <c r="L84" s="118" t="s">
        <v>21</v>
      </c>
      <c r="M84" s="118" t="s">
        <v>22</v>
      </c>
    </row>
    <row r="85" spans="1:18" ht="15.5" x14ac:dyDescent="0.35">
      <c r="C85" s="522" t="s">
        <v>617</v>
      </c>
      <c r="G85" s="48">
        <f>K46</f>
        <v>0.05</v>
      </c>
    </row>
    <row r="86" spans="1:18" ht="15.5" x14ac:dyDescent="0.35">
      <c r="C86" s="523" t="s">
        <v>618</v>
      </c>
      <c r="G86" s="68">
        <f>-J46</f>
        <v>-507.5600416736001</v>
      </c>
    </row>
    <row r="87" spans="1:18" ht="15.5" x14ac:dyDescent="0.35">
      <c r="C87" s="521" t="s">
        <v>619</v>
      </c>
      <c r="M87" s="524">
        <f>-(P46*G85)</f>
        <v>-203.02401666943999</v>
      </c>
    </row>
    <row r="88" spans="1:18" ht="15.5" x14ac:dyDescent="0.35">
      <c r="C88" s="521" t="s">
        <v>620</v>
      </c>
      <c r="M88" s="53">
        <f>G85/(1+G85)*(M32+M87)</f>
        <v>956.39209946017797</v>
      </c>
    </row>
    <row r="89" spans="1:18" ht="16" thickBot="1" x14ac:dyDescent="0.4">
      <c r="C89" s="526" t="s">
        <v>621</v>
      </c>
      <c r="D89" s="527"/>
      <c r="E89" s="527"/>
      <c r="F89" s="527"/>
      <c r="G89" s="527"/>
      <c r="H89" s="527"/>
      <c r="I89" s="527"/>
      <c r="J89" s="527"/>
      <c r="K89" s="527"/>
      <c r="L89" s="527"/>
      <c r="M89" s="528">
        <f>M32*Q44</f>
        <v>2535.9072631666481</v>
      </c>
    </row>
    <row r="90" spans="1:18" ht="15.5" x14ac:dyDescent="0.35">
      <c r="C90" s="525" t="s">
        <v>622</v>
      </c>
      <c r="G90" s="529">
        <f t="shared" ref="G90:M90" si="12">SUM(G86:G89)</f>
        <v>-507.5600416736001</v>
      </c>
      <c r="H90" s="529">
        <f t="shared" si="12"/>
        <v>0</v>
      </c>
      <c r="I90" s="529">
        <f t="shared" si="12"/>
        <v>0</v>
      </c>
      <c r="J90" s="529">
        <f t="shared" si="12"/>
        <v>0</v>
      </c>
      <c r="K90" s="529">
        <f t="shared" si="12"/>
        <v>0</v>
      </c>
      <c r="L90" s="529">
        <f t="shared" si="12"/>
        <v>0</v>
      </c>
      <c r="M90" s="529">
        <f t="shared" si="12"/>
        <v>3289.275345957386</v>
      </c>
    </row>
    <row r="91" spans="1:18" x14ac:dyDescent="0.35"/>
    <row r="92" spans="1:18" x14ac:dyDescent="0.35">
      <c r="C92" s="532" t="s">
        <v>33</v>
      </c>
      <c r="D92" s="532"/>
      <c r="E92" s="532"/>
      <c r="F92" s="532"/>
      <c r="G92" s="532"/>
      <c r="H92" s="532"/>
      <c r="I92" s="532"/>
      <c r="J92" s="532"/>
      <c r="K92" s="532"/>
      <c r="L92" s="532"/>
      <c r="M92" s="533">
        <f>-M90/G90</f>
        <v>6.4805640237389719</v>
      </c>
    </row>
    <row r="93" spans="1:18" x14ac:dyDescent="0.35">
      <c r="C93" s="532" t="s">
        <v>34</v>
      </c>
      <c r="D93" s="532"/>
      <c r="E93" s="532"/>
      <c r="F93" s="532"/>
      <c r="G93" s="532"/>
      <c r="H93" s="532"/>
      <c r="I93" s="532"/>
      <c r="J93" s="532"/>
      <c r="K93" s="532"/>
      <c r="L93" s="532"/>
      <c r="M93" s="534">
        <f>(M90/-G90)^(1/M21)-1</f>
        <v>0.36542798899897155</v>
      </c>
    </row>
    <row r="94" spans="1:18" x14ac:dyDescent="0.35"/>
    <row r="95" spans="1:18" x14ac:dyDescent="0.35"/>
    <row r="96" spans="1:18" ht="16" thickBot="1" x14ac:dyDescent="0.4">
      <c r="C96" s="519" t="s">
        <v>623</v>
      </c>
      <c r="D96" s="520"/>
      <c r="E96" s="520"/>
      <c r="F96" s="520"/>
      <c r="G96" s="374" t="s">
        <v>16</v>
      </c>
      <c r="H96" s="117" t="s">
        <v>17</v>
      </c>
      <c r="I96" s="117" t="s">
        <v>18</v>
      </c>
      <c r="J96" s="117" t="s">
        <v>19</v>
      </c>
      <c r="K96" s="117" t="s">
        <v>20</v>
      </c>
      <c r="L96" s="118" t="s">
        <v>21</v>
      </c>
      <c r="M96" s="118" t="s">
        <v>22</v>
      </c>
    </row>
    <row r="97" spans="3:13" ht="15.5" x14ac:dyDescent="0.35">
      <c r="C97" s="522" t="s">
        <v>617</v>
      </c>
      <c r="G97" s="48"/>
    </row>
    <row r="98" spans="3:13" ht="15.5" x14ac:dyDescent="0.35">
      <c r="C98" s="523" t="s">
        <v>618</v>
      </c>
      <c r="G98" s="68">
        <f>-P45</f>
        <v>-3552.9202917151993</v>
      </c>
    </row>
    <row r="99" spans="3:13" ht="15.5" x14ac:dyDescent="0.35">
      <c r="C99" s="521" t="s">
        <v>624</v>
      </c>
      <c r="M99" s="529">
        <f>-M87</f>
        <v>203.02401666943999</v>
      </c>
    </row>
    <row r="100" spans="3:13" ht="15.5" x14ac:dyDescent="0.35">
      <c r="C100" s="521" t="s">
        <v>625</v>
      </c>
      <c r="M100" s="529">
        <f>-M88</f>
        <v>-956.39209946017797</v>
      </c>
    </row>
    <row r="101" spans="3:13" ht="16" thickBot="1" x14ac:dyDescent="0.4">
      <c r="C101" s="526" t="s">
        <v>621</v>
      </c>
      <c r="D101" s="527"/>
      <c r="E101" s="527"/>
      <c r="F101" s="527"/>
      <c r="G101" s="527"/>
      <c r="H101" s="527"/>
      <c r="I101" s="527"/>
      <c r="J101" s="527"/>
      <c r="K101" s="527"/>
      <c r="L101" s="527"/>
      <c r="M101" s="528">
        <f>M32*Q45</f>
        <v>17751.350842166528</v>
      </c>
    </row>
    <row r="102" spans="3:13" ht="15.5" x14ac:dyDescent="0.35">
      <c r="C102" s="525" t="s">
        <v>622</v>
      </c>
      <c r="G102" s="529">
        <f t="shared" ref="G102:L102" si="13">SUM(G98:G101)</f>
        <v>-3552.9202917151993</v>
      </c>
      <c r="H102" s="529">
        <f t="shared" si="13"/>
        <v>0</v>
      </c>
      <c r="I102" s="529">
        <f t="shared" si="13"/>
        <v>0</v>
      </c>
      <c r="J102" s="529">
        <f t="shared" si="13"/>
        <v>0</v>
      </c>
      <c r="K102" s="529">
        <f t="shared" si="13"/>
        <v>0</v>
      </c>
      <c r="L102" s="529">
        <f t="shared" si="13"/>
        <v>0</v>
      </c>
      <c r="M102" s="529">
        <f>SUM(M99:M101)</f>
        <v>16997.982759375791</v>
      </c>
    </row>
    <row r="103" spans="3:13" x14ac:dyDescent="0.35"/>
    <row r="104" spans="3:13" x14ac:dyDescent="0.35">
      <c r="C104" s="532" t="s">
        <v>33</v>
      </c>
      <c r="D104" s="532"/>
      <c r="E104" s="532"/>
      <c r="F104" s="532"/>
      <c r="G104" s="532"/>
      <c r="H104" s="532"/>
      <c r="I104" s="532"/>
      <c r="J104" s="532"/>
      <c r="K104" s="532"/>
      <c r="L104" s="532"/>
      <c r="M104" s="533">
        <f>-M102/G102</f>
        <v>4.7842285679789018</v>
      </c>
    </row>
    <row r="105" spans="3:13" x14ac:dyDescent="0.35">
      <c r="C105" s="532" t="s">
        <v>34</v>
      </c>
      <c r="D105" s="532"/>
      <c r="E105" s="532"/>
      <c r="F105" s="532"/>
      <c r="G105" s="532"/>
      <c r="H105" s="532"/>
      <c r="I105" s="532"/>
      <c r="J105" s="532"/>
      <c r="K105" s="532"/>
      <c r="L105" s="532"/>
      <c r="M105" s="534">
        <f>(M102/-G102)^(1/M21)-1</f>
        <v>0.29808157827301462</v>
      </c>
    </row>
    <row r="106" spans="3:13" x14ac:dyDescent="0.35"/>
    <row r="107" spans="3:13" x14ac:dyDescent="0.35"/>
    <row r="108" spans="3:13" x14ac:dyDescent="0.35"/>
  </sheetData>
  <mergeCells count="2">
    <mergeCell ref="D60:D65"/>
    <mergeCell ref="D72:D7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showGridLines="0" zoomScale="85" zoomScaleNormal="85" workbookViewId="0">
      <selection activeCell="C4" sqref="C4"/>
    </sheetView>
  </sheetViews>
  <sheetFormatPr defaultColWidth="0" defaultRowHeight="14.5" zeroHeight="1" outlineLevelRow="1" x14ac:dyDescent="0.35"/>
  <cols>
    <col min="1" max="1" width="35.453125" customWidth="1"/>
    <col min="2" max="7" width="6.6328125" bestFit="1" customWidth="1"/>
    <col min="8" max="8" width="8.6328125" customWidth="1"/>
    <col min="9" max="15" width="0" hidden="1" customWidth="1"/>
    <col min="16" max="16384" width="8.6328125" hidden="1"/>
  </cols>
  <sheetData>
    <row r="1" spans="1:13" x14ac:dyDescent="0.35">
      <c r="A1" s="408" t="s">
        <v>555</v>
      </c>
      <c r="B1" s="410" t="s">
        <v>300</v>
      </c>
      <c r="C1" s="411" t="s">
        <v>556</v>
      </c>
      <c r="D1" s="410" t="s">
        <v>557</v>
      </c>
      <c r="E1" s="411" t="s">
        <v>558</v>
      </c>
      <c r="F1" s="410" t="s">
        <v>559</v>
      </c>
      <c r="G1" s="411" t="s">
        <v>560</v>
      </c>
    </row>
    <row r="2" spans="1:13" ht="15" customHeight="1" x14ac:dyDescent="0.35">
      <c r="A2" s="403" t="s">
        <v>561</v>
      </c>
      <c r="B2" s="378"/>
      <c r="C2" s="378"/>
      <c r="D2" s="378"/>
      <c r="E2" s="378"/>
      <c r="F2" s="378"/>
      <c r="G2" s="378"/>
    </row>
    <row r="3" spans="1:13" ht="15" customHeight="1" x14ac:dyDescent="0.35">
      <c r="A3" s="404" t="s">
        <v>562</v>
      </c>
      <c r="B3" s="400">
        <v>1189.9000000000001</v>
      </c>
      <c r="C3" s="400">
        <v>1280.8599999999999</v>
      </c>
      <c r="D3" s="400">
        <v>1459.32</v>
      </c>
      <c r="E3" s="400">
        <v>1335.45</v>
      </c>
      <c r="F3" s="400">
        <v>1646.79</v>
      </c>
      <c r="G3" s="400">
        <v>1902.84</v>
      </c>
    </row>
    <row r="4" spans="1:13" ht="28.5" customHeight="1" x14ac:dyDescent="0.35">
      <c r="A4" s="405" t="s">
        <v>563</v>
      </c>
      <c r="B4" s="400">
        <v>1189.9000000000001</v>
      </c>
      <c r="C4" s="400">
        <v>1280.8599999999999</v>
      </c>
      <c r="D4" s="400">
        <v>1459.32</v>
      </c>
      <c r="E4" s="400">
        <v>1335.45</v>
      </c>
      <c r="F4" s="400">
        <v>1646.79</v>
      </c>
      <c r="G4" s="400">
        <v>1902.84</v>
      </c>
      <c r="M4" s="20"/>
    </row>
    <row r="5" spans="1:13" ht="15" customHeight="1" x14ac:dyDescent="0.35">
      <c r="A5" s="406" t="s">
        <v>564</v>
      </c>
      <c r="B5" s="397">
        <v>1189.9000000000001</v>
      </c>
      <c r="C5" s="397">
        <v>1280.8599999999999</v>
      </c>
      <c r="D5" s="397">
        <v>1459.32</v>
      </c>
      <c r="E5" s="397">
        <v>1335.45</v>
      </c>
      <c r="F5" s="397">
        <v>1646.79</v>
      </c>
      <c r="G5" s="397">
        <v>1902.84</v>
      </c>
    </row>
    <row r="6" spans="1:13" ht="15" customHeight="1" x14ac:dyDescent="0.35">
      <c r="A6" s="403" t="s">
        <v>178</v>
      </c>
      <c r="B6" s="378"/>
      <c r="C6" s="378"/>
      <c r="D6" s="378"/>
      <c r="E6" s="378"/>
      <c r="F6" s="378"/>
      <c r="G6" s="378"/>
      <c r="M6" s="19"/>
    </row>
    <row r="7" spans="1:13" ht="15" customHeight="1" x14ac:dyDescent="0.35">
      <c r="A7" s="404" t="s">
        <v>565</v>
      </c>
      <c r="B7" s="400">
        <v>533.16</v>
      </c>
      <c r="C7" s="400">
        <v>570.47</v>
      </c>
      <c r="D7" s="400">
        <v>627.44000000000005</v>
      </c>
      <c r="E7" s="400">
        <v>589.92999999999995</v>
      </c>
      <c r="F7" s="400">
        <v>679.57</v>
      </c>
      <c r="G7" s="400">
        <v>775.24</v>
      </c>
      <c r="M7" s="19"/>
    </row>
    <row r="8" spans="1:13" ht="15" customHeight="1" x14ac:dyDescent="0.35">
      <c r="A8" s="405" t="s">
        <v>566</v>
      </c>
      <c r="B8" s="400">
        <v>533.16</v>
      </c>
      <c r="C8" s="400">
        <v>570.47</v>
      </c>
      <c r="D8" s="400">
        <v>627.44000000000005</v>
      </c>
      <c r="E8" s="400">
        <v>589.92999999999995</v>
      </c>
      <c r="F8" s="400">
        <v>679.57</v>
      </c>
      <c r="G8" s="400">
        <v>775.24</v>
      </c>
      <c r="M8" s="21"/>
    </row>
    <row r="9" spans="1:13" ht="36.5" customHeight="1" x14ac:dyDescent="0.35">
      <c r="A9" s="406" t="s">
        <v>567</v>
      </c>
      <c r="B9" s="397">
        <v>656.73</v>
      </c>
      <c r="C9" s="397">
        <v>710.39</v>
      </c>
      <c r="D9" s="397">
        <v>831.88</v>
      </c>
      <c r="E9" s="397">
        <v>745.52</v>
      </c>
      <c r="F9" s="397">
        <v>967.21</v>
      </c>
      <c r="G9" s="397">
        <v>1127.5999999999999</v>
      </c>
    </row>
    <row r="10" spans="1:13" ht="34" customHeight="1" x14ac:dyDescent="0.35">
      <c r="A10" s="404" t="s">
        <v>568</v>
      </c>
      <c r="B10" s="400">
        <v>483.44</v>
      </c>
      <c r="C10" s="400">
        <v>513.27</v>
      </c>
      <c r="D10" s="400">
        <v>567.23</v>
      </c>
      <c r="E10" s="400">
        <v>567.97</v>
      </c>
      <c r="F10" s="400">
        <v>596.04999999999995</v>
      </c>
      <c r="G10" s="400">
        <v>729.43</v>
      </c>
      <c r="K10" s="22"/>
      <c r="M10" s="23"/>
    </row>
    <row r="11" spans="1:13" ht="23.5" customHeight="1" outlineLevel="1" x14ac:dyDescent="0.35">
      <c r="A11" s="405" t="s">
        <v>569</v>
      </c>
      <c r="B11" s="400">
        <v>337.65</v>
      </c>
      <c r="C11" s="400">
        <v>353.65</v>
      </c>
      <c r="D11" s="400">
        <v>393.91</v>
      </c>
      <c r="E11" s="400">
        <v>349.16</v>
      </c>
      <c r="F11" s="400">
        <v>363.98</v>
      </c>
      <c r="G11" s="400">
        <v>438.06</v>
      </c>
    </row>
    <row r="12" spans="1:13" ht="23.5" customHeight="1" outlineLevel="1" x14ac:dyDescent="0.35">
      <c r="A12" s="405" t="s">
        <v>570</v>
      </c>
      <c r="B12" s="400">
        <v>145.79</v>
      </c>
      <c r="C12" s="400">
        <v>159.63</v>
      </c>
      <c r="D12" s="400">
        <v>173.31</v>
      </c>
      <c r="E12" s="400">
        <v>218.8</v>
      </c>
      <c r="F12" s="400">
        <v>232.07</v>
      </c>
      <c r="G12" s="400">
        <v>291.37</v>
      </c>
    </row>
    <row r="13" spans="1:13" ht="15" customHeight="1" x14ac:dyDescent="0.35">
      <c r="A13" s="404" t="s">
        <v>571</v>
      </c>
      <c r="B13" s="399">
        <v>-0.06</v>
      </c>
      <c r="C13" s="399">
        <v>-0.01</v>
      </c>
      <c r="D13" s="401">
        <v>0</v>
      </c>
      <c r="E13" s="401"/>
      <c r="F13" s="401"/>
      <c r="G13" s="399">
        <v>1.29</v>
      </c>
      <c r="J13" s="22"/>
    </row>
    <row r="14" spans="1:13" ht="15" customHeight="1" outlineLevel="1" x14ac:dyDescent="0.35">
      <c r="A14" s="405" t="s">
        <v>572</v>
      </c>
      <c r="B14" s="399">
        <v>0.06</v>
      </c>
      <c r="C14" s="399">
        <v>0.02</v>
      </c>
      <c r="D14" s="401">
        <v>0</v>
      </c>
      <c r="E14" s="401"/>
      <c r="F14" s="401"/>
      <c r="G14" s="401"/>
    </row>
    <row r="15" spans="1:13" ht="15" customHeight="1" outlineLevel="1" x14ac:dyDescent="0.35">
      <c r="A15" s="405" t="s">
        <v>573</v>
      </c>
      <c r="B15" s="401"/>
      <c r="C15" s="401"/>
      <c r="D15" s="401"/>
      <c r="E15" s="401"/>
      <c r="F15" s="401"/>
      <c r="G15" s="401"/>
    </row>
    <row r="16" spans="1:13" ht="15" customHeight="1" x14ac:dyDescent="0.35">
      <c r="A16" s="404" t="s">
        <v>574</v>
      </c>
      <c r="B16" s="400">
        <v>1016.54</v>
      </c>
      <c r="C16" s="400">
        <v>1083.73</v>
      </c>
      <c r="D16" s="400">
        <v>1194.6600000000001</v>
      </c>
      <c r="E16" s="400">
        <v>1157.9000000000001</v>
      </c>
      <c r="F16" s="400">
        <v>1275.6199999999999</v>
      </c>
      <c r="G16" s="400">
        <v>1505.96</v>
      </c>
    </row>
    <row r="17" spans="1:15" ht="15" customHeight="1" x14ac:dyDescent="0.35">
      <c r="A17" s="403" t="s">
        <v>575</v>
      </c>
      <c r="B17" s="378"/>
      <c r="C17" s="378"/>
      <c r="D17" s="378"/>
      <c r="E17" s="378"/>
      <c r="F17" s="378"/>
      <c r="G17" s="378"/>
      <c r="J17" s="23"/>
    </row>
    <row r="18" spans="1:15" ht="27" customHeight="1" x14ac:dyDescent="0.35">
      <c r="A18" s="406" t="s">
        <v>576</v>
      </c>
      <c r="B18" s="397">
        <v>173.35</v>
      </c>
      <c r="C18" s="397">
        <v>197.13</v>
      </c>
      <c r="D18" s="397">
        <v>264.66000000000003</v>
      </c>
      <c r="E18" s="397">
        <v>177.55</v>
      </c>
      <c r="F18" s="397">
        <v>371.17</v>
      </c>
      <c r="G18" s="397">
        <v>396.88</v>
      </c>
      <c r="N18" s="22"/>
      <c r="O18" s="22"/>
    </row>
    <row r="19" spans="1:15" ht="15" customHeight="1" x14ac:dyDescent="0.35">
      <c r="A19" s="403" t="s">
        <v>577</v>
      </c>
      <c r="B19" s="378"/>
      <c r="C19" s="378"/>
      <c r="D19" s="378"/>
      <c r="E19" s="378"/>
      <c r="F19" s="378"/>
      <c r="G19" s="378"/>
      <c r="N19" s="22"/>
      <c r="O19" s="22"/>
    </row>
    <row r="20" spans="1:15" ht="15" customHeight="1" x14ac:dyDescent="0.35">
      <c r="A20" s="404" t="s">
        <v>578</v>
      </c>
      <c r="B20" s="398">
        <v>7.73</v>
      </c>
      <c r="C20" s="399">
        <v>-17.95</v>
      </c>
      <c r="D20" s="399">
        <v>-34.799999999999997</v>
      </c>
      <c r="E20" s="399">
        <v>1.17</v>
      </c>
      <c r="F20" s="399">
        <v>-34.56</v>
      </c>
      <c r="G20" s="399">
        <v>6.61</v>
      </c>
      <c r="N20" s="22"/>
      <c r="O20" s="22"/>
    </row>
    <row r="21" spans="1:15" ht="27.5" customHeight="1" x14ac:dyDescent="0.35">
      <c r="A21" s="405" t="s">
        <v>579</v>
      </c>
      <c r="B21" s="399">
        <v>0.74</v>
      </c>
      <c r="C21" s="399">
        <v>1.08</v>
      </c>
      <c r="D21" s="399">
        <v>5.85</v>
      </c>
      <c r="E21" s="399">
        <v>25.81</v>
      </c>
      <c r="F21" s="399">
        <v>7.02</v>
      </c>
      <c r="G21" s="399">
        <v>-4.1500000000000004</v>
      </c>
      <c r="J21" s="22"/>
    </row>
    <row r="22" spans="1:15" ht="27.5" customHeight="1" x14ac:dyDescent="0.35">
      <c r="A22" s="407" t="s">
        <v>580</v>
      </c>
      <c r="B22" s="399">
        <v>0.94</v>
      </c>
      <c r="C22" s="399">
        <v>0.98</v>
      </c>
      <c r="D22" s="399">
        <v>1.8</v>
      </c>
      <c r="E22" s="399">
        <v>1.46</v>
      </c>
      <c r="F22" s="399">
        <v>1.56</v>
      </c>
      <c r="G22" s="399">
        <v>13.25</v>
      </c>
    </row>
    <row r="23" spans="1:15" ht="27.5" customHeight="1" x14ac:dyDescent="0.35">
      <c r="A23" s="407" t="s">
        <v>581</v>
      </c>
      <c r="B23" s="399">
        <v>1.68</v>
      </c>
      <c r="C23" s="399">
        <v>2.0499999999999998</v>
      </c>
      <c r="D23" s="399">
        <v>7.65</v>
      </c>
      <c r="E23" s="399">
        <v>27.27</v>
      </c>
      <c r="F23" s="399">
        <v>8.58</v>
      </c>
      <c r="G23" s="399">
        <v>9.1</v>
      </c>
      <c r="O23" s="22"/>
    </row>
    <row r="24" spans="1:15" ht="27.5" customHeight="1" x14ac:dyDescent="0.35">
      <c r="A24" s="405" t="s">
        <v>582</v>
      </c>
      <c r="B24" s="399">
        <v>8.4700000000000006</v>
      </c>
      <c r="C24" s="399">
        <v>-16.87</v>
      </c>
      <c r="D24" s="399">
        <v>-28.95</v>
      </c>
      <c r="E24" s="399">
        <v>26.97</v>
      </c>
      <c r="F24" s="399">
        <v>-27.55</v>
      </c>
      <c r="G24" s="399">
        <v>2.46</v>
      </c>
      <c r="J24" s="23"/>
      <c r="N24" s="22"/>
    </row>
    <row r="25" spans="1:15" ht="27.5" customHeight="1" x14ac:dyDescent="0.35">
      <c r="A25" s="407" t="s">
        <v>583</v>
      </c>
      <c r="B25" s="401"/>
      <c r="C25" s="401"/>
      <c r="D25" s="401"/>
      <c r="E25" s="401"/>
      <c r="F25" s="401"/>
      <c r="G25" s="401"/>
    </row>
    <row r="26" spans="1:15" ht="27.5" customHeight="1" x14ac:dyDescent="0.35">
      <c r="A26" s="407" t="s">
        <v>584</v>
      </c>
      <c r="B26" s="399">
        <v>9.0299999999999994</v>
      </c>
      <c r="C26" s="399">
        <v>-19.37</v>
      </c>
      <c r="D26" s="399">
        <v>-28.65</v>
      </c>
      <c r="E26" s="399">
        <v>4.46</v>
      </c>
      <c r="F26" s="399">
        <v>-25.1</v>
      </c>
      <c r="G26" s="399">
        <v>-48.63</v>
      </c>
      <c r="J26" s="22"/>
      <c r="K26" s="22"/>
      <c r="M26" s="22"/>
    </row>
    <row r="27" spans="1:15" ht="27.5" customHeight="1" x14ac:dyDescent="0.35">
      <c r="A27" s="407" t="s">
        <v>585</v>
      </c>
      <c r="B27" s="399">
        <v>-0.56000000000000005</v>
      </c>
      <c r="C27" s="399">
        <v>2.5</v>
      </c>
      <c r="D27" s="399">
        <v>-0.3</v>
      </c>
      <c r="E27" s="399">
        <v>22.52</v>
      </c>
      <c r="F27" s="399">
        <v>-2.44</v>
      </c>
      <c r="G27" s="399">
        <v>51.09</v>
      </c>
      <c r="K27" s="22"/>
    </row>
    <row r="28" spans="1:15" ht="27.5" customHeight="1" x14ac:dyDescent="0.35">
      <c r="A28" s="404" t="s">
        <v>586</v>
      </c>
      <c r="B28" s="398">
        <v>-1.57</v>
      </c>
      <c r="C28" s="401">
        <v>0</v>
      </c>
      <c r="D28" s="401"/>
      <c r="E28" s="401"/>
      <c r="F28" s="399">
        <v>2.4500000000000002</v>
      </c>
      <c r="G28" s="401"/>
    </row>
    <row r="29" spans="1:15" ht="15" customHeight="1" x14ac:dyDescent="0.35">
      <c r="A29" s="405" t="s">
        <v>587</v>
      </c>
      <c r="B29" s="401"/>
      <c r="C29" s="401"/>
      <c r="D29" s="401"/>
      <c r="E29" s="401"/>
      <c r="F29" s="399">
        <v>2.4500000000000002</v>
      </c>
      <c r="G29" s="401"/>
      <c r="J29" s="23"/>
    </row>
    <row r="30" spans="1:15" ht="27" customHeight="1" x14ac:dyDescent="0.35">
      <c r="A30" s="404" t="s">
        <v>588</v>
      </c>
      <c r="B30" s="402">
        <v>0</v>
      </c>
      <c r="C30" s="401"/>
      <c r="D30" s="401"/>
      <c r="E30" s="401"/>
      <c r="F30" s="401"/>
      <c r="G30" s="401"/>
    </row>
    <row r="31" spans="1:15" ht="27" customHeight="1" x14ac:dyDescent="0.35">
      <c r="A31" s="404" t="s">
        <v>589</v>
      </c>
      <c r="B31" s="398">
        <v>-4.5999999999999996</v>
      </c>
      <c r="C31" s="399">
        <v>3.6</v>
      </c>
      <c r="D31" s="399">
        <v>5.0999999999999996</v>
      </c>
      <c r="E31" s="399">
        <v>6.2</v>
      </c>
      <c r="F31" s="401"/>
      <c r="G31" s="401"/>
    </row>
    <row r="32" spans="1:15" ht="27.5" customHeight="1" x14ac:dyDescent="0.35">
      <c r="A32" s="405" t="s">
        <v>590</v>
      </c>
      <c r="B32" s="399">
        <v>-4.5999999999999996</v>
      </c>
      <c r="C32" s="399">
        <v>3.6</v>
      </c>
      <c r="D32" s="399">
        <v>5.0999999999999996</v>
      </c>
      <c r="E32" s="399">
        <v>6.2</v>
      </c>
      <c r="F32" s="401"/>
      <c r="G32" s="401"/>
    </row>
    <row r="33" spans="1:7" ht="15" customHeight="1" x14ac:dyDescent="0.35">
      <c r="A33" s="404" t="s">
        <v>591</v>
      </c>
      <c r="B33" s="400">
        <v>174.9</v>
      </c>
      <c r="C33" s="400">
        <v>182.78</v>
      </c>
      <c r="D33" s="400">
        <v>234.96</v>
      </c>
      <c r="E33" s="400">
        <v>184.92</v>
      </c>
      <c r="F33" s="400">
        <v>339.05</v>
      </c>
      <c r="G33" s="400">
        <v>403.49</v>
      </c>
    </row>
    <row r="34" spans="1:7" ht="15" customHeight="1" x14ac:dyDescent="0.35">
      <c r="A34" s="403" t="s">
        <v>592</v>
      </c>
      <c r="B34" s="378"/>
      <c r="C34" s="378"/>
      <c r="D34" s="378"/>
      <c r="E34" s="378"/>
      <c r="F34" s="378"/>
      <c r="G34" s="378"/>
    </row>
    <row r="35" spans="1:7" ht="15" customHeight="1" x14ac:dyDescent="0.35">
      <c r="A35" s="404" t="s">
        <v>593</v>
      </c>
      <c r="B35" s="399">
        <v>13.65</v>
      </c>
      <c r="C35" s="399">
        <v>-3.6</v>
      </c>
      <c r="D35" s="399">
        <v>-5.0999999999999996</v>
      </c>
      <c r="E35" s="399">
        <v>-6.2</v>
      </c>
      <c r="F35" s="401"/>
      <c r="G35" s="401"/>
    </row>
    <row r="36" spans="1:7" ht="15" customHeight="1" x14ac:dyDescent="0.35">
      <c r="A36" s="405" t="s">
        <v>594</v>
      </c>
      <c r="B36" s="401"/>
      <c r="C36" s="401"/>
      <c r="D36" s="401"/>
      <c r="E36" s="401"/>
      <c r="F36" s="401"/>
      <c r="G36" s="401"/>
    </row>
    <row r="37" spans="1:7" ht="15" customHeight="1" x14ac:dyDescent="0.35">
      <c r="A37" s="407" t="s">
        <v>595</v>
      </c>
      <c r="B37" s="401"/>
      <c r="C37" s="401"/>
      <c r="D37" s="401"/>
      <c r="E37" s="401"/>
      <c r="F37" s="401"/>
      <c r="G37" s="401"/>
    </row>
    <row r="38" spans="1:7" ht="15" customHeight="1" x14ac:dyDescent="0.35">
      <c r="A38" s="405" t="s">
        <v>596</v>
      </c>
      <c r="B38" s="401">
        <v>0</v>
      </c>
      <c r="C38" s="401"/>
      <c r="D38" s="401"/>
      <c r="E38" s="401"/>
      <c r="F38" s="401"/>
      <c r="G38" s="401"/>
    </row>
    <row r="39" spans="1:7" ht="21.5" customHeight="1" x14ac:dyDescent="0.35">
      <c r="A39" s="405" t="s">
        <v>597</v>
      </c>
      <c r="B39" s="399">
        <v>13.65</v>
      </c>
      <c r="C39" s="399">
        <v>-3.6</v>
      </c>
      <c r="D39" s="399">
        <v>-5.0999999999999996</v>
      </c>
      <c r="E39" s="399">
        <v>-6.2</v>
      </c>
      <c r="F39" s="401"/>
      <c r="G39" s="401"/>
    </row>
    <row r="40" spans="1:7" ht="15" customHeight="1" x14ac:dyDescent="0.35">
      <c r="A40" s="403" t="s">
        <v>598</v>
      </c>
      <c r="B40" s="378"/>
      <c r="C40" s="378"/>
      <c r="D40" s="378"/>
      <c r="E40" s="378"/>
      <c r="F40" s="378"/>
      <c r="G40" s="378"/>
    </row>
    <row r="41" spans="1:7" ht="15" customHeight="1" x14ac:dyDescent="0.35">
      <c r="A41" s="406" t="s">
        <v>599</v>
      </c>
      <c r="B41" s="397">
        <v>188.56</v>
      </c>
      <c r="C41" s="397">
        <v>179.18</v>
      </c>
      <c r="D41" s="397">
        <v>229.86</v>
      </c>
      <c r="E41" s="397">
        <v>178.72</v>
      </c>
      <c r="F41" s="397">
        <v>339.05</v>
      </c>
      <c r="G41" s="397">
        <v>403.49</v>
      </c>
    </row>
    <row r="42" spans="1:7" ht="15" customHeight="1" x14ac:dyDescent="0.35">
      <c r="A42" s="403" t="s">
        <v>186</v>
      </c>
      <c r="B42" s="378"/>
      <c r="C42" s="378"/>
      <c r="D42" s="378"/>
      <c r="E42" s="378"/>
      <c r="F42" s="378"/>
      <c r="G42" s="378"/>
    </row>
    <row r="43" spans="1:7" ht="15" customHeight="1" x14ac:dyDescent="0.35">
      <c r="A43" s="404" t="s">
        <v>600</v>
      </c>
      <c r="B43" s="399">
        <v>52.78</v>
      </c>
      <c r="C43" s="399">
        <v>52.95</v>
      </c>
      <c r="D43" s="399">
        <v>69.28</v>
      </c>
      <c r="E43" s="399">
        <v>55.3</v>
      </c>
      <c r="F43" s="400">
        <v>101.53</v>
      </c>
      <c r="G43" s="400">
        <v>107.58</v>
      </c>
    </row>
    <row r="44" spans="1:7" ht="15" customHeight="1" x14ac:dyDescent="0.35">
      <c r="A44" s="405" t="s">
        <v>601</v>
      </c>
      <c r="B44" s="399">
        <v>52.75</v>
      </c>
      <c r="C44" s="399">
        <v>52.23</v>
      </c>
      <c r="D44" s="399">
        <v>71.12</v>
      </c>
      <c r="E44" s="399">
        <v>57.69</v>
      </c>
      <c r="F44" s="400">
        <v>101.31</v>
      </c>
      <c r="G44" s="400">
        <v>114.91</v>
      </c>
    </row>
    <row r="45" spans="1:7" ht="15" customHeight="1" x14ac:dyDescent="0.35">
      <c r="A45" s="407" t="s">
        <v>602</v>
      </c>
      <c r="B45" s="399">
        <v>45.36</v>
      </c>
      <c r="C45" s="399">
        <v>47.58</v>
      </c>
      <c r="D45" s="399">
        <v>67.760000000000005</v>
      </c>
      <c r="E45" s="399">
        <v>52.75</v>
      </c>
      <c r="F45" s="399">
        <v>95.79</v>
      </c>
      <c r="G45" s="400">
        <v>107.28</v>
      </c>
    </row>
    <row r="46" spans="1:7" ht="15" customHeight="1" x14ac:dyDescent="0.35">
      <c r="A46" s="407" t="s">
        <v>603</v>
      </c>
      <c r="B46" s="399">
        <v>7.4</v>
      </c>
      <c r="C46" s="399">
        <v>4.6399999999999997</v>
      </c>
      <c r="D46" s="399">
        <v>3.36</v>
      </c>
      <c r="E46" s="399">
        <v>4.93</v>
      </c>
      <c r="F46" s="399">
        <v>5.51</v>
      </c>
      <c r="G46" s="399">
        <v>7.64</v>
      </c>
    </row>
    <row r="47" spans="1:7" ht="15" customHeight="1" x14ac:dyDescent="0.35">
      <c r="A47" s="405" t="s">
        <v>604</v>
      </c>
      <c r="B47" s="399">
        <v>0.03</v>
      </c>
      <c r="C47" s="399">
        <v>0.73</v>
      </c>
      <c r="D47" s="399">
        <v>-1.84</v>
      </c>
      <c r="E47" s="399">
        <v>-2.39</v>
      </c>
      <c r="F47" s="399">
        <v>0.22</v>
      </c>
      <c r="G47" s="399">
        <v>-7.33</v>
      </c>
    </row>
    <row r="48" spans="1:7" ht="15" customHeight="1" x14ac:dyDescent="0.35">
      <c r="A48" s="407" t="s">
        <v>605</v>
      </c>
      <c r="B48" s="399">
        <v>0.03</v>
      </c>
      <c r="C48" s="399">
        <v>0.73</v>
      </c>
      <c r="D48" s="399">
        <v>-1.84</v>
      </c>
      <c r="E48" s="399">
        <v>-2.39</v>
      </c>
      <c r="F48" s="399">
        <v>0.22</v>
      </c>
      <c r="G48" s="399">
        <v>-7.33</v>
      </c>
    </row>
    <row r="49" spans="1:7" ht="15" customHeight="1" x14ac:dyDescent="0.35">
      <c r="A49" s="403" t="s">
        <v>606</v>
      </c>
      <c r="B49" s="378"/>
      <c r="C49" s="378"/>
      <c r="D49" s="378"/>
      <c r="E49" s="378"/>
      <c r="F49" s="378"/>
      <c r="G49" s="378"/>
    </row>
    <row r="50" spans="1:7" ht="15" customHeight="1" x14ac:dyDescent="0.35">
      <c r="A50" s="404" t="s">
        <v>607</v>
      </c>
      <c r="B50" s="400">
        <v>135.78</v>
      </c>
      <c r="C50" s="400">
        <v>126.23</v>
      </c>
      <c r="D50" s="400">
        <v>160.58000000000001</v>
      </c>
      <c r="E50" s="400">
        <v>123.42</v>
      </c>
      <c r="F50" s="400">
        <v>237.52</v>
      </c>
      <c r="G50" s="400">
        <v>295.91000000000003</v>
      </c>
    </row>
    <row r="51" spans="1:7" ht="15" customHeight="1" x14ac:dyDescent="0.35">
      <c r="A51" s="403" t="s">
        <v>608</v>
      </c>
      <c r="B51" s="378"/>
      <c r="C51" s="378"/>
      <c r="D51" s="378"/>
      <c r="E51" s="378"/>
      <c r="F51" s="378"/>
      <c r="G51" s="378"/>
    </row>
    <row r="52" spans="1:7" ht="26.5" customHeight="1" x14ac:dyDescent="0.35">
      <c r="A52" s="406" t="s">
        <v>609</v>
      </c>
      <c r="B52" s="397">
        <v>135.78</v>
      </c>
      <c r="C52" s="397">
        <v>126.23</v>
      </c>
      <c r="D52" s="397">
        <v>160.58000000000001</v>
      </c>
      <c r="E52" s="397">
        <v>123.42</v>
      </c>
      <c r="F52" s="397">
        <v>237.52</v>
      </c>
      <c r="G52" s="397">
        <v>295.91000000000003</v>
      </c>
    </row>
    <row r="53" spans="1:7" ht="15" customHeight="1" x14ac:dyDescent="0.35">
      <c r="A53" s="404" t="s">
        <v>610</v>
      </c>
      <c r="B53" s="400">
        <v>135.78</v>
      </c>
      <c r="C53" s="400">
        <v>126.23</v>
      </c>
      <c r="D53" s="400">
        <v>160.58000000000001</v>
      </c>
      <c r="E53" s="400">
        <v>123.42</v>
      </c>
      <c r="F53" s="400">
        <v>237.52</v>
      </c>
      <c r="G53" s="400">
        <v>295.91000000000003</v>
      </c>
    </row>
    <row r="54" spans="1:7" ht="15" customHeight="1" x14ac:dyDescent="0.35">
      <c r="A54" s="404" t="s">
        <v>105</v>
      </c>
      <c r="B54" s="399">
        <v>1.33</v>
      </c>
      <c r="C54" s="399">
        <v>-0.23</v>
      </c>
      <c r="D54" s="399">
        <v>0.82</v>
      </c>
      <c r="E54" s="399">
        <v>1.04</v>
      </c>
      <c r="F54" s="399">
        <v>1.24</v>
      </c>
      <c r="G54" s="399">
        <v>2</v>
      </c>
    </row>
    <row r="55" spans="1:7" ht="15" customHeight="1" x14ac:dyDescent="0.35">
      <c r="A55" s="404" t="s">
        <v>611</v>
      </c>
      <c r="B55" s="400">
        <v>134.44999999999999</v>
      </c>
      <c r="C55" s="400">
        <v>126.46</v>
      </c>
      <c r="D55" s="400">
        <v>159.76</v>
      </c>
      <c r="E55" s="400">
        <v>122.39</v>
      </c>
      <c r="F55" s="400">
        <v>236.28</v>
      </c>
      <c r="G55" s="400">
        <v>293.91000000000003</v>
      </c>
    </row>
    <row r="56" spans="1:7" ht="15" customHeight="1" x14ac:dyDescent="0.35">
      <c r="A56" s="403" t="s">
        <v>85</v>
      </c>
      <c r="B56" s="378"/>
      <c r="C56" s="378"/>
      <c r="D56" s="378"/>
      <c r="E56" s="378"/>
      <c r="F56" s="378"/>
      <c r="G56" s="378"/>
    </row>
    <row r="57" spans="1:7" x14ac:dyDescent="0.35">
      <c r="A57" s="406" t="s">
        <v>612</v>
      </c>
      <c r="B57" s="406"/>
      <c r="D57" s="397">
        <v>159.76</v>
      </c>
      <c r="E57" s="397">
        <v>122.39</v>
      </c>
      <c r="F57" s="397">
        <v>236.28</v>
      </c>
      <c r="G57" s="397">
        <v>293.91000000000003</v>
      </c>
    </row>
    <row r="58" spans="1:7" x14ac:dyDescent="0.35"/>
    <row r="59" spans="1:7" ht="15" customHeight="1" x14ac:dyDescent="0.35">
      <c r="A59" s="403" t="s">
        <v>613</v>
      </c>
      <c r="B59" s="403"/>
      <c r="C59" s="378"/>
      <c r="D59" s="378"/>
      <c r="E59" s="378"/>
      <c r="F59" s="378"/>
      <c r="G59" s="378"/>
    </row>
    <row r="60" spans="1:7" ht="15" customHeight="1" x14ac:dyDescent="0.35">
      <c r="A60" s="404" t="s">
        <v>614</v>
      </c>
      <c r="B60" s="399">
        <v>24.24</v>
      </c>
      <c r="C60" s="399">
        <v>31.28</v>
      </c>
      <c r="D60" s="399">
        <v>48.37</v>
      </c>
      <c r="E60" s="399">
        <v>60.43</v>
      </c>
      <c r="F60" s="399">
        <v>61.58</v>
      </c>
      <c r="G60" s="399">
        <v>69.77</v>
      </c>
    </row>
    <row r="61" spans="1:7" x14ac:dyDescent="0.35"/>
    <row r="62" spans="1:7" x14ac:dyDescent="0.35"/>
    <row r="63" spans="1:7" x14ac:dyDescent="0.35"/>
    <row r="64" spans="1:7" x14ac:dyDescent="0.35"/>
    <row r="65" x14ac:dyDescent="0.35"/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9370-5004-438E-AC68-BAE7E5A898FD}">
  <dimension ref="A1:R108"/>
  <sheetViews>
    <sheetView showGridLines="0" zoomScale="102" zoomScaleNormal="85" workbookViewId="0">
      <selection activeCell="I28" sqref="I28"/>
    </sheetView>
  </sheetViews>
  <sheetFormatPr defaultColWidth="0" defaultRowHeight="14" customHeight="1" zeroHeight="1" x14ac:dyDescent="0.35"/>
  <cols>
    <col min="1" max="2" width="3.1796875" customWidth="1"/>
    <col min="3" max="3" width="4.81640625" customWidth="1"/>
    <col min="4" max="4" width="9.81640625" customWidth="1"/>
    <col min="5" max="5" width="8.6328125" customWidth="1"/>
    <col min="6" max="6" width="10.453125" customWidth="1"/>
    <col min="7" max="13" width="9.81640625" customWidth="1"/>
    <col min="14" max="19" width="9.1796875" customWidth="1"/>
  </cols>
  <sheetData>
    <row r="1" spans="1:11" ht="14.5" x14ac:dyDescent="0.35"/>
    <row r="2" spans="1:11" ht="14.5" x14ac:dyDescent="0.35">
      <c r="C2" t="s">
        <v>0</v>
      </c>
      <c r="I2" s="548">
        <v>45291</v>
      </c>
    </row>
    <row r="3" spans="1:11" ht="14.5" x14ac:dyDescent="0.35">
      <c r="C3" t="s">
        <v>1</v>
      </c>
      <c r="I3" s="549">
        <v>6</v>
      </c>
    </row>
    <row r="4" spans="1:11" ht="14.5" x14ac:dyDescent="0.35">
      <c r="C4" t="s">
        <v>2</v>
      </c>
      <c r="I4" s="67">
        <f>+EDATE(I2,I3*12)</f>
        <v>47483</v>
      </c>
    </row>
    <row r="5" spans="1:11" ht="14" customHeight="1" x14ac:dyDescent="0.35"/>
    <row r="6" spans="1:11" s="82" customFormat="1" ht="14.5" x14ac:dyDescent="0.35">
      <c r="A6" t="s">
        <v>3</v>
      </c>
      <c r="B6"/>
      <c r="C6" s="82" t="s">
        <v>4</v>
      </c>
    </row>
    <row r="7" spans="1:11" ht="14.5" x14ac:dyDescent="0.35">
      <c r="C7" s="139" t="s">
        <v>5</v>
      </c>
    </row>
    <row r="8" spans="1:11" ht="14.5" x14ac:dyDescent="0.35">
      <c r="C8" s="42" t="s">
        <v>6</v>
      </c>
    </row>
    <row r="9" spans="1:11" ht="14.5" x14ac:dyDescent="0.35"/>
    <row r="10" spans="1:11" ht="14.5" x14ac:dyDescent="0.35">
      <c r="D10" t="s">
        <v>7</v>
      </c>
      <c r="J10" s="207">
        <v>77.72</v>
      </c>
      <c r="K10" s="93"/>
    </row>
    <row r="11" spans="1:11" ht="14.5" x14ac:dyDescent="0.35">
      <c r="D11" t="s">
        <v>8</v>
      </c>
      <c r="J11" s="167">
        <f>89.44</f>
        <v>89.44</v>
      </c>
      <c r="K11" s="93"/>
    </row>
    <row r="12" spans="1:11" ht="14.5" x14ac:dyDescent="0.35">
      <c r="D12" t="s">
        <v>9</v>
      </c>
      <c r="J12" s="83">
        <f>+J10*J11</f>
        <v>6951.2767999999996</v>
      </c>
    </row>
    <row r="13" spans="1:11" ht="14.5" x14ac:dyDescent="0.35">
      <c r="D13" t="s">
        <v>10</v>
      </c>
      <c r="J13" s="114">
        <v>0.4</v>
      </c>
      <c r="K13" s="93"/>
    </row>
    <row r="14" spans="1:11" ht="14.5" x14ac:dyDescent="0.35"/>
    <row r="15" spans="1:11" ht="14.5" x14ac:dyDescent="0.35">
      <c r="D15" t="s">
        <v>11</v>
      </c>
      <c r="J15" s="68">
        <f>J10*(1+J13)</f>
        <v>108.80799999999999</v>
      </c>
    </row>
    <row r="16" spans="1:11" ht="14.5" x14ac:dyDescent="0.35">
      <c r="D16" t="s">
        <v>12</v>
      </c>
      <c r="J16" s="68">
        <f>J15*J11</f>
        <v>9731.7875199999999</v>
      </c>
    </row>
    <row r="17" spans="4:13" ht="14.5" x14ac:dyDescent="0.35">
      <c r="D17" t="s">
        <v>13</v>
      </c>
      <c r="J17" s="70">
        <f>'Historical-BS'!G153</f>
        <v>212.04</v>
      </c>
    </row>
    <row r="18" spans="4:13" ht="14.5" x14ac:dyDescent="0.35">
      <c r="D18" s="249" t="s">
        <v>14</v>
      </c>
      <c r="E18" s="249"/>
      <c r="F18" s="249"/>
      <c r="G18" s="249"/>
      <c r="H18" s="249"/>
      <c r="I18" s="249"/>
      <c r="J18" s="250">
        <f>SUM(J16:J17)</f>
        <v>9943.8275200000007</v>
      </c>
    </row>
    <row r="19" spans="4:13" ht="14.5" x14ac:dyDescent="0.35"/>
    <row r="20" spans="4:13" ht="14.5" x14ac:dyDescent="0.35">
      <c r="D20" s="117"/>
      <c r="E20" s="117"/>
      <c r="F20" s="117" t="s">
        <v>15</v>
      </c>
      <c r="G20" s="117" t="s">
        <v>16</v>
      </c>
      <c r="H20" s="117" t="s">
        <v>17</v>
      </c>
      <c r="I20" s="117" t="s">
        <v>18</v>
      </c>
      <c r="J20" s="117" t="s">
        <v>19</v>
      </c>
      <c r="K20" s="117" t="s">
        <v>20</v>
      </c>
      <c r="L20" s="118" t="s">
        <v>21</v>
      </c>
      <c r="M20" s="118" t="s">
        <v>22</v>
      </c>
    </row>
    <row r="21" spans="4:13" ht="14.5" x14ac:dyDescent="0.35">
      <c r="D21" t="s">
        <v>23</v>
      </c>
      <c r="F21" s="44"/>
      <c r="G21" s="91">
        <v>0</v>
      </c>
      <c r="H21" s="91">
        <v>1</v>
      </c>
      <c r="I21" s="91">
        <v>2</v>
      </c>
      <c r="J21" s="91">
        <v>3</v>
      </c>
      <c r="K21" s="91">
        <v>4</v>
      </c>
      <c r="L21" s="91">
        <v>5</v>
      </c>
      <c r="M21" s="91">
        <v>6</v>
      </c>
    </row>
    <row r="22" spans="4:13" ht="14.5" x14ac:dyDescent="0.35">
      <c r="F22" s="44"/>
      <c r="G22" s="44"/>
      <c r="H22" s="44"/>
      <c r="I22" s="44"/>
      <c r="J22" s="44"/>
      <c r="K22" s="44"/>
      <c r="L22" s="85"/>
      <c r="M22" s="85"/>
    </row>
    <row r="23" spans="4:13" ht="14.5" x14ac:dyDescent="0.35">
      <c r="D23" s="246" t="s">
        <v>24</v>
      </c>
      <c r="E23" s="246"/>
      <c r="F23" s="247">
        <f>VLOOKUP(Forecast!Z18, Forecast!Z18, 1, FALSE)</f>
        <v>466.65</v>
      </c>
      <c r="G23" s="247">
        <f>VLOOKUP(Forecast!AA18, Forecast!AA18, 1, FALSE)</f>
        <v>453.31827915168833</v>
      </c>
      <c r="H23" s="247">
        <f>VLOOKUP(Forecast!AB18, Forecast!AB18, 1, FALSE)</f>
        <v>527.54976964391619</v>
      </c>
      <c r="I23" s="247">
        <f>VLOOKUP(Forecast!AC18, Forecast!AC18, 1, FALSE)</f>
        <v>598.00697125629324</v>
      </c>
      <c r="J23" s="247">
        <f>VLOOKUP(Forecast!AD18, Forecast!AD18, 1, FALSE)</f>
        <v>700.57755140570976</v>
      </c>
      <c r="K23" s="247">
        <f>VLOOKUP(Forecast!AE18, Forecast!AE18, 1, FALSE)</f>
        <v>768.87584797205</v>
      </c>
      <c r="L23" s="247">
        <f>VLOOKUP(Forecast!AF18, Forecast!AF18, 1, FALSE)</f>
        <v>852.29297888656606</v>
      </c>
      <c r="M23" s="247">
        <f>VLOOKUP(Forecast!AG18, Forecast!AG18, 1, FALSE)</f>
        <v>966.78059057300516</v>
      </c>
    </row>
    <row r="24" spans="4:13" ht="14.5" x14ac:dyDescent="0.35">
      <c r="D24" s="55" t="s">
        <v>25</v>
      </c>
      <c r="F24" s="60">
        <f>F23-F25</f>
        <v>186.66000000000003</v>
      </c>
      <c r="G24" s="60">
        <f>G23-G25</f>
        <v>181.32731166067532</v>
      </c>
      <c r="H24" s="60">
        <f t="shared" ref="H24:L24" si="0">H23-H25</f>
        <v>211.01990785756647</v>
      </c>
      <c r="I24" s="60">
        <f t="shared" si="0"/>
        <v>239.20278850251731</v>
      </c>
      <c r="J24" s="60">
        <f t="shared" si="0"/>
        <v>280.2310205622839</v>
      </c>
      <c r="K24" s="60">
        <f t="shared" si="0"/>
        <v>307.55033918882003</v>
      </c>
      <c r="L24" s="60">
        <f t="shared" si="0"/>
        <v>340.91719155462647</v>
      </c>
      <c r="M24" s="60">
        <f>M23-M25</f>
        <v>386.71223622920206</v>
      </c>
    </row>
    <row r="25" spans="4:13" ht="14.5" x14ac:dyDescent="0.35">
      <c r="D25" s="55" t="s">
        <v>26</v>
      </c>
      <c r="F25" s="60">
        <f>0.6*F23</f>
        <v>279.98999999999995</v>
      </c>
      <c r="G25" s="60">
        <f>0.6*G23</f>
        <v>271.99096749101301</v>
      </c>
      <c r="H25" s="60">
        <f t="shared" ref="H25:M25" si="1">0.6*H23</f>
        <v>316.52986178634973</v>
      </c>
      <c r="I25" s="60">
        <f t="shared" si="1"/>
        <v>358.80418275377593</v>
      </c>
      <c r="J25" s="60">
        <f t="shared" si="1"/>
        <v>420.34653084342585</v>
      </c>
      <c r="K25" s="60">
        <f t="shared" si="1"/>
        <v>461.32550878322996</v>
      </c>
      <c r="L25" s="60">
        <f t="shared" si="1"/>
        <v>511.37578733193959</v>
      </c>
      <c r="M25" s="60">
        <f t="shared" si="1"/>
        <v>580.06835434380309</v>
      </c>
    </row>
    <row r="26" spans="4:13" ht="14.5" x14ac:dyDescent="0.35">
      <c r="D26" s="86" t="s">
        <v>27</v>
      </c>
      <c r="E26" s="86"/>
      <c r="F26" s="86"/>
      <c r="G26" s="210">
        <f t="shared" ref="G26:L26" si="2">(0.4*G27)+(0.6*G28)</f>
        <v>16.11</v>
      </c>
      <c r="H26" s="210">
        <f>(0.4*H27)+(0.6*H28)</f>
        <v>17.717639999999999</v>
      </c>
      <c r="I26" s="210">
        <f t="shared" si="2"/>
        <v>19.325279999999999</v>
      </c>
      <c r="J26" s="210">
        <f t="shared" si="2"/>
        <v>20.932920000000003</v>
      </c>
      <c r="K26" s="210">
        <f t="shared" si="2"/>
        <v>22.540560000000006</v>
      </c>
      <c r="L26" s="210">
        <f t="shared" si="2"/>
        <v>24.148200000000006</v>
      </c>
      <c r="M26" s="210">
        <f>(0.4*M27)+(0.6*M28)</f>
        <v>25.757760000000005</v>
      </c>
    </row>
    <row r="27" spans="4:13" ht="14.5" x14ac:dyDescent="0.35">
      <c r="D27" s="55" t="s">
        <v>25</v>
      </c>
      <c r="G27" s="211">
        <f>G28</f>
        <v>16.11</v>
      </c>
      <c r="H27" s="211">
        <f>G27+2.7966</f>
        <v>18.906600000000001</v>
      </c>
      <c r="I27" s="211">
        <f>H27+2.7966</f>
        <v>21.703200000000002</v>
      </c>
      <c r="J27" s="211">
        <f>I27+2.7966</f>
        <v>24.499800000000004</v>
      </c>
      <c r="K27" s="211">
        <f>J27+2.7966</f>
        <v>27.296400000000006</v>
      </c>
      <c r="L27" s="211">
        <f>K27+2.7966</f>
        <v>30.093000000000007</v>
      </c>
      <c r="M27" s="211">
        <f>(0.66*21.56)+(56.56*0.33)</f>
        <v>32.894400000000005</v>
      </c>
    </row>
    <row r="28" spans="4:13" ht="14.5" x14ac:dyDescent="0.35">
      <c r="D28" s="209" t="s">
        <v>26</v>
      </c>
      <c r="E28" s="86"/>
      <c r="F28" s="86"/>
      <c r="G28" s="212">
        <f>16.11</f>
        <v>16.11</v>
      </c>
      <c r="H28" s="212">
        <f t="shared" ref="H28:M28" si="3">G28+0.815</f>
        <v>16.925000000000001</v>
      </c>
      <c r="I28" s="212">
        <f t="shared" si="3"/>
        <v>17.740000000000002</v>
      </c>
      <c r="J28" s="212">
        <f t="shared" si="3"/>
        <v>18.555000000000003</v>
      </c>
      <c r="K28" s="212">
        <f t="shared" si="3"/>
        <v>19.370000000000005</v>
      </c>
      <c r="L28" s="212">
        <f t="shared" si="3"/>
        <v>20.185000000000006</v>
      </c>
      <c r="M28" s="212">
        <f t="shared" si="3"/>
        <v>21.000000000000007</v>
      </c>
    </row>
    <row r="29" spans="4:13" ht="14.5" x14ac:dyDescent="0.35">
      <c r="D29" t="s">
        <v>28</v>
      </c>
      <c r="G29" s="53">
        <f t="shared" ref="G29:M29" si="4">$M26*G23</f>
        <v>11676.463438002194</v>
      </c>
      <c r="H29" s="53">
        <f t="shared" si="4"/>
        <v>13588.500354543281</v>
      </c>
      <c r="I29" s="53">
        <f t="shared" si="4"/>
        <v>15403.320043946502</v>
      </c>
      <c r="J29" s="53">
        <f t="shared" si="4"/>
        <v>18045.308430495938</v>
      </c>
      <c r="K29" s="53">
        <f t="shared" si="4"/>
        <v>19804.519561860554</v>
      </c>
      <c r="L29" s="53">
        <f t="shared" si="4"/>
        <v>21953.15799984524</v>
      </c>
      <c r="M29" s="53">
        <f t="shared" si="4"/>
        <v>24902.102424637735</v>
      </c>
    </row>
    <row r="30" spans="4:13" ht="14.5" x14ac:dyDescent="0.35">
      <c r="D30" t="s">
        <v>29</v>
      </c>
      <c r="G30" s="95">
        <f>-'New Debt'!G28</f>
        <v>-6302.7605000832018</v>
      </c>
      <c r="H30" s="95">
        <f>-'New Debt'!H28</f>
        <v>-5287.6404167360015</v>
      </c>
      <c r="I30" s="95">
        <f>-'New Debt'!I28</f>
        <v>-4272.5203333888012</v>
      </c>
      <c r="J30" s="95">
        <f>-'New Debt'!J28</f>
        <v>-3257.4002500416009</v>
      </c>
      <c r="K30" s="95">
        <f>-'New Debt'!K28</f>
        <v>-2242.2801666944006</v>
      </c>
      <c r="L30" s="95">
        <f>-'New Debt'!L28</f>
        <v>-1227.1600833472005</v>
      </c>
      <c r="M30" s="95">
        <f>-'New Debt'!M28</f>
        <v>-212.04000000000025</v>
      </c>
    </row>
    <row r="31" spans="4:13" ht="14.5" x14ac:dyDescent="0.35">
      <c r="D31" s="86" t="s">
        <v>30</v>
      </c>
      <c r="E31" s="86"/>
      <c r="F31" s="86"/>
      <c r="G31" s="87">
        <f>Forecast!M53</f>
        <v>6032.2629062873702</v>
      </c>
      <c r="H31" s="87">
        <f>Forecast!N53</f>
        <v>5051.8639022038451</v>
      </c>
      <c r="I31" s="87">
        <f>Forecast!O53</f>
        <v>4085.9251465944367</v>
      </c>
      <c r="J31" s="87">
        <f>Forecast!P53</f>
        <v>3136.6270593735444</v>
      </c>
      <c r="K31" s="87">
        <f>Forecast!Q53</f>
        <v>2206.3169662332107</v>
      </c>
      <c r="L31" s="87">
        <f>Forecast!R53</f>
        <v>1297.5318612393919</v>
      </c>
      <c r="M31" s="87">
        <f>Forecast!S53</f>
        <v>413.02302866213165</v>
      </c>
    </row>
    <row r="32" spans="4:13" ht="14.5" x14ac:dyDescent="0.35">
      <c r="D32" s="78" t="s">
        <v>31</v>
      </c>
      <c r="E32" s="134"/>
      <c r="F32" s="248">
        <f t="shared" ref="F32:M32" si="5">SUM(F29:F31)</f>
        <v>0</v>
      </c>
      <c r="G32" s="248">
        <f t="shared" si="5"/>
        <v>11405.965844206363</v>
      </c>
      <c r="H32" s="248">
        <f t="shared" si="5"/>
        <v>13352.723840011124</v>
      </c>
      <c r="I32" s="248">
        <f t="shared" si="5"/>
        <v>15216.724857152138</v>
      </c>
      <c r="J32" s="248">
        <f t="shared" si="5"/>
        <v>17924.535239827881</v>
      </c>
      <c r="K32" s="248">
        <f t="shared" si="5"/>
        <v>19768.556361399365</v>
      </c>
      <c r="L32" s="248">
        <f t="shared" si="5"/>
        <v>22023.529777737433</v>
      </c>
      <c r="M32" s="248">
        <f t="shared" si="5"/>
        <v>25103.085453299864</v>
      </c>
    </row>
    <row r="33" spans="1:17" ht="14.5" x14ac:dyDescent="0.35">
      <c r="E33" s="42"/>
      <c r="F33" s="42"/>
      <c r="G33" s="42"/>
      <c r="H33" s="42"/>
      <c r="I33" s="42"/>
      <c r="J33" s="42"/>
      <c r="M33" s="84"/>
    </row>
    <row r="34" spans="1:17" s="82" customFormat="1" ht="14.5" x14ac:dyDescent="0.35">
      <c r="A34" t="s">
        <v>3</v>
      </c>
      <c r="B34"/>
      <c r="C34" s="82" t="s">
        <v>32</v>
      </c>
    </row>
    <row r="35" spans="1:17" s="46" customFormat="1" ht="14.5" x14ac:dyDescent="0.35">
      <c r="A35"/>
      <c r="B35"/>
    </row>
    <row r="36" spans="1:17" ht="14.5" x14ac:dyDescent="0.35">
      <c r="E36" s="42"/>
      <c r="F36" s="117" t="s">
        <v>15</v>
      </c>
      <c r="G36" s="117" t="s">
        <v>16</v>
      </c>
      <c r="H36" s="117" t="s">
        <v>17</v>
      </c>
      <c r="I36" s="117" t="s">
        <v>18</v>
      </c>
      <c r="J36" s="117" t="s">
        <v>19</v>
      </c>
      <c r="K36" s="117" t="s">
        <v>20</v>
      </c>
      <c r="L36" s="118" t="s">
        <v>21</v>
      </c>
      <c r="M36" s="118" t="s">
        <v>22</v>
      </c>
    </row>
    <row r="37" spans="1:17" ht="15.5" x14ac:dyDescent="0.35">
      <c r="D37" t="s">
        <v>33</v>
      </c>
      <c r="E37" s="89" t="s">
        <v>3</v>
      </c>
      <c r="F37" s="42"/>
      <c r="G37" s="90">
        <f t="shared" ref="G37:M37" si="6">G32/$P$46</f>
        <v>2.8090188617382519</v>
      </c>
      <c r="H37" s="90">
        <f t="shared" si="6"/>
        <v>3.2884591830708843</v>
      </c>
      <c r="I37" s="90">
        <f t="shared" si="6"/>
        <v>3.7475184233813414</v>
      </c>
      <c r="J37" s="90">
        <f t="shared" si="6"/>
        <v>4.4143878970270514</v>
      </c>
      <c r="K37" s="90">
        <f t="shared" si="6"/>
        <v>4.8685265629401302</v>
      </c>
      <c r="L37" s="90">
        <f t="shared" si="6"/>
        <v>5.4238730321240132</v>
      </c>
      <c r="M37" s="90">
        <f t="shared" si="6"/>
        <v>6.182294554385714</v>
      </c>
    </row>
    <row r="38" spans="1:17" ht="15.5" x14ac:dyDescent="0.35">
      <c r="D38" t="s">
        <v>34</v>
      </c>
      <c r="E38" s="89" t="s">
        <v>35</v>
      </c>
      <c r="F38" s="42"/>
      <c r="G38" s="100" t="s">
        <v>36</v>
      </c>
      <c r="H38" s="100">
        <f t="shared" ref="H38:M38" si="7">(H32/$P$46)^(1/H21)-1</f>
        <v>2.2884591830708843</v>
      </c>
      <c r="I38" s="100">
        <f t="shared" si="7"/>
        <v>0.93585082673777875</v>
      </c>
      <c r="J38" s="100">
        <f t="shared" si="7"/>
        <v>0.64042670547389391</v>
      </c>
      <c r="K38" s="100">
        <f t="shared" si="7"/>
        <v>0.4854204067482879</v>
      </c>
      <c r="L38" s="100">
        <f t="shared" si="7"/>
        <v>0.40236770834698898</v>
      </c>
      <c r="M38" s="100">
        <f t="shared" si="7"/>
        <v>0.35474726270611878</v>
      </c>
    </row>
    <row r="39" spans="1:17" ht="14.5" x14ac:dyDescent="0.35">
      <c r="E39" s="42"/>
      <c r="F39" s="42"/>
      <c r="G39" s="42"/>
      <c r="H39" s="42"/>
      <c r="I39" s="42"/>
      <c r="J39" s="42"/>
      <c r="M39" s="84"/>
    </row>
    <row r="40" spans="1:17" ht="14.5" x14ac:dyDescent="0.35"/>
    <row r="41" spans="1:17" s="82" customFormat="1" ht="14" customHeight="1" x14ac:dyDescent="0.35">
      <c r="A41" t="s">
        <v>3</v>
      </c>
      <c r="B41"/>
      <c r="C41" s="82" t="s">
        <v>37</v>
      </c>
    </row>
    <row r="42" spans="1:17" ht="14.5" x14ac:dyDescent="0.35"/>
    <row r="43" spans="1:17" ht="14.5" x14ac:dyDescent="0.35">
      <c r="D43" s="71" t="s">
        <v>38</v>
      </c>
      <c r="E43" s="71"/>
      <c r="F43" s="71"/>
      <c r="G43" s="71"/>
      <c r="H43" s="71"/>
      <c r="I43" s="71"/>
      <c r="J43" s="72" t="s">
        <v>39</v>
      </c>
      <c r="K43" s="72" t="s">
        <v>35</v>
      </c>
      <c r="M43" s="71" t="s">
        <v>40</v>
      </c>
      <c r="N43" s="71"/>
      <c r="O43" s="71"/>
      <c r="P43" s="72" t="s">
        <v>39</v>
      </c>
      <c r="Q43" s="72" t="s">
        <v>35</v>
      </c>
    </row>
    <row r="44" spans="1:17" ht="14.5" x14ac:dyDescent="0.35">
      <c r="D44" t="s">
        <v>41</v>
      </c>
      <c r="J44" s="68">
        <f>$J$55*K44</f>
        <v>4060.4803333888008</v>
      </c>
      <c r="K44" s="119">
        <v>0.4</v>
      </c>
      <c r="M44" t="s">
        <v>42</v>
      </c>
      <c r="P44" s="68">
        <f>J46</f>
        <v>507.5600416736001</v>
      </c>
      <c r="Q44" s="26">
        <f>P44/$P$46</f>
        <v>0.12500000000000006</v>
      </c>
    </row>
    <row r="45" spans="1:17" ht="14.5" x14ac:dyDescent="0.35">
      <c r="D45" t="s">
        <v>43</v>
      </c>
      <c r="J45" s="68">
        <f>$J$55*K45</f>
        <v>2030.2401666944004</v>
      </c>
      <c r="K45" s="119">
        <v>0.2</v>
      </c>
      <c r="M45" s="38" t="s">
        <v>44</v>
      </c>
      <c r="N45" s="38"/>
      <c r="O45" s="38"/>
      <c r="P45" s="97">
        <f>J47</f>
        <v>3552.9202917151993</v>
      </c>
      <c r="Q45" s="99">
        <f>P45/$P$46</f>
        <v>0.87499999999999989</v>
      </c>
    </row>
    <row r="46" spans="1:17" ht="14.5" x14ac:dyDescent="0.35">
      <c r="D46" t="s">
        <v>45</v>
      </c>
      <c r="J46" s="68">
        <f>$J$55*K46</f>
        <v>507.5600416736001</v>
      </c>
      <c r="K46" s="119">
        <v>0.05</v>
      </c>
      <c r="M46" s="42" t="s">
        <v>46</v>
      </c>
      <c r="P46" s="88">
        <f>SUM(P44:P45)</f>
        <v>4060.4803333887994</v>
      </c>
      <c r="Q46" s="98">
        <f>SUM(Q44:Q45)</f>
        <v>1</v>
      </c>
    </row>
    <row r="47" spans="1:17" ht="14.5" x14ac:dyDescent="0.35">
      <c r="D47" s="38" t="s">
        <v>47</v>
      </c>
      <c r="E47" s="38"/>
      <c r="F47" s="38"/>
      <c r="G47" s="38"/>
      <c r="H47" s="38"/>
      <c r="I47" s="38"/>
      <c r="J47" s="97">
        <f>$J$55*K47</f>
        <v>3552.9202917151993</v>
      </c>
      <c r="K47" s="120">
        <v>0.34999999999999987</v>
      </c>
    </row>
    <row r="48" spans="1:17" ht="14.5" x14ac:dyDescent="0.35">
      <c r="D48" s="42" t="s">
        <v>48</v>
      </c>
      <c r="J48" s="88">
        <f>SUM(J44:J47)</f>
        <v>10151.200833471999</v>
      </c>
      <c r="K48" s="98">
        <f>SUM(K44:K47)</f>
        <v>1</v>
      </c>
    </row>
    <row r="49" spans="4:11" ht="14.5" x14ac:dyDescent="0.35"/>
    <row r="50" spans="4:11" ht="14.5" x14ac:dyDescent="0.35">
      <c r="D50" s="71" t="s">
        <v>49</v>
      </c>
      <c r="E50" s="71"/>
      <c r="F50" s="71"/>
      <c r="G50" s="71"/>
      <c r="H50" s="71"/>
      <c r="I50" s="71"/>
      <c r="J50" s="72" t="s">
        <v>39</v>
      </c>
      <c r="K50" s="72" t="s">
        <v>35</v>
      </c>
    </row>
    <row r="51" spans="4:11" ht="14.5" x14ac:dyDescent="0.35">
      <c r="D51" t="s">
        <v>50</v>
      </c>
      <c r="J51" s="68">
        <f>J16</f>
        <v>9731.7875199999999</v>
      </c>
      <c r="K51" s="119">
        <f>J51/$J$55</f>
        <v>0.95868337939989801</v>
      </c>
    </row>
    <row r="52" spans="4:11" ht="14.5" x14ac:dyDescent="0.35">
      <c r="D52" t="s">
        <v>51</v>
      </c>
      <c r="F52" s="48"/>
      <c r="J52" s="68">
        <f>J17</f>
        <v>212.04</v>
      </c>
      <c r="K52" s="119">
        <f>J52/$J$55</f>
        <v>2.0888169141608466E-2</v>
      </c>
    </row>
    <row r="53" spans="4:11" ht="14" customHeight="1" x14ac:dyDescent="0.35">
      <c r="D53" t="s">
        <v>52</v>
      </c>
      <c r="J53" s="68">
        <f>J51*1.5%</f>
        <v>145.9768128</v>
      </c>
      <c r="K53" s="119">
        <f>J53/$J$55</f>
        <v>1.4380250690998471E-2</v>
      </c>
    </row>
    <row r="54" spans="4:11" ht="14" customHeight="1" x14ac:dyDescent="0.35">
      <c r="D54" t="s">
        <v>53</v>
      </c>
      <c r="J54" s="68">
        <v>61.396500672000002</v>
      </c>
      <c r="K54" s="120">
        <f>J54/$J$55</f>
        <v>6.0482007674948777E-3</v>
      </c>
    </row>
    <row r="55" spans="4:11" ht="14.5" x14ac:dyDescent="0.35">
      <c r="D55" s="73" t="s">
        <v>48</v>
      </c>
      <c r="E55" s="73"/>
      <c r="F55" s="73"/>
      <c r="G55" s="73"/>
      <c r="H55" s="73"/>
      <c r="I55" s="73"/>
      <c r="J55" s="74">
        <f>SUM(J51:J54)</f>
        <v>10151.200833472001</v>
      </c>
      <c r="K55" s="98">
        <f>SUM(K51:K54)</f>
        <v>0.99999999999999989</v>
      </c>
    </row>
    <row r="56" spans="4:11" ht="14.5" x14ac:dyDescent="0.35"/>
    <row r="57" spans="4:11" ht="14.5" x14ac:dyDescent="0.35"/>
    <row r="58" spans="4:11" ht="14.5" x14ac:dyDescent="0.35">
      <c r="D58" s="140"/>
      <c r="E58" s="140"/>
      <c r="F58" s="141" t="s">
        <v>54</v>
      </c>
      <c r="G58" s="142"/>
      <c r="H58" s="142"/>
      <c r="I58" s="142"/>
      <c r="J58" s="142"/>
    </row>
    <row r="59" spans="4:11" ht="14.5" x14ac:dyDescent="0.35">
      <c r="D59" s="143"/>
      <c r="E59" s="144"/>
      <c r="F59" s="145" t="s">
        <v>55</v>
      </c>
      <c r="G59" s="146"/>
      <c r="H59" s="146"/>
      <c r="I59" s="146"/>
      <c r="J59" s="146"/>
    </row>
    <row r="60" spans="4:11" ht="14.5" x14ac:dyDescent="0.35">
      <c r="D60" s="536" t="s">
        <v>56</v>
      </c>
      <c r="E60" s="147">
        <f>M37</f>
        <v>6.182294554385714</v>
      </c>
      <c r="F60" s="124">
        <f>G60-1</f>
        <v>23.757760000000005</v>
      </c>
      <c r="G60" s="124">
        <f>H60-1</f>
        <v>24.757760000000005</v>
      </c>
      <c r="H60" s="148">
        <f>M26</f>
        <v>25.757760000000005</v>
      </c>
      <c r="I60" s="124">
        <f>H60+1</f>
        <v>26.757760000000005</v>
      </c>
      <c r="J60" s="124">
        <f>+I60+1</f>
        <v>27.757760000000005</v>
      </c>
    </row>
    <row r="61" spans="4:11" ht="14.5" x14ac:dyDescent="0.35">
      <c r="D61" s="536"/>
      <c r="E61" s="149">
        <f>+E62-10%</f>
        <v>0.20000000000000004</v>
      </c>
      <c r="F61" s="150">
        <f t="shared" ref="F61:J65" si="8">(((F$60*$M$23)+$M$30+$M$31)/(($E61/$J$13)*$P$46))</f>
        <v>11.412208591005294</v>
      </c>
      <c r="G61" s="150">
        <f t="shared" si="8"/>
        <v>11.888398849888359</v>
      </c>
      <c r="H61" s="151">
        <f t="shared" si="8"/>
        <v>12.364589108771426</v>
      </c>
      <c r="I61" s="150">
        <f t="shared" si="8"/>
        <v>12.840779367654491</v>
      </c>
      <c r="J61" s="150">
        <f t="shared" si="8"/>
        <v>13.316969626537558</v>
      </c>
    </row>
    <row r="62" spans="4:11" ht="14.5" x14ac:dyDescent="0.35">
      <c r="D62" s="536"/>
      <c r="E62" s="149">
        <f>+E63-10%</f>
        <v>0.30000000000000004</v>
      </c>
      <c r="F62" s="150">
        <f t="shared" si="8"/>
        <v>7.6081390606701964</v>
      </c>
      <c r="G62" s="150">
        <f t="shared" si="8"/>
        <v>7.9255992332589074</v>
      </c>
      <c r="H62" s="151">
        <f t="shared" si="8"/>
        <v>8.2430594058476174</v>
      </c>
      <c r="I62" s="150">
        <f t="shared" si="8"/>
        <v>8.5605195784363293</v>
      </c>
      <c r="J62" s="150">
        <f t="shared" si="8"/>
        <v>8.8779797510250393</v>
      </c>
    </row>
    <row r="63" spans="4:11" ht="14.5" x14ac:dyDescent="0.35">
      <c r="D63" s="536"/>
      <c r="E63" s="152">
        <f>J13</f>
        <v>0.4</v>
      </c>
      <c r="F63" s="151">
        <f t="shared" si="8"/>
        <v>5.706104295502648</v>
      </c>
      <c r="G63" s="151">
        <f t="shared" si="8"/>
        <v>5.9441994249441814</v>
      </c>
      <c r="H63" s="153">
        <f t="shared" si="8"/>
        <v>6.182294554385714</v>
      </c>
      <c r="I63" s="151">
        <f t="shared" si="8"/>
        <v>6.4203896838272474</v>
      </c>
      <c r="J63" s="151">
        <f t="shared" si="8"/>
        <v>6.6584848132687799</v>
      </c>
    </row>
    <row r="64" spans="4:11" ht="14.5" x14ac:dyDescent="0.35">
      <c r="D64" s="536"/>
      <c r="E64" s="149">
        <f>+E63+10%</f>
        <v>0.5</v>
      </c>
      <c r="F64" s="150">
        <f t="shared" si="8"/>
        <v>4.5648834364021189</v>
      </c>
      <c r="G64" s="150">
        <f t="shared" si="8"/>
        <v>4.7553595399553457</v>
      </c>
      <c r="H64" s="151">
        <f t="shared" si="8"/>
        <v>4.9458356435085715</v>
      </c>
      <c r="I64" s="150">
        <f t="shared" si="8"/>
        <v>5.1363117470617983</v>
      </c>
      <c r="J64" s="150">
        <f t="shared" si="8"/>
        <v>5.326787850615025</v>
      </c>
    </row>
    <row r="65" spans="4:10" ht="14.5" x14ac:dyDescent="0.35">
      <c r="D65" s="536"/>
      <c r="E65" s="149">
        <f>+E64+10%</f>
        <v>0.6</v>
      </c>
      <c r="F65" s="150">
        <f t="shared" si="8"/>
        <v>3.8040695303350991</v>
      </c>
      <c r="G65" s="150">
        <f t="shared" si="8"/>
        <v>3.9627996166294546</v>
      </c>
      <c r="H65" s="151">
        <f t="shared" si="8"/>
        <v>4.1215297029238105</v>
      </c>
      <c r="I65" s="150">
        <f t="shared" si="8"/>
        <v>4.2802597892181655</v>
      </c>
      <c r="J65" s="150">
        <f t="shared" si="8"/>
        <v>4.4389898755125206</v>
      </c>
    </row>
    <row r="66" spans="4:10" ht="14.5" x14ac:dyDescent="0.35"/>
    <row r="67" spans="4:10" ht="14.5" x14ac:dyDescent="0.35"/>
    <row r="68" spans="4:10" ht="14.5" x14ac:dyDescent="0.35"/>
    <row r="69" spans="4:10" ht="14.5" x14ac:dyDescent="0.35"/>
    <row r="70" spans="4:10" ht="14.5" x14ac:dyDescent="0.35">
      <c r="D70" s="140"/>
      <c r="E70" s="140"/>
      <c r="F70" s="141" t="s">
        <v>57</v>
      </c>
      <c r="G70" s="142"/>
      <c r="H70" s="142"/>
      <c r="I70" s="142"/>
      <c r="J70" s="142"/>
    </row>
    <row r="71" spans="4:10" ht="14.5" x14ac:dyDescent="0.35">
      <c r="D71" s="143"/>
      <c r="E71" s="144"/>
      <c r="F71" s="145" t="s">
        <v>55</v>
      </c>
      <c r="G71" s="146"/>
      <c r="H71" s="146"/>
      <c r="I71" s="146"/>
      <c r="J71" s="146"/>
    </row>
    <row r="72" spans="4:10" ht="14.5" customHeight="1" x14ac:dyDescent="0.35">
      <c r="D72" s="536" t="s">
        <v>56</v>
      </c>
      <c r="E72" s="154">
        <f>M38</f>
        <v>0.35474726270611878</v>
      </c>
      <c r="F72" s="124">
        <f>G72-1</f>
        <v>23.757760000000005</v>
      </c>
      <c r="G72" s="124">
        <f>H72-1</f>
        <v>24.757760000000005</v>
      </c>
      <c r="H72" s="148">
        <f>M26</f>
        <v>25.757760000000005</v>
      </c>
      <c r="I72" s="124">
        <f>H72+1</f>
        <v>26.757760000000005</v>
      </c>
      <c r="J72" s="124">
        <f>+I72+1</f>
        <v>27.757760000000005</v>
      </c>
    </row>
    <row r="73" spans="4:10" ht="14.5" x14ac:dyDescent="0.35">
      <c r="D73" s="536"/>
      <c r="E73" s="149">
        <f>+E74-10%</f>
        <v>0.20000000000000004</v>
      </c>
      <c r="F73" s="155">
        <f t="shared" ref="F73:J77" si="9">(((F$72*$M$23)+$M$30+$M$31)/(($E73/$J$13)*$P$46))^(1/$M$21)-1</f>
        <v>0.50047334035588964</v>
      </c>
      <c r="G73" s="155">
        <f t="shared" si="9"/>
        <v>0.51073130218873986</v>
      </c>
      <c r="H73" s="156">
        <f t="shared" si="9"/>
        <v>0.52065238743862619</v>
      </c>
      <c r="I73" s="155">
        <f t="shared" si="9"/>
        <v>0.53026001560598179</v>
      </c>
      <c r="J73" s="155">
        <f t="shared" si="9"/>
        <v>0.53957518162967566</v>
      </c>
    </row>
    <row r="74" spans="4:10" ht="14.5" x14ac:dyDescent="0.35">
      <c r="D74" s="536"/>
      <c r="E74" s="149">
        <f>+E75-10%</f>
        <v>0.30000000000000004</v>
      </c>
      <c r="F74" s="155">
        <f t="shared" si="9"/>
        <v>0.40242530783195707</v>
      </c>
      <c r="G74" s="155">
        <f t="shared" si="9"/>
        <v>0.41201296586908787</v>
      </c>
      <c r="H74" s="156">
        <f t="shared" si="9"/>
        <v>0.42128576043423394</v>
      </c>
      <c r="I74" s="155">
        <f t="shared" si="9"/>
        <v>0.43026558068678367</v>
      </c>
      <c r="J74" s="155">
        <f t="shared" si="9"/>
        <v>0.43897204965689274</v>
      </c>
    </row>
    <row r="75" spans="4:10" ht="14.5" x14ac:dyDescent="0.35">
      <c r="D75" s="536"/>
      <c r="E75" s="157">
        <f>J13</f>
        <v>0.4</v>
      </c>
      <c r="F75" s="156">
        <f t="shared" si="9"/>
        <v>0.33676977552681508</v>
      </c>
      <c r="G75" s="156">
        <f t="shared" si="9"/>
        <v>0.34590858057443419</v>
      </c>
      <c r="H75" s="158">
        <f t="shared" si="9"/>
        <v>0.35474726270611878</v>
      </c>
      <c r="I75" s="156">
        <f t="shared" si="9"/>
        <v>0.36330668632478491</v>
      </c>
      <c r="J75" s="156">
        <f t="shared" si="9"/>
        <v>0.37160555579455812</v>
      </c>
    </row>
    <row r="76" spans="4:10" ht="14.5" x14ac:dyDescent="0.35">
      <c r="D76" s="536"/>
      <c r="E76" s="149">
        <f>+E75+10%</f>
        <v>0.5</v>
      </c>
      <c r="F76" s="155">
        <f t="shared" si="9"/>
        <v>0.28796763155711158</v>
      </c>
      <c r="G76" s="155">
        <f t="shared" si="9"/>
        <v>0.2967728015332245</v>
      </c>
      <c r="H76" s="156">
        <f t="shared" si="9"/>
        <v>0.30528880533555891</v>
      </c>
      <c r="I76" s="155">
        <f t="shared" si="9"/>
        <v>0.31353574565950737</v>
      </c>
      <c r="J76" s="155">
        <f t="shared" si="9"/>
        <v>0.32153164401932255</v>
      </c>
    </row>
    <row r="77" spans="4:10" ht="14.5" x14ac:dyDescent="0.35">
      <c r="D77" s="536"/>
      <c r="E77" s="149">
        <f>+E76+10%</f>
        <v>0.6</v>
      </c>
      <c r="F77" s="155">
        <f t="shared" si="9"/>
        <v>0.24941890903506136</v>
      </c>
      <c r="G77" s="155">
        <f t="shared" si="9"/>
        <v>0.25796054129030921</v>
      </c>
      <c r="H77" s="156">
        <f t="shared" si="9"/>
        <v>0.26622166208197662</v>
      </c>
      <c r="I77" s="155">
        <f t="shared" si="9"/>
        <v>0.27422177243410384</v>
      </c>
      <c r="J77" s="155">
        <f t="shared" si="9"/>
        <v>0.28197835447910258</v>
      </c>
    </row>
    <row r="78" spans="4:10" ht="14.5" x14ac:dyDescent="0.35"/>
    <row r="79" spans="4:10" ht="14.5" x14ac:dyDescent="0.35"/>
    <row r="80" spans="4:10" ht="14" customHeight="1" x14ac:dyDescent="0.35"/>
    <row r="81" spans="1:18" ht="14" customHeight="1" x14ac:dyDescent="0.35"/>
    <row r="82" spans="1:18" ht="14.5" x14ac:dyDescent="0.35">
      <c r="A82" t="s">
        <v>3</v>
      </c>
      <c r="C82" s="82" t="s">
        <v>615</v>
      </c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 ht="14" customHeight="1" x14ac:dyDescent="0.35"/>
    <row r="84" spans="1:18" ht="16" thickBot="1" x14ac:dyDescent="0.4">
      <c r="C84" s="519" t="s">
        <v>616</v>
      </c>
      <c r="D84" s="520"/>
      <c r="E84" s="520"/>
      <c r="F84" s="520"/>
      <c r="G84" s="374" t="s">
        <v>16</v>
      </c>
      <c r="H84" s="117" t="s">
        <v>17</v>
      </c>
      <c r="I84" s="117" t="s">
        <v>18</v>
      </c>
      <c r="J84" s="117" t="s">
        <v>19</v>
      </c>
      <c r="K84" s="117" t="s">
        <v>20</v>
      </c>
      <c r="L84" s="118" t="s">
        <v>21</v>
      </c>
      <c r="M84" s="118" t="s">
        <v>22</v>
      </c>
    </row>
    <row r="85" spans="1:18" ht="15.5" x14ac:dyDescent="0.35">
      <c r="C85" s="522" t="s">
        <v>617</v>
      </c>
      <c r="G85" s="48">
        <f>K46</f>
        <v>0.05</v>
      </c>
    </row>
    <row r="86" spans="1:18" ht="15.5" x14ac:dyDescent="0.35">
      <c r="C86" s="523" t="s">
        <v>618</v>
      </c>
      <c r="G86" s="68">
        <f>-J46</f>
        <v>-507.5600416736001</v>
      </c>
    </row>
    <row r="87" spans="1:18" ht="15.5" x14ac:dyDescent="0.35">
      <c r="C87" s="521" t="s">
        <v>619</v>
      </c>
      <c r="M87" s="524">
        <f>-(P46*G85)</f>
        <v>-203.02401666943999</v>
      </c>
    </row>
    <row r="88" spans="1:18" ht="15.5" x14ac:dyDescent="0.35">
      <c r="C88" s="521" t="s">
        <v>620</v>
      </c>
      <c r="M88" s="53">
        <f>G85/(1+G85)*(M32+M87)</f>
        <v>1185.7172112681155</v>
      </c>
    </row>
    <row r="89" spans="1:18" ht="16" thickBot="1" x14ac:dyDescent="0.4">
      <c r="C89" s="526" t="s">
        <v>621</v>
      </c>
      <c r="D89" s="527"/>
      <c r="E89" s="527"/>
      <c r="F89" s="527"/>
      <c r="G89" s="527"/>
      <c r="H89" s="527"/>
      <c r="I89" s="527"/>
      <c r="J89" s="527"/>
      <c r="K89" s="527"/>
      <c r="L89" s="527"/>
      <c r="M89" s="528">
        <f>M32*Q44</f>
        <v>3137.8856816624843</v>
      </c>
    </row>
    <row r="90" spans="1:18" ht="15.5" x14ac:dyDescent="0.35">
      <c r="C90" s="525" t="s">
        <v>622</v>
      </c>
      <c r="G90" s="529">
        <f t="shared" ref="G90:M90" si="10">SUM(G86:G89)</f>
        <v>-507.5600416736001</v>
      </c>
      <c r="H90" s="529">
        <f t="shared" si="10"/>
        <v>0</v>
      </c>
      <c r="I90" s="529">
        <f t="shared" si="10"/>
        <v>0</v>
      </c>
      <c r="J90" s="529">
        <f t="shared" si="10"/>
        <v>0</v>
      </c>
      <c r="K90" s="529">
        <f t="shared" si="10"/>
        <v>0</v>
      </c>
      <c r="L90" s="529">
        <f t="shared" si="10"/>
        <v>0</v>
      </c>
      <c r="M90" s="529">
        <f t="shared" si="10"/>
        <v>4120.5788762611601</v>
      </c>
    </row>
    <row r="91" spans="1:18" ht="14.5" x14ac:dyDescent="0.35"/>
    <row r="92" spans="1:18" ht="14.5" x14ac:dyDescent="0.35">
      <c r="C92" s="42" t="s">
        <v>33</v>
      </c>
      <c r="D92" s="42"/>
      <c r="E92" s="42"/>
      <c r="F92" s="42"/>
      <c r="G92" s="42"/>
      <c r="H92" s="42"/>
      <c r="I92" s="42"/>
      <c r="J92" s="42"/>
      <c r="K92" s="42"/>
      <c r="L92" s="42"/>
      <c r="M92" s="530">
        <f>-M90/G90</f>
        <v>8.1184067655802732</v>
      </c>
    </row>
    <row r="93" spans="1:18" ht="14.5" x14ac:dyDescent="0.35">
      <c r="C93" s="42" t="s">
        <v>34</v>
      </c>
      <c r="D93" s="42"/>
      <c r="E93" s="42"/>
      <c r="F93" s="42"/>
      <c r="G93" s="42"/>
      <c r="H93" s="42"/>
      <c r="I93" s="42"/>
      <c r="J93" s="42"/>
      <c r="K93" s="42"/>
      <c r="L93" s="42"/>
      <c r="M93" s="531">
        <f>(M90/-G90)^(1/M21)-1</f>
        <v>0.4176808335196518</v>
      </c>
    </row>
    <row r="94" spans="1:18" ht="14.5" x14ac:dyDescent="0.35"/>
    <row r="95" spans="1:18" ht="14.5" x14ac:dyDescent="0.35"/>
    <row r="96" spans="1:18" ht="16" thickBot="1" x14ac:dyDescent="0.4">
      <c r="C96" s="519" t="s">
        <v>623</v>
      </c>
      <c r="D96" s="520"/>
      <c r="E96" s="520"/>
      <c r="F96" s="520"/>
      <c r="G96" s="374" t="s">
        <v>16</v>
      </c>
      <c r="H96" s="117" t="s">
        <v>17</v>
      </c>
      <c r="I96" s="117" t="s">
        <v>18</v>
      </c>
      <c r="J96" s="117" t="s">
        <v>19</v>
      </c>
      <c r="K96" s="117" t="s">
        <v>20</v>
      </c>
      <c r="L96" s="118" t="s">
        <v>21</v>
      </c>
      <c r="M96" s="118" t="s">
        <v>22</v>
      </c>
    </row>
    <row r="97" spans="3:13" ht="15.5" x14ac:dyDescent="0.35">
      <c r="C97" s="522" t="s">
        <v>617</v>
      </c>
      <c r="G97" s="48"/>
    </row>
    <row r="98" spans="3:13" ht="15.5" x14ac:dyDescent="0.35">
      <c r="C98" s="523" t="s">
        <v>618</v>
      </c>
      <c r="G98" s="68">
        <f>-P45</f>
        <v>-3552.9202917151993</v>
      </c>
    </row>
    <row r="99" spans="3:13" ht="15.5" x14ac:dyDescent="0.35">
      <c r="C99" s="521" t="s">
        <v>624</v>
      </c>
      <c r="M99" s="529">
        <f>-M87</f>
        <v>203.02401666943999</v>
      </c>
    </row>
    <row r="100" spans="3:13" ht="15.5" x14ac:dyDescent="0.35">
      <c r="C100" s="521" t="s">
        <v>625</v>
      </c>
      <c r="M100" s="529">
        <f>-M88</f>
        <v>-1185.7172112681155</v>
      </c>
    </row>
    <row r="101" spans="3:13" ht="16" thickBot="1" x14ac:dyDescent="0.4">
      <c r="C101" s="526" t="s">
        <v>621</v>
      </c>
      <c r="D101" s="527"/>
      <c r="E101" s="527"/>
      <c r="F101" s="527"/>
      <c r="G101" s="527"/>
      <c r="H101" s="527"/>
      <c r="I101" s="527"/>
      <c r="J101" s="527"/>
      <c r="K101" s="527"/>
      <c r="L101" s="527"/>
      <c r="M101" s="528">
        <f>M32*Q45</f>
        <v>21965.199771637377</v>
      </c>
    </row>
    <row r="102" spans="3:13" ht="15.5" x14ac:dyDescent="0.35">
      <c r="C102" s="525" t="s">
        <v>622</v>
      </c>
      <c r="G102" s="529">
        <f t="shared" ref="G102:L102" si="11">SUM(G98:G101)</f>
        <v>-3552.9202917151993</v>
      </c>
      <c r="H102" s="529">
        <f t="shared" si="11"/>
        <v>0</v>
      </c>
      <c r="I102" s="529">
        <f t="shared" si="11"/>
        <v>0</v>
      </c>
      <c r="J102" s="529">
        <f t="shared" si="11"/>
        <v>0</v>
      </c>
      <c r="K102" s="529">
        <f t="shared" si="11"/>
        <v>0</v>
      </c>
      <c r="L102" s="529">
        <f t="shared" si="11"/>
        <v>0</v>
      </c>
      <c r="M102" s="529">
        <f>SUM(M99:M101)</f>
        <v>20982.506577038701</v>
      </c>
    </row>
    <row r="103" spans="3:13" ht="14.5" x14ac:dyDescent="0.35"/>
    <row r="104" spans="3:13" ht="14.5" x14ac:dyDescent="0.35">
      <c r="C104" s="42" t="s">
        <v>33</v>
      </c>
      <c r="D104" s="42"/>
      <c r="E104" s="42"/>
      <c r="F104" s="42"/>
      <c r="G104" s="42"/>
      <c r="H104" s="42"/>
      <c r="I104" s="42"/>
      <c r="J104" s="42"/>
      <c r="K104" s="42"/>
      <c r="L104" s="42"/>
      <c r="M104" s="530">
        <f>-M102/G102</f>
        <v>5.9057070956436339</v>
      </c>
    </row>
    <row r="105" spans="3:13" ht="14.5" x14ac:dyDescent="0.35">
      <c r="C105" s="42" t="s">
        <v>34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531">
        <f>(M102/-G102)^(1/M21)-1</f>
        <v>0.34445204867102452</v>
      </c>
    </row>
    <row r="106" spans="3:13" ht="14" customHeight="1" x14ac:dyDescent="0.35"/>
    <row r="107" spans="3:13" ht="14" customHeight="1" x14ac:dyDescent="0.35"/>
    <row r="108" spans="3:13" ht="14" customHeight="1" x14ac:dyDescent="0.35"/>
  </sheetData>
  <mergeCells count="2">
    <mergeCell ref="D60:D65"/>
    <mergeCell ref="D72:D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3523-174E-4E3C-9E7A-7FB202A03448}">
  <dimension ref="A1:S109"/>
  <sheetViews>
    <sheetView showGridLines="0" zoomScale="93" zoomScaleNormal="93" workbookViewId="0">
      <selection activeCell="H32" sqref="H32"/>
    </sheetView>
  </sheetViews>
  <sheetFormatPr defaultColWidth="0" defaultRowHeight="14.5" zeroHeight="1" x14ac:dyDescent="0.35"/>
  <cols>
    <col min="1" max="2" width="3.1796875" customWidth="1"/>
    <col min="3" max="3" width="4.81640625" customWidth="1"/>
    <col min="4" max="4" width="9.81640625" customWidth="1"/>
    <col min="5" max="5" width="8.6328125" customWidth="1"/>
    <col min="6" max="6" width="10.453125" customWidth="1"/>
    <col min="7" max="13" width="9.81640625" customWidth="1"/>
    <col min="14" max="19" width="9.1796875" customWidth="1"/>
  </cols>
  <sheetData>
    <row r="1" spans="1:19" x14ac:dyDescent="0.35"/>
    <row r="2" spans="1:19" x14ac:dyDescent="0.35">
      <c r="C2" t="s">
        <v>0</v>
      </c>
      <c r="I2" s="548">
        <v>45291</v>
      </c>
    </row>
    <row r="3" spans="1:19" x14ac:dyDescent="0.35">
      <c r="C3" t="s">
        <v>1</v>
      </c>
      <c r="I3" s="549">
        <v>6</v>
      </c>
    </row>
    <row r="4" spans="1:19" x14ac:dyDescent="0.35">
      <c r="C4" t="s">
        <v>2</v>
      </c>
      <c r="I4" s="67">
        <f>+EDATE(I2,I3*12)</f>
        <v>47483</v>
      </c>
    </row>
    <row r="5" spans="1:19" ht="14" customHeight="1" x14ac:dyDescent="0.35"/>
    <row r="6" spans="1:19" s="82" customFormat="1" ht="21" x14ac:dyDescent="0.5">
      <c r="A6" t="s">
        <v>3</v>
      </c>
      <c r="B6"/>
      <c r="C6" s="473" t="s">
        <v>4</v>
      </c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473"/>
      <c r="S6" s="473"/>
    </row>
    <row r="7" spans="1:19" x14ac:dyDescent="0.35">
      <c r="C7" s="139" t="s">
        <v>5</v>
      </c>
    </row>
    <row r="8" spans="1:19" x14ac:dyDescent="0.35">
      <c r="C8" s="42" t="s">
        <v>6</v>
      </c>
    </row>
    <row r="9" spans="1:19" x14ac:dyDescent="0.35"/>
    <row r="10" spans="1:19" x14ac:dyDescent="0.35">
      <c r="D10" t="s">
        <v>7</v>
      </c>
      <c r="J10" s="207">
        <v>77.72</v>
      </c>
      <c r="K10" s="93"/>
    </row>
    <row r="11" spans="1:19" x14ac:dyDescent="0.35">
      <c r="D11" t="s">
        <v>8</v>
      </c>
      <c r="J11" s="167">
        <f>89.44</f>
        <v>89.44</v>
      </c>
      <c r="K11" s="93"/>
    </row>
    <row r="12" spans="1:19" x14ac:dyDescent="0.35">
      <c r="D12" t="s">
        <v>9</v>
      </c>
      <c r="J12" s="83">
        <f>+J10*J11</f>
        <v>6951.2767999999996</v>
      </c>
    </row>
    <row r="13" spans="1:19" x14ac:dyDescent="0.35">
      <c r="D13" t="s">
        <v>10</v>
      </c>
      <c r="J13" s="114">
        <v>0.4</v>
      </c>
      <c r="K13" s="93"/>
    </row>
    <row r="14" spans="1:19" x14ac:dyDescent="0.35"/>
    <row r="15" spans="1:19" x14ac:dyDescent="0.35">
      <c r="D15" t="s">
        <v>11</v>
      </c>
      <c r="J15" s="68">
        <f>J10*(1+J13)</f>
        <v>108.80799999999999</v>
      </c>
    </row>
    <row r="16" spans="1:19" x14ac:dyDescent="0.35">
      <c r="D16" t="s">
        <v>12</v>
      </c>
      <c r="J16" s="68">
        <f>J15*J11</f>
        <v>9731.7875199999999</v>
      </c>
    </row>
    <row r="17" spans="4:13" x14ac:dyDescent="0.35">
      <c r="D17" t="s">
        <v>13</v>
      </c>
      <c r="J17" s="70">
        <f>'Historical-BS'!G153</f>
        <v>212.04</v>
      </c>
    </row>
    <row r="18" spans="4:13" x14ac:dyDescent="0.35">
      <c r="D18" s="249" t="s">
        <v>14</v>
      </c>
      <c r="E18" s="249"/>
      <c r="F18" s="249"/>
      <c r="G18" s="249"/>
      <c r="H18" s="249"/>
      <c r="I18" s="249"/>
      <c r="J18" s="250">
        <f>SUM(J16:J17)</f>
        <v>9943.8275200000007</v>
      </c>
    </row>
    <row r="19" spans="4:13" x14ac:dyDescent="0.35"/>
    <row r="20" spans="4:13" x14ac:dyDescent="0.35">
      <c r="D20" s="117"/>
      <c r="E20" s="117"/>
      <c r="F20" s="117" t="s">
        <v>15</v>
      </c>
      <c r="G20" s="117" t="s">
        <v>16</v>
      </c>
      <c r="H20" s="117" t="s">
        <v>17</v>
      </c>
      <c r="I20" s="117" t="s">
        <v>18</v>
      </c>
      <c r="J20" s="117" t="s">
        <v>19</v>
      </c>
      <c r="K20" s="117" t="s">
        <v>20</v>
      </c>
      <c r="L20" s="118" t="s">
        <v>21</v>
      </c>
      <c r="M20" s="118" t="s">
        <v>22</v>
      </c>
    </row>
    <row r="21" spans="4:13" x14ac:dyDescent="0.35">
      <c r="D21" t="s">
        <v>23</v>
      </c>
      <c r="F21" s="44"/>
      <c r="G21" s="91">
        <v>0</v>
      </c>
      <c r="H21" s="91">
        <v>1</v>
      </c>
      <c r="I21" s="91">
        <v>2</v>
      </c>
      <c r="J21" s="91">
        <v>3</v>
      </c>
      <c r="K21" s="91">
        <v>4</v>
      </c>
      <c r="L21" s="91">
        <v>5</v>
      </c>
      <c r="M21" s="91">
        <v>6</v>
      </c>
    </row>
    <row r="22" spans="4:13" x14ac:dyDescent="0.35">
      <c r="F22" s="44"/>
      <c r="G22" s="44"/>
      <c r="H22" s="44"/>
      <c r="I22" s="44"/>
      <c r="J22" s="44"/>
      <c r="K22" s="44"/>
      <c r="L22" s="85"/>
      <c r="M22" s="85"/>
    </row>
    <row r="23" spans="4:13" x14ac:dyDescent="0.35">
      <c r="D23" s="246" t="s">
        <v>24</v>
      </c>
      <c r="E23" s="246"/>
      <c r="F23" s="247">
        <f>VLOOKUP(Forecast!AN18,Forecast!AN18, 1, FALSE)</f>
        <v>466.65</v>
      </c>
      <c r="G23" s="247">
        <f>VLOOKUP(Forecast!AO18,Forecast!AO18, 1, FALSE)</f>
        <v>439.39648472378553</v>
      </c>
      <c r="H23" s="247">
        <f>VLOOKUP(Forecast!AP18,Forecast!AP18, 1, FALSE)</f>
        <v>480.12122847787123</v>
      </c>
      <c r="I23" s="247">
        <f>VLOOKUP(Forecast!AQ18,Forecast!AQ18, 1, FALSE)</f>
        <v>511.00816795341404</v>
      </c>
      <c r="J23" s="247">
        <f>VLOOKUP(Forecast!AR18,Forecast!AR18, 1, FALSE)</f>
        <v>562.09786600997643</v>
      </c>
      <c r="K23" s="247">
        <f>VLOOKUP(Forecast!AS18,Forecast!AS18, 1, FALSE)</f>
        <v>579.22335207522792</v>
      </c>
      <c r="L23" s="247">
        <f>VLOOKUP(Forecast!AT18,Forecast!AT18, 1, FALSE)</f>
        <v>602.85501583796281</v>
      </c>
      <c r="M23" s="247">
        <f>VLOOKUP(Forecast!AU18,Forecast!AU18, 1, FALSE)</f>
        <v>642.07537618441904</v>
      </c>
    </row>
    <row r="24" spans="4:13" x14ac:dyDescent="0.35">
      <c r="D24" s="55" t="s">
        <v>25</v>
      </c>
      <c r="F24" s="60">
        <f>F23-F25</f>
        <v>186.66000000000003</v>
      </c>
      <c r="G24" s="60">
        <f t="shared" ref="G24:M24" si="0">G23-G25</f>
        <v>175.7585938895142</v>
      </c>
      <c r="H24" s="60">
        <f t="shared" si="0"/>
        <v>192.0484913911485</v>
      </c>
      <c r="I24" s="60">
        <f t="shared" si="0"/>
        <v>204.40326718136561</v>
      </c>
      <c r="J24" s="60">
        <f t="shared" si="0"/>
        <v>224.83914640399058</v>
      </c>
      <c r="K24" s="60">
        <f t="shared" si="0"/>
        <v>231.68934083009117</v>
      </c>
      <c r="L24" s="60">
        <f t="shared" si="0"/>
        <v>241.14200633518516</v>
      </c>
      <c r="M24" s="60">
        <f t="shared" si="0"/>
        <v>256.83015047376762</v>
      </c>
    </row>
    <row r="25" spans="4:13" x14ac:dyDescent="0.35">
      <c r="D25" s="55" t="s">
        <v>26</v>
      </c>
      <c r="F25" s="60">
        <f>0.6*F23</f>
        <v>279.98999999999995</v>
      </c>
      <c r="G25" s="60">
        <f t="shared" ref="G25:M25" si="1">0.6*G23</f>
        <v>263.63789083427133</v>
      </c>
      <c r="H25" s="60">
        <f t="shared" si="1"/>
        <v>288.07273708672273</v>
      </c>
      <c r="I25" s="60">
        <f t="shared" si="1"/>
        <v>306.60490077204844</v>
      </c>
      <c r="J25" s="60">
        <f t="shared" si="1"/>
        <v>337.25871960598585</v>
      </c>
      <c r="K25" s="60">
        <f t="shared" si="1"/>
        <v>347.53401124513675</v>
      </c>
      <c r="L25" s="60">
        <f t="shared" si="1"/>
        <v>361.71300950277765</v>
      </c>
      <c r="M25" s="60">
        <f t="shared" si="1"/>
        <v>385.24522571065143</v>
      </c>
    </row>
    <row r="26" spans="4:13" x14ac:dyDescent="0.35">
      <c r="D26" s="86" t="s">
        <v>27</v>
      </c>
      <c r="E26" s="86"/>
      <c r="F26" s="86"/>
      <c r="G26" s="210">
        <f>(0.4*G27)+(0.6*G28)</f>
        <v>16.11</v>
      </c>
      <c r="H26" s="210">
        <f t="shared" ref="H26:M26" si="2">(0.4*H27)+(0.6*H28)</f>
        <v>15.698999999999998</v>
      </c>
      <c r="I26" s="210">
        <f t="shared" si="2"/>
        <v>15.288</v>
      </c>
      <c r="J26" s="210">
        <f t="shared" si="2"/>
        <v>14.876999999999999</v>
      </c>
      <c r="K26" s="210">
        <f t="shared" si="2"/>
        <v>14.465999999999998</v>
      </c>
      <c r="L26" s="210">
        <f t="shared" si="2"/>
        <v>14.054999999999998</v>
      </c>
      <c r="M26" s="210">
        <f t="shared" si="2"/>
        <v>13.643999999999998</v>
      </c>
    </row>
    <row r="27" spans="4:13" x14ac:dyDescent="0.35">
      <c r="D27" s="55" t="s">
        <v>25</v>
      </c>
      <c r="G27" s="211">
        <v>16.11</v>
      </c>
      <c r="H27" s="211">
        <f>16.11</f>
        <v>16.11</v>
      </c>
      <c r="I27" s="211">
        <f t="shared" ref="I27:M27" si="3">16.11</f>
        <v>16.11</v>
      </c>
      <c r="J27" s="211">
        <f t="shared" si="3"/>
        <v>16.11</v>
      </c>
      <c r="K27" s="211">
        <f t="shared" si="3"/>
        <v>16.11</v>
      </c>
      <c r="L27" s="211">
        <f t="shared" si="3"/>
        <v>16.11</v>
      </c>
      <c r="M27" s="211">
        <f t="shared" si="3"/>
        <v>16.11</v>
      </c>
    </row>
    <row r="28" spans="4:13" x14ac:dyDescent="0.35">
      <c r="D28" s="209" t="s">
        <v>26</v>
      </c>
      <c r="E28" s="86"/>
      <c r="F28" s="86"/>
      <c r="G28" s="212">
        <v>16.11</v>
      </c>
      <c r="H28" s="212">
        <v>15.424999999999999</v>
      </c>
      <c r="I28" s="212">
        <v>14.739999999999998</v>
      </c>
      <c r="J28" s="212">
        <v>14.054999999999998</v>
      </c>
      <c r="K28" s="212">
        <v>13.369999999999997</v>
      </c>
      <c r="L28" s="212">
        <v>12.684999999999997</v>
      </c>
      <c r="M28" s="212">
        <v>11.999999999999996</v>
      </c>
    </row>
    <row r="29" spans="4:13" x14ac:dyDescent="0.35">
      <c r="D29" t="s">
        <v>28</v>
      </c>
      <c r="G29" s="53">
        <f t="shared" ref="G29:M29" si="4">$M26*G23</f>
        <v>5995.1256375713292</v>
      </c>
      <c r="H29" s="53">
        <f t="shared" si="4"/>
        <v>6550.7740413520742</v>
      </c>
      <c r="I29" s="53">
        <f t="shared" si="4"/>
        <v>6972.1954435563803</v>
      </c>
      <c r="J29" s="53">
        <f t="shared" si="4"/>
        <v>7669.2632838401178</v>
      </c>
      <c r="K29" s="53">
        <f t="shared" si="4"/>
        <v>7902.9234157144092</v>
      </c>
      <c r="L29" s="53">
        <f t="shared" si="4"/>
        <v>8225.3538360931634</v>
      </c>
      <c r="M29" s="53">
        <f t="shared" si="4"/>
        <v>8760.4764326602126</v>
      </c>
    </row>
    <row r="30" spans="4:13" x14ac:dyDescent="0.35">
      <c r="D30" t="s">
        <v>29</v>
      </c>
      <c r="G30" s="95">
        <f>-'New Debt'!G28</f>
        <v>-6302.7605000832018</v>
      </c>
      <c r="H30" s="95">
        <f>-'New Debt'!H28</f>
        <v>-5287.6404167360015</v>
      </c>
      <c r="I30" s="95">
        <f>-'New Debt'!I28</f>
        <v>-4272.5203333888012</v>
      </c>
      <c r="J30" s="95">
        <f>-'New Debt'!J28</f>
        <v>-3257.4002500416009</v>
      </c>
      <c r="K30" s="95">
        <f>-'New Debt'!K28</f>
        <v>-2242.2801666944006</v>
      </c>
      <c r="L30" s="95">
        <f>-'New Debt'!L28</f>
        <v>-1227.1600833472005</v>
      </c>
      <c r="M30" s="95">
        <f>-'New Debt'!M28</f>
        <v>-212.04000000000025</v>
      </c>
    </row>
    <row r="31" spans="4:13" x14ac:dyDescent="0.35">
      <c r="D31" s="86" t="s">
        <v>30</v>
      </c>
      <c r="E31" s="86"/>
      <c r="F31" s="86"/>
      <c r="G31" s="87">
        <f>Forecast!M53</f>
        <v>6032.2629062873702</v>
      </c>
      <c r="H31" s="87">
        <f>Forecast!N53</f>
        <v>5051.8639022038451</v>
      </c>
      <c r="I31" s="87">
        <f>Forecast!O53</f>
        <v>4085.9251465944367</v>
      </c>
      <c r="J31" s="87">
        <f>Forecast!P53</f>
        <v>3136.6270593735444</v>
      </c>
      <c r="K31" s="87">
        <f>Forecast!Q53</f>
        <v>2206.3169662332107</v>
      </c>
      <c r="L31" s="87">
        <f>Forecast!R53</f>
        <v>1297.5318612393919</v>
      </c>
      <c r="M31" s="87">
        <f>Forecast!S53</f>
        <v>413.02302866213165</v>
      </c>
    </row>
    <row r="32" spans="4:13" x14ac:dyDescent="0.35">
      <c r="D32" s="78" t="s">
        <v>31</v>
      </c>
      <c r="E32" s="134"/>
      <c r="F32" s="248">
        <f t="shared" ref="F32:M32" si="5">SUM(F29:F31)</f>
        <v>0</v>
      </c>
      <c r="G32" s="248">
        <f t="shared" si="5"/>
        <v>5724.6280437754976</v>
      </c>
      <c r="H32" s="248">
        <f t="shared" si="5"/>
        <v>6314.9975268199178</v>
      </c>
      <c r="I32" s="248">
        <f t="shared" si="5"/>
        <v>6785.6002567620162</v>
      </c>
      <c r="J32" s="248">
        <f t="shared" si="5"/>
        <v>7548.4900931720613</v>
      </c>
      <c r="K32" s="248">
        <f t="shared" si="5"/>
        <v>7866.9602152532188</v>
      </c>
      <c r="L32" s="248">
        <f t="shared" si="5"/>
        <v>8295.7256139853544</v>
      </c>
      <c r="M32" s="248">
        <f t="shared" si="5"/>
        <v>8961.4594613223435</v>
      </c>
    </row>
    <row r="33" spans="1:17" x14ac:dyDescent="0.35">
      <c r="E33" s="42"/>
      <c r="F33" s="42"/>
      <c r="G33" s="42"/>
      <c r="H33" s="42"/>
      <c r="I33" s="42"/>
      <c r="J33" s="42"/>
      <c r="M33" s="84"/>
    </row>
    <row r="34" spans="1:17" s="82" customFormat="1" x14ac:dyDescent="0.35">
      <c r="A34" t="s">
        <v>3</v>
      </c>
      <c r="B34"/>
      <c r="C34" s="82" t="s">
        <v>32</v>
      </c>
    </row>
    <row r="35" spans="1:17" s="46" customFormat="1" x14ac:dyDescent="0.35">
      <c r="A35"/>
      <c r="B35"/>
    </row>
    <row r="36" spans="1:17" ht="15.5" x14ac:dyDescent="0.35">
      <c r="E36" s="42"/>
      <c r="F36" s="474" t="s">
        <v>15</v>
      </c>
      <c r="G36" s="474" t="s">
        <v>16</v>
      </c>
      <c r="H36" s="474" t="s">
        <v>17</v>
      </c>
      <c r="I36" s="474" t="s">
        <v>18</v>
      </c>
      <c r="J36" s="474" t="s">
        <v>19</v>
      </c>
      <c r="K36" s="474" t="s">
        <v>20</v>
      </c>
      <c r="L36" s="475" t="s">
        <v>21</v>
      </c>
      <c r="M36" s="475" t="s">
        <v>22</v>
      </c>
    </row>
    <row r="37" spans="1:17" ht="15.5" x14ac:dyDescent="0.35">
      <c r="D37" t="s">
        <v>33</v>
      </c>
      <c r="E37" s="89" t="s">
        <v>3</v>
      </c>
      <c r="F37" s="42"/>
      <c r="G37" s="90">
        <f t="shared" ref="G37:M37" si="6">G32/$P$46</f>
        <v>1.4098401109599348</v>
      </c>
      <c r="H37" s="90">
        <f t="shared" si="6"/>
        <v>1.5552341123025564</v>
      </c>
      <c r="I37" s="90">
        <f t="shared" si="6"/>
        <v>1.6711324029733408</v>
      </c>
      <c r="J37" s="90">
        <f t="shared" si="6"/>
        <v>1.8590140755274229</v>
      </c>
      <c r="K37" s="90">
        <f t="shared" si="6"/>
        <v>1.9374457131498046</v>
      </c>
      <c r="L37" s="90">
        <f t="shared" si="6"/>
        <v>2.0430404614376991</v>
      </c>
      <c r="M37" s="90">
        <f t="shared" si="6"/>
        <v>2.2069949182202491</v>
      </c>
    </row>
    <row r="38" spans="1:17" ht="15.5" x14ac:dyDescent="0.35">
      <c r="D38" t="s">
        <v>34</v>
      </c>
      <c r="E38" s="89" t="s">
        <v>35</v>
      </c>
      <c r="F38" s="42"/>
      <c r="G38" s="100" t="s">
        <v>36</v>
      </c>
      <c r="H38" s="100">
        <f t="shared" ref="H38:M38" si="7">(H32/$P$46)^(1/H21)-1</f>
        <v>0.55523411230255637</v>
      </c>
      <c r="I38" s="100">
        <f t="shared" si="7"/>
        <v>0.29272286394777614</v>
      </c>
      <c r="J38" s="100">
        <f t="shared" si="7"/>
        <v>0.22959161437894182</v>
      </c>
      <c r="K38" s="100">
        <f t="shared" si="7"/>
        <v>0.17979726654991746</v>
      </c>
      <c r="L38" s="100">
        <f t="shared" si="7"/>
        <v>0.15360038825795352</v>
      </c>
      <c r="M38" s="100">
        <f t="shared" si="7"/>
        <v>0.1410383000989397</v>
      </c>
    </row>
    <row r="39" spans="1:17" x14ac:dyDescent="0.35">
      <c r="E39" s="42"/>
      <c r="F39" s="42"/>
      <c r="G39" s="42"/>
      <c r="H39" s="42"/>
      <c r="I39" s="42"/>
      <c r="J39" s="42"/>
      <c r="M39" s="84"/>
    </row>
    <row r="40" spans="1:17" x14ac:dyDescent="0.35"/>
    <row r="41" spans="1:17" s="82" customFormat="1" ht="14" customHeight="1" x14ac:dyDescent="0.35">
      <c r="A41" t="s">
        <v>3</v>
      </c>
      <c r="B41"/>
      <c r="C41" s="82" t="s">
        <v>37</v>
      </c>
    </row>
    <row r="42" spans="1:17" x14ac:dyDescent="0.35"/>
    <row r="43" spans="1:17" ht="18.5" x14ac:dyDescent="0.45">
      <c r="D43" s="478" t="s">
        <v>38</v>
      </c>
      <c r="E43" s="476"/>
      <c r="F43" s="476"/>
      <c r="G43" s="476"/>
      <c r="H43" s="476"/>
      <c r="I43" s="476"/>
      <c r="J43" s="477" t="s">
        <v>39</v>
      </c>
      <c r="K43" s="477" t="s">
        <v>35</v>
      </c>
      <c r="M43" s="479" t="s">
        <v>40</v>
      </c>
      <c r="N43" s="479"/>
      <c r="O43" s="479"/>
      <c r="P43" s="480" t="s">
        <v>39</v>
      </c>
      <c r="Q43" s="480" t="s">
        <v>35</v>
      </c>
    </row>
    <row r="44" spans="1:17" x14ac:dyDescent="0.35">
      <c r="D44" t="s">
        <v>41</v>
      </c>
      <c r="J44" s="68">
        <f>$J$55*K44</f>
        <v>4060.4803333888008</v>
      </c>
      <c r="K44" s="119">
        <v>0.4</v>
      </c>
      <c r="M44" t="s">
        <v>42</v>
      </c>
      <c r="P44" s="68">
        <f>J46</f>
        <v>507.5600416736001</v>
      </c>
      <c r="Q44" s="26">
        <f>P44/$P$46</f>
        <v>0.12500000000000006</v>
      </c>
    </row>
    <row r="45" spans="1:17" x14ac:dyDescent="0.35">
      <c r="D45" t="s">
        <v>43</v>
      </c>
      <c r="J45" s="68">
        <f>$J$55*K45</f>
        <v>2030.2401666944004</v>
      </c>
      <c r="K45" s="119">
        <v>0.2</v>
      </c>
      <c r="M45" s="38" t="s">
        <v>44</v>
      </c>
      <c r="N45" s="38"/>
      <c r="O45" s="38"/>
      <c r="P45" s="97">
        <f>J47</f>
        <v>3552.9202917151993</v>
      </c>
      <c r="Q45" s="99">
        <f>P45/$P$46</f>
        <v>0.87499999999999989</v>
      </c>
    </row>
    <row r="46" spans="1:17" x14ac:dyDescent="0.35">
      <c r="D46" t="s">
        <v>45</v>
      </c>
      <c r="J46" s="68">
        <f>$J$55*K46</f>
        <v>507.5600416736001</v>
      </c>
      <c r="K46" s="119">
        <v>0.05</v>
      </c>
      <c r="M46" s="42" t="s">
        <v>46</v>
      </c>
      <c r="P46" s="88">
        <f>SUM(P44:P45)</f>
        <v>4060.4803333887994</v>
      </c>
      <c r="Q46" s="98">
        <f>SUM(Q44:Q45)</f>
        <v>1</v>
      </c>
    </row>
    <row r="47" spans="1:17" x14ac:dyDescent="0.35">
      <c r="D47" s="38" t="s">
        <v>47</v>
      </c>
      <c r="E47" s="38"/>
      <c r="F47" s="38"/>
      <c r="G47" s="38"/>
      <c r="H47" s="38"/>
      <c r="I47" s="38"/>
      <c r="J47" s="97">
        <f>$J$55*K47</f>
        <v>3552.9202917151993</v>
      </c>
      <c r="K47" s="120">
        <v>0.34999999999999987</v>
      </c>
    </row>
    <row r="48" spans="1:17" x14ac:dyDescent="0.35">
      <c r="D48" s="42" t="s">
        <v>48</v>
      </c>
      <c r="J48" s="88">
        <f>SUM(J44:J47)</f>
        <v>10151.200833471999</v>
      </c>
      <c r="K48" s="98">
        <f>SUM(K44:K47)</f>
        <v>1</v>
      </c>
    </row>
    <row r="49" spans="4:11" x14ac:dyDescent="0.35"/>
    <row r="50" spans="4:11" ht="18.5" x14ac:dyDescent="0.45">
      <c r="D50" s="481" t="s">
        <v>49</v>
      </c>
      <c r="E50" s="481"/>
      <c r="F50" s="481"/>
      <c r="G50" s="481"/>
      <c r="H50" s="481"/>
      <c r="I50" s="481"/>
      <c r="J50" s="482" t="s">
        <v>39</v>
      </c>
      <c r="K50" s="482" t="s">
        <v>35</v>
      </c>
    </row>
    <row r="51" spans="4:11" x14ac:dyDescent="0.35">
      <c r="D51" t="s">
        <v>50</v>
      </c>
      <c r="J51" s="68">
        <f>J16</f>
        <v>9731.7875199999999</v>
      </c>
      <c r="K51" s="119">
        <f>J51/$J$55</f>
        <v>0.95868337939989801</v>
      </c>
    </row>
    <row r="52" spans="4:11" x14ac:dyDescent="0.35">
      <c r="D52" t="s">
        <v>51</v>
      </c>
      <c r="F52" s="48"/>
      <c r="J52" s="68">
        <f>J17</f>
        <v>212.04</v>
      </c>
      <c r="K52" s="119">
        <f>J52/$J$55</f>
        <v>2.0888169141608466E-2</v>
      </c>
    </row>
    <row r="53" spans="4:11" ht="14" customHeight="1" x14ac:dyDescent="0.35">
      <c r="D53" t="s">
        <v>52</v>
      </c>
      <c r="J53" s="68">
        <f>J51*1.5%</f>
        <v>145.9768128</v>
      </c>
      <c r="K53" s="119">
        <f>J53/$J$55</f>
        <v>1.4380250690998471E-2</v>
      </c>
    </row>
    <row r="54" spans="4:11" ht="14" customHeight="1" x14ac:dyDescent="0.35">
      <c r="D54" t="s">
        <v>53</v>
      </c>
      <c r="J54" s="68">
        <v>61.396500672000002</v>
      </c>
      <c r="K54" s="120">
        <f>J54/$J$55</f>
        <v>6.0482007674948777E-3</v>
      </c>
    </row>
    <row r="55" spans="4:11" x14ac:dyDescent="0.35">
      <c r="D55" s="73" t="s">
        <v>48</v>
      </c>
      <c r="E55" s="73"/>
      <c r="F55" s="73"/>
      <c r="G55" s="73"/>
      <c r="H55" s="73"/>
      <c r="I55" s="73"/>
      <c r="J55" s="74">
        <f>SUM(J51:J54)</f>
        <v>10151.200833472001</v>
      </c>
      <c r="K55" s="98">
        <f>SUM(K51:K54)</f>
        <v>0.99999999999999989</v>
      </c>
    </row>
    <row r="56" spans="4:11" x14ac:dyDescent="0.35"/>
    <row r="57" spans="4:11" x14ac:dyDescent="0.35"/>
    <row r="58" spans="4:11" ht="19" customHeight="1" x14ac:dyDescent="0.35">
      <c r="D58" s="538" t="s">
        <v>54</v>
      </c>
      <c r="E58" s="538"/>
      <c r="F58" s="538"/>
      <c r="G58" s="538"/>
      <c r="H58" s="538"/>
      <c r="I58" s="538"/>
      <c r="J58" s="538"/>
    </row>
    <row r="59" spans="4:11" ht="15.5" x14ac:dyDescent="0.35">
      <c r="D59" s="483"/>
      <c r="E59" s="484"/>
      <c r="F59" s="485" t="s">
        <v>55</v>
      </c>
      <c r="G59" s="486"/>
      <c r="H59" s="486"/>
      <c r="I59" s="486"/>
      <c r="J59" s="486"/>
    </row>
    <row r="60" spans="4:11" x14ac:dyDescent="0.35">
      <c r="D60" s="537" t="s">
        <v>56</v>
      </c>
      <c r="E60" s="506">
        <f>M37</f>
        <v>2.2069949182202491</v>
      </c>
      <c r="F60" s="507">
        <f>G60-1</f>
        <v>11.643999999999998</v>
      </c>
      <c r="G60" s="507">
        <f>H60-1</f>
        <v>12.643999999999998</v>
      </c>
      <c r="H60" s="508">
        <f>M26</f>
        <v>13.643999999999998</v>
      </c>
      <c r="I60" s="507">
        <f>H60+1</f>
        <v>14.643999999999998</v>
      </c>
      <c r="J60" s="507">
        <f>+I60+1</f>
        <v>15.643999999999998</v>
      </c>
    </row>
    <row r="61" spans="4:11" x14ac:dyDescent="0.35">
      <c r="D61" s="537"/>
      <c r="E61" s="509">
        <f>+E62-10%</f>
        <v>0.20000000000000004</v>
      </c>
      <c r="F61" s="510">
        <f t="shared" ref="F61:J65" si="8">(((F$60*$M$23)+$M$30+$M$31)/(($E61/$J$13)*$P$46))</f>
        <v>3.7814780905716976</v>
      </c>
      <c r="G61" s="510">
        <f t="shared" si="8"/>
        <v>4.0977339635060979</v>
      </c>
      <c r="H61" s="511">
        <f t="shared" si="8"/>
        <v>4.4139898364404972</v>
      </c>
      <c r="I61" s="510">
        <f t="shared" si="8"/>
        <v>4.7302457093748975</v>
      </c>
      <c r="J61" s="510">
        <f t="shared" si="8"/>
        <v>5.0465015823092969</v>
      </c>
    </row>
    <row r="62" spans="4:11" x14ac:dyDescent="0.35">
      <c r="D62" s="537"/>
      <c r="E62" s="509">
        <f>+E63-10%</f>
        <v>0.30000000000000004</v>
      </c>
      <c r="F62" s="510">
        <f t="shared" si="8"/>
        <v>2.5209853937144655</v>
      </c>
      <c r="G62" s="510">
        <f t="shared" si="8"/>
        <v>2.7318226423373986</v>
      </c>
      <c r="H62" s="511">
        <f t="shared" si="8"/>
        <v>2.9426598909603316</v>
      </c>
      <c r="I62" s="510">
        <f t="shared" si="8"/>
        <v>3.1534971395832652</v>
      </c>
      <c r="J62" s="510">
        <f t="shared" si="8"/>
        <v>3.3643343882061982</v>
      </c>
    </row>
    <row r="63" spans="4:11" x14ac:dyDescent="0.35">
      <c r="D63" s="537"/>
      <c r="E63" s="512">
        <f>J13</f>
        <v>0.4</v>
      </c>
      <c r="F63" s="511">
        <f t="shared" si="8"/>
        <v>1.8907390452858492</v>
      </c>
      <c r="G63" s="511">
        <f t="shared" si="8"/>
        <v>2.0488669817530494</v>
      </c>
      <c r="H63" s="513">
        <f t="shared" si="8"/>
        <v>2.2069949182202491</v>
      </c>
      <c r="I63" s="511">
        <f t="shared" si="8"/>
        <v>2.3651228546874492</v>
      </c>
      <c r="J63" s="511">
        <f t="shared" si="8"/>
        <v>2.5232507911546489</v>
      </c>
    </row>
    <row r="64" spans="4:11" x14ac:dyDescent="0.35">
      <c r="D64" s="537"/>
      <c r="E64" s="509">
        <f>+E63+10%</f>
        <v>0.5</v>
      </c>
      <c r="F64" s="510">
        <f t="shared" si="8"/>
        <v>1.5125912362286795</v>
      </c>
      <c r="G64" s="510">
        <f t="shared" si="8"/>
        <v>1.6390935854024395</v>
      </c>
      <c r="H64" s="511">
        <f t="shared" si="8"/>
        <v>1.7655959345761996</v>
      </c>
      <c r="I64" s="510">
        <f t="shared" si="8"/>
        <v>1.8920982837499594</v>
      </c>
      <c r="J64" s="510">
        <f t="shared" si="8"/>
        <v>2.0186006329237194</v>
      </c>
    </row>
    <row r="65" spans="4:10" x14ac:dyDescent="0.35">
      <c r="D65" s="537"/>
      <c r="E65" s="509">
        <f>+E64+10%</f>
        <v>0.6</v>
      </c>
      <c r="F65" s="510">
        <f t="shared" si="8"/>
        <v>1.260492696857233</v>
      </c>
      <c r="G65" s="510">
        <f t="shared" si="8"/>
        <v>1.3659113211686997</v>
      </c>
      <c r="H65" s="511">
        <f t="shared" si="8"/>
        <v>1.4713299454801663</v>
      </c>
      <c r="I65" s="510">
        <f t="shared" si="8"/>
        <v>1.576748569791633</v>
      </c>
      <c r="J65" s="510">
        <f t="shared" si="8"/>
        <v>1.6821671941030996</v>
      </c>
    </row>
    <row r="66" spans="4:10" x14ac:dyDescent="0.35"/>
    <row r="67" spans="4:10" x14ac:dyDescent="0.35"/>
    <row r="68" spans="4:10" x14ac:dyDescent="0.35"/>
    <row r="69" spans="4:10" ht="15.5" x14ac:dyDescent="0.35">
      <c r="G69" s="487"/>
      <c r="H69" s="487"/>
      <c r="I69" s="487"/>
      <c r="J69" s="487"/>
    </row>
    <row r="70" spans="4:10" ht="19" customHeight="1" x14ac:dyDescent="0.35">
      <c r="D70" s="538" t="s">
        <v>57</v>
      </c>
      <c r="E70" s="538"/>
      <c r="F70" s="538"/>
      <c r="G70" s="538"/>
      <c r="H70" s="538"/>
      <c r="I70" s="538"/>
      <c r="J70" s="538"/>
    </row>
    <row r="71" spans="4:10" ht="15.5" x14ac:dyDescent="0.35">
      <c r="D71" s="483"/>
      <c r="E71" s="484"/>
      <c r="F71" s="485" t="s">
        <v>55</v>
      </c>
      <c r="G71" s="486"/>
      <c r="H71" s="486"/>
      <c r="I71" s="486"/>
      <c r="J71" s="486"/>
    </row>
    <row r="72" spans="4:10" ht="14.5" customHeight="1" x14ac:dyDescent="0.35">
      <c r="D72" s="537" t="s">
        <v>56</v>
      </c>
      <c r="E72" s="514">
        <f>M38</f>
        <v>0.1410383000989397</v>
      </c>
      <c r="F72" s="507">
        <f>G72-1</f>
        <v>11.643999999999998</v>
      </c>
      <c r="G72" s="507">
        <f>H72-1</f>
        <v>12.643999999999998</v>
      </c>
      <c r="H72" s="508">
        <f>M26</f>
        <v>13.643999999999998</v>
      </c>
      <c r="I72" s="507">
        <f>H72+1</f>
        <v>14.643999999999998</v>
      </c>
      <c r="J72" s="507">
        <f>+I72+1</f>
        <v>15.643999999999998</v>
      </c>
    </row>
    <row r="73" spans="4:10" x14ac:dyDescent="0.35">
      <c r="D73" s="537"/>
      <c r="E73" s="509">
        <f>+E74-10%</f>
        <v>0.20000000000000004</v>
      </c>
      <c r="F73" s="515">
        <f t="shared" ref="F73:J77" si="9">(((F$72*$M$23)+$M$30+$M$31)/(($E73/$J$13)*$P$46))^(1/$M$21)-1</f>
        <v>0.24817917215612284</v>
      </c>
      <c r="G73" s="515">
        <f t="shared" si="9"/>
        <v>0.26500029432656214</v>
      </c>
      <c r="H73" s="516">
        <f t="shared" si="9"/>
        <v>0.28077218752850075</v>
      </c>
      <c r="I73" s="515">
        <f t="shared" si="9"/>
        <v>0.29562887023651685</v>
      </c>
      <c r="J73" s="515">
        <f t="shared" si="9"/>
        <v>0.3096796184158197</v>
      </c>
    </row>
    <row r="74" spans="4:10" x14ac:dyDescent="0.35">
      <c r="D74" s="537"/>
      <c r="E74" s="509">
        <f>+E75-10%</f>
        <v>0.30000000000000004</v>
      </c>
      <c r="F74" s="515">
        <f t="shared" si="9"/>
        <v>0.16661723514881044</v>
      </c>
      <c r="G74" s="515">
        <f t="shared" si="9"/>
        <v>0.1823391855517158</v>
      </c>
      <c r="H74" s="516">
        <f t="shared" si="9"/>
        <v>0.19708046857482886</v>
      </c>
      <c r="I74" s="515">
        <f t="shared" si="9"/>
        <v>0.21096634529104485</v>
      </c>
      <c r="J74" s="515">
        <f t="shared" si="9"/>
        <v>0.22409895105660582</v>
      </c>
    </row>
    <row r="75" spans="4:10" x14ac:dyDescent="0.35">
      <c r="D75" s="537"/>
      <c r="E75" s="517">
        <f>J13</f>
        <v>0.4</v>
      </c>
      <c r="F75" s="516">
        <f t="shared" si="9"/>
        <v>0.1120012244833597</v>
      </c>
      <c r="G75" s="516">
        <f t="shared" si="9"/>
        <v>0.12698714066268613</v>
      </c>
      <c r="H75" s="518">
        <f t="shared" si="9"/>
        <v>0.1410383000989397</v>
      </c>
      <c r="I75" s="516">
        <f t="shared" si="9"/>
        <v>0.15427409967932881</v>
      </c>
      <c r="J75" s="516">
        <f t="shared" si="9"/>
        <v>0.16679189322118249</v>
      </c>
    </row>
    <row r="76" spans="4:10" x14ac:dyDescent="0.35">
      <c r="D76" s="537"/>
      <c r="E76" s="509">
        <f>+E75+10%</f>
        <v>0.5</v>
      </c>
      <c r="F76" s="515">
        <f t="shared" si="9"/>
        <v>7.1404821987397726E-2</v>
      </c>
      <c r="G76" s="515">
        <f t="shared" si="9"/>
        <v>8.5843639592017462E-2</v>
      </c>
      <c r="H76" s="516">
        <f t="shared" si="9"/>
        <v>9.9381826100319426E-2</v>
      </c>
      <c r="I76" s="515">
        <f t="shared" si="9"/>
        <v>0.11213441951574143</v>
      </c>
      <c r="J76" s="515">
        <f t="shared" si="9"/>
        <v>0.12419521950956858</v>
      </c>
    </row>
    <row r="77" spans="4:10" x14ac:dyDescent="0.35">
      <c r="D77" s="537"/>
      <c r="E77" s="509">
        <f>+E76+10%</f>
        <v>0.6</v>
      </c>
      <c r="F77" s="515">
        <f t="shared" si="9"/>
        <v>3.9337799354502101E-2</v>
      </c>
      <c r="G77" s="515">
        <f t="shared" si="9"/>
        <v>5.3344464815116455E-2</v>
      </c>
      <c r="H77" s="516">
        <f t="shared" si="9"/>
        <v>6.6477454964151805E-2</v>
      </c>
      <c r="I77" s="515">
        <f t="shared" si="9"/>
        <v>7.8848364730883524E-2</v>
      </c>
      <c r="J77" s="515">
        <f t="shared" si="9"/>
        <v>9.0548186373264228E-2</v>
      </c>
    </row>
    <row r="78" spans="4:10" x14ac:dyDescent="0.35"/>
    <row r="79" spans="4:10" x14ac:dyDescent="0.35"/>
    <row r="80" spans="4:10" x14ac:dyDescent="0.35"/>
    <row r="81" spans="1:18" x14ac:dyDescent="0.35"/>
    <row r="82" spans="1:18" x14ac:dyDescent="0.35">
      <c r="A82" t="s">
        <v>3</v>
      </c>
      <c r="C82" s="82" t="s">
        <v>615</v>
      </c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</row>
    <row r="83" spans="1:18" x14ac:dyDescent="0.35"/>
    <row r="84" spans="1:18" ht="16" thickBot="1" x14ac:dyDescent="0.4">
      <c r="C84" s="519" t="s">
        <v>616</v>
      </c>
      <c r="D84" s="520"/>
      <c r="E84" s="520"/>
      <c r="F84" s="520"/>
      <c r="G84" s="374" t="s">
        <v>16</v>
      </c>
      <c r="H84" s="117" t="s">
        <v>17</v>
      </c>
      <c r="I84" s="117" t="s">
        <v>18</v>
      </c>
      <c r="J84" s="117" t="s">
        <v>19</v>
      </c>
      <c r="K84" s="117" t="s">
        <v>20</v>
      </c>
      <c r="L84" s="118" t="s">
        <v>21</v>
      </c>
      <c r="M84" s="118" t="s">
        <v>22</v>
      </c>
    </row>
    <row r="85" spans="1:18" ht="15.5" x14ac:dyDescent="0.35">
      <c r="C85" s="522" t="s">
        <v>617</v>
      </c>
      <c r="G85" s="48">
        <f>K46</f>
        <v>0.05</v>
      </c>
    </row>
    <row r="86" spans="1:18" ht="15.5" x14ac:dyDescent="0.35">
      <c r="C86" s="523" t="s">
        <v>618</v>
      </c>
      <c r="G86" s="68">
        <f>-J46</f>
        <v>-507.5600416736001</v>
      </c>
    </row>
    <row r="87" spans="1:18" ht="15.5" x14ac:dyDescent="0.35">
      <c r="C87" s="521" t="s">
        <v>619</v>
      </c>
      <c r="M87" s="524">
        <f>-(P46*G85)</f>
        <v>-203.02401666943999</v>
      </c>
    </row>
    <row r="88" spans="1:18" ht="15.5" x14ac:dyDescent="0.35">
      <c r="C88" s="521" t="s">
        <v>620</v>
      </c>
      <c r="M88" s="53">
        <f>G85/(1+G85)*(M32+M87)</f>
        <v>417.06835450728107</v>
      </c>
    </row>
    <row r="89" spans="1:18" ht="16" thickBot="1" x14ac:dyDescent="0.4">
      <c r="C89" s="526" t="s">
        <v>621</v>
      </c>
      <c r="D89" s="527"/>
      <c r="E89" s="527"/>
      <c r="F89" s="527"/>
      <c r="G89" s="527"/>
      <c r="H89" s="527"/>
      <c r="I89" s="527"/>
      <c r="J89" s="527"/>
      <c r="K89" s="527"/>
      <c r="L89" s="527"/>
      <c r="M89" s="528">
        <f>M32*Q44</f>
        <v>1120.1824326652934</v>
      </c>
    </row>
    <row r="90" spans="1:18" ht="15.5" x14ac:dyDescent="0.35">
      <c r="C90" s="525" t="s">
        <v>622</v>
      </c>
      <c r="G90" s="529">
        <f t="shared" ref="G90:M90" si="10">SUM(G86:G89)</f>
        <v>-507.5600416736001</v>
      </c>
      <c r="H90" s="529">
        <f t="shared" si="10"/>
        <v>0</v>
      </c>
      <c r="I90" s="529">
        <f t="shared" si="10"/>
        <v>0</v>
      </c>
      <c r="J90" s="529">
        <f t="shared" si="10"/>
        <v>0</v>
      </c>
      <c r="K90" s="529">
        <f t="shared" si="10"/>
        <v>0</v>
      </c>
      <c r="L90" s="529">
        <f t="shared" si="10"/>
        <v>0</v>
      </c>
      <c r="M90" s="529">
        <f t="shared" si="10"/>
        <v>1334.2267705031345</v>
      </c>
    </row>
    <row r="91" spans="1:18" x14ac:dyDescent="0.35"/>
    <row r="92" spans="1:18" x14ac:dyDescent="0.35">
      <c r="C92" s="532" t="s">
        <v>33</v>
      </c>
      <c r="D92" s="532"/>
      <c r="E92" s="532"/>
      <c r="F92" s="532"/>
      <c r="G92" s="532"/>
      <c r="H92" s="532"/>
      <c r="I92" s="532"/>
      <c r="J92" s="532"/>
      <c r="K92" s="532"/>
      <c r="L92" s="532"/>
      <c r="M92" s="533">
        <f>-M90/G90</f>
        <v>2.6287072680184393</v>
      </c>
    </row>
    <row r="93" spans="1:18" x14ac:dyDescent="0.35">
      <c r="C93" s="532" t="s">
        <v>34</v>
      </c>
      <c r="D93" s="532"/>
      <c r="E93" s="532"/>
      <c r="F93" s="532"/>
      <c r="G93" s="532"/>
      <c r="H93" s="532"/>
      <c r="I93" s="532"/>
      <c r="J93" s="532"/>
      <c r="K93" s="532"/>
      <c r="L93" s="532"/>
      <c r="M93" s="534">
        <f>(M90/-G90)^(1/M21)-1</f>
        <v>0.17478133457753109</v>
      </c>
    </row>
    <row r="94" spans="1:18" x14ac:dyDescent="0.35"/>
    <row r="95" spans="1:18" x14ac:dyDescent="0.35"/>
    <row r="96" spans="1:18" ht="16" thickBot="1" x14ac:dyDescent="0.4">
      <c r="C96" s="519" t="s">
        <v>623</v>
      </c>
      <c r="D96" s="520"/>
      <c r="E96" s="520"/>
      <c r="F96" s="520"/>
      <c r="G96" s="374" t="s">
        <v>16</v>
      </c>
      <c r="H96" s="117" t="s">
        <v>17</v>
      </c>
      <c r="I96" s="117" t="s">
        <v>18</v>
      </c>
      <c r="J96" s="117" t="s">
        <v>19</v>
      </c>
      <c r="K96" s="117" t="s">
        <v>20</v>
      </c>
      <c r="L96" s="118" t="s">
        <v>21</v>
      </c>
      <c r="M96" s="118" t="s">
        <v>22</v>
      </c>
    </row>
    <row r="97" spans="3:13" ht="15.5" x14ac:dyDescent="0.35">
      <c r="C97" s="522" t="s">
        <v>617</v>
      </c>
      <c r="G97" s="48"/>
    </row>
    <row r="98" spans="3:13" ht="15.5" x14ac:dyDescent="0.35">
      <c r="C98" s="523" t="s">
        <v>618</v>
      </c>
      <c r="G98" s="68">
        <f>-P45</f>
        <v>-3552.9202917151993</v>
      </c>
    </row>
    <row r="99" spans="3:13" ht="15.5" x14ac:dyDescent="0.35">
      <c r="C99" s="521" t="s">
        <v>624</v>
      </c>
      <c r="M99" s="529">
        <f>-M87</f>
        <v>203.02401666943999</v>
      </c>
    </row>
    <row r="100" spans="3:13" ht="15.5" x14ac:dyDescent="0.35">
      <c r="C100" s="521" t="s">
        <v>625</v>
      </c>
      <c r="M100" s="529">
        <f>-M88</f>
        <v>-417.06835450728107</v>
      </c>
    </row>
    <row r="101" spans="3:13" ht="16" thickBot="1" x14ac:dyDescent="0.4">
      <c r="C101" s="526" t="s">
        <v>621</v>
      </c>
      <c r="D101" s="527"/>
      <c r="E101" s="527"/>
      <c r="F101" s="527"/>
      <c r="G101" s="527"/>
      <c r="H101" s="527"/>
      <c r="I101" s="527"/>
      <c r="J101" s="527"/>
      <c r="K101" s="527"/>
      <c r="L101" s="527"/>
      <c r="M101" s="528">
        <f>M32*Q45</f>
        <v>7841.2770286570494</v>
      </c>
    </row>
    <row r="102" spans="3:13" ht="15.5" x14ac:dyDescent="0.35">
      <c r="C102" s="525" t="s">
        <v>622</v>
      </c>
      <c r="G102" s="529">
        <f t="shared" ref="G102:L102" si="11">SUM(G98:G101)</f>
        <v>-3552.9202917151993</v>
      </c>
      <c r="H102" s="529">
        <f t="shared" si="11"/>
        <v>0</v>
      </c>
      <c r="I102" s="529">
        <f t="shared" si="11"/>
        <v>0</v>
      </c>
      <c r="J102" s="529">
        <f t="shared" si="11"/>
        <v>0</v>
      </c>
      <c r="K102" s="529">
        <f t="shared" si="11"/>
        <v>0</v>
      </c>
      <c r="L102" s="529">
        <f t="shared" si="11"/>
        <v>0</v>
      </c>
      <c r="M102" s="529">
        <f>SUM(M99:M101)</f>
        <v>7627.2326908192081</v>
      </c>
    </row>
    <row r="103" spans="3:13" x14ac:dyDescent="0.35"/>
    <row r="104" spans="3:13" x14ac:dyDescent="0.35">
      <c r="C104" s="532" t="s">
        <v>33</v>
      </c>
      <c r="D104" s="532"/>
      <c r="E104" s="532"/>
      <c r="F104" s="532"/>
      <c r="G104" s="532"/>
      <c r="H104" s="532"/>
      <c r="I104" s="532"/>
      <c r="J104" s="532"/>
      <c r="K104" s="532"/>
      <c r="L104" s="532"/>
      <c r="M104" s="533">
        <f>-M102/G102</f>
        <v>2.1467502968205077</v>
      </c>
    </row>
    <row r="105" spans="3:13" x14ac:dyDescent="0.35">
      <c r="C105" s="532" t="s">
        <v>34</v>
      </c>
      <c r="D105" s="532"/>
      <c r="E105" s="532"/>
      <c r="F105" s="532"/>
      <c r="G105" s="532"/>
      <c r="H105" s="532"/>
      <c r="I105" s="532"/>
      <c r="J105" s="532"/>
      <c r="K105" s="532"/>
      <c r="L105" s="532"/>
      <c r="M105" s="534">
        <f>(M102/-G102)^(1/M21)-1</f>
        <v>0.1357870743038847</v>
      </c>
    </row>
    <row r="106" spans="3:13" x14ac:dyDescent="0.35"/>
    <row r="107" spans="3:13" x14ac:dyDescent="0.35"/>
    <row r="108" spans="3:13" x14ac:dyDescent="0.35"/>
    <row r="109" spans="3:13" x14ac:dyDescent="0.35"/>
  </sheetData>
  <mergeCells count="4">
    <mergeCell ref="D60:D65"/>
    <mergeCell ref="D72:D77"/>
    <mergeCell ref="D58:J58"/>
    <mergeCell ref="D70:J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48576"/>
  <sheetViews>
    <sheetView showGridLines="0" zoomScale="84" zoomScaleNormal="84" workbookViewId="0">
      <pane xSplit="6" ySplit="6" topLeftCell="AD27" activePane="bottomRight" state="frozen"/>
      <selection pane="topRight" activeCell="F1" sqref="F1"/>
      <selection pane="bottomLeft" activeCell="A10" sqref="A10"/>
      <selection pane="bottomRight" activeCell="P43" sqref="P43"/>
    </sheetView>
  </sheetViews>
  <sheetFormatPr defaultColWidth="0" defaultRowHeight="15" customHeight="1" zeroHeight="1" outlineLevelRow="1" outlineLevelCol="1" x14ac:dyDescent="0.35"/>
  <cols>
    <col min="1" max="2" width="4.1796875" customWidth="1"/>
    <col min="3" max="4" width="9.1796875" customWidth="1"/>
    <col min="5" max="5" width="12.36328125" customWidth="1"/>
    <col min="6" max="6" width="9.1796875" customWidth="1"/>
    <col min="7" max="7" width="8" customWidth="1" outlineLevel="1"/>
    <col min="8" max="19" width="9.1796875" customWidth="1" outlineLevel="1"/>
    <col min="20" max="20" width="9.1796875" customWidth="1"/>
    <col min="21" max="33" width="9.1796875" customWidth="1" outlineLevel="1"/>
    <col min="34" max="34" width="9.1796875" customWidth="1"/>
    <col min="35" max="40" width="9.1796875" customWidth="1" outlineLevel="1"/>
    <col min="41" max="41" width="10.36328125" customWidth="1" outlineLevel="1"/>
    <col min="42" max="47" width="9.1796875" customWidth="1" outlineLevel="1"/>
    <col min="48" max="51" width="9.1796875" customWidth="1"/>
  </cols>
  <sheetData>
    <row r="1" spans="1:47" ht="15" customHeight="1" x14ac:dyDescent="0.35"/>
    <row r="2" spans="1:47" s="2" customFormat="1" ht="12" x14ac:dyDescent="0.3">
      <c r="A2" s="1"/>
      <c r="B2" s="1"/>
      <c r="D2" s="1"/>
      <c r="E2" s="1"/>
      <c r="F2" s="1"/>
      <c r="G2" s="1"/>
      <c r="H2" s="1"/>
      <c r="I2" s="1"/>
      <c r="J2" s="1"/>
      <c r="K2" s="13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s="4" customFormat="1" ht="15" customHeight="1" x14ac:dyDescent="0.3">
      <c r="A3" s="3"/>
      <c r="B3" s="3"/>
      <c r="C3" s="205" t="s">
        <v>5</v>
      </c>
      <c r="D3" s="206"/>
      <c r="E3" s="206"/>
      <c r="F3" s="206"/>
      <c r="G3" s="545" t="s">
        <v>58</v>
      </c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6"/>
      <c r="T3" s="3"/>
      <c r="U3" s="539" t="s">
        <v>59</v>
      </c>
      <c r="V3" s="540"/>
      <c r="W3" s="540"/>
      <c r="X3" s="540"/>
      <c r="Y3" s="540"/>
      <c r="Z3" s="540"/>
      <c r="AA3" s="540"/>
      <c r="AB3" s="540"/>
      <c r="AC3" s="540"/>
      <c r="AD3" s="540"/>
      <c r="AE3" s="540"/>
      <c r="AF3" s="540"/>
      <c r="AG3" s="541"/>
      <c r="AH3" s="3"/>
      <c r="AI3" s="542" t="s">
        <v>60</v>
      </c>
      <c r="AJ3" s="543"/>
      <c r="AK3" s="543"/>
      <c r="AL3" s="543"/>
      <c r="AM3" s="543"/>
      <c r="AN3" s="543"/>
      <c r="AO3" s="543"/>
      <c r="AP3" s="543"/>
      <c r="AQ3" s="543"/>
      <c r="AR3" s="543"/>
      <c r="AS3" s="543"/>
      <c r="AT3" s="543"/>
      <c r="AU3" s="544"/>
    </row>
    <row r="4" spans="1:47" s="4" customFormat="1" ht="4.5" customHeight="1" x14ac:dyDescent="0.3">
      <c r="A4" s="3"/>
      <c r="B4" s="3"/>
      <c r="C4" s="174"/>
      <c r="D4" s="254"/>
      <c r="E4" s="254"/>
      <c r="F4" s="254"/>
      <c r="G4" s="254"/>
      <c r="H4" s="254"/>
      <c r="I4" s="254"/>
      <c r="J4" s="255"/>
      <c r="K4" s="255"/>
      <c r="L4" s="255"/>
      <c r="M4" s="255"/>
      <c r="N4" s="255"/>
      <c r="O4" s="255"/>
      <c r="P4" s="255"/>
      <c r="Q4" s="255"/>
      <c r="R4" s="255"/>
      <c r="S4" s="175"/>
      <c r="T4" s="3"/>
      <c r="U4" s="275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76"/>
      <c r="AH4" s="3"/>
      <c r="AI4" s="275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76"/>
    </row>
    <row r="5" spans="1:47" s="4" customFormat="1" ht="12" x14ac:dyDescent="0.3">
      <c r="A5" s="3"/>
      <c r="B5" s="3"/>
      <c r="C5" s="176"/>
      <c r="D5" s="256"/>
      <c r="E5" s="256"/>
      <c r="F5" s="256"/>
      <c r="G5" s="257" t="s">
        <v>61</v>
      </c>
      <c r="H5" s="257" t="s">
        <v>61</v>
      </c>
      <c r="I5" s="257" t="s">
        <v>61</v>
      </c>
      <c r="J5" s="257" t="s">
        <v>61</v>
      </c>
      <c r="K5" s="257" t="s">
        <v>61</v>
      </c>
      <c r="L5" s="257" t="s">
        <v>61</v>
      </c>
      <c r="M5" s="257" t="s">
        <v>62</v>
      </c>
      <c r="N5" s="257" t="s">
        <v>62</v>
      </c>
      <c r="O5" s="257" t="s">
        <v>62</v>
      </c>
      <c r="P5" s="257" t="s">
        <v>62</v>
      </c>
      <c r="Q5" s="257" t="s">
        <v>62</v>
      </c>
      <c r="R5" s="257" t="s">
        <v>62</v>
      </c>
      <c r="S5" s="177" t="s">
        <v>62</v>
      </c>
      <c r="T5" s="3"/>
      <c r="U5" s="277" t="s">
        <v>61</v>
      </c>
      <c r="V5" s="278" t="s">
        <v>61</v>
      </c>
      <c r="W5" s="278" t="s">
        <v>61</v>
      </c>
      <c r="X5" s="278" t="s">
        <v>61</v>
      </c>
      <c r="Y5" s="278" t="s">
        <v>61</v>
      </c>
      <c r="Z5" s="278" t="s">
        <v>61</v>
      </c>
      <c r="AA5" s="278" t="s">
        <v>62</v>
      </c>
      <c r="AB5" s="278" t="s">
        <v>62</v>
      </c>
      <c r="AC5" s="278" t="s">
        <v>62</v>
      </c>
      <c r="AD5" s="278" t="s">
        <v>62</v>
      </c>
      <c r="AE5" s="278" t="s">
        <v>62</v>
      </c>
      <c r="AF5" s="278" t="s">
        <v>62</v>
      </c>
      <c r="AG5" s="279" t="s">
        <v>62</v>
      </c>
      <c r="AH5" s="3"/>
      <c r="AI5" s="277" t="s">
        <v>61</v>
      </c>
      <c r="AJ5" s="278" t="s">
        <v>61</v>
      </c>
      <c r="AK5" s="278" t="s">
        <v>61</v>
      </c>
      <c r="AL5" s="278" t="s">
        <v>61</v>
      </c>
      <c r="AM5" s="278" t="s">
        <v>61</v>
      </c>
      <c r="AN5" s="278" t="s">
        <v>61</v>
      </c>
      <c r="AO5" s="278" t="s">
        <v>62</v>
      </c>
      <c r="AP5" s="278" t="s">
        <v>62</v>
      </c>
      <c r="AQ5" s="278" t="s">
        <v>62</v>
      </c>
      <c r="AR5" s="278" t="s">
        <v>62</v>
      </c>
      <c r="AS5" s="278" t="s">
        <v>62</v>
      </c>
      <c r="AT5" s="278" t="s">
        <v>62</v>
      </c>
      <c r="AU5" s="279" t="s">
        <v>62</v>
      </c>
    </row>
    <row r="6" spans="1:47" s="4" customFormat="1" ht="12" x14ac:dyDescent="0.3">
      <c r="A6" s="3"/>
      <c r="B6" s="3"/>
      <c r="C6" s="178" t="s">
        <v>63</v>
      </c>
      <c r="D6" s="258"/>
      <c r="E6" s="258"/>
      <c r="F6" s="258"/>
      <c r="G6" s="259" t="s">
        <v>64</v>
      </c>
      <c r="H6" s="259" t="s">
        <v>65</v>
      </c>
      <c r="I6" s="259" t="s">
        <v>66</v>
      </c>
      <c r="J6" s="259" t="s">
        <v>67</v>
      </c>
      <c r="K6" s="259" t="s">
        <v>68</v>
      </c>
      <c r="L6" s="259" t="s">
        <v>15</v>
      </c>
      <c r="M6" s="259" t="s">
        <v>16</v>
      </c>
      <c r="N6" s="259" t="s">
        <v>17</v>
      </c>
      <c r="O6" s="259" t="s">
        <v>18</v>
      </c>
      <c r="P6" s="259" t="s">
        <v>19</v>
      </c>
      <c r="Q6" s="259" t="s">
        <v>20</v>
      </c>
      <c r="R6" s="259" t="s">
        <v>21</v>
      </c>
      <c r="S6" s="179" t="s">
        <v>22</v>
      </c>
      <c r="T6" s="3"/>
      <c r="U6" s="280" t="s">
        <v>64</v>
      </c>
      <c r="V6" s="281" t="s">
        <v>65</v>
      </c>
      <c r="W6" s="281" t="s">
        <v>66</v>
      </c>
      <c r="X6" s="281" t="s">
        <v>67</v>
      </c>
      <c r="Y6" s="281" t="s">
        <v>68</v>
      </c>
      <c r="Z6" s="281" t="s">
        <v>15</v>
      </c>
      <c r="AA6" s="281" t="s">
        <v>16</v>
      </c>
      <c r="AB6" s="281" t="s">
        <v>17</v>
      </c>
      <c r="AC6" s="281" t="s">
        <v>18</v>
      </c>
      <c r="AD6" s="281" t="s">
        <v>19</v>
      </c>
      <c r="AE6" s="281" t="s">
        <v>20</v>
      </c>
      <c r="AF6" s="281" t="s">
        <v>21</v>
      </c>
      <c r="AG6" s="282" t="s">
        <v>22</v>
      </c>
      <c r="AH6" s="3"/>
      <c r="AI6" s="280" t="s">
        <v>64</v>
      </c>
      <c r="AJ6" s="281" t="s">
        <v>65</v>
      </c>
      <c r="AK6" s="281" t="s">
        <v>66</v>
      </c>
      <c r="AL6" s="281" t="s">
        <v>67</v>
      </c>
      <c r="AM6" s="281" t="s">
        <v>68</v>
      </c>
      <c r="AN6" s="281" t="s">
        <v>15</v>
      </c>
      <c r="AO6" s="281" t="s">
        <v>16</v>
      </c>
      <c r="AP6" s="281" t="s">
        <v>17</v>
      </c>
      <c r="AQ6" s="281" t="s">
        <v>18</v>
      </c>
      <c r="AR6" s="281" t="s">
        <v>19</v>
      </c>
      <c r="AS6" s="281" t="s">
        <v>20</v>
      </c>
      <c r="AT6" s="281" t="s">
        <v>21</v>
      </c>
      <c r="AU6" s="282" t="s">
        <v>22</v>
      </c>
    </row>
    <row r="7" spans="1:47" s="7" customFormat="1" ht="4.5" customHeight="1" x14ac:dyDescent="0.3">
      <c r="A7" s="5"/>
      <c r="B7" s="5"/>
      <c r="C7" s="180"/>
      <c r="D7" s="260"/>
      <c r="E7" s="260"/>
      <c r="F7" s="260"/>
      <c r="G7" s="260"/>
      <c r="H7" s="260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181"/>
      <c r="T7" s="5"/>
      <c r="U7" s="283"/>
      <c r="V7" s="5"/>
      <c r="W7" s="5"/>
      <c r="X7" s="5"/>
      <c r="Y7" s="5"/>
      <c r="Z7" s="5"/>
      <c r="AA7" s="284"/>
      <c r="AB7" s="284"/>
      <c r="AC7" s="284"/>
      <c r="AD7" s="284"/>
      <c r="AE7" s="284"/>
      <c r="AF7" s="284"/>
      <c r="AG7" s="285"/>
      <c r="AH7" s="5"/>
      <c r="AI7" s="283"/>
      <c r="AJ7" s="5"/>
      <c r="AK7" s="5"/>
      <c r="AL7" s="5"/>
      <c r="AM7" s="5"/>
      <c r="AN7" s="5"/>
      <c r="AO7" s="284"/>
      <c r="AP7" s="284"/>
      <c r="AQ7" s="284"/>
      <c r="AR7" s="284"/>
      <c r="AS7" s="284"/>
      <c r="AT7" s="284"/>
      <c r="AU7" s="285"/>
    </row>
    <row r="8" spans="1:47" s="10" customFormat="1" ht="12" x14ac:dyDescent="0.3">
      <c r="A8" s="8" t="s">
        <v>3</v>
      </c>
      <c r="B8" s="8"/>
      <c r="C8" s="182" t="s">
        <v>69</v>
      </c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183"/>
      <c r="T8" s="9"/>
      <c r="U8" s="286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8"/>
      <c r="AH8" s="9"/>
      <c r="AI8" s="306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8"/>
    </row>
    <row r="9" spans="1:47" s="11" customFormat="1" ht="4.5" customHeight="1" outlineLevel="1" x14ac:dyDescent="0.3">
      <c r="A9" s="6"/>
      <c r="B9" s="6"/>
      <c r="C9" s="184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185"/>
      <c r="T9" s="6"/>
      <c r="U9" s="289"/>
      <c r="V9" s="6"/>
      <c r="W9" s="6"/>
      <c r="X9" s="6"/>
      <c r="Y9" s="6"/>
      <c r="Z9" s="6"/>
      <c r="AA9" s="290"/>
      <c r="AB9" s="290"/>
      <c r="AC9" s="290"/>
      <c r="AD9" s="290"/>
      <c r="AE9" s="290"/>
      <c r="AF9" s="290"/>
      <c r="AG9" s="291"/>
      <c r="AH9" s="6"/>
      <c r="AI9" s="289"/>
      <c r="AJ9" s="6"/>
      <c r="AK9" s="6"/>
      <c r="AL9" s="6"/>
      <c r="AM9" s="6"/>
      <c r="AN9" s="6"/>
      <c r="AO9" s="290"/>
      <c r="AP9" s="290"/>
      <c r="AQ9" s="290"/>
      <c r="AR9" s="290"/>
      <c r="AS9" s="290"/>
      <c r="AT9" s="290"/>
      <c r="AU9" s="291"/>
    </row>
    <row r="10" spans="1:47" s="10" customFormat="1" ht="12" outlineLevel="1" x14ac:dyDescent="0.3">
      <c r="A10" s="9"/>
      <c r="B10" s="9"/>
      <c r="C10" s="186" t="s">
        <v>70</v>
      </c>
      <c r="D10" s="264"/>
      <c r="E10" s="264"/>
      <c r="F10" s="264"/>
      <c r="G10" s="264">
        <f>'Historical-IS'!B5</f>
        <v>1189.9000000000001</v>
      </c>
      <c r="H10" s="264">
        <f>'Historical-IS'!C5</f>
        <v>1280.8599999999999</v>
      </c>
      <c r="I10" s="264">
        <f>'Historical-IS'!D5</f>
        <v>1459.32</v>
      </c>
      <c r="J10" s="264">
        <f>'Historical-IS'!E5</f>
        <v>1335.45</v>
      </c>
      <c r="K10" s="264">
        <f>'Historical-IS'!F5</f>
        <v>1646.79</v>
      </c>
      <c r="L10" s="264">
        <f>'Historical-IS'!G5</f>
        <v>1902.84</v>
      </c>
      <c r="M10" s="265">
        <f>L10*(1+M11)</f>
        <v>2100.5484504098176</v>
      </c>
      <c r="N10" s="265">
        <f>M10*(1+N11)</f>
        <v>2318.7991594243795</v>
      </c>
      <c r="O10" s="265">
        <f t="shared" ref="O10:Q10" si="0">N10*(1+O11)</f>
        <v>2559.7265041414244</v>
      </c>
      <c r="P10" s="265">
        <f t="shared" si="0"/>
        <v>2825.6866272241537</v>
      </c>
      <c r="Q10" s="265">
        <f t="shared" si="0"/>
        <v>3119.2804787367513</v>
      </c>
      <c r="R10" s="265">
        <f t="shared" ref="R10" si="1">Q10*(1+R11)</f>
        <v>3443.3792520674765</v>
      </c>
      <c r="S10" s="187">
        <f t="shared" ref="S10" si="2">R10*(1+S11)</f>
        <v>3801.1524626892724</v>
      </c>
      <c r="T10" s="9"/>
      <c r="U10" s="292">
        <f>G10</f>
        <v>1189.9000000000001</v>
      </c>
      <c r="V10" s="9">
        <f>H10</f>
        <v>1280.8599999999999</v>
      </c>
      <c r="W10" s="9">
        <f t="shared" ref="V10:Z25" si="3">I10</f>
        <v>1459.32</v>
      </c>
      <c r="X10" s="9">
        <f t="shared" si="3"/>
        <v>1335.45</v>
      </c>
      <c r="Y10" s="9">
        <f t="shared" si="3"/>
        <v>1646.79</v>
      </c>
      <c r="Z10" s="9">
        <f t="shared" si="3"/>
        <v>1902.84</v>
      </c>
      <c r="AA10" s="412">
        <f>Z10*(1+AA11)</f>
        <v>2100.5484504098176</v>
      </c>
      <c r="AB10" s="412">
        <f>AA10*(1+AB11)</f>
        <v>2362.4493012272919</v>
      </c>
      <c r="AC10" s="412">
        <f t="shared" ref="AC10:AG10" si="4">AB10*(1+AC11)</f>
        <v>2657.0045074563418</v>
      </c>
      <c r="AD10" s="412">
        <f t="shared" si="4"/>
        <v>2988.285483618979</v>
      </c>
      <c r="AE10" s="412">
        <f t="shared" si="4"/>
        <v>3360.8712768638934</v>
      </c>
      <c r="AF10" s="412">
        <f t="shared" si="4"/>
        <v>3779.9118596826015</v>
      </c>
      <c r="AG10" s="413">
        <f t="shared" si="4"/>
        <v>4251.1993140961349</v>
      </c>
      <c r="AH10" s="9"/>
      <c r="AI10" s="292">
        <f>U10</f>
        <v>1189.9000000000001</v>
      </c>
      <c r="AJ10" s="9">
        <f t="shared" ref="AJ10:AJ34" si="5">V10</f>
        <v>1280.8599999999999</v>
      </c>
      <c r="AK10" s="9">
        <f t="shared" ref="AK10:AK34" si="6">W10</f>
        <v>1459.32</v>
      </c>
      <c r="AL10" s="9">
        <f t="shared" ref="AL10:AL34" si="7">X10</f>
        <v>1335.45</v>
      </c>
      <c r="AM10" s="9">
        <f t="shared" ref="AM10:AM34" si="8">Y10</f>
        <v>1646.79</v>
      </c>
      <c r="AN10" s="9">
        <f t="shared" ref="AN10:AN34" si="9">Z10</f>
        <v>1902.84</v>
      </c>
      <c r="AO10" s="458">
        <f t="shared" ref="AO10:AU10" si="10">AN10*(1+AO11)</f>
        <v>2036.0388</v>
      </c>
      <c r="AP10" s="458">
        <f t="shared" si="10"/>
        <v>2150.0569728</v>
      </c>
      <c r="AQ10" s="458">
        <f t="shared" si="10"/>
        <v>2270.4601632768004</v>
      </c>
      <c r="AR10" s="458">
        <f t="shared" si="10"/>
        <v>2397.6059324203011</v>
      </c>
      <c r="AS10" s="458">
        <f t="shared" si="10"/>
        <v>2531.8718646358379</v>
      </c>
      <c r="AT10" s="458">
        <f t="shared" si="10"/>
        <v>2673.656689055445</v>
      </c>
      <c r="AU10" s="459">
        <f t="shared" si="10"/>
        <v>2823.38146364255</v>
      </c>
    </row>
    <row r="11" spans="1:47" s="13" customFormat="1" ht="11.5" outlineLevel="1" x14ac:dyDescent="0.25">
      <c r="A11" s="12"/>
      <c r="B11" s="12"/>
      <c r="C11" s="188" t="s">
        <v>71</v>
      </c>
      <c r="D11" s="266"/>
      <c r="E11" s="266"/>
      <c r="F11" s="266"/>
      <c r="G11" s="266"/>
      <c r="H11" s="267">
        <f>IFERROR(H10/G10-1,0)</f>
        <v>7.6443398604924662E-2</v>
      </c>
      <c r="I11" s="267">
        <f>IFERROR(I10/H10-1,0)</f>
        <v>0.13932826382274421</v>
      </c>
      <c r="J11" s="267">
        <f t="shared" ref="J11:L11" si="11">IFERROR(J10/I10-1,0)</f>
        <v>-8.488199983553979E-2</v>
      </c>
      <c r="K11" s="267">
        <f t="shared" si="11"/>
        <v>0.23313489834887102</v>
      </c>
      <c r="L11" s="267">
        <f t="shared" si="11"/>
        <v>0.15548430583134465</v>
      </c>
      <c r="M11" s="268">
        <f>AVERAGE(H11:L11)</f>
        <v>0.10390177335446896</v>
      </c>
      <c r="N11" s="268">
        <f>M11</f>
        <v>0.10390177335446896</v>
      </c>
      <c r="O11" s="268">
        <f t="shared" ref="O11:Q11" si="12">N11</f>
        <v>0.10390177335446896</v>
      </c>
      <c r="P11" s="268">
        <f t="shared" si="12"/>
        <v>0.10390177335446896</v>
      </c>
      <c r="Q11" s="268">
        <f t="shared" si="12"/>
        <v>0.10390177335446896</v>
      </c>
      <c r="R11" s="268">
        <f t="shared" ref="R11" si="13">Q11</f>
        <v>0.10390177335446896</v>
      </c>
      <c r="S11" s="189">
        <f t="shared" ref="S11" si="14">R11</f>
        <v>0.10390177335446896</v>
      </c>
      <c r="T11" s="12"/>
      <c r="U11" s="293">
        <f t="shared" ref="U11:U34" si="15">G11</f>
        <v>0</v>
      </c>
      <c r="V11" s="12">
        <f t="shared" si="3"/>
        <v>7.6443398604924662E-2</v>
      </c>
      <c r="W11" s="12">
        <f t="shared" si="3"/>
        <v>0.13932826382274421</v>
      </c>
      <c r="X11" s="12">
        <f t="shared" si="3"/>
        <v>-8.488199983553979E-2</v>
      </c>
      <c r="Y11" s="12">
        <f t="shared" si="3"/>
        <v>0.23313489834887102</v>
      </c>
      <c r="Z11" s="12">
        <f t="shared" si="3"/>
        <v>0.15548430583134465</v>
      </c>
      <c r="AA11" s="414">
        <f>AVERAGE(V11:Z11)</f>
        <v>0.10390177335446896</v>
      </c>
      <c r="AB11" s="414">
        <f>AVERAGE(V11:Z11)*1.2</f>
        <v>0.12468212802536274</v>
      </c>
      <c r="AC11" s="414">
        <f>$AB$11</f>
        <v>0.12468212802536274</v>
      </c>
      <c r="AD11" s="414">
        <f t="shared" ref="AD11:AG11" si="16">$AB$11</f>
        <v>0.12468212802536274</v>
      </c>
      <c r="AE11" s="414">
        <f t="shared" si="16"/>
        <v>0.12468212802536274</v>
      </c>
      <c r="AF11" s="414">
        <f t="shared" si="16"/>
        <v>0.12468212802536274</v>
      </c>
      <c r="AG11" s="415">
        <f t="shared" si="16"/>
        <v>0.12468212802536274</v>
      </c>
      <c r="AH11" s="12"/>
      <c r="AI11" s="293">
        <f t="shared" ref="AI11:AI34" si="17">U11</f>
        <v>0</v>
      </c>
      <c r="AJ11" s="12">
        <f t="shared" si="5"/>
        <v>7.6443398604924662E-2</v>
      </c>
      <c r="AK11" s="12">
        <f t="shared" si="6"/>
        <v>0.13932826382274421</v>
      </c>
      <c r="AL11" s="12">
        <f t="shared" si="7"/>
        <v>-8.488199983553979E-2</v>
      </c>
      <c r="AM11" s="12">
        <f t="shared" si="8"/>
        <v>0.23313489834887102</v>
      </c>
      <c r="AN11" s="12">
        <f t="shared" si="9"/>
        <v>0.15548430583134465</v>
      </c>
      <c r="AO11" s="460">
        <v>7.0000000000000007E-2</v>
      </c>
      <c r="AP11" s="460">
        <f t="shared" ref="AP11:AU11" si="18">7%*0.8</f>
        <v>5.6000000000000008E-2</v>
      </c>
      <c r="AQ11" s="460">
        <f t="shared" si="18"/>
        <v>5.6000000000000008E-2</v>
      </c>
      <c r="AR11" s="460">
        <f t="shared" si="18"/>
        <v>5.6000000000000008E-2</v>
      </c>
      <c r="AS11" s="460">
        <f t="shared" si="18"/>
        <v>5.6000000000000008E-2</v>
      </c>
      <c r="AT11" s="460">
        <f t="shared" si="18"/>
        <v>5.6000000000000008E-2</v>
      </c>
      <c r="AU11" s="461">
        <f t="shared" si="18"/>
        <v>5.6000000000000008E-2</v>
      </c>
    </row>
    <row r="12" spans="1:47" s="13" customFormat="1" ht="4.5" customHeight="1" outlineLevel="1" x14ac:dyDescent="0.25">
      <c r="A12" s="12"/>
      <c r="B12" s="12"/>
      <c r="C12" s="188"/>
      <c r="D12" s="266"/>
      <c r="E12" s="266"/>
      <c r="F12" s="266"/>
      <c r="G12" s="266"/>
      <c r="H12" s="266"/>
      <c r="I12" s="267"/>
      <c r="J12" s="267"/>
      <c r="K12" s="267"/>
      <c r="L12" s="267"/>
      <c r="M12" s="268"/>
      <c r="N12" s="268"/>
      <c r="O12" s="268"/>
      <c r="P12" s="268"/>
      <c r="Q12" s="268"/>
      <c r="R12" s="268"/>
      <c r="S12" s="189"/>
      <c r="T12" s="12"/>
      <c r="U12" s="293">
        <f t="shared" si="15"/>
        <v>0</v>
      </c>
      <c r="V12" s="12">
        <f t="shared" si="3"/>
        <v>0</v>
      </c>
      <c r="W12" s="12">
        <f t="shared" si="3"/>
        <v>0</v>
      </c>
      <c r="X12" s="12">
        <f t="shared" si="3"/>
        <v>0</v>
      </c>
      <c r="Y12" s="12">
        <f t="shared" si="3"/>
        <v>0</v>
      </c>
      <c r="Z12" s="12">
        <f t="shared" si="3"/>
        <v>0</v>
      </c>
      <c r="AA12" s="414"/>
      <c r="AB12" s="414"/>
      <c r="AC12" s="414"/>
      <c r="AD12" s="414"/>
      <c r="AE12" s="414"/>
      <c r="AF12" s="414"/>
      <c r="AG12" s="415"/>
      <c r="AH12" s="12"/>
      <c r="AI12" s="293">
        <f t="shared" si="17"/>
        <v>0</v>
      </c>
      <c r="AJ12" s="12">
        <f t="shared" si="5"/>
        <v>0</v>
      </c>
      <c r="AK12" s="12">
        <f t="shared" si="6"/>
        <v>0</v>
      </c>
      <c r="AL12" s="12">
        <f t="shared" si="7"/>
        <v>0</v>
      </c>
      <c r="AM12" s="12">
        <f t="shared" si="8"/>
        <v>0</v>
      </c>
      <c r="AN12" s="12">
        <f t="shared" si="9"/>
        <v>0</v>
      </c>
      <c r="AO12" s="460"/>
      <c r="AP12" s="460"/>
      <c r="AQ12" s="460"/>
      <c r="AR12" s="460"/>
      <c r="AS12" s="460"/>
      <c r="AT12" s="460"/>
      <c r="AU12" s="461"/>
    </row>
    <row r="13" spans="1:47" s="4" customFormat="1" ht="12" outlineLevel="1" x14ac:dyDescent="0.3">
      <c r="A13" s="3"/>
      <c r="B13" s="3"/>
      <c r="C13" s="190" t="s">
        <v>72</v>
      </c>
      <c r="D13" s="255"/>
      <c r="E13" s="255"/>
      <c r="F13" s="255"/>
      <c r="G13" s="269">
        <f>-'Historical-IS'!B8</f>
        <v>-533.16</v>
      </c>
      <c r="H13" s="269">
        <f>-'Historical-IS'!C8</f>
        <v>-570.47</v>
      </c>
      <c r="I13" s="269">
        <f>-'Historical-IS'!D8</f>
        <v>-627.44000000000005</v>
      </c>
      <c r="J13" s="269">
        <f>-'Historical-IS'!E8</f>
        <v>-589.92999999999995</v>
      </c>
      <c r="K13" s="269">
        <f>-'Historical-IS'!F8</f>
        <v>-679.57</v>
      </c>
      <c r="L13" s="269">
        <f>-'Historical-IS'!G8</f>
        <v>-775.24</v>
      </c>
      <c r="M13" s="270">
        <f>(1-M15)*(-M10)</f>
        <v>-897.8398839900583</v>
      </c>
      <c r="N13" s="270">
        <f t="shared" ref="N13:Q13" si="19">(1-N15)*(-N10)</f>
        <v>-991.12704012499603</v>
      </c>
      <c r="O13" s="270">
        <f t="shared" si="19"/>
        <v>-1094.106897213549</v>
      </c>
      <c r="P13" s="270">
        <f t="shared" si="19"/>
        <v>-1207.7865440733924</v>
      </c>
      <c r="Q13" s="270">
        <f t="shared" si="19"/>
        <v>-1333.2777078362833</v>
      </c>
      <c r="R13" s="270">
        <f t="shared" ref="R13:S13" si="20">(1-R15)*(-R10)</f>
        <v>-1471.8076260544544</v>
      </c>
      <c r="S13" s="191">
        <f t="shared" si="20"/>
        <v>-1624.7310484381435</v>
      </c>
      <c r="T13" s="3"/>
      <c r="U13" s="294">
        <f t="shared" si="15"/>
        <v>-533.16</v>
      </c>
      <c r="V13" s="295">
        <f t="shared" si="3"/>
        <v>-570.47</v>
      </c>
      <c r="W13" s="295">
        <f t="shared" si="3"/>
        <v>-627.44000000000005</v>
      </c>
      <c r="X13" s="295">
        <f t="shared" si="3"/>
        <v>-589.92999999999995</v>
      </c>
      <c r="Y13" s="295">
        <f t="shared" si="3"/>
        <v>-679.57</v>
      </c>
      <c r="Z13" s="295">
        <f t="shared" si="3"/>
        <v>-775.24</v>
      </c>
      <c r="AA13" s="416">
        <f>(1-AA15)*(-AA10)</f>
        <v>-897.8398839900583</v>
      </c>
      <c r="AB13" s="416">
        <f t="shared" ref="AB13:AG13" si="21">(1-AB15)*(-AB10)</f>
        <v>-1001.3036202214573</v>
      </c>
      <c r="AC13" s="416">
        <f t="shared" si="21"/>
        <v>-1122.9001720816534</v>
      </c>
      <c r="AD13" s="416">
        <f t="shared" si="21"/>
        <v>-1251.4741380827593</v>
      </c>
      <c r="AE13" s="416">
        <f t="shared" si="21"/>
        <v>-1411.6309864020254</v>
      </c>
      <c r="AF13" s="416">
        <f t="shared" si="21"/>
        <v>-1597.1670204504458</v>
      </c>
      <c r="AG13" s="417">
        <f t="shared" si="21"/>
        <v>-1792.1472238147744</v>
      </c>
      <c r="AH13" s="3"/>
      <c r="AI13" s="294">
        <f t="shared" si="17"/>
        <v>-533.16</v>
      </c>
      <c r="AJ13" s="295">
        <f t="shared" si="5"/>
        <v>-570.47</v>
      </c>
      <c r="AK13" s="295">
        <f t="shared" si="6"/>
        <v>-627.44000000000005</v>
      </c>
      <c r="AL13" s="295">
        <f t="shared" si="7"/>
        <v>-589.92999999999995</v>
      </c>
      <c r="AM13" s="295">
        <f t="shared" si="8"/>
        <v>-679.57</v>
      </c>
      <c r="AN13" s="295">
        <f t="shared" si="9"/>
        <v>-775.24</v>
      </c>
      <c r="AO13" s="462">
        <f>(1-AO15)*(-AO10)</f>
        <v>-870.26644857185124</v>
      </c>
      <c r="AP13" s="462">
        <f t="shared" ref="AP13:AU13" si="22">(1-AP15)*(-AP10)</f>
        <v>-911.28297628593214</v>
      </c>
      <c r="AQ13" s="462">
        <f t="shared" si="22"/>
        <v>-959.53924838795172</v>
      </c>
      <c r="AR13" s="462">
        <f t="shared" si="22"/>
        <v>-1004.1014602473606</v>
      </c>
      <c r="AS13" s="462">
        <f t="shared" si="22"/>
        <v>-1063.4351878702328</v>
      </c>
      <c r="AT13" s="462">
        <f t="shared" si="22"/>
        <v>-1129.729064138724</v>
      </c>
      <c r="AU13" s="463">
        <f t="shared" si="22"/>
        <v>-1190.2324210157387</v>
      </c>
    </row>
    <row r="14" spans="1:47" s="4" customFormat="1" ht="12" outlineLevel="1" x14ac:dyDescent="0.3">
      <c r="A14" s="3"/>
      <c r="B14" s="3"/>
      <c r="C14" s="192" t="s">
        <v>73</v>
      </c>
      <c r="D14" s="173"/>
      <c r="E14" s="173"/>
      <c r="F14" s="173"/>
      <c r="G14" s="172">
        <f t="shared" ref="G14" si="23">G10+G13</f>
        <v>656.74000000000012</v>
      </c>
      <c r="H14" s="172">
        <f t="shared" ref="H14:L14" si="24">H10+H13</f>
        <v>710.38999999999987</v>
      </c>
      <c r="I14" s="172">
        <f t="shared" si="24"/>
        <v>831.87999999999988</v>
      </c>
      <c r="J14" s="172">
        <f t="shared" si="24"/>
        <v>745.5200000000001</v>
      </c>
      <c r="K14" s="172">
        <f t="shared" si="24"/>
        <v>967.21999999999991</v>
      </c>
      <c r="L14" s="172">
        <f t="shared" si="24"/>
        <v>1127.5999999999999</v>
      </c>
      <c r="M14" s="171">
        <f t="shared" ref="M14:Q14" si="25">M10+M13</f>
        <v>1202.7085664197593</v>
      </c>
      <c r="N14" s="171">
        <f t="shared" si="25"/>
        <v>1327.6721192993834</v>
      </c>
      <c r="O14" s="171">
        <f t="shared" si="25"/>
        <v>1465.6196069278753</v>
      </c>
      <c r="P14" s="171">
        <f t="shared" si="25"/>
        <v>1617.9000831507612</v>
      </c>
      <c r="Q14" s="171">
        <f t="shared" si="25"/>
        <v>1786.002770900468</v>
      </c>
      <c r="R14" s="171">
        <f t="shared" ref="R14:S14" si="26">R10+R13</f>
        <v>1971.5716260130221</v>
      </c>
      <c r="S14" s="193">
        <f t="shared" si="26"/>
        <v>2176.4214142511291</v>
      </c>
      <c r="T14" s="3"/>
      <c r="U14" s="296">
        <f t="shared" si="15"/>
        <v>656.74000000000012</v>
      </c>
      <c r="V14" s="15">
        <f t="shared" si="3"/>
        <v>710.38999999999987</v>
      </c>
      <c r="W14" s="15">
        <f t="shared" si="3"/>
        <v>831.87999999999988</v>
      </c>
      <c r="X14" s="15">
        <f t="shared" si="3"/>
        <v>745.5200000000001</v>
      </c>
      <c r="Y14" s="15">
        <f t="shared" si="3"/>
        <v>967.21999999999991</v>
      </c>
      <c r="Z14" s="15">
        <f t="shared" si="3"/>
        <v>1127.5999999999999</v>
      </c>
      <c r="AA14" s="418">
        <f t="shared" ref="AA14:AG14" si="27">AA10+AA13</f>
        <v>1202.7085664197593</v>
      </c>
      <c r="AB14" s="418">
        <f>AB10+AB13</f>
        <v>1361.1456810058346</v>
      </c>
      <c r="AC14" s="418">
        <f t="shared" si="27"/>
        <v>1534.1043353746884</v>
      </c>
      <c r="AD14" s="418">
        <f t="shared" si="27"/>
        <v>1736.8113455362197</v>
      </c>
      <c r="AE14" s="418">
        <f t="shared" si="27"/>
        <v>1949.240290461868</v>
      </c>
      <c r="AF14" s="418">
        <f t="shared" si="27"/>
        <v>2182.7448392321558</v>
      </c>
      <c r="AG14" s="419">
        <f t="shared" si="27"/>
        <v>2459.0520902813605</v>
      </c>
      <c r="AH14" s="3"/>
      <c r="AI14" s="296">
        <f t="shared" si="17"/>
        <v>656.74000000000012</v>
      </c>
      <c r="AJ14" s="15">
        <f t="shared" si="5"/>
        <v>710.38999999999987</v>
      </c>
      <c r="AK14" s="15">
        <f t="shared" si="6"/>
        <v>831.87999999999988</v>
      </c>
      <c r="AL14" s="15">
        <f t="shared" si="7"/>
        <v>745.5200000000001</v>
      </c>
      <c r="AM14" s="15">
        <f t="shared" si="8"/>
        <v>967.21999999999991</v>
      </c>
      <c r="AN14" s="15">
        <f t="shared" si="9"/>
        <v>1127.5999999999999</v>
      </c>
      <c r="AO14" s="464">
        <f t="shared" ref="AO14:AU14" si="28">AO10+AO13</f>
        <v>1165.7723514281488</v>
      </c>
      <c r="AP14" s="464">
        <f t="shared" si="28"/>
        <v>1238.7739965140679</v>
      </c>
      <c r="AQ14" s="464">
        <f t="shared" si="28"/>
        <v>1310.9209148888485</v>
      </c>
      <c r="AR14" s="464">
        <f t="shared" si="28"/>
        <v>1393.5044721729405</v>
      </c>
      <c r="AS14" s="464">
        <f t="shared" si="28"/>
        <v>1468.4366767656052</v>
      </c>
      <c r="AT14" s="464">
        <f t="shared" si="28"/>
        <v>1543.927624916721</v>
      </c>
      <c r="AU14" s="465">
        <f t="shared" si="28"/>
        <v>1633.1490426268113</v>
      </c>
    </row>
    <row r="15" spans="1:47" s="13" customFormat="1" ht="11.5" outlineLevel="1" x14ac:dyDescent="0.25">
      <c r="A15" s="12"/>
      <c r="B15" s="12"/>
      <c r="C15" s="188" t="s">
        <v>74</v>
      </c>
      <c r="D15" s="266"/>
      <c r="E15" s="266"/>
      <c r="F15" s="266"/>
      <c r="G15" s="267">
        <f t="shared" ref="G15" si="29">IFERROR(G14/G$10,0)</f>
        <v>0.55192873350701743</v>
      </c>
      <c r="H15" s="267">
        <f t="shared" ref="H15:L15" si="30">IFERROR(H14/H$10,0)</f>
        <v>0.55461955248817196</v>
      </c>
      <c r="I15" s="267">
        <f t="shared" si="30"/>
        <v>0.57004632294493318</v>
      </c>
      <c r="J15" s="267">
        <f t="shared" si="30"/>
        <v>0.558253772136733</v>
      </c>
      <c r="K15" s="267">
        <f t="shared" si="30"/>
        <v>0.58733657600544087</v>
      </c>
      <c r="L15" s="267">
        <f t="shared" si="30"/>
        <v>0.59258792121250337</v>
      </c>
      <c r="M15" s="268">
        <f>AVERAGE(H15:L15)</f>
        <v>0.57256882895755656</v>
      </c>
      <c r="N15" s="268">
        <f>M15</f>
        <v>0.57256882895755656</v>
      </c>
      <c r="O15" s="268">
        <f t="shared" ref="O15:Q15" si="31">N15</f>
        <v>0.57256882895755656</v>
      </c>
      <c r="P15" s="268">
        <f t="shared" si="31"/>
        <v>0.57256882895755656</v>
      </c>
      <c r="Q15" s="268">
        <f t="shared" si="31"/>
        <v>0.57256882895755656</v>
      </c>
      <c r="R15" s="268">
        <f t="shared" ref="R15" si="32">Q15</f>
        <v>0.57256882895755656</v>
      </c>
      <c r="S15" s="189">
        <f t="shared" ref="S15" si="33">R15</f>
        <v>0.57256882895755656</v>
      </c>
      <c r="T15" s="12"/>
      <c r="U15" s="297">
        <f t="shared" si="15"/>
        <v>0.55192873350701743</v>
      </c>
      <c r="V15" s="298">
        <f t="shared" si="3"/>
        <v>0.55461955248817196</v>
      </c>
      <c r="W15" s="298">
        <f t="shared" si="3"/>
        <v>0.57004632294493318</v>
      </c>
      <c r="X15" s="298">
        <f t="shared" si="3"/>
        <v>0.558253772136733</v>
      </c>
      <c r="Y15" s="298">
        <f t="shared" si="3"/>
        <v>0.58733657600544087</v>
      </c>
      <c r="Z15" s="298">
        <f t="shared" si="3"/>
        <v>0.59258792121250337</v>
      </c>
      <c r="AA15" s="414">
        <f>AVERAGE(V15:Z15)</f>
        <v>0.57256882895755656</v>
      </c>
      <c r="AB15" s="414">
        <f t="shared" ref="AB15:AG15" si="34">AVERAGE(W15:AA15)</f>
        <v>0.57615868425143335</v>
      </c>
      <c r="AC15" s="414">
        <f t="shared" si="34"/>
        <v>0.57738115651273347</v>
      </c>
      <c r="AD15" s="414">
        <f t="shared" si="34"/>
        <v>0.58120663338793355</v>
      </c>
      <c r="AE15" s="414">
        <f t="shared" si="34"/>
        <v>0.57998064486443202</v>
      </c>
      <c r="AF15" s="414">
        <f t="shared" si="34"/>
        <v>0.57745918959481779</v>
      </c>
      <c r="AG15" s="415">
        <f t="shared" si="34"/>
        <v>0.57843726172226995</v>
      </c>
      <c r="AH15" s="12"/>
      <c r="AI15" s="297">
        <f t="shared" si="17"/>
        <v>0.55192873350701743</v>
      </c>
      <c r="AJ15" s="298">
        <f t="shared" si="5"/>
        <v>0.55461955248817196</v>
      </c>
      <c r="AK15" s="298">
        <f t="shared" si="6"/>
        <v>0.57004632294493318</v>
      </c>
      <c r="AL15" s="298">
        <f t="shared" si="7"/>
        <v>0.558253772136733</v>
      </c>
      <c r="AM15" s="298">
        <f t="shared" si="8"/>
        <v>0.58733657600544087</v>
      </c>
      <c r="AN15" s="298">
        <f t="shared" si="9"/>
        <v>0.59258792121250337</v>
      </c>
      <c r="AO15" s="460">
        <f>AVERAGE(AJ15:AN15)</f>
        <v>0.57256882895755656</v>
      </c>
      <c r="AP15" s="460">
        <f t="shared" ref="AP15" si="35">AVERAGE(AK15:AO15)</f>
        <v>0.57615868425143335</v>
      </c>
      <c r="AQ15" s="460">
        <f t="shared" ref="AQ15" si="36">AVERAGE(AL15:AP15)</f>
        <v>0.57738115651273347</v>
      </c>
      <c r="AR15" s="460">
        <f t="shared" ref="AR15" si="37">AVERAGE(AM15:AQ15)</f>
        <v>0.58120663338793355</v>
      </c>
      <c r="AS15" s="460">
        <f t="shared" ref="AS15" si="38">AVERAGE(AN15:AR15)</f>
        <v>0.57998064486443202</v>
      </c>
      <c r="AT15" s="460">
        <f t="shared" ref="AT15" si="39">AVERAGE(AO15:AS15)</f>
        <v>0.57745918959481779</v>
      </c>
      <c r="AU15" s="461">
        <f t="shared" ref="AU15" si="40">AVERAGE(AP15:AT15)</f>
        <v>0.57843726172226995</v>
      </c>
    </row>
    <row r="16" spans="1:47" s="2" customFormat="1" ht="4.5" customHeight="1" outlineLevel="1" x14ac:dyDescent="0.3">
      <c r="A16" s="1"/>
      <c r="B16" s="1"/>
      <c r="C16" s="194"/>
      <c r="D16" s="130"/>
      <c r="E16" s="130"/>
      <c r="F16" s="130"/>
      <c r="G16" s="271"/>
      <c r="H16" s="271"/>
      <c r="I16" s="271"/>
      <c r="J16" s="271"/>
      <c r="K16" s="271"/>
      <c r="L16" s="271"/>
      <c r="M16" s="272"/>
      <c r="N16" s="272"/>
      <c r="O16" s="272"/>
      <c r="P16" s="272"/>
      <c r="Q16" s="272"/>
      <c r="R16" s="272"/>
      <c r="S16" s="195"/>
      <c r="T16" s="1"/>
      <c r="U16" s="299">
        <f t="shared" si="15"/>
        <v>0</v>
      </c>
      <c r="V16" s="300">
        <f t="shared" si="3"/>
        <v>0</v>
      </c>
      <c r="W16" s="300">
        <f t="shared" si="3"/>
        <v>0</v>
      </c>
      <c r="X16" s="300">
        <f t="shared" si="3"/>
        <v>0</v>
      </c>
      <c r="Y16" s="300">
        <f t="shared" si="3"/>
        <v>0</v>
      </c>
      <c r="Z16" s="300">
        <f t="shared" si="3"/>
        <v>0</v>
      </c>
      <c r="AA16" s="420"/>
      <c r="AB16" s="420"/>
      <c r="AC16" s="420"/>
      <c r="AD16" s="420"/>
      <c r="AE16" s="420"/>
      <c r="AF16" s="420"/>
      <c r="AG16" s="421"/>
      <c r="AH16" s="1"/>
      <c r="AI16" s="299">
        <f t="shared" si="17"/>
        <v>0</v>
      </c>
      <c r="AJ16" s="300">
        <f t="shared" si="5"/>
        <v>0</v>
      </c>
      <c r="AK16" s="300">
        <f t="shared" si="6"/>
        <v>0</v>
      </c>
      <c r="AL16" s="300">
        <f t="shared" si="7"/>
        <v>0</v>
      </c>
      <c r="AM16" s="300">
        <f t="shared" si="8"/>
        <v>0</v>
      </c>
      <c r="AN16" s="300">
        <f t="shared" si="9"/>
        <v>0</v>
      </c>
      <c r="AO16" s="466"/>
      <c r="AP16" s="466"/>
      <c r="AQ16" s="466"/>
      <c r="AR16" s="466"/>
      <c r="AS16" s="466"/>
      <c r="AT16" s="466"/>
      <c r="AU16" s="467"/>
    </row>
    <row r="17" spans="1:47" s="4" customFormat="1" ht="12" outlineLevel="1" x14ac:dyDescent="0.3">
      <c r="A17" s="3"/>
      <c r="B17" s="3"/>
      <c r="C17" s="190" t="s">
        <v>75</v>
      </c>
      <c r="D17" s="255"/>
      <c r="E17" s="255"/>
      <c r="F17" s="255"/>
      <c r="G17" s="269">
        <f>-'Historical-IS'!B10+'Historical-IS'!B60-'Historical-IS'!B13</f>
        <v>-459.14</v>
      </c>
      <c r="H17" s="269">
        <f>-'Historical-IS'!C10+'Historical-IS'!C60-'Historical-IS'!C13</f>
        <v>-481.98</v>
      </c>
      <c r="I17" s="269">
        <f>-'Historical-IS'!D10+'Historical-IS'!D60-'Historical-IS'!D13</f>
        <v>-518.86</v>
      </c>
      <c r="J17" s="269">
        <f>-'Historical-IS'!E10+'Historical-IS'!E60-'Historical-IS'!E13</f>
        <v>-507.54</v>
      </c>
      <c r="K17" s="269">
        <f>-'Historical-IS'!F10+'Historical-IS'!F60-'Historical-IS'!F13</f>
        <v>-534.46999999999991</v>
      </c>
      <c r="L17" s="269">
        <f>-'Historical-IS'!G10+'Historical-IS'!G60-'Historical-IS'!G13</f>
        <v>-660.94999999999993</v>
      </c>
      <c r="M17" s="270">
        <f>M19*M$10-M14</f>
        <v>-749.39028726807101</v>
      </c>
      <c r="N17" s="270">
        <f t="shared" ref="N17:Q17" si="41">N19*N$10-N14</f>
        <v>-827.25326704983843</v>
      </c>
      <c r="O17" s="270">
        <f t="shared" si="41"/>
        <v>-913.2063485095947</v>
      </c>
      <c r="P17" s="270">
        <f t="shared" si="41"/>
        <v>-1008.0901075583007</v>
      </c>
      <c r="Q17" s="270">
        <f t="shared" si="41"/>
        <v>-1112.8324574347055</v>
      </c>
      <c r="R17" s="270">
        <f t="shared" ref="R17:S17" si="42">R19*R$10-R14</f>
        <v>-1228.457723208583</v>
      </c>
      <c r="S17" s="191">
        <f t="shared" si="42"/>
        <v>-1356.0966591409483</v>
      </c>
      <c r="T17" s="3"/>
      <c r="U17" s="294">
        <f t="shared" si="15"/>
        <v>-459.14</v>
      </c>
      <c r="V17" s="295">
        <f t="shared" si="3"/>
        <v>-481.98</v>
      </c>
      <c r="W17" s="295">
        <f t="shared" si="3"/>
        <v>-518.86</v>
      </c>
      <c r="X17" s="295">
        <f t="shared" si="3"/>
        <v>-507.54</v>
      </c>
      <c r="Y17" s="295">
        <f t="shared" si="3"/>
        <v>-534.46999999999991</v>
      </c>
      <c r="Z17" s="295">
        <f t="shared" si="3"/>
        <v>-660.94999999999993</v>
      </c>
      <c r="AA17" s="416">
        <f>AA19*AA$10-AA14</f>
        <v>-749.39028726807101</v>
      </c>
      <c r="AB17" s="416">
        <f t="shared" ref="AB17:AG17" si="43">AB19*AB$10-AB14</f>
        <v>-833.59591136191841</v>
      </c>
      <c r="AC17" s="416">
        <f t="shared" si="43"/>
        <v>-936.09736411839515</v>
      </c>
      <c r="AD17" s="416">
        <f t="shared" si="43"/>
        <v>-1036.23379413051</v>
      </c>
      <c r="AE17" s="416">
        <f t="shared" si="43"/>
        <v>-1180.364442489818</v>
      </c>
      <c r="AF17" s="416">
        <f t="shared" si="43"/>
        <v>-1330.4518603455897</v>
      </c>
      <c r="AG17" s="417">
        <f t="shared" si="43"/>
        <v>-1492.2714997083553</v>
      </c>
      <c r="AH17" s="3"/>
      <c r="AI17" s="294">
        <f t="shared" si="17"/>
        <v>-459.14</v>
      </c>
      <c r="AJ17" s="295">
        <f t="shared" si="5"/>
        <v>-481.98</v>
      </c>
      <c r="AK17" s="295">
        <f t="shared" si="6"/>
        <v>-518.86</v>
      </c>
      <c r="AL17" s="295">
        <f t="shared" si="7"/>
        <v>-507.54</v>
      </c>
      <c r="AM17" s="295">
        <f t="shared" si="8"/>
        <v>-534.46999999999991</v>
      </c>
      <c r="AN17" s="295">
        <f t="shared" si="9"/>
        <v>-660.94999999999993</v>
      </c>
      <c r="AO17" s="462">
        <f>AO19*AO$10-AO14</f>
        <v>-726.37586670436326</v>
      </c>
      <c r="AP17" s="462">
        <f t="shared" ref="AP17:AU17" si="44">AP19*AP$10-AP14</f>
        <v>-758.65276803619668</v>
      </c>
      <c r="AQ17" s="462">
        <f t="shared" si="44"/>
        <v>-799.91274693543448</v>
      </c>
      <c r="AR17" s="462">
        <f t="shared" si="44"/>
        <v>-831.40660616296407</v>
      </c>
      <c r="AS17" s="462">
        <f t="shared" si="44"/>
        <v>-889.21332469037725</v>
      </c>
      <c r="AT17" s="462">
        <f t="shared" si="44"/>
        <v>-941.07260907875821</v>
      </c>
      <c r="AU17" s="463">
        <f t="shared" si="44"/>
        <v>-991.07366644239221</v>
      </c>
    </row>
    <row r="18" spans="1:47" s="4" customFormat="1" ht="12" outlineLevel="1" x14ac:dyDescent="0.3">
      <c r="A18" s="3"/>
      <c r="B18" s="3"/>
      <c r="C18" s="192" t="s">
        <v>24</v>
      </c>
      <c r="D18" s="173"/>
      <c r="E18" s="173"/>
      <c r="F18" s="173"/>
      <c r="G18" s="172">
        <f>SUM(G17,G14)</f>
        <v>197.60000000000014</v>
      </c>
      <c r="H18" s="172">
        <f>SUM(H17,H14)</f>
        <v>228.40999999999985</v>
      </c>
      <c r="I18" s="172">
        <f t="shared" ref="I18:L18" si="45">SUM(I17,I14)</f>
        <v>313.01999999999987</v>
      </c>
      <c r="J18" s="172">
        <f t="shared" si="45"/>
        <v>237.98000000000008</v>
      </c>
      <c r="K18" s="172">
        <f t="shared" si="45"/>
        <v>432.75</v>
      </c>
      <c r="L18" s="172">
        <f t="shared" si="45"/>
        <v>466.65</v>
      </c>
      <c r="M18" s="171">
        <f>SUM(M17,M14)</f>
        <v>453.31827915168833</v>
      </c>
      <c r="N18" s="171">
        <f t="shared" ref="N18" si="46">SUM(N17,N14)</f>
        <v>500.41885224954501</v>
      </c>
      <c r="O18" s="171">
        <f t="shared" ref="O18" si="47">SUM(O17,O14)</f>
        <v>552.41325841828063</v>
      </c>
      <c r="P18" s="171">
        <f t="shared" ref="P18" si="48">SUM(P17,P14)</f>
        <v>609.80997559246055</v>
      </c>
      <c r="Q18" s="171">
        <f t="shared" ref="Q18:S18" si="49">SUM(Q17,Q14)</f>
        <v>673.17031346576255</v>
      </c>
      <c r="R18" s="171">
        <f t="shared" si="49"/>
        <v>743.11390280443902</v>
      </c>
      <c r="S18" s="193">
        <f t="shared" si="49"/>
        <v>820.32475511018083</v>
      </c>
      <c r="T18" s="3"/>
      <c r="U18" s="296">
        <f t="shared" si="15"/>
        <v>197.60000000000014</v>
      </c>
      <c r="V18" s="15">
        <f t="shared" si="3"/>
        <v>228.40999999999985</v>
      </c>
      <c r="W18" s="15">
        <f t="shared" si="3"/>
        <v>313.01999999999987</v>
      </c>
      <c r="X18" s="15">
        <f t="shared" si="3"/>
        <v>237.98000000000008</v>
      </c>
      <c r="Y18" s="15">
        <f t="shared" si="3"/>
        <v>432.75</v>
      </c>
      <c r="Z18" s="15">
        <f t="shared" si="3"/>
        <v>466.65</v>
      </c>
      <c r="AA18" s="418">
        <f>SUM(AA17,AA14)</f>
        <v>453.31827915168833</v>
      </c>
      <c r="AB18" s="418">
        <f>SUM(AB17,AB14)</f>
        <v>527.54976964391619</v>
      </c>
      <c r="AC18" s="418">
        <f t="shared" ref="AC18:AG18" si="50">SUM(AC17,AC14)</f>
        <v>598.00697125629324</v>
      </c>
      <c r="AD18" s="418">
        <f t="shared" si="50"/>
        <v>700.57755140570976</v>
      </c>
      <c r="AE18" s="418">
        <f t="shared" si="50"/>
        <v>768.87584797205</v>
      </c>
      <c r="AF18" s="418">
        <f t="shared" si="50"/>
        <v>852.29297888656606</v>
      </c>
      <c r="AG18" s="419">
        <f t="shared" si="50"/>
        <v>966.78059057300516</v>
      </c>
      <c r="AH18" s="3"/>
      <c r="AI18" s="296">
        <f>U18</f>
        <v>197.60000000000014</v>
      </c>
      <c r="AJ18" s="15">
        <f>V18</f>
        <v>228.40999999999985</v>
      </c>
      <c r="AK18" s="15">
        <f t="shared" si="6"/>
        <v>313.01999999999987</v>
      </c>
      <c r="AL18" s="15">
        <f t="shared" si="7"/>
        <v>237.98000000000008</v>
      </c>
      <c r="AM18" s="15">
        <f t="shared" si="8"/>
        <v>432.75</v>
      </c>
      <c r="AN18" s="15">
        <f>Z18</f>
        <v>466.65</v>
      </c>
      <c r="AO18" s="464">
        <f t="shared" ref="AO18:AU18" si="51">SUM(AO14,AO17)</f>
        <v>439.39648472378553</v>
      </c>
      <c r="AP18" s="464">
        <f t="shared" si="51"/>
        <v>480.12122847787123</v>
      </c>
      <c r="AQ18" s="464">
        <f t="shared" si="51"/>
        <v>511.00816795341404</v>
      </c>
      <c r="AR18" s="464">
        <f t="shared" si="51"/>
        <v>562.09786600997643</v>
      </c>
      <c r="AS18" s="464">
        <f t="shared" si="51"/>
        <v>579.22335207522792</v>
      </c>
      <c r="AT18" s="464">
        <f t="shared" si="51"/>
        <v>602.85501583796281</v>
      </c>
      <c r="AU18" s="465">
        <f t="shared" si="51"/>
        <v>642.07537618441904</v>
      </c>
    </row>
    <row r="19" spans="1:47" s="13" customFormat="1" ht="11.5" outlineLevel="1" x14ac:dyDescent="0.25">
      <c r="A19" s="12"/>
      <c r="B19" s="12"/>
      <c r="C19" s="188" t="s">
        <v>74</v>
      </c>
      <c r="D19" s="266"/>
      <c r="E19" s="266"/>
      <c r="F19" s="266"/>
      <c r="G19" s="267">
        <f t="shared" ref="G19" si="52">IFERROR(G18/G$10,0)</f>
        <v>0.16606437515757638</v>
      </c>
      <c r="H19" s="267">
        <f t="shared" ref="H19:L19" si="53">IFERROR(H18/H$10,0)</f>
        <v>0.17832550005465067</v>
      </c>
      <c r="I19" s="267">
        <f t="shared" si="53"/>
        <v>0.21449716306224809</v>
      </c>
      <c r="J19" s="267">
        <f t="shared" si="53"/>
        <v>0.1782021041596466</v>
      </c>
      <c r="K19" s="267">
        <f t="shared" si="53"/>
        <v>0.26278396152514893</v>
      </c>
      <c r="L19" s="267">
        <f t="shared" si="53"/>
        <v>0.24523869584410671</v>
      </c>
      <c r="M19" s="268">
        <f>AVERAGE(H19:L19)</f>
        <v>0.21580948492916022</v>
      </c>
      <c r="N19" s="268">
        <f>M19</f>
        <v>0.21580948492916022</v>
      </c>
      <c r="O19" s="268">
        <f t="shared" ref="O19:Q19" si="54">N19</f>
        <v>0.21580948492916022</v>
      </c>
      <c r="P19" s="268">
        <f t="shared" si="54"/>
        <v>0.21580948492916022</v>
      </c>
      <c r="Q19" s="268">
        <f t="shared" si="54"/>
        <v>0.21580948492916022</v>
      </c>
      <c r="R19" s="268">
        <f t="shared" ref="R19" si="55">Q19</f>
        <v>0.21580948492916022</v>
      </c>
      <c r="S19" s="189">
        <f t="shared" ref="S19" si="56">R19</f>
        <v>0.21580948492916022</v>
      </c>
      <c r="T19" s="12"/>
      <c r="U19" s="297">
        <f t="shared" si="15"/>
        <v>0.16606437515757638</v>
      </c>
      <c r="V19" s="298">
        <f t="shared" si="3"/>
        <v>0.17832550005465067</v>
      </c>
      <c r="W19" s="298">
        <f t="shared" si="3"/>
        <v>0.21449716306224809</v>
      </c>
      <c r="X19" s="298">
        <f t="shared" si="3"/>
        <v>0.1782021041596466</v>
      </c>
      <c r="Y19" s="298">
        <f t="shared" si="3"/>
        <v>0.26278396152514893</v>
      </c>
      <c r="Z19" s="298">
        <f t="shared" si="3"/>
        <v>0.24523869584410671</v>
      </c>
      <c r="AA19" s="414">
        <f>AVERAGE(V19:Z19)</f>
        <v>0.21580948492916022</v>
      </c>
      <c r="AB19" s="414">
        <f t="shared" ref="AB19:AG19" si="57">AVERAGE(W19:AA19)</f>
        <v>0.2233062819040621</v>
      </c>
      <c r="AC19" s="414">
        <f t="shared" si="57"/>
        <v>0.22506810567242491</v>
      </c>
      <c r="AD19" s="414">
        <f t="shared" si="57"/>
        <v>0.23444130597498058</v>
      </c>
      <c r="AE19" s="414">
        <f t="shared" si="57"/>
        <v>0.2287727748649469</v>
      </c>
      <c r="AF19" s="414">
        <f t="shared" si="57"/>
        <v>0.22547959066911494</v>
      </c>
      <c r="AG19" s="415">
        <f t="shared" si="57"/>
        <v>0.22741361181710587</v>
      </c>
      <c r="AH19" s="12"/>
      <c r="AI19" s="297">
        <f t="shared" si="17"/>
        <v>0.16606437515757638</v>
      </c>
      <c r="AJ19" s="298">
        <f t="shared" si="5"/>
        <v>0.17832550005465067</v>
      </c>
      <c r="AK19" s="298">
        <f t="shared" si="6"/>
        <v>0.21449716306224809</v>
      </c>
      <c r="AL19" s="298">
        <f t="shared" si="7"/>
        <v>0.1782021041596466</v>
      </c>
      <c r="AM19" s="298">
        <f t="shared" si="8"/>
        <v>0.26278396152514893</v>
      </c>
      <c r="AN19" s="298">
        <f t="shared" si="9"/>
        <v>0.24523869584410671</v>
      </c>
      <c r="AO19" s="460">
        <f>AVERAGE(AJ19:AN19)</f>
        <v>0.21580948492916022</v>
      </c>
      <c r="AP19" s="460">
        <f t="shared" ref="AP19" si="58">AVERAGE(AK19:AO19)</f>
        <v>0.2233062819040621</v>
      </c>
      <c r="AQ19" s="460">
        <f t="shared" ref="AQ19" si="59">AVERAGE(AL19:AP19)</f>
        <v>0.22506810567242491</v>
      </c>
      <c r="AR19" s="460">
        <f t="shared" ref="AR19" si="60">AVERAGE(AM19:AQ19)</f>
        <v>0.23444130597498058</v>
      </c>
      <c r="AS19" s="460">
        <f t="shared" ref="AS19" si="61">AVERAGE(AN19:AR19)</f>
        <v>0.2287727748649469</v>
      </c>
      <c r="AT19" s="460">
        <f t="shared" ref="AT19" si="62">AVERAGE(AO19:AS19)</f>
        <v>0.22547959066911494</v>
      </c>
      <c r="AU19" s="461">
        <f t="shared" ref="AU19" si="63">AVERAGE(AP19:AT19)</f>
        <v>0.22741361181710587</v>
      </c>
    </row>
    <row r="20" spans="1:47" s="2" customFormat="1" ht="4.5" customHeight="1" outlineLevel="1" x14ac:dyDescent="0.3">
      <c r="A20" s="1"/>
      <c r="B20" s="1"/>
      <c r="C20" s="194"/>
      <c r="D20" s="130"/>
      <c r="E20" s="130"/>
      <c r="F20" s="130"/>
      <c r="G20" s="271"/>
      <c r="H20" s="271"/>
      <c r="I20" s="271"/>
      <c r="J20" s="271"/>
      <c r="K20" s="271"/>
      <c r="L20" s="271"/>
      <c r="M20" s="272"/>
      <c r="N20" s="272"/>
      <c r="O20" s="272"/>
      <c r="P20" s="272"/>
      <c r="Q20" s="272"/>
      <c r="R20" s="272"/>
      <c r="S20" s="195"/>
      <c r="T20" s="1"/>
      <c r="U20" s="299">
        <f t="shared" si="15"/>
        <v>0</v>
      </c>
      <c r="V20" s="300">
        <f t="shared" si="3"/>
        <v>0</v>
      </c>
      <c r="W20" s="300">
        <f t="shared" si="3"/>
        <v>0</v>
      </c>
      <c r="X20" s="300">
        <f t="shared" si="3"/>
        <v>0</v>
      </c>
      <c r="Y20" s="300">
        <f t="shared" si="3"/>
        <v>0</v>
      </c>
      <c r="Z20" s="300">
        <f t="shared" si="3"/>
        <v>0</v>
      </c>
      <c r="AA20" s="420"/>
      <c r="AB20" s="420"/>
      <c r="AC20" s="420"/>
      <c r="AD20" s="420"/>
      <c r="AE20" s="420"/>
      <c r="AF20" s="420"/>
      <c r="AG20" s="421"/>
      <c r="AH20" s="1"/>
      <c r="AI20" s="299">
        <f t="shared" si="17"/>
        <v>0</v>
      </c>
      <c r="AJ20" s="300">
        <f t="shared" si="5"/>
        <v>0</v>
      </c>
      <c r="AK20" s="300">
        <f t="shared" si="6"/>
        <v>0</v>
      </c>
      <c r="AL20" s="300">
        <f t="shared" si="7"/>
        <v>0</v>
      </c>
      <c r="AM20" s="300">
        <f t="shared" si="8"/>
        <v>0</v>
      </c>
      <c r="AN20" s="300">
        <f t="shared" si="9"/>
        <v>0</v>
      </c>
      <c r="AO20" s="466"/>
      <c r="AP20" s="466"/>
      <c r="AQ20" s="466"/>
      <c r="AR20" s="466"/>
      <c r="AS20" s="466"/>
      <c r="AT20" s="466"/>
      <c r="AU20" s="467"/>
    </row>
    <row r="21" spans="1:47" s="4" customFormat="1" ht="12" outlineLevel="1" x14ac:dyDescent="0.3">
      <c r="A21" s="3"/>
      <c r="B21" s="3"/>
      <c r="C21" s="190" t="s">
        <v>76</v>
      </c>
      <c r="D21" s="255"/>
      <c r="E21" s="255"/>
      <c r="F21" s="255"/>
      <c r="G21" s="269">
        <f>-'Historical-IS'!B60</f>
        <v>-24.24</v>
      </c>
      <c r="H21" s="269">
        <f>-'Historical-IS'!C60</f>
        <v>-31.28</v>
      </c>
      <c r="I21" s="269">
        <f>-'Historical-IS'!D60</f>
        <v>-48.37</v>
      </c>
      <c r="J21" s="269">
        <f>-'Historical-IS'!E60</f>
        <v>-60.43</v>
      </c>
      <c r="K21" s="269">
        <f>-'Historical-IS'!F60</f>
        <v>-61.58</v>
      </c>
      <c r="L21" s="269">
        <f>-'Historical-IS'!G60</f>
        <v>-69.77</v>
      </c>
      <c r="M21" s="270">
        <f>M23*M$10-M18</f>
        <v>-74.30796763543151</v>
      </c>
      <c r="N21" s="270">
        <f t="shared" ref="N21:Q21" si="64">N23*N$10-N18</f>
        <v>-82.028697247119396</v>
      </c>
      <c r="O21" s="270">
        <f t="shared" si="64"/>
        <v>-90.551624357051878</v>
      </c>
      <c r="P21" s="270">
        <f t="shared" si="64"/>
        <v>-99.960098707877307</v>
      </c>
      <c r="Q21" s="270">
        <f t="shared" si="64"/>
        <v>-110.34613022831343</v>
      </c>
      <c r="R21" s="270">
        <f t="shared" ref="R21:S21" si="65">R23*R$10-R18</f>
        <v>-121.8112888418384</v>
      </c>
      <c r="S21" s="191">
        <f t="shared" si="65"/>
        <v>-134.46769776709903</v>
      </c>
      <c r="T21" s="3"/>
      <c r="U21" s="294">
        <f t="shared" si="15"/>
        <v>-24.24</v>
      </c>
      <c r="V21" s="295">
        <f t="shared" si="3"/>
        <v>-31.28</v>
      </c>
      <c r="W21" s="295">
        <f t="shared" si="3"/>
        <v>-48.37</v>
      </c>
      <c r="X21" s="295">
        <f t="shared" si="3"/>
        <v>-60.43</v>
      </c>
      <c r="Y21" s="295">
        <f t="shared" si="3"/>
        <v>-61.58</v>
      </c>
      <c r="Z21" s="295">
        <f t="shared" si="3"/>
        <v>-69.77</v>
      </c>
      <c r="AA21" s="416">
        <f>AA23*AA$10-AA18</f>
        <v>-74.30796763543151</v>
      </c>
      <c r="AB21" s="416">
        <f t="shared" ref="AB21:AG21" si="66">AB23*AB$10-AB18</f>
        <v>-88.748693420013524</v>
      </c>
      <c r="AC21" s="416">
        <f t="shared" si="66"/>
        <v>-102.16329500001194</v>
      </c>
      <c r="AD21" s="416">
        <f t="shared" si="66"/>
        <v>-110.83709762030992</v>
      </c>
      <c r="AE21" s="416">
        <f t="shared" si="66"/>
        <v>-124.4525459108404</v>
      </c>
      <c r="AF21" s="416">
        <f t="shared" si="66"/>
        <v>-140.24442920343142</v>
      </c>
      <c r="AG21" s="417">
        <f t="shared" si="66"/>
        <v>-159.19881698193285</v>
      </c>
      <c r="AH21" s="3"/>
      <c r="AI21" s="294">
        <f t="shared" si="17"/>
        <v>-24.24</v>
      </c>
      <c r="AJ21" s="295">
        <f t="shared" si="5"/>
        <v>-31.28</v>
      </c>
      <c r="AK21" s="295">
        <f t="shared" si="6"/>
        <v>-48.37</v>
      </c>
      <c r="AL21" s="295">
        <f t="shared" si="7"/>
        <v>-60.43</v>
      </c>
      <c r="AM21" s="295">
        <f t="shared" si="8"/>
        <v>-61.58</v>
      </c>
      <c r="AN21" s="295">
        <f t="shared" si="9"/>
        <v>-69.77</v>
      </c>
      <c r="AO21" s="462">
        <f>AO23*AO$10-AO18</f>
        <v>-72.025906008197808</v>
      </c>
      <c r="AP21" s="462">
        <f t="shared" ref="AP21:AU21" si="67">AP23*AP$10-AP18</f>
        <v>-80.769880232122432</v>
      </c>
      <c r="AQ21" s="462">
        <f t="shared" si="67"/>
        <v>-87.300450863248898</v>
      </c>
      <c r="AR21" s="462">
        <f t="shared" si="67"/>
        <v>-88.928478970112678</v>
      </c>
      <c r="AS21" s="462">
        <f t="shared" si="67"/>
        <v>-93.754825316601284</v>
      </c>
      <c r="AT21" s="462">
        <f t="shared" si="67"/>
        <v>-99.199523735456296</v>
      </c>
      <c r="AU21" s="463">
        <f t="shared" si="67"/>
        <v>-105.72992600234682</v>
      </c>
    </row>
    <row r="22" spans="1:47" s="4" customFormat="1" ht="12" outlineLevel="1" x14ac:dyDescent="0.3">
      <c r="A22" s="3"/>
      <c r="B22" s="3"/>
      <c r="C22" s="192" t="s">
        <v>77</v>
      </c>
      <c r="D22" s="173"/>
      <c r="E22" s="173"/>
      <c r="F22" s="173"/>
      <c r="G22" s="172">
        <f>G18+G21</f>
        <v>173.36000000000013</v>
      </c>
      <c r="H22" s="172">
        <f>H18+H21</f>
        <v>197.12999999999985</v>
      </c>
      <c r="I22" s="172">
        <f t="shared" ref="I22:L22" si="68">I18+I21</f>
        <v>264.64999999999986</v>
      </c>
      <c r="J22" s="172">
        <f t="shared" si="68"/>
        <v>177.55000000000007</v>
      </c>
      <c r="K22" s="172">
        <f t="shared" si="68"/>
        <v>371.17</v>
      </c>
      <c r="L22" s="172">
        <f t="shared" si="68"/>
        <v>396.88</v>
      </c>
      <c r="M22" s="171">
        <f t="shared" ref="M22" si="69">M18+M21</f>
        <v>379.01031151625682</v>
      </c>
      <c r="N22" s="171">
        <f t="shared" ref="N22" si="70">N18+N21</f>
        <v>418.39015500242562</v>
      </c>
      <c r="O22" s="171">
        <f t="shared" ref="O22" si="71">O18+O21</f>
        <v>461.86163406122876</v>
      </c>
      <c r="P22" s="171">
        <f t="shared" ref="P22" si="72">P18+P21</f>
        <v>509.84987688458324</v>
      </c>
      <c r="Q22" s="171">
        <f t="shared" ref="Q22:S22" si="73">Q18+Q21</f>
        <v>562.82418323744912</v>
      </c>
      <c r="R22" s="171">
        <f t="shared" si="73"/>
        <v>621.30261396260062</v>
      </c>
      <c r="S22" s="193">
        <f t="shared" si="73"/>
        <v>685.85705734308181</v>
      </c>
      <c r="T22" s="3"/>
      <c r="U22" s="296">
        <f t="shared" si="15"/>
        <v>173.36000000000013</v>
      </c>
      <c r="V22" s="15">
        <f t="shared" si="3"/>
        <v>197.12999999999985</v>
      </c>
      <c r="W22" s="15">
        <f t="shared" si="3"/>
        <v>264.64999999999986</v>
      </c>
      <c r="X22" s="15">
        <f t="shared" si="3"/>
        <v>177.55000000000007</v>
      </c>
      <c r="Y22" s="15">
        <f t="shared" si="3"/>
        <v>371.17</v>
      </c>
      <c r="Z22" s="15">
        <f t="shared" si="3"/>
        <v>396.88</v>
      </c>
      <c r="AA22" s="418">
        <f t="shared" ref="AA22:AG22" si="74">AA18+AA21</f>
        <v>379.01031151625682</v>
      </c>
      <c r="AB22" s="418">
        <f t="shared" si="74"/>
        <v>438.80107622390267</v>
      </c>
      <c r="AC22" s="418">
        <f t="shared" si="74"/>
        <v>495.8436762562813</v>
      </c>
      <c r="AD22" s="418">
        <f t="shared" si="74"/>
        <v>589.74045378539984</v>
      </c>
      <c r="AE22" s="418">
        <f t="shared" si="74"/>
        <v>644.4233020612096</v>
      </c>
      <c r="AF22" s="418">
        <f t="shared" si="74"/>
        <v>712.04854968313464</v>
      </c>
      <c r="AG22" s="419">
        <f t="shared" si="74"/>
        <v>807.58177359107231</v>
      </c>
      <c r="AH22" s="3"/>
      <c r="AI22" s="296">
        <f t="shared" si="17"/>
        <v>173.36000000000013</v>
      </c>
      <c r="AJ22" s="15">
        <f t="shared" si="5"/>
        <v>197.12999999999985</v>
      </c>
      <c r="AK22" s="15">
        <f t="shared" si="6"/>
        <v>264.64999999999986</v>
      </c>
      <c r="AL22" s="15">
        <f t="shared" si="7"/>
        <v>177.55000000000007</v>
      </c>
      <c r="AM22" s="15">
        <f t="shared" si="8"/>
        <v>371.17</v>
      </c>
      <c r="AN22" s="15">
        <f t="shared" si="9"/>
        <v>396.88</v>
      </c>
      <c r="AO22" s="464">
        <f>AO18+AO21</f>
        <v>367.37057871558773</v>
      </c>
      <c r="AP22" s="464">
        <f t="shared" ref="AP22:AU22" si="75">AP18+AP21</f>
        <v>399.3513482457488</v>
      </c>
      <c r="AQ22" s="464">
        <f t="shared" si="75"/>
        <v>423.70771709016515</v>
      </c>
      <c r="AR22" s="464">
        <f t="shared" si="75"/>
        <v>473.16938703986375</v>
      </c>
      <c r="AS22" s="464">
        <f t="shared" si="75"/>
        <v>485.46852675862664</v>
      </c>
      <c r="AT22" s="464">
        <f t="shared" si="75"/>
        <v>503.65549210250651</v>
      </c>
      <c r="AU22" s="465">
        <f t="shared" si="75"/>
        <v>536.34545018207223</v>
      </c>
    </row>
    <row r="23" spans="1:47" s="13" customFormat="1" ht="11.5" outlineLevel="1" x14ac:dyDescent="0.25">
      <c r="A23" s="12"/>
      <c r="B23" s="12"/>
      <c r="C23" s="188" t="s">
        <v>74</v>
      </c>
      <c r="D23" s="266"/>
      <c r="E23" s="266"/>
      <c r="F23" s="266"/>
      <c r="G23" s="267">
        <f t="shared" ref="G23" si="76">IFERROR(G22/G$10,0)</f>
        <v>0.14569291537103968</v>
      </c>
      <c r="H23" s="267">
        <f t="shared" ref="H23:L23" si="77">IFERROR(H22/H$10,0)</f>
        <v>0.15390440797589108</v>
      </c>
      <c r="I23" s="267">
        <f t="shared" si="77"/>
        <v>0.18135158841104068</v>
      </c>
      <c r="J23" s="267">
        <f t="shared" si="77"/>
        <v>0.13295143958965147</v>
      </c>
      <c r="K23" s="267">
        <f t="shared" si="77"/>
        <v>0.22539000115375976</v>
      </c>
      <c r="L23" s="267">
        <f t="shared" si="77"/>
        <v>0.20857244960164806</v>
      </c>
      <c r="M23" s="268">
        <f>AVERAGE(H23:L23)</f>
        <v>0.18043397734639818</v>
      </c>
      <c r="N23" s="268">
        <f>M23</f>
        <v>0.18043397734639818</v>
      </c>
      <c r="O23" s="268">
        <f t="shared" ref="O23:Q23" si="78">N23</f>
        <v>0.18043397734639818</v>
      </c>
      <c r="P23" s="268">
        <f t="shared" si="78"/>
        <v>0.18043397734639818</v>
      </c>
      <c r="Q23" s="268">
        <f t="shared" si="78"/>
        <v>0.18043397734639818</v>
      </c>
      <c r="R23" s="268">
        <f t="shared" ref="R23" si="79">Q23</f>
        <v>0.18043397734639818</v>
      </c>
      <c r="S23" s="189">
        <f t="shared" ref="S23" si="80">R23</f>
        <v>0.18043397734639818</v>
      </c>
      <c r="T23" s="12"/>
      <c r="U23" s="297">
        <f t="shared" si="15"/>
        <v>0.14569291537103968</v>
      </c>
      <c r="V23" s="298">
        <f t="shared" si="3"/>
        <v>0.15390440797589108</v>
      </c>
      <c r="W23" s="298">
        <f t="shared" si="3"/>
        <v>0.18135158841104068</v>
      </c>
      <c r="X23" s="298">
        <f t="shared" si="3"/>
        <v>0.13295143958965147</v>
      </c>
      <c r="Y23" s="298">
        <f t="shared" si="3"/>
        <v>0.22539000115375976</v>
      </c>
      <c r="Z23" s="298">
        <f t="shared" si="3"/>
        <v>0.20857244960164806</v>
      </c>
      <c r="AA23" s="414">
        <f>AVERAGE(V23:Z23)</f>
        <v>0.18043397734639818</v>
      </c>
      <c r="AB23" s="414">
        <f t="shared" ref="AB23:AG23" si="81">AVERAGE(W23:AA23)</f>
        <v>0.18573989122049966</v>
      </c>
      <c r="AC23" s="414">
        <f t="shared" si="81"/>
        <v>0.18661755178239142</v>
      </c>
      <c r="AD23" s="414">
        <f t="shared" si="81"/>
        <v>0.19735077422093941</v>
      </c>
      <c r="AE23" s="414">
        <f t="shared" si="81"/>
        <v>0.19174292883437533</v>
      </c>
      <c r="AF23" s="414">
        <f t="shared" si="81"/>
        <v>0.1883770246809208</v>
      </c>
      <c r="AG23" s="415">
        <f t="shared" si="81"/>
        <v>0.18996563414782533</v>
      </c>
      <c r="AH23" s="12"/>
      <c r="AI23" s="297">
        <f t="shared" si="17"/>
        <v>0.14569291537103968</v>
      </c>
      <c r="AJ23" s="298">
        <f t="shared" si="5"/>
        <v>0.15390440797589108</v>
      </c>
      <c r="AK23" s="298">
        <f t="shared" si="6"/>
        <v>0.18135158841104068</v>
      </c>
      <c r="AL23" s="298">
        <f t="shared" si="7"/>
        <v>0.13295143958965147</v>
      </c>
      <c r="AM23" s="298">
        <f t="shared" si="8"/>
        <v>0.22539000115375976</v>
      </c>
      <c r="AN23" s="298">
        <f t="shared" si="9"/>
        <v>0.20857244960164806</v>
      </c>
      <c r="AO23" s="460">
        <f>AVERAGE(AJ23:AN23)</f>
        <v>0.18043397734639818</v>
      </c>
      <c r="AP23" s="460">
        <f t="shared" ref="AP23" si="82">AVERAGE(AK23:AO23)</f>
        <v>0.18573989122049966</v>
      </c>
      <c r="AQ23" s="460">
        <f t="shared" ref="AQ23" si="83">AVERAGE(AL23:AP23)</f>
        <v>0.18661755178239142</v>
      </c>
      <c r="AR23" s="460">
        <f t="shared" ref="AR23" si="84">AVERAGE(AM23:AQ23)</f>
        <v>0.19735077422093941</v>
      </c>
      <c r="AS23" s="460">
        <f t="shared" ref="AS23" si="85">AVERAGE(AN23:AR23)</f>
        <v>0.19174292883437533</v>
      </c>
      <c r="AT23" s="460">
        <f t="shared" ref="AT23" si="86">AVERAGE(AO23:AS23)</f>
        <v>0.1883770246809208</v>
      </c>
      <c r="AU23" s="461">
        <f t="shared" ref="AU23" si="87">AVERAGE(AP23:AT23)</f>
        <v>0.18996563414782533</v>
      </c>
    </row>
    <row r="24" spans="1:47" s="13" customFormat="1" ht="4.5" customHeight="1" outlineLevel="1" x14ac:dyDescent="0.25">
      <c r="A24" s="12"/>
      <c r="B24" s="12"/>
      <c r="C24" s="188"/>
      <c r="D24" s="266"/>
      <c r="E24" s="266"/>
      <c r="F24" s="266" t="s">
        <v>78</v>
      </c>
      <c r="G24" s="267"/>
      <c r="H24" s="267"/>
      <c r="I24" s="267"/>
      <c r="J24" s="267"/>
      <c r="K24" s="267"/>
      <c r="L24" s="267"/>
      <c r="M24" s="268"/>
      <c r="N24" s="268"/>
      <c r="O24" s="268"/>
      <c r="P24" s="268"/>
      <c r="Q24" s="268"/>
      <c r="R24" s="268"/>
      <c r="S24" s="189"/>
      <c r="T24" s="12"/>
      <c r="U24" s="297">
        <f t="shared" si="15"/>
        <v>0</v>
      </c>
      <c r="V24" s="298">
        <f t="shared" si="3"/>
        <v>0</v>
      </c>
      <c r="W24" s="298">
        <f t="shared" si="3"/>
        <v>0</v>
      </c>
      <c r="X24" s="298">
        <f t="shared" si="3"/>
        <v>0</v>
      </c>
      <c r="Y24" s="298">
        <f t="shared" si="3"/>
        <v>0</v>
      </c>
      <c r="Z24" s="298">
        <f t="shared" si="3"/>
        <v>0</v>
      </c>
      <c r="AA24" s="414"/>
      <c r="AB24" s="414"/>
      <c r="AC24" s="414"/>
      <c r="AD24" s="414"/>
      <c r="AE24" s="414"/>
      <c r="AF24" s="414"/>
      <c r="AG24" s="415"/>
      <c r="AH24" s="12"/>
      <c r="AI24" s="297">
        <f t="shared" si="17"/>
        <v>0</v>
      </c>
      <c r="AJ24" s="298">
        <f t="shared" si="5"/>
        <v>0</v>
      </c>
      <c r="AK24" s="298">
        <f t="shared" si="6"/>
        <v>0</v>
      </c>
      <c r="AL24" s="298">
        <f t="shared" si="7"/>
        <v>0</v>
      </c>
      <c r="AM24" s="298">
        <f t="shared" si="8"/>
        <v>0</v>
      </c>
      <c r="AN24" s="298">
        <f t="shared" si="9"/>
        <v>0</v>
      </c>
      <c r="AO24" s="460"/>
      <c r="AP24" s="460"/>
      <c r="AQ24" s="460"/>
      <c r="AR24" s="460"/>
      <c r="AS24" s="460"/>
      <c r="AT24" s="460"/>
      <c r="AU24" s="461"/>
    </row>
    <row r="25" spans="1:47" s="16" customFormat="1" ht="11.5" outlineLevel="1" x14ac:dyDescent="0.25">
      <c r="A25" s="1"/>
      <c r="B25" s="1"/>
      <c r="C25" s="190" t="s">
        <v>79</v>
      </c>
      <c r="D25" s="130"/>
      <c r="E25" s="130"/>
      <c r="F25" s="130"/>
      <c r="G25" s="273">
        <f>'Historical-IS'!B20</f>
        <v>7.73</v>
      </c>
      <c r="H25" s="273">
        <f>'Historical-IS'!C20</f>
        <v>-17.95</v>
      </c>
      <c r="I25" s="273">
        <f>'Historical-IS'!D20</f>
        <v>-34.799999999999997</v>
      </c>
      <c r="J25" s="273">
        <f>'Historical-IS'!E20</f>
        <v>1.17</v>
      </c>
      <c r="K25" s="273">
        <f>'Historical-IS'!F20</f>
        <v>-34.56</v>
      </c>
      <c r="L25" s="273">
        <f>'Historical-IS'!G20</f>
        <v>6.61</v>
      </c>
      <c r="M25" s="270">
        <f>M30*M$10-M22</f>
        <v>-22.26977115381294</v>
      </c>
      <c r="N25" s="270">
        <f t="shared" ref="N25:Q25" si="88">N30*N$10-N22</f>
        <v>-24.583639868892305</v>
      </c>
      <c r="O25" s="270">
        <f t="shared" si="88"/>
        <v>-27.137923646777836</v>
      </c>
      <c r="P25" s="270">
        <f t="shared" si="88"/>
        <v>-29.957602038836285</v>
      </c>
      <c r="Q25" s="270">
        <f t="shared" si="88"/>
        <v>-33.070250016118848</v>
      </c>
      <c r="R25" s="270">
        <f t="shared" ref="R25:S25" si="89">R30*R$10-R22</f>
        <v>-36.506307638069188</v>
      </c>
      <c r="S25" s="191">
        <f t="shared" si="89"/>
        <v>-40.299377740288378</v>
      </c>
      <c r="T25" s="1"/>
      <c r="U25" s="301">
        <f t="shared" si="15"/>
        <v>7.73</v>
      </c>
      <c r="V25" s="302">
        <f t="shared" si="3"/>
        <v>-17.95</v>
      </c>
      <c r="W25" s="302">
        <f t="shared" si="3"/>
        <v>-34.799999999999997</v>
      </c>
      <c r="X25" s="302">
        <f t="shared" si="3"/>
        <v>1.17</v>
      </c>
      <c r="Y25" s="302">
        <f t="shared" si="3"/>
        <v>-34.56</v>
      </c>
      <c r="Z25" s="302">
        <f t="shared" si="3"/>
        <v>6.61</v>
      </c>
      <c r="AA25" s="416">
        <f>AA30*AA$10-AA22</f>
        <v>-22.26977115381294</v>
      </c>
      <c r="AB25" s="416">
        <f t="shared" ref="AB25:AG25" si="90">AB30*AB$10-AB22</f>
        <v>-23.434213118789557</v>
      </c>
      <c r="AC25" s="416">
        <f t="shared" si="90"/>
        <v>-18.955078645251035</v>
      </c>
      <c r="AD25" s="416">
        <f t="shared" si="90"/>
        <v>-26.105738692103614</v>
      </c>
      <c r="AE25" s="416">
        <f t="shared" si="90"/>
        <v>-22.126372969985823</v>
      </c>
      <c r="AF25" s="416">
        <f t="shared" si="90"/>
        <v>-32.488261043489388</v>
      </c>
      <c r="AG25" s="417">
        <f t="shared" si="90"/>
        <v>-34.832615422523986</v>
      </c>
      <c r="AH25" s="1"/>
      <c r="AI25" s="301">
        <f t="shared" si="17"/>
        <v>7.73</v>
      </c>
      <c r="AJ25" s="302">
        <f t="shared" si="5"/>
        <v>-17.95</v>
      </c>
      <c r="AK25" s="302">
        <f t="shared" si="6"/>
        <v>-34.799999999999997</v>
      </c>
      <c r="AL25" s="302">
        <f t="shared" si="7"/>
        <v>1.17</v>
      </c>
      <c r="AM25" s="302">
        <f t="shared" si="8"/>
        <v>-34.56</v>
      </c>
      <c r="AN25" s="302">
        <f t="shared" si="9"/>
        <v>6.61</v>
      </c>
      <c r="AO25" s="462">
        <f>AO30*AO$10-AO22</f>
        <v>-21.585847318797903</v>
      </c>
      <c r="AP25" s="462">
        <f t="shared" ref="AP25:AU25" si="91">AP30*AP$10-AP22</f>
        <v>-21.327396652262394</v>
      </c>
      <c r="AQ25" s="462">
        <f t="shared" si="91"/>
        <v>-16.19747005887541</v>
      </c>
      <c r="AR25" s="462">
        <f t="shared" si="91"/>
        <v>-20.945546970499095</v>
      </c>
      <c r="AS25" s="462">
        <f t="shared" si="91"/>
        <v>-16.668636366645046</v>
      </c>
      <c r="AT25" s="462">
        <f t="shared" si="91"/>
        <v>-22.980021672250984</v>
      </c>
      <c r="AU25" s="463">
        <f t="shared" si="91"/>
        <v>-23.133650870719862</v>
      </c>
    </row>
    <row r="26" spans="1:47" s="16" customFormat="1" ht="11.5" outlineLevel="1" x14ac:dyDescent="0.25">
      <c r="A26" s="1"/>
      <c r="B26" s="1"/>
      <c r="C26" s="190" t="s">
        <v>80</v>
      </c>
      <c r="D26" s="130"/>
      <c r="E26" s="130"/>
      <c r="F26" s="130"/>
      <c r="G26" s="273">
        <f>'Historical-IS'!B28</f>
        <v>-1.57</v>
      </c>
      <c r="H26" s="273">
        <f>'Historical-IS'!C28</f>
        <v>0</v>
      </c>
      <c r="I26" s="273">
        <f>'Historical-IS'!D28</f>
        <v>0</v>
      </c>
      <c r="J26" s="273">
        <f>'Historical-IS'!E28</f>
        <v>0</v>
      </c>
      <c r="K26" s="273">
        <f>'Historical-IS'!F28</f>
        <v>2.4500000000000002</v>
      </c>
      <c r="L26" s="273">
        <f>'Historical-IS'!G28</f>
        <v>0</v>
      </c>
      <c r="M26" s="274"/>
      <c r="N26" s="274"/>
      <c r="O26" s="274"/>
      <c r="P26" s="274"/>
      <c r="Q26" s="274"/>
      <c r="R26" s="274"/>
      <c r="S26" s="196"/>
      <c r="T26" s="130"/>
      <c r="U26" s="301">
        <f t="shared" si="15"/>
        <v>-1.57</v>
      </c>
      <c r="V26" s="302">
        <f t="shared" ref="V26:V34" si="92">H26</f>
        <v>0</v>
      </c>
      <c r="W26" s="302">
        <f t="shared" ref="W26:W34" si="93">I26</f>
        <v>0</v>
      </c>
      <c r="X26" s="302">
        <f t="shared" ref="X26:X34" si="94">J26</f>
        <v>0</v>
      </c>
      <c r="Y26" s="302">
        <f t="shared" ref="Y26:Y34" si="95">K26</f>
        <v>2.4500000000000002</v>
      </c>
      <c r="Z26" s="302">
        <f t="shared" ref="Z26:Z34" si="96">L26</f>
        <v>0</v>
      </c>
      <c r="AA26" s="416"/>
      <c r="AB26" s="416"/>
      <c r="AC26" s="416"/>
      <c r="AD26" s="416"/>
      <c r="AE26" s="416"/>
      <c r="AF26" s="416"/>
      <c r="AG26" s="417"/>
      <c r="AH26" s="1"/>
      <c r="AI26" s="301">
        <f t="shared" si="17"/>
        <v>-1.57</v>
      </c>
      <c r="AJ26" s="302">
        <f t="shared" si="5"/>
        <v>0</v>
      </c>
      <c r="AK26" s="302">
        <f t="shared" si="6"/>
        <v>0</v>
      </c>
      <c r="AL26" s="302">
        <f t="shared" si="7"/>
        <v>0</v>
      </c>
      <c r="AM26" s="302">
        <f t="shared" si="8"/>
        <v>2.4500000000000002</v>
      </c>
      <c r="AN26" s="302">
        <f t="shared" si="9"/>
        <v>0</v>
      </c>
      <c r="AO26" s="462"/>
      <c r="AP26" s="462"/>
      <c r="AQ26" s="462"/>
      <c r="AR26" s="462"/>
      <c r="AS26" s="462"/>
      <c r="AT26" s="462"/>
      <c r="AU26" s="463"/>
    </row>
    <row r="27" spans="1:47" s="16" customFormat="1" ht="11.5" outlineLevel="1" x14ac:dyDescent="0.25">
      <c r="A27" s="1"/>
      <c r="B27" s="1"/>
      <c r="C27" s="190" t="s">
        <v>81</v>
      </c>
      <c r="D27" s="130"/>
      <c r="E27" s="130"/>
      <c r="F27" s="130"/>
      <c r="G27" s="273">
        <f>'Historical-IS'!B31</f>
        <v>-4.5999999999999996</v>
      </c>
      <c r="H27" s="273">
        <f>'Historical-IS'!C31</f>
        <v>3.6</v>
      </c>
      <c r="I27" s="273">
        <f>'Historical-IS'!D31</f>
        <v>5.0999999999999996</v>
      </c>
      <c r="J27" s="273">
        <f>'Historical-IS'!E31</f>
        <v>6.2</v>
      </c>
      <c r="K27" s="273">
        <f>'Historical-IS'!F31</f>
        <v>0</v>
      </c>
      <c r="L27" s="273">
        <f>'Historical-IS'!G31</f>
        <v>0</v>
      </c>
      <c r="M27" s="274"/>
      <c r="N27" s="274"/>
      <c r="O27" s="274"/>
      <c r="P27" s="274"/>
      <c r="Q27" s="274"/>
      <c r="R27" s="274"/>
      <c r="S27" s="196"/>
      <c r="T27" s="1"/>
      <c r="U27" s="301">
        <f t="shared" si="15"/>
        <v>-4.5999999999999996</v>
      </c>
      <c r="V27" s="302">
        <f t="shared" si="92"/>
        <v>3.6</v>
      </c>
      <c r="W27" s="302">
        <f t="shared" si="93"/>
        <v>5.0999999999999996</v>
      </c>
      <c r="X27" s="302">
        <f t="shared" si="94"/>
        <v>6.2</v>
      </c>
      <c r="Y27" s="302">
        <f t="shared" si="95"/>
        <v>0</v>
      </c>
      <c r="Z27" s="302">
        <f t="shared" si="96"/>
        <v>0</v>
      </c>
      <c r="AA27" s="416"/>
      <c r="AB27" s="416"/>
      <c r="AC27" s="416"/>
      <c r="AD27" s="416"/>
      <c r="AE27" s="416"/>
      <c r="AF27" s="416"/>
      <c r="AG27" s="417"/>
      <c r="AH27" s="1"/>
      <c r="AI27" s="301">
        <f t="shared" si="17"/>
        <v>-4.5999999999999996</v>
      </c>
      <c r="AJ27" s="302">
        <f t="shared" si="5"/>
        <v>3.6</v>
      </c>
      <c r="AK27" s="302">
        <f t="shared" si="6"/>
        <v>5.0999999999999996</v>
      </c>
      <c r="AL27" s="302">
        <f t="shared" si="7"/>
        <v>6.2</v>
      </c>
      <c r="AM27" s="302">
        <f t="shared" si="8"/>
        <v>0</v>
      </c>
      <c r="AN27" s="302">
        <f t="shared" si="9"/>
        <v>0</v>
      </c>
      <c r="AO27" s="462"/>
      <c r="AP27" s="462"/>
      <c r="AQ27" s="462"/>
      <c r="AR27" s="462"/>
      <c r="AS27" s="462"/>
      <c r="AT27" s="462"/>
      <c r="AU27" s="463"/>
    </row>
    <row r="28" spans="1:47" s="16" customFormat="1" ht="11.5" outlineLevel="1" x14ac:dyDescent="0.25">
      <c r="A28" s="1"/>
      <c r="B28" s="1"/>
      <c r="C28" s="190" t="s">
        <v>82</v>
      </c>
      <c r="D28" s="130"/>
      <c r="E28" s="130"/>
      <c r="F28" s="130"/>
      <c r="G28" s="273">
        <f>'Historical-IS'!B35</f>
        <v>13.65</v>
      </c>
      <c r="H28" s="273">
        <f>'Historical-IS'!C35</f>
        <v>-3.6</v>
      </c>
      <c r="I28" s="273">
        <f>'Historical-IS'!D35</f>
        <v>-5.0999999999999996</v>
      </c>
      <c r="J28" s="273">
        <f>'Historical-IS'!E35</f>
        <v>-6.2</v>
      </c>
      <c r="K28" s="273">
        <f>'Historical-IS'!F35</f>
        <v>0</v>
      </c>
      <c r="L28" s="273">
        <f>'Historical-IS'!G35</f>
        <v>0</v>
      </c>
      <c r="M28" s="274"/>
      <c r="N28" s="274"/>
      <c r="O28" s="274"/>
      <c r="P28" s="274"/>
      <c r="Q28" s="274"/>
      <c r="R28" s="274"/>
      <c r="S28" s="196"/>
      <c r="T28" s="1"/>
      <c r="U28" s="301">
        <f t="shared" si="15"/>
        <v>13.65</v>
      </c>
      <c r="V28" s="302">
        <f t="shared" si="92"/>
        <v>-3.6</v>
      </c>
      <c r="W28" s="302">
        <f t="shared" si="93"/>
        <v>-5.0999999999999996</v>
      </c>
      <c r="X28" s="302">
        <f t="shared" si="94"/>
        <v>-6.2</v>
      </c>
      <c r="Y28" s="302">
        <f t="shared" si="95"/>
        <v>0</v>
      </c>
      <c r="Z28" s="302">
        <f t="shared" si="96"/>
        <v>0</v>
      </c>
      <c r="AA28" s="416"/>
      <c r="AB28" s="416"/>
      <c r="AC28" s="416"/>
      <c r="AD28" s="416"/>
      <c r="AE28" s="416"/>
      <c r="AF28" s="416"/>
      <c r="AG28" s="417"/>
      <c r="AH28" s="1"/>
      <c r="AI28" s="301">
        <f t="shared" si="17"/>
        <v>13.65</v>
      </c>
      <c r="AJ28" s="302">
        <f t="shared" si="5"/>
        <v>-3.6</v>
      </c>
      <c r="AK28" s="302">
        <f t="shared" si="6"/>
        <v>-5.0999999999999996</v>
      </c>
      <c r="AL28" s="302">
        <f t="shared" si="7"/>
        <v>-6.2</v>
      </c>
      <c r="AM28" s="302">
        <f t="shared" si="8"/>
        <v>0</v>
      </c>
      <c r="AN28" s="302">
        <f t="shared" si="9"/>
        <v>0</v>
      </c>
      <c r="AO28" s="462"/>
      <c r="AP28" s="462"/>
      <c r="AQ28" s="462"/>
      <c r="AR28" s="462"/>
      <c r="AS28" s="462"/>
      <c r="AT28" s="462"/>
      <c r="AU28" s="463"/>
    </row>
    <row r="29" spans="1:47" s="16" customFormat="1" ht="11.5" outlineLevel="1" x14ac:dyDescent="0.25">
      <c r="A29" s="1"/>
      <c r="B29" s="1"/>
      <c r="C29" s="197" t="s">
        <v>83</v>
      </c>
      <c r="D29" s="173"/>
      <c r="E29" s="173"/>
      <c r="F29" s="173"/>
      <c r="G29" s="172">
        <f>G22+SUM(G25:G28)</f>
        <v>188.57000000000014</v>
      </c>
      <c r="H29" s="172">
        <f>H22+SUM(H25:H28)</f>
        <v>179.17999999999986</v>
      </c>
      <c r="I29" s="172">
        <f t="shared" ref="I29:M29" si="97">I22+SUM(I25:I28)</f>
        <v>229.84999999999985</v>
      </c>
      <c r="J29" s="172">
        <f t="shared" si="97"/>
        <v>178.72000000000006</v>
      </c>
      <c r="K29" s="172">
        <f t="shared" si="97"/>
        <v>339.06</v>
      </c>
      <c r="L29" s="172">
        <f t="shared" si="97"/>
        <v>403.49</v>
      </c>
      <c r="M29" s="171">
        <f t="shared" si="97"/>
        <v>356.74054036244388</v>
      </c>
      <c r="N29" s="171">
        <f t="shared" ref="N29" si="98">N22+SUM(N25:N28)</f>
        <v>393.80651513353331</v>
      </c>
      <c r="O29" s="171">
        <f t="shared" ref="O29" si="99">O22+SUM(O25:O28)</f>
        <v>434.72371041445092</v>
      </c>
      <c r="P29" s="171">
        <f t="shared" ref="P29" si="100">P22+SUM(P25:P28)</f>
        <v>479.89227484574695</v>
      </c>
      <c r="Q29" s="171">
        <f t="shared" ref="Q29:S29" si="101">Q22+SUM(Q25:Q28)</f>
        <v>529.75393322133027</v>
      </c>
      <c r="R29" s="171">
        <f t="shared" si="101"/>
        <v>584.79630632453143</v>
      </c>
      <c r="S29" s="193">
        <f t="shared" si="101"/>
        <v>645.55767960279343</v>
      </c>
      <c r="T29" s="1"/>
      <c r="U29" s="296">
        <f t="shared" si="15"/>
        <v>188.57000000000014</v>
      </c>
      <c r="V29" s="15">
        <f t="shared" si="92"/>
        <v>179.17999999999986</v>
      </c>
      <c r="W29" s="15">
        <f t="shared" si="93"/>
        <v>229.84999999999985</v>
      </c>
      <c r="X29" s="15">
        <f t="shared" si="94"/>
        <v>178.72000000000006</v>
      </c>
      <c r="Y29" s="15">
        <f t="shared" si="95"/>
        <v>339.06</v>
      </c>
      <c r="Z29" s="15">
        <f t="shared" si="96"/>
        <v>403.49</v>
      </c>
      <c r="AA29" s="418">
        <f t="shared" ref="AA29:AG29" si="102">AA22+SUM(AA25:AA28)</f>
        <v>356.74054036244388</v>
      </c>
      <c r="AB29" s="418">
        <f t="shared" si="102"/>
        <v>415.36686310511311</v>
      </c>
      <c r="AC29" s="418">
        <f t="shared" si="102"/>
        <v>476.88859761103026</v>
      </c>
      <c r="AD29" s="418">
        <f t="shared" si="102"/>
        <v>563.63471509329622</v>
      </c>
      <c r="AE29" s="418">
        <f t="shared" si="102"/>
        <v>622.29692909122377</v>
      </c>
      <c r="AF29" s="418">
        <f t="shared" si="102"/>
        <v>679.56028863964525</v>
      </c>
      <c r="AG29" s="419">
        <f t="shared" si="102"/>
        <v>772.74915816854832</v>
      </c>
      <c r="AH29" s="1"/>
      <c r="AI29" s="296">
        <f t="shared" si="17"/>
        <v>188.57000000000014</v>
      </c>
      <c r="AJ29" s="15">
        <f t="shared" si="5"/>
        <v>179.17999999999986</v>
      </c>
      <c r="AK29" s="15">
        <f t="shared" si="6"/>
        <v>229.84999999999985</v>
      </c>
      <c r="AL29" s="15">
        <f t="shared" si="7"/>
        <v>178.72000000000006</v>
      </c>
      <c r="AM29" s="15">
        <f t="shared" si="8"/>
        <v>339.06</v>
      </c>
      <c r="AN29" s="15">
        <f t="shared" si="9"/>
        <v>403.49</v>
      </c>
      <c r="AO29" s="464">
        <f t="shared" ref="AO29:AU29" si="103">AO22+SUM(AO25:AO28)</f>
        <v>345.78473139678982</v>
      </c>
      <c r="AP29" s="464">
        <f t="shared" si="103"/>
        <v>378.0239515934864</v>
      </c>
      <c r="AQ29" s="464">
        <f t="shared" si="103"/>
        <v>407.51024703128974</v>
      </c>
      <c r="AR29" s="464">
        <f t="shared" si="103"/>
        <v>452.22384006936466</v>
      </c>
      <c r="AS29" s="464">
        <f t="shared" si="103"/>
        <v>468.79989039198159</v>
      </c>
      <c r="AT29" s="464">
        <f t="shared" si="103"/>
        <v>480.67547043025553</v>
      </c>
      <c r="AU29" s="465">
        <f t="shared" si="103"/>
        <v>513.21179931135237</v>
      </c>
    </row>
    <row r="30" spans="1:47" s="13" customFormat="1" ht="11.5" outlineLevel="1" x14ac:dyDescent="0.25">
      <c r="A30" s="12"/>
      <c r="B30" s="12"/>
      <c r="C30" s="188" t="s">
        <v>74</v>
      </c>
      <c r="D30" s="266"/>
      <c r="E30" s="266"/>
      <c r="F30" s="266"/>
      <c r="G30" s="267">
        <f t="shared" ref="G30" si="104">IFERROR(G29/G$10,0)</f>
        <v>0.15847550214303732</v>
      </c>
      <c r="H30" s="267">
        <f t="shared" ref="H30:L30" si="105">IFERROR(H29/H$10,0)</f>
        <v>0.13989038614680752</v>
      </c>
      <c r="I30" s="267">
        <f t="shared" si="105"/>
        <v>0.15750486527971921</v>
      </c>
      <c r="J30" s="267">
        <f t="shared" si="105"/>
        <v>0.13382754876633349</v>
      </c>
      <c r="K30" s="267">
        <f t="shared" si="105"/>
        <v>0.20589146157069207</v>
      </c>
      <c r="L30" s="267">
        <f t="shared" si="105"/>
        <v>0.21204620462046206</v>
      </c>
      <c r="M30" s="268">
        <f>AVERAGE(H30:L30)</f>
        <v>0.16983209327680288</v>
      </c>
      <c r="N30" s="268">
        <f>M30</f>
        <v>0.16983209327680288</v>
      </c>
      <c r="O30" s="268">
        <f t="shared" ref="O30:Q30" si="106">N30</f>
        <v>0.16983209327680288</v>
      </c>
      <c r="P30" s="268">
        <f t="shared" si="106"/>
        <v>0.16983209327680288</v>
      </c>
      <c r="Q30" s="268">
        <f t="shared" si="106"/>
        <v>0.16983209327680288</v>
      </c>
      <c r="R30" s="268">
        <f t="shared" ref="R30" si="107">Q30</f>
        <v>0.16983209327680288</v>
      </c>
      <c r="S30" s="189">
        <f t="shared" ref="S30" si="108">R30</f>
        <v>0.16983209327680288</v>
      </c>
      <c r="T30" s="12"/>
      <c r="U30" s="297">
        <f t="shared" si="15"/>
        <v>0.15847550214303732</v>
      </c>
      <c r="V30" s="298">
        <f t="shared" si="92"/>
        <v>0.13989038614680752</v>
      </c>
      <c r="W30" s="298">
        <f t="shared" si="93"/>
        <v>0.15750486527971921</v>
      </c>
      <c r="X30" s="298">
        <f t="shared" si="94"/>
        <v>0.13382754876633349</v>
      </c>
      <c r="Y30" s="298">
        <f t="shared" si="95"/>
        <v>0.20589146157069207</v>
      </c>
      <c r="Z30" s="298">
        <f t="shared" si="96"/>
        <v>0.21204620462046206</v>
      </c>
      <c r="AA30" s="414">
        <f>AVERAGE(V30:Z30)</f>
        <v>0.16983209327680288</v>
      </c>
      <c r="AB30" s="414">
        <f t="shared" ref="AB30:AG30" si="109">AVERAGE(W30:AA30)</f>
        <v>0.17582043470280193</v>
      </c>
      <c r="AC30" s="414">
        <f t="shared" si="109"/>
        <v>0.1794835485874185</v>
      </c>
      <c r="AD30" s="414">
        <f t="shared" si="109"/>
        <v>0.18861474855163549</v>
      </c>
      <c r="AE30" s="414">
        <f t="shared" si="109"/>
        <v>0.18515940594782415</v>
      </c>
      <c r="AF30" s="414">
        <f t="shared" si="109"/>
        <v>0.17978204621329658</v>
      </c>
      <c r="AG30" s="415">
        <f t="shared" si="109"/>
        <v>0.18177203680059534</v>
      </c>
      <c r="AH30" s="12"/>
      <c r="AI30" s="297">
        <f t="shared" si="17"/>
        <v>0.15847550214303732</v>
      </c>
      <c r="AJ30" s="298">
        <f t="shared" si="5"/>
        <v>0.13989038614680752</v>
      </c>
      <c r="AK30" s="298">
        <f t="shared" si="6"/>
        <v>0.15750486527971921</v>
      </c>
      <c r="AL30" s="298">
        <f t="shared" si="7"/>
        <v>0.13382754876633349</v>
      </c>
      <c r="AM30" s="298">
        <f t="shared" si="8"/>
        <v>0.20589146157069207</v>
      </c>
      <c r="AN30" s="298">
        <f t="shared" si="9"/>
        <v>0.21204620462046206</v>
      </c>
      <c r="AO30" s="460">
        <f>AVERAGE(AJ30:AN30)</f>
        <v>0.16983209327680288</v>
      </c>
      <c r="AP30" s="460">
        <f t="shared" ref="AP30" si="110">AVERAGE(AK30:AO30)</f>
        <v>0.17582043470280193</v>
      </c>
      <c r="AQ30" s="460">
        <f t="shared" ref="AQ30" si="111">AVERAGE(AL30:AP30)</f>
        <v>0.1794835485874185</v>
      </c>
      <c r="AR30" s="460">
        <f t="shared" ref="AR30" si="112">AVERAGE(AM30:AQ30)</f>
        <v>0.18861474855163549</v>
      </c>
      <c r="AS30" s="460">
        <f t="shared" ref="AS30" si="113">AVERAGE(AN30:AR30)</f>
        <v>0.18515940594782415</v>
      </c>
      <c r="AT30" s="460">
        <f t="shared" ref="AT30" si="114">AVERAGE(AO30:AS30)</f>
        <v>0.17978204621329658</v>
      </c>
      <c r="AU30" s="461">
        <f t="shared" ref="AU30" si="115">AVERAGE(AP30:AT30)</f>
        <v>0.18177203680059534</v>
      </c>
    </row>
    <row r="31" spans="1:47" s="2" customFormat="1" ht="4.5" customHeight="1" outlineLevel="1" x14ac:dyDescent="0.3">
      <c r="A31" s="1"/>
      <c r="B31" s="1"/>
      <c r="C31" s="194"/>
      <c r="D31" s="130"/>
      <c r="E31" s="130"/>
      <c r="F31" s="130"/>
      <c r="G31" s="271"/>
      <c r="H31" s="271"/>
      <c r="I31" s="271"/>
      <c r="J31" s="271"/>
      <c r="K31" s="271"/>
      <c r="L31" s="271"/>
      <c r="M31" s="272"/>
      <c r="N31" s="272"/>
      <c r="O31" s="272"/>
      <c r="P31" s="272"/>
      <c r="Q31" s="272"/>
      <c r="R31" s="272"/>
      <c r="S31" s="195"/>
      <c r="T31" s="1"/>
      <c r="U31" s="299">
        <f t="shared" si="15"/>
        <v>0</v>
      </c>
      <c r="V31" s="300">
        <f t="shared" si="92"/>
        <v>0</v>
      </c>
      <c r="W31" s="300">
        <f t="shared" si="93"/>
        <v>0</v>
      </c>
      <c r="X31" s="300">
        <f t="shared" si="94"/>
        <v>0</v>
      </c>
      <c r="Y31" s="300">
        <f t="shared" si="95"/>
        <v>0</v>
      </c>
      <c r="Z31" s="300">
        <f t="shared" si="96"/>
        <v>0</v>
      </c>
      <c r="AA31" s="420"/>
      <c r="AB31" s="420"/>
      <c r="AC31" s="420"/>
      <c r="AD31" s="420"/>
      <c r="AE31" s="420"/>
      <c r="AF31" s="420"/>
      <c r="AG31" s="421"/>
      <c r="AH31" s="1"/>
      <c r="AI31" s="299">
        <f t="shared" si="17"/>
        <v>0</v>
      </c>
      <c r="AJ31" s="300">
        <f t="shared" si="5"/>
        <v>0</v>
      </c>
      <c r="AK31" s="300">
        <f t="shared" si="6"/>
        <v>0</v>
      </c>
      <c r="AL31" s="300">
        <f t="shared" si="7"/>
        <v>0</v>
      </c>
      <c r="AM31" s="300">
        <f t="shared" si="8"/>
        <v>0</v>
      </c>
      <c r="AN31" s="300">
        <f t="shared" si="9"/>
        <v>0</v>
      </c>
      <c r="AO31" s="466"/>
      <c r="AP31" s="466"/>
      <c r="AQ31" s="466"/>
      <c r="AR31" s="466"/>
      <c r="AS31" s="466"/>
      <c r="AT31" s="466"/>
      <c r="AU31" s="467"/>
    </row>
    <row r="32" spans="1:47" s="4" customFormat="1" ht="12" outlineLevel="1" x14ac:dyDescent="0.3">
      <c r="A32" s="3"/>
      <c r="B32" s="3"/>
      <c r="C32" s="190" t="s">
        <v>84</v>
      </c>
      <c r="D32" s="255"/>
      <c r="E32" s="255"/>
      <c r="F32" s="255"/>
      <c r="G32" s="273">
        <f>-'Historical-IS'!B43</f>
        <v>-52.78</v>
      </c>
      <c r="H32" s="273">
        <f>-'Historical-IS'!C43</f>
        <v>-52.95</v>
      </c>
      <c r="I32" s="273">
        <f>-'Historical-IS'!D43</f>
        <v>-69.28</v>
      </c>
      <c r="J32" s="273">
        <f>-'Historical-IS'!E43</f>
        <v>-55.3</v>
      </c>
      <c r="K32" s="273">
        <f>-'Historical-IS'!F43</f>
        <v>-101.53</v>
      </c>
      <c r="L32" s="273">
        <f>-'Historical-IS'!G43</f>
        <v>-107.58</v>
      </c>
      <c r="M32" s="270">
        <f>M34*M$10-M29</f>
        <v>-104.36056719430536</v>
      </c>
      <c r="N32" s="270">
        <f t="shared" ref="N32:Q32" si="116">N34*N$10-N29</f>
        <v>-115.20381519407192</v>
      </c>
      <c r="O32" s="270">
        <f t="shared" si="116"/>
        <v>-127.17369588993648</v>
      </c>
      <c r="P32" s="270">
        <f t="shared" si="116"/>
        <v>-140.38726841694279</v>
      </c>
      <c r="Q32" s="270">
        <f t="shared" si="116"/>
        <v>-154.97375456185301</v>
      </c>
      <c r="R32" s="270">
        <f t="shared" ref="R32:S32" si="117">R34*R$10-R29</f>
        <v>-171.07580248422983</v>
      </c>
      <c r="S32" s="191">
        <f t="shared" si="117"/>
        <v>-188.85088174038009</v>
      </c>
      <c r="T32" s="3"/>
      <c r="U32" s="301">
        <f t="shared" si="15"/>
        <v>-52.78</v>
      </c>
      <c r="V32" s="302">
        <f t="shared" si="92"/>
        <v>-52.95</v>
      </c>
      <c r="W32" s="302">
        <f t="shared" si="93"/>
        <v>-69.28</v>
      </c>
      <c r="X32" s="302">
        <f t="shared" si="94"/>
        <v>-55.3</v>
      </c>
      <c r="Y32" s="302">
        <f t="shared" si="95"/>
        <v>-101.53</v>
      </c>
      <c r="Z32" s="302">
        <f t="shared" si="96"/>
        <v>-107.58</v>
      </c>
      <c r="AA32" s="416">
        <f>AA34*AA$10-AA29</f>
        <v>-104.36056719430536</v>
      </c>
      <c r="AB32" s="416">
        <f t="shared" ref="AB32:AG32" si="118">AB34*AB$10-AB29</f>
        <v>-121.31450447925073</v>
      </c>
      <c r="AC32" s="416">
        <f t="shared" si="118"/>
        <v>-138.5004914331945</v>
      </c>
      <c r="AD32" s="416">
        <f t="shared" si="118"/>
        <v>-162.17429314545336</v>
      </c>
      <c r="AE32" s="416">
        <f t="shared" si="118"/>
        <v>-177.43168940482212</v>
      </c>
      <c r="AF32" s="416">
        <f t="shared" si="118"/>
        <v>-196.72446834959391</v>
      </c>
      <c r="AG32" s="417">
        <f t="shared" si="118"/>
        <v>-223.26092260221435</v>
      </c>
      <c r="AH32" s="3"/>
      <c r="AI32" s="301">
        <f t="shared" si="17"/>
        <v>-52.78</v>
      </c>
      <c r="AJ32" s="302">
        <f t="shared" si="5"/>
        <v>-52.95</v>
      </c>
      <c r="AK32" s="302">
        <f t="shared" si="6"/>
        <v>-69.28</v>
      </c>
      <c r="AL32" s="302">
        <f t="shared" si="7"/>
        <v>-55.3</v>
      </c>
      <c r="AM32" s="302">
        <f t="shared" si="8"/>
        <v>-101.53</v>
      </c>
      <c r="AN32" s="302">
        <f t="shared" si="9"/>
        <v>-107.58</v>
      </c>
      <c r="AO32" s="462">
        <f>AO34*AO$10-AO29</f>
        <v>-101.155564374703</v>
      </c>
      <c r="AP32" s="462">
        <f t="shared" ref="AP32:AU32" si="119">AP34*AP$10-AP29</f>
        <v>-110.40791272087284</v>
      </c>
      <c r="AQ32" s="462">
        <f t="shared" si="119"/>
        <v>-118.35126643965424</v>
      </c>
      <c r="AR32" s="462">
        <f t="shared" si="119"/>
        <v>-130.11810600529145</v>
      </c>
      <c r="AS32" s="462">
        <f t="shared" si="119"/>
        <v>-133.66602445960518</v>
      </c>
      <c r="AT32" s="462">
        <f t="shared" si="119"/>
        <v>-139.14972365200435</v>
      </c>
      <c r="AU32" s="463">
        <f t="shared" si="119"/>
        <v>-148.27598140146188</v>
      </c>
    </row>
    <row r="33" spans="1:47" s="4" customFormat="1" ht="12" outlineLevel="1" x14ac:dyDescent="0.3">
      <c r="A33" s="3"/>
      <c r="B33" s="3"/>
      <c r="C33" s="198" t="s">
        <v>85</v>
      </c>
      <c r="D33" s="170"/>
      <c r="E33" s="170"/>
      <c r="F33" s="170"/>
      <c r="G33" s="169">
        <f>G29+G32</f>
        <v>135.79000000000013</v>
      </c>
      <c r="H33" s="169">
        <f>H29+H32</f>
        <v>126.22999999999986</v>
      </c>
      <c r="I33" s="169">
        <f t="shared" ref="I33:Q33" si="120">I29+I32</f>
        <v>160.56999999999985</v>
      </c>
      <c r="J33" s="169">
        <f t="shared" si="120"/>
        <v>123.42000000000006</v>
      </c>
      <c r="K33" s="169">
        <f t="shared" si="120"/>
        <v>237.53</v>
      </c>
      <c r="L33" s="169">
        <f t="shared" si="120"/>
        <v>295.91000000000003</v>
      </c>
      <c r="M33" s="168">
        <f t="shared" si="120"/>
        <v>252.37997316813852</v>
      </c>
      <c r="N33" s="168">
        <f t="shared" si="120"/>
        <v>278.60269993946139</v>
      </c>
      <c r="O33" s="168">
        <f t="shared" si="120"/>
        <v>307.55001452451444</v>
      </c>
      <c r="P33" s="168">
        <f t="shared" si="120"/>
        <v>339.50500642880417</v>
      </c>
      <c r="Q33" s="168">
        <f t="shared" si="120"/>
        <v>374.78017865947726</v>
      </c>
      <c r="R33" s="168">
        <f t="shared" ref="R33:S33" si="121">R29+R32</f>
        <v>413.7205038403016</v>
      </c>
      <c r="S33" s="199">
        <f t="shared" si="121"/>
        <v>456.70679786241334</v>
      </c>
      <c r="T33" s="3"/>
      <c r="U33" s="303">
        <f t="shared" si="15"/>
        <v>135.79000000000013</v>
      </c>
      <c r="V33" s="18">
        <f t="shared" si="92"/>
        <v>126.22999999999986</v>
      </c>
      <c r="W33" s="18">
        <f t="shared" si="93"/>
        <v>160.56999999999985</v>
      </c>
      <c r="X33" s="18">
        <f t="shared" si="94"/>
        <v>123.42000000000006</v>
      </c>
      <c r="Y33" s="18">
        <f t="shared" si="95"/>
        <v>237.53</v>
      </c>
      <c r="Z33" s="18">
        <f t="shared" si="96"/>
        <v>295.91000000000003</v>
      </c>
      <c r="AA33" s="422">
        <f t="shared" ref="AA33:AG33" si="122">AA29+AA32</f>
        <v>252.37997316813852</v>
      </c>
      <c r="AB33" s="422">
        <f t="shared" si="122"/>
        <v>294.05235862586238</v>
      </c>
      <c r="AC33" s="422">
        <f t="shared" si="122"/>
        <v>338.38810617783577</v>
      </c>
      <c r="AD33" s="422">
        <f t="shared" si="122"/>
        <v>401.46042194784286</v>
      </c>
      <c r="AE33" s="422">
        <f t="shared" si="122"/>
        <v>444.86523968640165</v>
      </c>
      <c r="AF33" s="422">
        <f t="shared" si="122"/>
        <v>482.83582029005134</v>
      </c>
      <c r="AG33" s="423">
        <f t="shared" si="122"/>
        <v>549.48823556633397</v>
      </c>
      <c r="AH33" s="3"/>
      <c r="AI33" s="303">
        <f t="shared" si="17"/>
        <v>135.79000000000013</v>
      </c>
      <c r="AJ33" s="18">
        <f t="shared" si="5"/>
        <v>126.22999999999986</v>
      </c>
      <c r="AK33" s="18">
        <f t="shared" si="6"/>
        <v>160.56999999999985</v>
      </c>
      <c r="AL33" s="18">
        <f t="shared" si="7"/>
        <v>123.42000000000006</v>
      </c>
      <c r="AM33" s="18">
        <f t="shared" si="8"/>
        <v>237.53</v>
      </c>
      <c r="AN33" s="18">
        <f t="shared" si="9"/>
        <v>295.91000000000003</v>
      </c>
      <c r="AO33" s="468">
        <f t="shared" ref="AO33:AU33" si="123">AO29+AO32</f>
        <v>244.62916702208682</v>
      </c>
      <c r="AP33" s="468">
        <f t="shared" si="123"/>
        <v>267.61603887261356</v>
      </c>
      <c r="AQ33" s="468">
        <f t="shared" si="123"/>
        <v>289.1589805916355</v>
      </c>
      <c r="AR33" s="468">
        <f t="shared" si="123"/>
        <v>322.1057340640732</v>
      </c>
      <c r="AS33" s="468">
        <f t="shared" si="123"/>
        <v>335.13386593237641</v>
      </c>
      <c r="AT33" s="468">
        <f t="shared" si="123"/>
        <v>341.52574677825118</v>
      </c>
      <c r="AU33" s="469">
        <f t="shared" si="123"/>
        <v>364.93581790989049</v>
      </c>
    </row>
    <row r="34" spans="1:47" s="13" customFormat="1" ht="11.5" outlineLevel="1" x14ac:dyDescent="0.25">
      <c r="A34" s="12"/>
      <c r="B34" s="12"/>
      <c r="C34" s="200" t="s">
        <v>74</v>
      </c>
      <c r="D34" s="201"/>
      <c r="E34" s="201"/>
      <c r="F34" s="201"/>
      <c r="G34" s="202">
        <f t="shared" ref="G34:H34" si="124">IFERROR(G33/G$10,0)</f>
        <v>0.11411883351542157</v>
      </c>
      <c r="H34" s="202">
        <f t="shared" si="124"/>
        <v>9.8550973564636157E-2</v>
      </c>
      <c r="I34" s="202">
        <f t="shared" ref="I34:L34" si="125">IFERROR(I33/I$10,0)</f>
        <v>0.11003069922977815</v>
      </c>
      <c r="J34" s="202">
        <f t="shared" si="125"/>
        <v>9.2418285971021044E-2</v>
      </c>
      <c r="K34" s="202">
        <f t="shared" si="125"/>
        <v>0.14423818458941334</v>
      </c>
      <c r="L34" s="202">
        <f t="shared" si="125"/>
        <v>0.1555096592461794</v>
      </c>
      <c r="M34" s="203">
        <f>AVERAGE(H34:L34)</f>
        <v>0.12014956052020562</v>
      </c>
      <c r="N34" s="203">
        <f>M34</f>
        <v>0.12014956052020562</v>
      </c>
      <c r="O34" s="203">
        <f t="shared" ref="O34:Q34" si="126">N34</f>
        <v>0.12014956052020562</v>
      </c>
      <c r="P34" s="203">
        <f t="shared" si="126"/>
        <v>0.12014956052020562</v>
      </c>
      <c r="Q34" s="203">
        <f t="shared" si="126"/>
        <v>0.12014956052020562</v>
      </c>
      <c r="R34" s="203">
        <f t="shared" ref="R34" si="127">Q34</f>
        <v>0.12014956052020562</v>
      </c>
      <c r="S34" s="204">
        <f t="shared" ref="S34" si="128">R34</f>
        <v>0.12014956052020562</v>
      </c>
      <c r="T34" s="12"/>
      <c r="U34" s="304">
        <f t="shared" si="15"/>
        <v>0.11411883351542157</v>
      </c>
      <c r="V34" s="305">
        <f t="shared" si="92"/>
        <v>9.8550973564636157E-2</v>
      </c>
      <c r="W34" s="305">
        <f t="shared" si="93"/>
        <v>0.11003069922977815</v>
      </c>
      <c r="X34" s="305">
        <f t="shared" si="94"/>
        <v>9.2418285971021044E-2</v>
      </c>
      <c r="Y34" s="305">
        <f t="shared" si="95"/>
        <v>0.14423818458941334</v>
      </c>
      <c r="Z34" s="305">
        <f t="shared" si="96"/>
        <v>0.1555096592461794</v>
      </c>
      <c r="AA34" s="424">
        <f>AVERAGE(V34:Z34)</f>
        <v>0.12014956052020562</v>
      </c>
      <c r="AB34" s="424">
        <f t="shared" ref="AB34:AG34" si="129">AVERAGE(W34:AA34)</f>
        <v>0.12446927791131952</v>
      </c>
      <c r="AC34" s="424">
        <f t="shared" si="129"/>
        <v>0.12735699364762781</v>
      </c>
      <c r="AD34" s="424">
        <f t="shared" si="129"/>
        <v>0.13434473518294915</v>
      </c>
      <c r="AE34" s="424">
        <f t="shared" si="129"/>
        <v>0.13236604530165633</v>
      </c>
      <c r="AF34" s="424">
        <f t="shared" si="129"/>
        <v>0.12773732251275166</v>
      </c>
      <c r="AG34" s="425">
        <f t="shared" si="129"/>
        <v>0.12925487491126089</v>
      </c>
      <c r="AH34" s="12"/>
      <c r="AI34" s="304">
        <f t="shared" si="17"/>
        <v>0.11411883351542157</v>
      </c>
      <c r="AJ34" s="305">
        <f t="shared" si="5"/>
        <v>9.8550973564636157E-2</v>
      </c>
      <c r="AK34" s="305">
        <f t="shared" si="6"/>
        <v>0.11003069922977815</v>
      </c>
      <c r="AL34" s="305">
        <f t="shared" si="7"/>
        <v>9.2418285971021044E-2</v>
      </c>
      <c r="AM34" s="305">
        <f t="shared" si="8"/>
        <v>0.14423818458941334</v>
      </c>
      <c r="AN34" s="305">
        <f t="shared" si="9"/>
        <v>0.1555096592461794</v>
      </c>
      <c r="AO34" s="470">
        <f>AVERAGE(AJ34:AN34)</f>
        <v>0.12014956052020562</v>
      </c>
      <c r="AP34" s="470">
        <f t="shared" ref="AP34" si="130">AVERAGE(AK34:AO34)</f>
        <v>0.12446927791131952</v>
      </c>
      <c r="AQ34" s="470">
        <f t="shared" ref="AQ34" si="131">AVERAGE(AL34:AP34)</f>
        <v>0.12735699364762781</v>
      </c>
      <c r="AR34" s="470">
        <f t="shared" ref="AR34" si="132">AVERAGE(AM34:AQ34)</f>
        <v>0.13434473518294915</v>
      </c>
      <c r="AS34" s="470">
        <f t="shared" ref="AS34" si="133">AVERAGE(AN34:AR34)</f>
        <v>0.13236604530165633</v>
      </c>
      <c r="AT34" s="470">
        <f t="shared" ref="AT34" si="134">AVERAGE(AO34:AS34)</f>
        <v>0.12773732251275166</v>
      </c>
      <c r="AU34" s="471">
        <f t="shared" ref="AU34" si="135">AVERAGE(AP34:AT34)</f>
        <v>0.12925487491126089</v>
      </c>
    </row>
    <row r="35" spans="1:47" s="4" customFormat="1" ht="4.5" customHeight="1" outlineLevel="1" x14ac:dyDescent="0.3">
      <c r="A35" s="3"/>
      <c r="B35" s="3"/>
      <c r="C35" s="9"/>
      <c r="D35" s="9"/>
      <c r="E35" s="9"/>
      <c r="F35" s="9"/>
      <c r="G35" s="6"/>
      <c r="H35" s="6"/>
      <c r="I35" s="6"/>
      <c r="J35" s="6"/>
      <c r="K35" s="6"/>
      <c r="L35" s="6"/>
      <c r="M35" s="25"/>
      <c r="N35" s="25"/>
      <c r="O35" s="25"/>
      <c r="P35" s="25"/>
      <c r="Q35" s="25"/>
      <c r="R35" s="25"/>
      <c r="S35" s="25"/>
      <c r="T35" s="3"/>
      <c r="U35" s="3"/>
      <c r="V35" s="3"/>
      <c r="W35" s="3"/>
      <c r="X35" s="3"/>
      <c r="Y35" s="3"/>
      <c r="Z35" s="3"/>
      <c r="AA35" s="6"/>
      <c r="AB35" s="6"/>
      <c r="AC35" s="6"/>
      <c r="AD35" s="6"/>
      <c r="AE35" s="6"/>
      <c r="AF35" s="6"/>
      <c r="AG35" s="6"/>
      <c r="AH35" s="3"/>
      <c r="AI35" s="3"/>
      <c r="AJ35" s="3"/>
      <c r="AK35" s="3"/>
      <c r="AL35" s="3"/>
      <c r="AM35" s="3"/>
      <c r="AN35" s="3"/>
      <c r="AO35" s="6"/>
      <c r="AP35" s="6"/>
      <c r="AQ35" s="6"/>
      <c r="AR35" s="6"/>
      <c r="AS35" s="6"/>
      <c r="AT35" s="6"/>
      <c r="AU35" s="6"/>
    </row>
    <row r="36" spans="1:47" ht="14.5" x14ac:dyDescent="0.35"/>
    <row r="37" spans="1:47" ht="14.5" hidden="1" x14ac:dyDescent="0.35">
      <c r="M37" s="26"/>
      <c r="N37" s="26"/>
      <c r="O37" s="26"/>
      <c r="P37" s="26"/>
      <c r="Q37" s="26"/>
      <c r="R37" s="26"/>
      <c r="S37" s="26"/>
    </row>
    <row r="38" spans="1:47" ht="14.5" hidden="1" x14ac:dyDescent="0.35">
      <c r="G38" s="24"/>
      <c r="H38" s="24"/>
      <c r="I38" s="24"/>
      <c r="J38" s="24"/>
      <c r="K38" s="24"/>
      <c r="L38" s="24"/>
    </row>
    <row r="39" spans="1:47" ht="14.5" hidden="1" x14ac:dyDescent="0.35">
      <c r="G39" s="24"/>
      <c r="H39" s="24"/>
      <c r="I39" s="24"/>
      <c r="J39" s="24"/>
      <c r="K39" s="24"/>
      <c r="L39" s="24"/>
    </row>
    <row r="40" spans="1:47" ht="14.5" x14ac:dyDescent="0.35"/>
    <row r="41" spans="1:47" ht="14.5" x14ac:dyDescent="0.35">
      <c r="A41" s="8" t="s">
        <v>3</v>
      </c>
      <c r="B41" s="362"/>
      <c r="C41" s="309" t="s">
        <v>86</v>
      </c>
      <c r="D41" s="310"/>
      <c r="E41" s="310"/>
      <c r="F41" s="310"/>
      <c r="G41" s="310" t="s">
        <v>64</v>
      </c>
      <c r="H41" s="310" t="s">
        <v>65</v>
      </c>
      <c r="I41" s="310" t="s">
        <v>66</v>
      </c>
      <c r="J41" s="310" t="s">
        <v>67</v>
      </c>
      <c r="K41" s="310" t="s">
        <v>68</v>
      </c>
      <c r="L41" s="310" t="s">
        <v>15</v>
      </c>
      <c r="M41" s="310" t="s">
        <v>16</v>
      </c>
      <c r="N41" s="310" t="s">
        <v>17</v>
      </c>
      <c r="O41" s="310" t="s">
        <v>18</v>
      </c>
      <c r="P41" s="310" t="s">
        <v>19</v>
      </c>
      <c r="Q41" s="310" t="s">
        <v>20</v>
      </c>
      <c r="R41" s="310"/>
      <c r="S41" s="311"/>
      <c r="U41" s="350" t="s">
        <v>64</v>
      </c>
      <c r="V41" s="351" t="s">
        <v>65</v>
      </c>
      <c r="W41" s="351" t="s">
        <v>66</v>
      </c>
      <c r="X41" s="351" t="s">
        <v>67</v>
      </c>
      <c r="Y41" s="351" t="s">
        <v>68</v>
      </c>
      <c r="Z41" s="351" t="s">
        <v>15</v>
      </c>
      <c r="AA41" s="351" t="s">
        <v>16</v>
      </c>
      <c r="AB41" s="351" t="s">
        <v>17</v>
      </c>
      <c r="AC41" s="351" t="s">
        <v>18</v>
      </c>
      <c r="AD41" s="351" t="s">
        <v>19</v>
      </c>
      <c r="AE41" s="351" t="s">
        <v>20</v>
      </c>
      <c r="AF41" s="351" t="s">
        <v>21</v>
      </c>
      <c r="AG41" s="352" t="s">
        <v>22</v>
      </c>
      <c r="AI41" s="359" t="s">
        <v>64</v>
      </c>
      <c r="AJ41" s="360" t="s">
        <v>65</v>
      </c>
      <c r="AK41" s="360" t="s">
        <v>66</v>
      </c>
      <c r="AL41" s="360" t="s">
        <v>67</v>
      </c>
      <c r="AM41" s="360" t="s">
        <v>68</v>
      </c>
      <c r="AN41" s="360" t="s">
        <v>15</v>
      </c>
      <c r="AO41" s="360" t="s">
        <v>16</v>
      </c>
      <c r="AP41" s="360" t="s">
        <v>17</v>
      </c>
      <c r="AQ41" s="360" t="s">
        <v>18</v>
      </c>
      <c r="AR41" s="360" t="s">
        <v>19</v>
      </c>
      <c r="AS41" s="360" t="s">
        <v>20</v>
      </c>
      <c r="AT41" s="360" t="s">
        <v>21</v>
      </c>
      <c r="AU41" s="361" t="s">
        <v>22</v>
      </c>
    </row>
    <row r="42" spans="1:47" ht="14.5" x14ac:dyDescent="0.35">
      <c r="B42" s="363">
        <v>1</v>
      </c>
      <c r="C42" s="312" t="s">
        <v>87</v>
      </c>
      <c r="D42" s="3"/>
      <c r="E42" s="3"/>
      <c r="F42" s="3"/>
      <c r="G42" s="3">
        <f>'Historical-BS'!B43</f>
        <v>58.7</v>
      </c>
      <c r="H42" s="3">
        <f>'Historical-BS'!C43</f>
        <v>62.63</v>
      </c>
      <c r="I42" s="3">
        <f>'Historical-BS'!D43</f>
        <v>116.75</v>
      </c>
      <c r="J42" s="3">
        <f>'Historical-BS'!E43</f>
        <v>135.26</v>
      </c>
      <c r="K42" s="3">
        <f>'Historical-BS'!F43</f>
        <v>199.56</v>
      </c>
      <c r="L42" s="3">
        <f>'Historical-BS'!G43</f>
        <v>236.15</v>
      </c>
      <c r="M42" s="366"/>
      <c r="N42" s="366"/>
      <c r="O42" s="366"/>
      <c r="P42" s="366"/>
      <c r="Q42" s="366"/>
      <c r="R42" s="366"/>
      <c r="S42" s="367"/>
      <c r="U42" s="275">
        <f>G42</f>
        <v>58.7</v>
      </c>
      <c r="V42" s="3">
        <f t="shared" ref="V42:Z46" si="136">H42</f>
        <v>62.63</v>
      </c>
      <c r="W42" s="3">
        <f t="shared" si="136"/>
        <v>116.75</v>
      </c>
      <c r="X42" s="3">
        <f t="shared" si="136"/>
        <v>135.26</v>
      </c>
      <c r="Y42" s="3">
        <f t="shared" si="136"/>
        <v>199.56</v>
      </c>
      <c r="Z42" s="3">
        <f t="shared" si="136"/>
        <v>236.15</v>
      </c>
      <c r="AA42" s="366"/>
      <c r="AB42" s="366"/>
      <c r="AC42" s="366"/>
      <c r="AD42" s="366"/>
      <c r="AE42" s="366"/>
      <c r="AF42" s="366"/>
      <c r="AG42" s="367"/>
      <c r="AI42" s="275">
        <f>U42</f>
        <v>58.7</v>
      </c>
      <c r="AJ42" s="3">
        <f t="shared" ref="AJ42:AJ46" si="137">V42</f>
        <v>62.63</v>
      </c>
      <c r="AK42" s="3">
        <f t="shared" ref="AK42:AK46" si="138">W42</f>
        <v>116.75</v>
      </c>
      <c r="AL42" s="3">
        <f t="shared" ref="AL42:AL46" si="139">X42</f>
        <v>135.26</v>
      </c>
      <c r="AM42" s="3">
        <f t="shared" ref="AM42:AM46" si="140">Y42</f>
        <v>199.56</v>
      </c>
      <c r="AN42" s="3">
        <f t="shared" ref="AN42:AN46" si="141">Z42</f>
        <v>236.15</v>
      </c>
      <c r="AO42" s="313"/>
      <c r="AP42" s="313"/>
      <c r="AQ42" s="313"/>
      <c r="AR42" s="313"/>
      <c r="AS42" s="313"/>
      <c r="AT42" s="313"/>
      <c r="AU42" s="314"/>
    </row>
    <row r="43" spans="1:47" ht="14.5" x14ac:dyDescent="0.35">
      <c r="B43" s="363">
        <v>2</v>
      </c>
      <c r="C43" s="312" t="s">
        <v>88</v>
      </c>
      <c r="D43" s="3"/>
      <c r="E43" s="3"/>
      <c r="F43" s="3"/>
      <c r="G43" s="3">
        <f>'Historical-BS'!B37+'Historical-BS'!B39+'Historical-BS'!B40</f>
        <v>33.870000000000005</v>
      </c>
      <c r="H43" s="3">
        <f>'Historical-BS'!C37+'Historical-BS'!C39+'Historical-BS'!C40</f>
        <v>9.4099999999999984</v>
      </c>
      <c r="I43" s="3">
        <f>'Historical-BS'!D37+'Historical-BS'!D39+'Historical-BS'!D40</f>
        <v>16.130000000000003</v>
      </c>
      <c r="J43" s="3">
        <f>'Historical-BS'!E37+'Historical-BS'!E39+'Historical-BS'!E40</f>
        <v>13.34</v>
      </c>
      <c r="K43" s="3">
        <f>'Historical-BS'!F37+'Historical-BS'!F39+'Historical-BS'!F40</f>
        <v>15.899999999999999</v>
      </c>
      <c r="L43" s="3">
        <f>'Historical-BS'!G37+'Historical-BS'!G39+'Historical-BS'!G40</f>
        <v>19.46</v>
      </c>
      <c r="M43" s="366"/>
      <c r="N43" s="366"/>
      <c r="O43" s="366"/>
      <c r="P43" s="366"/>
      <c r="Q43" s="366"/>
      <c r="R43" s="366"/>
      <c r="S43" s="367"/>
      <c r="U43" s="275">
        <f t="shared" ref="U43:U46" si="142">G43</f>
        <v>33.870000000000005</v>
      </c>
      <c r="V43" s="3">
        <f t="shared" si="136"/>
        <v>9.4099999999999984</v>
      </c>
      <c r="W43" s="3">
        <f t="shared" si="136"/>
        <v>16.130000000000003</v>
      </c>
      <c r="X43" s="3">
        <f t="shared" si="136"/>
        <v>13.34</v>
      </c>
      <c r="Y43" s="3">
        <f t="shared" si="136"/>
        <v>15.899999999999999</v>
      </c>
      <c r="Z43" s="3">
        <f t="shared" si="136"/>
        <v>19.46</v>
      </c>
      <c r="AA43" s="366"/>
      <c r="AB43" s="366"/>
      <c r="AC43" s="366"/>
      <c r="AD43" s="366"/>
      <c r="AE43" s="366"/>
      <c r="AF43" s="366"/>
      <c r="AG43" s="367"/>
      <c r="AI43" s="275">
        <f t="shared" ref="AI43:AI46" si="143">U43</f>
        <v>33.870000000000005</v>
      </c>
      <c r="AJ43" s="3">
        <f t="shared" si="137"/>
        <v>9.4099999999999984</v>
      </c>
      <c r="AK43" s="3">
        <f t="shared" si="138"/>
        <v>16.130000000000003</v>
      </c>
      <c r="AL43" s="3">
        <f t="shared" si="139"/>
        <v>13.34</v>
      </c>
      <c r="AM43" s="3">
        <f t="shared" si="140"/>
        <v>15.899999999999999</v>
      </c>
      <c r="AN43" s="3">
        <f t="shared" si="141"/>
        <v>19.46</v>
      </c>
      <c r="AO43" s="366"/>
      <c r="AP43" s="366"/>
      <c r="AQ43" s="366"/>
      <c r="AR43" s="366"/>
      <c r="AS43" s="366"/>
      <c r="AT43" s="366"/>
      <c r="AU43" s="367"/>
    </row>
    <row r="44" spans="1:47" ht="14.5" x14ac:dyDescent="0.35">
      <c r="B44" s="363">
        <v>3</v>
      </c>
      <c r="C44" s="312" t="s">
        <v>89</v>
      </c>
      <c r="D44" s="3"/>
      <c r="E44" s="3"/>
      <c r="F44" s="3"/>
      <c r="G44" s="3">
        <f>'Historical-BS'!B67</f>
        <v>174.31</v>
      </c>
      <c r="H44" s="3">
        <f>'Historical-BS'!C67</f>
        <v>185.64</v>
      </c>
      <c r="I44" s="3">
        <f>'Historical-BS'!D67</f>
        <v>338.09</v>
      </c>
      <c r="J44" s="3">
        <f>'Historical-BS'!E67</f>
        <v>326.51</v>
      </c>
      <c r="K44" s="3">
        <f>'Historical-BS'!F67</f>
        <v>328.71</v>
      </c>
      <c r="L44" s="3">
        <f>'Historical-BS'!G67</f>
        <v>429.65</v>
      </c>
      <c r="M44" s="366"/>
      <c r="N44" s="366"/>
      <c r="O44" s="366"/>
      <c r="P44" s="366"/>
      <c r="Q44" s="366"/>
      <c r="R44" s="366"/>
      <c r="S44" s="367"/>
      <c r="U44" s="275">
        <f t="shared" si="142"/>
        <v>174.31</v>
      </c>
      <c r="V44" s="3">
        <f t="shared" si="136"/>
        <v>185.64</v>
      </c>
      <c r="W44" s="3">
        <f t="shared" si="136"/>
        <v>338.09</v>
      </c>
      <c r="X44" s="3">
        <f t="shared" si="136"/>
        <v>326.51</v>
      </c>
      <c r="Y44" s="3">
        <f t="shared" si="136"/>
        <v>328.71</v>
      </c>
      <c r="Z44" s="3">
        <f t="shared" si="136"/>
        <v>429.65</v>
      </c>
      <c r="AA44" s="366"/>
      <c r="AB44" s="366"/>
      <c r="AC44" s="366"/>
      <c r="AD44" s="366"/>
      <c r="AE44" s="366"/>
      <c r="AF44" s="366"/>
      <c r="AG44" s="367"/>
      <c r="AI44" s="275">
        <f t="shared" si="143"/>
        <v>174.31</v>
      </c>
      <c r="AJ44" s="3">
        <f t="shared" si="137"/>
        <v>185.64</v>
      </c>
      <c r="AK44" s="3">
        <f t="shared" si="138"/>
        <v>338.09</v>
      </c>
      <c r="AL44" s="3">
        <f t="shared" si="139"/>
        <v>326.51</v>
      </c>
      <c r="AM44" s="3">
        <f t="shared" si="140"/>
        <v>328.71</v>
      </c>
      <c r="AN44" s="3">
        <f t="shared" si="141"/>
        <v>429.65</v>
      </c>
      <c r="AO44" s="366"/>
      <c r="AP44" s="366"/>
      <c r="AQ44" s="366"/>
      <c r="AR44" s="366"/>
      <c r="AS44" s="366"/>
      <c r="AT44" s="366"/>
      <c r="AU44" s="367"/>
    </row>
    <row r="45" spans="1:47" ht="14.5" x14ac:dyDescent="0.35">
      <c r="B45" s="363">
        <v>4</v>
      </c>
      <c r="C45" s="312" t="s">
        <v>90</v>
      </c>
      <c r="D45" s="3"/>
      <c r="E45" s="3"/>
      <c r="F45" s="3"/>
      <c r="G45" s="3">
        <f>'Historical-BS'!B68</f>
        <v>68.489999999999995</v>
      </c>
      <c r="H45" s="3">
        <f>'Historical-BS'!C68</f>
        <v>74.09</v>
      </c>
      <c r="I45" s="3">
        <f>'Historical-BS'!D68</f>
        <v>144.34</v>
      </c>
      <c r="J45" s="3">
        <f>'Historical-BS'!E68</f>
        <v>145.22</v>
      </c>
      <c r="K45" s="3">
        <f>'Historical-BS'!F68</f>
        <v>153.69999999999999</v>
      </c>
      <c r="L45" s="3">
        <f>'Historical-BS'!G68</f>
        <v>240.43</v>
      </c>
      <c r="M45" s="366"/>
      <c r="N45" s="366"/>
      <c r="O45" s="366"/>
      <c r="P45" s="366"/>
      <c r="Q45" s="366"/>
      <c r="R45" s="366"/>
      <c r="S45" s="367"/>
      <c r="U45" s="275">
        <f t="shared" si="142"/>
        <v>68.489999999999995</v>
      </c>
      <c r="V45" s="3">
        <f t="shared" si="136"/>
        <v>74.09</v>
      </c>
      <c r="W45" s="3">
        <f t="shared" si="136"/>
        <v>144.34</v>
      </c>
      <c r="X45" s="3">
        <f t="shared" si="136"/>
        <v>145.22</v>
      </c>
      <c r="Y45" s="3">
        <f t="shared" si="136"/>
        <v>153.69999999999999</v>
      </c>
      <c r="Z45" s="3">
        <f t="shared" si="136"/>
        <v>240.43</v>
      </c>
      <c r="AA45" s="366"/>
      <c r="AB45" s="366"/>
      <c r="AC45" s="366"/>
      <c r="AD45" s="366"/>
      <c r="AE45" s="366"/>
      <c r="AF45" s="366"/>
      <c r="AG45" s="367"/>
      <c r="AI45" s="275">
        <f t="shared" si="143"/>
        <v>68.489999999999995</v>
      </c>
      <c r="AJ45" s="3">
        <f t="shared" si="137"/>
        <v>74.09</v>
      </c>
      <c r="AK45" s="3">
        <f t="shared" si="138"/>
        <v>144.34</v>
      </c>
      <c r="AL45" s="3">
        <f t="shared" si="139"/>
        <v>145.22</v>
      </c>
      <c r="AM45" s="3">
        <f t="shared" si="140"/>
        <v>153.69999999999999</v>
      </c>
      <c r="AN45" s="3">
        <f t="shared" si="141"/>
        <v>240.43</v>
      </c>
      <c r="AO45" s="366"/>
      <c r="AP45" s="366"/>
      <c r="AQ45" s="366"/>
      <c r="AR45" s="366"/>
      <c r="AS45" s="366"/>
      <c r="AT45" s="366"/>
      <c r="AU45" s="367"/>
    </row>
    <row r="46" spans="1:47" ht="14.5" x14ac:dyDescent="0.35">
      <c r="B46" s="363">
        <v>5</v>
      </c>
      <c r="C46" s="312" t="s">
        <v>91</v>
      </c>
      <c r="D46" s="3"/>
      <c r="E46" s="3"/>
      <c r="F46" s="3"/>
      <c r="G46" s="3">
        <f>'Historical-BS'!B62</f>
        <v>79.86</v>
      </c>
      <c r="H46" s="3">
        <f>'Historical-BS'!C62</f>
        <v>79.23</v>
      </c>
      <c r="I46" s="3">
        <f>'Historical-BS'!D62</f>
        <v>102.48</v>
      </c>
      <c r="J46" s="3">
        <f>'Historical-BS'!E62</f>
        <v>100.77</v>
      </c>
      <c r="K46" s="3">
        <f>'Historical-BS'!F62</f>
        <v>94.08</v>
      </c>
      <c r="L46" s="3">
        <f>'Historical-BS'!G62</f>
        <v>105.29</v>
      </c>
      <c r="M46" s="366"/>
      <c r="N46" s="366"/>
      <c r="O46" s="366"/>
      <c r="P46" s="366"/>
      <c r="Q46" s="366"/>
      <c r="R46" s="366"/>
      <c r="S46" s="367"/>
      <c r="U46" s="275">
        <f t="shared" si="142"/>
        <v>79.86</v>
      </c>
      <c r="V46" s="3">
        <f t="shared" si="136"/>
        <v>79.23</v>
      </c>
      <c r="W46" s="3">
        <f t="shared" si="136"/>
        <v>102.48</v>
      </c>
      <c r="X46" s="3">
        <f t="shared" si="136"/>
        <v>100.77</v>
      </c>
      <c r="Y46" s="3">
        <f t="shared" si="136"/>
        <v>94.08</v>
      </c>
      <c r="Z46" s="3">
        <f t="shared" si="136"/>
        <v>105.29</v>
      </c>
      <c r="AA46" s="366"/>
      <c r="AB46" s="366"/>
      <c r="AC46" s="366"/>
      <c r="AD46" s="366"/>
      <c r="AE46" s="366"/>
      <c r="AF46" s="366"/>
      <c r="AG46" s="367"/>
      <c r="AI46" s="275">
        <f t="shared" si="143"/>
        <v>79.86</v>
      </c>
      <c r="AJ46" s="3">
        <f t="shared" si="137"/>
        <v>79.23</v>
      </c>
      <c r="AK46" s="3">
        <f t="shared" si="138"/>
        <v>102.48</v>
      </c>
      <c r="AL46" s="3">
        <f t="shared" si="139"/>
        <v>100.77</v>
      </c>
      <c r="AM46" s="3">
        <f t="shared" si="140"/>
        <v>94.08</v>
      </c>
      <c r="AN46" s="3">
        <f t="shared" si="141"/>
        <v>105.29</v>
      </c>
      <c r="AO46" s="366"/>
      <c r="AP46" s="366"/>
      <c r="AQ46" s="366"/>
      <c r="AR46" s="366"/>
      <c r="AS46" s="366"/>
      <c r="AT46" s="366"/>
      <c r="AU46" s="367"/>
    </row>
    <row r="47" spans="1:47" ht="14.5" x14ac:dyDescent="0.35">
      <c r="B47" s="363">
        <v>6</v>
      </c>
      <c r="C47" s="315" t="s">
        <v>92</v>
      </c>
      <c r="D47" s="14"/>
      <c r="E47" s="14"/>
      <c r="F47" s="14"/>
      <c r="G47" s="14">
        <f t="shared" ref="G47:L47" si="144">SUM(G42:G46)</f>
        <v>415.23</v>
      </c>
      <c r="H47" s="14">
        <f t="shared" si="144"/>
        <v>411</v>
      </c>
      <c r="I47" s="14">
        <f t="shared" si="144"/>
        <v>717.79</v>
      </c>
      <c r="J47" s="14">
        <f t="shared" si="144"/>
        <v>721.1</v>
      </c>
      <c r="K47" s="14">
        <f t="shared" si="144"/>
        <v>791.94999999999993</v>
      </c>
      <c r="L47" s="14">
        <f t="shared" si="144"/>
        <v>1030.98</v>
      </c>
      <c r="M47" s="368">
        <f>M206+SUM(M211:M214)</f>
        <v>0</v>
      </c>
      <c r="N47" s="368">
        <f>N206+SUM(N211:N214)</f>
        <v>0</v>
      </c>
      <c r="O47" s="368">
        <f>O206+SUM(O211:O214)</f>
        <v>0</v>
      </c>
      <c r="P47" s="368">
        <f>P206+SUM(P211:P214)</f>
        <v>0</v>
      </c>
      <c r="Q47" s="368"/>
      <c r="R47" s="368"/>
      <c r="S47" s="369"/>
      <c r="U47" s="315">
        <f t="shared" ref="U47:Z47" si="145">SUM(U42:U46)</f>
        <v>415.23</v>
      </c>
      <c r="V47" s="14">
        <f t="shared" si="145"/>
        <v>411</v>
      </c>
      <c r="W47" s="14">
        <f t="shared" si="145"/>
        <v>717.79</v>
      </c>
      <c r="X47" s="14">
        <f t="shared" si="145"/>
        <v>721.1</v>
      </c>
      <c r="Y47" s="14">
        <f t="shared" si="145"/>
        <v>791.94999999999993</v>
      </c>
      <c r="Z47" s="14">
        <f t="shared" si="145"/>
        <v>1030.98</v>
      </c>
      <c r="AA47" s="368">
        <f>AA206+SUM(AA211:AA214)</f>
        <v>0</v>
      </c>
      <c r="AB47" s="368">
        <f t="shared" ref="AB47:AG47" si="146">AB206+SUM(AB211:AB214)</f>
        <v>0</v>
      </c>
      <c r="AC47" s="368">
        <f t="shared" si="146"/>
        <v>0</v>
      </c>
      <c r="AD47" s="368">
        <f t="shared" si="146"/>
        <v>0</v>
      </c>
      <c r="AE47" s="368">
        <f t="shared" si="146"/>
        <v>0</v>
      </c>
      <c r="AF47" s="368">
        <f t="shared" si="146"/>
        <v>0</v>
      </c>
      <c r="AG47" s="369">
        <f t="shared" si="146"/>
        <v>0</v>
      </c>
      <c r="AI47" s="315">
        <f t="shared" ref="AI47:AN47" si="147">SUM(AI42:AI46)</f>
        <v>415.23</v>
      </c>
      <c r="AJ47" s="14">
        <f t="shared" si="147"/>
        <v>411</v>
      </c>
      <c r="AK47" s="14">
        <f t="shared" si="147"/>
        <v>717.79</v>
      </c>
      <c r="AL47" s="14">
        <f t="shared" si="147"/>
        <v>721.1</v>
      </c>
      <c r="AM47" s="14">
        <f t="shared" si="147"/>
        <v>791.94999999999993</v>
      </c>
      <c r="AN47" s="14">
        <f t="shared" si="147"/>
        <v>1030.98</v>
      </c>
      <c r="AO47" s="368">
        <f>AO206+SUM(AO211:AO214)</f>
        <v>0</v>
      </c>
      <c r="AP47" s="368">
        <f t="shared" ref="AP47:AU47" si="148">AP206+SUM(AP211:AP214)</f>
        <v>0</v>
      </c>
      <c r="AQ47" s="368">
        <f t="shared" si="148"/>
        <v>0</v>
      </c>
      <c r="AR47" s="368">
        <f t="shared" si="148"/>
        <v>0</v>
      </c>
      <c r="AS47" s="368">
        <f t="shared" si="148"/>
        <v>0</v>
      </c>
      <c r="AT47" s="368">
        <f t="shared" si="148"/>
        <v>0</v>
      </c>
      <c r="AU47" s="369">
        <f t="shared" si="148"/>
        <v>0</v>
      </c>
    </row>
    <row r="48" spans="1:47" ht="14.5" x14ac:dyDescent="0.35">
      <c r="B48" s="363">
        <v>7</v>
      </c>
      <c r="C48" s="316" t="s">
        <v>93</v>
      </c>
      <c r="D48" s="317"/>
      <c r="E48" s="317"/>
      <c r="F48" s="317"/>
      <c r="G48" s="317">
        <f>'Historical-BS'!B33</f>
        <v>0</v>
      </c>
      <c r="H48" s="317">
        <f>'Historical-BS'!C33</f>
        <v>0</v>
      </c>
      <c r="I48" s="317">
        <f>'Historical-BS'!D33</f>
        <v>0</v>
      </c>
      <c r="J48" s="3">
        <f>'Historical-BS'!E33</f>
        <v>0</v>
      </c>
      <c r="K48" s="3">
        <f>'Historical-BS'!F33</f>
        <v>0</v>
      </c>
      <c r="L48" s="3">
        <f>'Historical-BS'!G33</f>
        <v>0</v>
      </c>
      <c r="M48" s="366"/>
      <c r="N48" s="366"/>
      <c r="O48" s="366"/>
      <c r="P48" s="366"/>
      <c r="Q48" s="366"/>
      <c r="R48" s="366"/>
      <c r="S48" s="367"/>
      <c r="U48" s="355">
        <f>G48</f>
        <v>0</v>
      </c>
      <c r="V48" s="317">
        <f t="shared" ref="V48:Z53" si="149">H48</f>
        <v>0</v>
      </c>
      <c r="W48" s="317">
        <f t="shared" si="149"/>
        <v>0</v>
      </c>
      <c r="X48" s="317">
        <f t="shared" si="149"/>
        <v>0</v>
      </c>
      <c r="Y48" s="317">
        <f t="shared" si="149"/>
        <v>0</v>
      </c>
      <c r="Z48" s="317">
        <f t="shared" si="149"/>
        <v>0</v>
      </c>
      <c r="AA48" s="366"/>
      <c r="AB48" s="366"/>
      <c r="AC48" s="366"/>
      <c r="AD48" s="366"/>
      <c r="AE48" s="366"/>
      <c r="AF48" s="366"/>
      <c r="AG48" s="367"/>
      <c r="AI48" s="355">
        <f>U48</f>
        <v>0</v>
      </c>
      <c r="AJ48" s="317">
        <f t="shared" ref="AJ48:AJ53" si="150">V48</f>
        <v>0</v>
      </c>
      <c r="AK48" s="317">
        <f t="shared" ref="AK48:AK53" si="151">W48</f>
        <v>0</v>
      </c>
      <c r="AL48" s="317">
        <f t="shared" ref="AL48:AL53" si="152">X48</f>
        <v>0</v>
      </c>
      <c r="AM48" s="317">
        <f t="shared" ref="AM48:AM53" si="153">Y48</f>
        <v>0</v>
      </c>
      <c r="AN48" s="317">
        <f t="shared" ref="AN48:AN53" si="154">Z48</f>
        <v>0</v>
      </c>
      <c r="AO48" s="366"/>
      <c r="AP48" s="366"/>
      <c r="AQ48" s="366"/>
      <c r="AR48" s="366"/>
      <c r="AS48" s="366"/>
      <c r="AT48" s="366"/>
      <c r="AU48" s="367"/>
    </row>
    <row r="49" spans="2:47" ht="14.5" x14ac:dyDescent="0.35">
      <c r="B49" s="363">
        <v>8</v>
      </c>
      <c r="C49" s="316" t="s">
        <v>94</v>
      </c>
      <c r="D49" s="317"/>
      <c r="E49" s="317"/>
      <c r="F49" s="317"/>
      <c r="G49" s="317">
        <f>'Historical-BS'!B32</f>
        <v>9.99</v>
      </c>
      <c r="H49" s="317">
        <f>'Historical-BS'!C32</f>
        <v>9.35</v>
      </c>
      <c r="I49" s="317">
        <f>'Historical-BS'!D32</f>
        <v>10.76</v>
      </c>
      <c r="J49" s="3">
        <f>'Historical-BS'!E32</f>
        <v>8.14</v>
      </c>
      <c r="K49" s="3">
        <f>'Historical-BS'!F32</f>
        <v>9.5</v>
      </c>
      <c r="L49" s="3">
        <f>'Historical-BS'!G32</f>
        <v>14.25</v>
      </c>
      <c r="M49" s="366"/>
      <c r="N49" s="366"/>
      <c r="O49" s="366"/>
      <c r="P49" s="366"/>
      <c r="Q49" s="366"/>
      <c r="R49" s="366"/>
      <c r="S49" s="367"/>
      <c r="U49" s="355">
        <f t="shared" ref="U49:U53" si="155">G49</f>
        <v>9.99</v>
      </c>
      <c r="V49" s="317">
        <f t="shared" si="149"/>
        <v>9.35</v>
      </c>
      <c r="W49" s="317">
        <f t="shared" si="149"/>
        <v>10.76</v>
      </c>
      <c r="X49" s="317">
        <f t="shared" si="149"/>
        <v>8.14</v>
      </c>
      <c r="Y49" s="317">
        <f t="shared" si="149"/>
        <v>9.5</v>
      </c>
      <c r="Z49" s="317">
        <f t="shared" si="149"/>
        <v>14.25</v>
      </c>
      <c r="AA49" s="366"/>
      <c r="AB49" s="366"/>
      <c r="AC49" s="366"/>
      <c r="AD49" s="366"/>
      <c r="AE49" s="366"/>
      <c r="AF49" s="366"/>
      <c r="AG49" s="367"/>
      <c r="AI49" s="355">
        <f t="shared" ref="AI49:AI53" si="156">U49</f>
        <v>9.99</v>
      </c>
      <c r="AJ49" s="317">
        <f t="shared" si="150"/>
        <v>9.35</v>
      </c>
      <c r="AK49" s="317">
        <f t="shared" si="151"/>
        <v>10.76</v>
      </c>
      <c r="AL49" s="317">
        <f t="shared" si="152"/>
        <v>8.14</v>
      </c>
      <c r="AM49" s="317">
        <f t="shared" si="153"/>
        <v>9.5</v>
      </c>
      <c r="AN49" s="317">
        <f t="shared" si="154"/>
        <v>14.25</v>
      </c>
      <c r="AO49" s="366"/>
      <c r="AP49" s="366"/>
      <c r="AQ49" s="366"/>
      <c r="AR49" s="366"/>
      <c r="AS49" s="366"/>
      <c r="AT49" s="366"/>
      <c r="AU49" s="367"/>
    </row>
    <row r="50" spans="2:47" ht="14.5" x14ac:dyDescent="0.35">
      <c r="B50" s="363">
        <v>9</v>
      </c>
      <c r="C50" s="316" t="s">
        <v>95</v>
      </c>
      <c r="D50" s="317"/>
      <c r="E50" s="317"/>
      <c r="F50" s="317"/>
      <c r="G50" s="317">
        <f>'Historical-BS'!B27</f>
        <v>234.3</v>
      </c>
      <c r="H50" s="317">
        <f>'Historical-BS'!C27</f>
        <v>248.09</v>
      </c>
      <c r="I50" s="317">
        <f>'Historical-BS'!D27</f>
        <v>268.32</v>
      </c>
      <c r="J50" s="3">
        <f>'Historical-BS'!E27</f>
        <v>286.36</v>
      </c>
      <c r="K50" s="3">
        <f>'Historical-BS'!F27</f>
        <v>286.38</v>
      </c>
      <c r="L50" s="3">
        <f>'Historical-BS'!G27</f>
        <v>382.75</v>
      </c>
      <c r="M50" s="366"/>
      <c r="N50" s="366"/>
      <c r="O50" s="366"/>
      <c r="P50" s="366"/>
      <c r="Q50" s="366"/>
      <c r="R50" s="366"/>
      <c r="S50" s="367"/>
      <c r="U50" s="355">
        <f t="shared" si="155"/>
        <v>234.3</v>
      </c>
      <c r="V50" s="317">
        <f t="shared" si="149"/>
        <v>248.09</v>
      </c>
      <c r="W50" s="317">
        <f t="shared" si="149"/>
        <v>268.32</v>
      </c>
      <c r="X50" s="317">
        <f t="shared" si="149"/>
        <v>286.36</v>
      </c>
      <c r="Y50" s="317">
        <f t="shared" si="149"/>
        <v>286.38</v>
      </c>
      <c r="Z50" s="317">
        <f t="shared" si="149"/>
        <v>382.75</v>
      </c>
      <c r="AA50" s="366"/>
      <c r="AB50" s="366"/>
      <c r="AC50" s="366"/>
      <c r="AD50" s="366"/>
      <c r="AE50" s="366"/>
      <c r="AF50" s="366"/>
      <c r="AG50" s="367"/>
      <c r="AI50" s="355">
        <f t="shared" si="156"/>
        <v>234.3</v>
      </c>
      <c r="AJ50" s="317">
        <f t="shared" si="150"/>
        <v>248.09</v>
      </c>
      <c r="AK50" s="317">
        <f t="shared" si="151"/>
        <v>268.32</v>
      </c>
      <c r="AL50" s="317">
        <f t="shared" si="152"/>
        <v>286.36</v>
      </c>
      <c r="AM50" s="317">
        <f t="shared" si="153"/>
        <v>286.38</v>
      </c>
      <c r="AN50" s="317">
        <f t="shared" si="154"/>
        <v>382.75</v>
      </c>
      <c r="AO50" s="366"/>
      <c r="AP50" s="366"/>
      <c r="AQ50" s="366"/>
      <c r="AR50" s="366"/>
      <c r="AS50" s="366"/>
      <c r="AT50" s="366"/>
      <c r="AU50" s="367"/>
    </row>
    <row r="51" spans="2:47" ht="14.5" x14ac:dyDescent="0.35">
      <c r="B51" s="363">
        <v>10</v>
      </c>
      <c r="C51" s="316" t="s">
        <v>96</v>
      </c>
      <c r="D51" s="317"/>
      <c r="E51" s="317"/>
      <c r="F51" s="317"/>
      <c r="G51" s="317">
        <f>'Historical-BS'!B22+'Historical-BS'!B21</f>
        <v>955.28</v>
      </c>
      <c r="H51" s="317">
        <f>'Historical-BS'!C22+'Historical-BS'!C21</f>
        <v>985.77</v>
      </c>
      <c r="I51" s="317">
        <f>'Historical-BS'!D22+'Historical-BS'!D21</f>
        <v>1002.61</v>
      </c>
      <c r="J51" s="3">
        <f>'Historical-BS'!E22+'Historical-BS'!E21</f>
        <v>989.8</v>
      </c>
      <c r="K51" s="3">
        <f>'Historical-BS'!F22+'Historical-BS'!F21</f>
        <v>1300.7</v>
      </c>
      <c r="L51" s="3">
        <f>'Historical-BS'!G22+'Historical-BS'!G21</f>
        <v>1387.14</v>
      </c>
      <c r="M51" s="366"/>
      <c r="N51" s="366"/>
      <c r="O51" s="366"/>
      <c r="P51" s="366"/>
      <c r="Q51" s="366"/>
      <c r="R51" s="366"/>
      <c r="S51" s="367"/>
      <c r="U51" s="355">
        <f t="shared" si="155"/>
        <v>955.28</v>
      </c>
      <c r="V51" s="317">
        <f t="shared" si="149"/>
        <v>985.77</v>
      </c>
      <c r="W51" s="317">
        <f t="shared" si="149"/>
        <v>1002.61</v>
      </c>
      <c r="X51" s="317">
        <f t="shared" si="149"/>
        <v>989.8</v>
      </c>
      <c r="Y51" s="317">
        <f t="shared" si="149"/>
        <v>1300.7</v>
      </c>
      <c r="Z51" s="317">
        <f t="shared" si="149"/>
        <v>1387.14</v>
      </c>
      <c r="AA51" s="366"/>
      <c r="AB51" s="366"/>
      <c r="AC51" s="366"/>
      <c r="AD51" s="366"/>
      <c r="AE51" s="366"/>
      <c r="AF51" s="366"/>
      <c r="AG51" s="367"/>
      <c r="AI51" s="355">
        <f t="shared" si="156"/>
        <v>955.28</v>
      </c>
      <c r="AJ51" s="317">
        <f t="shared" si="150"/>
        <v>985.77</v>
      </c>
      <c r="AK51" s="317">
        <f t="shared" si="151"/>
        <v>1002.61</v>
      </c>
      <c r="AL51" s="317">
        <f t="shared" si="152"/>
        <v>989.8</v>
      </c>
      <c r="AM51" s="317">
        <f t="shared" si="153"/>
        <v>1300.7</v>
      </c>
      <c r="AN51" s="317">
        <f t="shared" si="154"/>
        <v>1387.14</v>
      </c>
      <c r="AO51" s="366"/>
      <c r="AP51" s="366"/>
      <c r="AQ51" s="366"/>
      <c r="AR51" s="366"/>
      <c r="AS51" s="366"/>
      <c r="AT51" s="366"/>
      <c r="AU51" s="367"/>
    </row>
    <row r="52" spans="2:47" ht="14.5" x14ac:dyDescent="0.35">
      <c r="B52" s="363">
        <v>11</v>
      </c>
      <c r="C52" s="316" t="s">
        <v>97</v>
      </c>
      <c r="D52" s="317"/>
      <c r="E52" s="317"/>
      <c r="F52" s="317"/>
      <c r="G52" s="317">
        <f>'Historical-BS'!B19</f>
        <v>4.3899999999999997</v>
      </c>
      <c r="H52" s="317">
        <f>'Historical-BS'!C19</f>
        <v>1.17</v>
      </c>
      <c r="I52" s="317">
        <f>'Historical-BS'!D19</f>
        <v>0</v>
      </c>
      <c r="J52" s="3">
        <f>'Historical-BS'!E19</f>
        <v>0</v>
      </c>
      <c r="K52" s="3">
        <f>'Historical-BS'!F19</f>
        <v>0</v>
      </c>
      <c r="L52" s="3">
        <f>'Historical-BS'!G19</f>
        <v>0</v>
      </c>
      <c r="M52" s="366"/>
      <c r="N52" s="366"/>
      <c r="O52" s="366"/>
      <c r="P52" s="366"/>
      <c r="Q52" s="366"/>
      <c r="R52" s="366"/>
      <c r="S52" s="367"/>
      <c r="U52" s="355">
        <f t="shared" si="155"/>
        <v>4.3899999999999997</v>
      </c>
      <c r="V52" s="317">
        <f t="shared" si="149"/>
        <v>1.17</v>
      </c>
      <c r="W52" s="317">
        <f t="shared" si="149"/>
        <v>0</v>
      </c>
      <c r="X52" s="317">
        <f t="shared" si="149"/>
        <v>0</v>
      </c>
      <c r="Y52" s="317">
        <f t="shared" si="149"/>
        <v>0</v>
      </c>
      <c r="Z52" s="317">
        <f t="shared" si="149"/>
        <v>0</v>
      </c>
      <c r="AA52" s="366"/>
      <c r="AB52" s="366"/>
      <c r="AC52" s="366"/>
      <c r="AD52" s="366"/>
      <c r="AE52" s="366"/>
      <c r="AF52" s="366"/>
      <c r="AG52" s="367"/>
      <c r="AI52" s="355">
        <f t="shared" si="156"/>
        <v>4.3899999999999997</v>
      </c>
      <c r="AJ52" s="317">
        <f t="shared" si="150"/>
        <v>1.17</v>
      </c>
      <c r="AK52" s="317">
        <f t="shared" si="151"/>
        <v>0</v>
      </c>
      <c r="AL52" s="317">
        <f t="shared" si="152"/>
        <v>0</v>
      </c>
      <c r="AM52" s="317">
        <f t="shared" si="153"/>
        <v>0</v>
      </c>
      <c r="AN52" s="317">
        <f t="shared" si="154"/>
        <v>0</v>
      </c>
      <c r="AO52" s="366"/>
      <c r="AP52" s="366"/>
      <c r="AQ52" s="366"/>
      <c r="AR52" s="366"/>
      <c r="AS52" s="366"/>
      <c r="AT52" s="366"/>
      <c r="AU52" s="367"/>
    </row>
    <row r="53" spans="2:47" ht="14.5" x14ac:dyDescent="0.35">
      <c r="B53" s="363">
        <v>12</v>
      </c>
      <c r="C53" s="316" t="s">
        <v>98</v>
      </c>
      <c r="D53" s="317"/>
      <c r="E53" s="317"/>
      <c r="F53" s="317"/>
      <c r="G53" s="317">
        <f>'Historical-BS'!B18</f>
        <v>3.93</v>
      </c>
      <c r="H53" s="317">
        <f>'Historical-BS'!C18</f>
        <v>6.68</v>
      </c>
      <c r="I53" s="317">
        <f>'Historical-BS'!D18</f>
        <v>22.64</v>
      </c>
      <c r="J53" s="3">
        <f>'Historical-BS'!E18</f>
        <v>6.2</v>
      </c>
      <c r="K53" s="3">
        <f>'Historical-BS'!F18</f>
        <v>7.44</v>
      </c>
      <c r="L53" s="3">
        <f>'Historical-BS'!G18</f>
        <v>7.73</v>
      </c>
      <c r="M53" s="366">
        <f>L53+M114</f>
        <v>6032.2629062873702</v>
      </c>
      <c r="N53" s="366">
        <f>M53+N114</f>
        <v>5051.8639022038451</v>
      </c>
      <c r="O53" s="366">
        <f t="shared" ref="O53:S53" si="157">N53+O114</f>
        <v>4085.9251465944367</v>
      </c>
      <c r="P53" s="366">
        <f t="shared" si="157"/>
        <v>3136.6270593735444</v>
      </c>
      <c r="Q53" s="366">
        <f t="shared" si="157"/>
        <v>2206.3169662332107</v>
      </c>
      <c r="R53" s="366">
        <f t="shared" si="157"/>
        <v>1297.5318612393919</v>
      </c>
      <c r="S53" s="367">
        <f t="shared" si="157"/>
        <v>413.02302866213165</v>
      </c>
      <c r="U53" s="355">
        <f t="shared" si="155"/>
        <v>3.93</v>
      </c>
      <c r="V53" s="317">
        <f t="shared" si="149"/>
        <v>6.68</v>
      </c>
      <c r="W53" s="317">
        <f t="shared" si="149"/>
        <v>22.64</v>
      </c>
      <c r="X53" s="317">
        <f t="shared" si="149"/>
        <v>6.2</v>
      </c>
      <c r="Y53" s="317">
        <f t="shared" si="149"/>
        <v>7.44</v>
      </c>
      <c r="Z53" s="317">
        <f t="shared" si="149"/>
        <v>7.73</v>
      </c>
      <c r="AA53" s="366">
        <f>Z53+AA114</f>
        <v>6032.2629062873702</v>
      </c>
      <c r="AB53" s="366">
        <f t="shared" ref="AB53:AG53" si="158">AA53+AB114</f>
        <v>5073.4242501754252</v>
      </c>
      <c r="AC53" s="366">
        <f t="shared" si="158"/>
        <v>4149.6503817625962</v>
      </c>
      <c r="AD53" s="366">
        <f t="shared" si="158"/>
        <v>3284.0947347892534</v>
      </c>
      <c r="AE53" s="366">
        <f t="shared" si="158"/>
        <v>2446.3276375188134</v>
      </c>
      <c r="AF53" s="366">
        <f t="shared" si="158"/>
        <v>1632.3065148401083</v>
      </c>
      <c r="AG53" s="367">
        <f t="shared" si="158"/>
        <v>874.98916082860285</v>
      </c>
      <c r="AI53" s="355">
        <f t="shared" si="156"/>
        <v>3.93</v>
      </c>
      <c r="AJ53" s="317">
        <f t="shared" si="150"/>
        <v>6.68</v>
      </c>
      <c r="AK53" s="317">
        <f t="shared" si="151"/>
        <v>22.64</v>
      </c>
      <c r="AL53" s="317">
        <f t="shared" si="152"/>
        <v>6.2</v>
      </c>
      <c r="AM53" s="317">
        <f t="shared" si="153"/>
        <v>7.44</v>
      </c>
      <c r="AN53" s="317">
        <f t="shared" si="154"/>
        <v>7.73</v>
      </c>
      <c r="AO53" s="366">
        <f>AN53+AO114</f>
        <v>6021.3070973217164</v>
      </c>
      <c r="AP53" s="366">
        <f t="shared" ref="AP53:AU53" si="159">AO53+AP114</f>
        <v>5009.9579296981447</v>
      </c>
      <c r="AQ53" s="366">
        <f t="shared" si="159"/>
        <v>3993.0089907055749</v>
      </c>
      <c r="AR53" s="366">
        <f t="shared" si="159"/>
        <v>2984.7968047083004</v>
      </c>
      <c r="AS53" s="366">
        <f t="shared" si="159"/>
        <v>1951.5222719386179</v>
      </c>
      <c r="AT53" s="366">
        <f t="shared" si="159"/>
        <v>916.17225489052316</v>
      </c>
      <c r="AU53" s="367">
        <f t="shared" si="159"/>
        <v>-127.61534937017814</v>
      </c>
    </row>
    <row r="54" spans="2:47" ht="14.5" x14ac:dyDescent="0.35">
      <c r="B54" s="363">
        <v>13</v>
      </c>
      <c r="C54" s="318" t="s">
        <v>99</v>
      </c>
      <c r="D54" s="131"/>
      <c r="E54" s="131"/>
      <c r="F54" s="131"/>
      <c r="G54" s="131">
        <f>SUM(G48:G53)</f>
        <v>1207.8900000000001</v>
      </c>
      <c r="H54" s="131">
        <f>SUM(H48:H53)</f>
        <v>1251.0600000000002</v>
      </c>
      <c r="I54" s="131">
        <f t="shared" ref="I54:P54" si="160">SUM(I48:I53)</f>
        <v>1304.3300000000002</v>
      </c>
      <c r="J54" s="15">
        <f t="shared" si="160"/>
        <v>1290.5</v>
      </c>
      <c r="K54" s="15">
        <f t="shared" si="160"/>
        <v>1604.02</v>
      </c>
      <c r="L54" s="15">
        <f t="shared" si="160"/>
        <v>1791.8700000000001</v>
      </c>
      <c r="M54" s="368">
        <f t="shared" si="160"/>
        <v>6032.2629062873702</v>
      </c>
      <c r="N54" s="368">
        <f>SUM(N48:N53)</f>
        <v>5051.8639022038451</v>
      </c>
      <c r="O54" s="368">
        <f>SUM(O48:O53)</f>
        <v>4085.9251465944367</v>
      </c>
      <c r="P54" s="368">
        <f t="shared" si="160"/>
        <v>3136.6270593735444</v>
      </c>
      <c r="Q54" s="368">
        <f t="shared" ref="Q54:S54" si="161">SUM(Q48:Q53)</f>
        <v>2206.3169662332107</v>
      </c>
      <c r="R54" s="368">
        <f t="shared" si="161"/>
        <v>1297.5318612393919</v>
      </c>
      <c r="S54" s="369">
        <f t="shared" si="161"/>
        <v>413.02302866213165</v>
      </c>
      <c r="U54" s="318">
        <f>SUM(U48:U53)</f>
        <v>1207.8900000000001</v>
      </c>
      <c r="V54" s="131">
        <f t="shared" ref="V54:AA54" si="162">SUM(V48:V53)</f>
        <v>1251.0600000000002</v>
      </c>
      <c r="W54" s="131">
        <f t="shared" si="162"/>
        <v>1304.3300000000002</v>
      </c>
      <c r="X54" s="131">
        <f t="shared" si="162"/>
        <v>1290.5</v>
      </c>
      <c r="Y54" s="131">
        <f t="shared" si="162"/>
        <v>1604.02</v>
      </c>
      <c r="Z54" s="131">
        <f t="shared" si="162"/>
        <v>1791.8700000000001</v>
      </c>
      <c r="AA54" s="368">
        <f t="shared" si="162"/>
        <v>6032.2629062873702</v>
      </c>
      <c r="AB54" s="368">
        <f t="shared" ref="AB54" si="163">SUM(AB48:AB53)</f>
        <v>5073.4242501754252</v>
      </c>
      <c r="AC54" s="368">
        <f t="shared" ref="AC54" si="164">SUM(AC48:AC53)</f>
        <v>4149.6503817625962</v>
      </c>
      <c r="AD54" s="368">
        <f t="shared" ref="AD54" si="165">SUM(AD48:AD53)</f>
        <v>3284.0947347892534</v>
      </c>
      <c r="AE54" s="368">
        <f t="shared" ref="AE54" si="166">SUM(AE48:AE53)</f>
        <v>2446.3276375188134</v>
      </c>
      <c r="AF54" s="368">
        <f t="shared" ref="AF54" si="167">SUM(AF48:AF53)</f>
        <v>1632.3065148401083</v>
      </c>
      <c r="AG54" s="369">
        <f t="shared" ref="AG54" si="168">SUM(AG48:AG53)</f>
        <v>874.98916082860285</v>
      </c>
      <c r="AI54" s="318">
        <f>SUM(AI48:AI53)</f>
        <v>1207.8900000000001</v>
      </c>
      <c r="AJ54" s="131">
        <f t="shared" ref="AJ54" si="169">SUM(AJ48:AJ53)</f>
        <v>1251.0600000000002</v>
      </c>
      <c r="AK54" s="131">
        <f t="shared" ref="AK54" si="170">SUM(AK48:AK53)</f>
        <v>1304.3300000000002</v>
      </c>
      <c r="AL54" s="131">
        <f t="shared" ref="AL54" si="171">SUM(AL48:AL53)</f>
        <v>1290.5</v>
      </c>
      <c r="AM54" s="131">
        <f t="shared" ref="AM54" si="172">SUM(AM48:AM53)</f>
        <v>1604.02</v>
      </c>
      <c r="AN54" s="131">
        <f t="shared" ref="AN54" si="173">SUM(AN48:AN53)</f>
        <v>1791.8700000000001</v>
      </c>
      <c r="AO54" s="368">
        <f t="shared" ref="AO54" si="174">SUM(AO48:AO53)</f>
        <v>6021.3070973217164</v>
      </c>
      <c r="AP54" s="368">
        <f t="shared" ref="AP54" si="175">SUM(AP48:AP53)</f>
        <v>5009.9579296981447</v>
      </c>
      <c r="AQ54" s="368">
        <f t="shared" ref="AQ54" si="176">SUM(AQ48:AQ53)</f>
        <v>3993.0089907055749</v>
      </c>
      <c r="AR54" s="368">
        <f t="shared" ref="AR54" si="177">SUM(AR48:AR53)</f>
        <v>2984.7968047083004</v>
      </c>
      <c r="AS54" s="368">
        <f t="shared" ref="AS54" si="178">SUM(AS48:AS53)</f>
        <v>1951.5222719386179</v>
      </c>
      <c r="AT54" s="368">
        <f t="shared" ref="AT54" si="179">SUM(AT48:AT53)</f>
        <v>916.17225489052316</v>
      </c>
      <c r="AU54" s="369">
        <f t="shared" ref="AU54" si="180">SUM(AU48:AU53)</f>
        <v>-127.61534937017814</v>
      </c>
    </row>
    <row r="55" spans="2:47" ht="14.5" x14ac:dyDescent="0.35">
      <c r="B55" s="363">
        <v>14</v>
      </c>
      <c r="C55" s="316" t="s">
        <v>100</v>
      </c>
      <c r="D55" s="317"/>
      <c r="E55" s="317"/>
      <c r="F55" s="317"/>
      <c r="G55" s="317"/>
      <c r="H55" s="317"/>
      <c r="I55" s="317"/>
      <c r="J55" s="319"/>
      <c r="K55" s="319"/>
      <c r="L55" s="319"/>
      <c r="M55" s="366"/>
      <c r="N55" s="366"/>
      <c r="O55" s="366"/>
      <c r="P55" s="366"/>
      <c r="Q55" s="366"/>
      <c r="R55" s="366"/>
      <c r="S55" s="367"/>
      <c r="U55" s="355"/>
      <c r="V55" s="317"/>
      <c r="W55" s="317"/>
      <c r="X55" s="317"/>
      <c r="Y55" s="317"/>
      <c r="Z55" s="317"/>
      <c r="AA55" s="366"/>
      <c r="AB55" s="366"/>
      <c r="AC55" s="366"/>
      <c r="AD55" s="366"/>
      <c r="AE55" s="366"/>
      <c r="AF55" s="366"/>
      <c r="AG55" s="367"/>
      <c r="AI55" s="355"/>
      <c r="AJ55" s="317"/>
      <c r="AK55" s="317"/>
      <c r="AL55" s="317"/>
      <c r="AM55" s="317"/>
      <c r="AN55" s="317"/>
      <c r="AO55" s="366"/>
      <c r="AP55" s="366"/>
      <c r="AQ55" s="366"/>
      <c r="AR55" s="366"/>
      <c r="AS55" s="366"/>
      <c r="AT55" s="366"/>
      <c r="AU55" s="367"/>
    </row>
    <row r="56" spans="2:47" ht="14.5" x14ac:dyDescent="0.35">
      <c r="B56" s="363">
        <v>15</v>
      </c>
      <c r="C56" s="316" t="s">
        <v>101</v>
      </c>
      <c r="D56" s="317"/>
      <c r="E56" s="317"/>
      <c r="F56" s="317"/>
      <c r="G56" s="317"/>
      <c r="H56" s="317"/>
      <c r="I56" s="317"/>
      <c r="J56" s="319"/>
      <c r="K56" s="319"/>
      <c r="L56" s="319"/>
      <c r="M56" s="366"/>
      <c r="N56" s="366"/>
      <c r="O56" s="366"/>
      <c r="P56" s="366"/>
      <c r="Q56" s="366"/>
      <c r="R56" s="366"/>
      <c r="S56" s="367"/>
      <c r="U56" s="355"/>
      <c r="V56" s="317"/>
      <c r="W56" s="317"/>
      <c r="X56" s="317"/>
      <c r="Y56" s="317"/>
      <c r="Z56" s="317"/>
      <c r="AA56" s="366"/>
      <c r="AB56" s="366"/>
      <c r="AC56" s="366"/>
      <c r="AD56" s="366"/>
      <c r="AE56" s="366"/>
      <c r="AF56" s="366"/>
      <c r="AG56" s="367"/>
      <c r="AI56" s="355"/>
      <c r="AJ56" s="317"/>
      <c r="AK56" s="317"/>
      <c r="AL56" s="317"/>
      <c r="AM56" s="317"/>
      <c r="AN56" s="317"/>
      <c r="AO56" s="366"/>
      <c r="AP56" s="366"/>
      <c r="AQ56" s="366"/>
      <c r="AR56" s="366"/>
      <c r="AS56" s="366"/>
      <c r="AT56" s="366"/>
      <c r="AU56" s="367"/>
    </row>
    <row r="57" spans="2:47" ht="14.5" x14ac:dyDescent="0.35">
      <c r="B57" s="363">
        <v>16</v>
      </c>
      <c r="C57" s="320" t="s">
        <v>102</v>
      </c>
      <c r="D57" s="132"/>
      <c r="E57" s="132"/>
      <c r="F57" s="132"/>
      <c r="G57" s="133">
        <f t="shared" ref="G57:P57" si="181">G47+G54+G55+G56</f>
        <v>1623.1200000000001</v>
      </c>
      <c r="H57" s="133">
        <f t="shared" si="181"/>
        <v>1662.0600000000002</v>
      </c>
      <c r="I57" s="133">
        <f t="shared" si="181"/>
        <v>2022.1200000000001</v>
      </c>
      <c r="J57" s="30">
        <f t="shared" si="181"/>
        <v>2011.6</v>
      </c>
      <c r="K57" s="30">
        <f t="shared" si="181"/>
        <v>2395.9699999999998</v>
      </c>
      <c r="L57" s="30">
        <f t="shared" si="181"/>
        <v>2822.8500000000004</v>
      </c>
      <c r="M57" s="372">
        <f t="shared" si="181"/>
        <v>6032.2629062873702</v>
      </c>
      <c r="N57" s="372">
        <f t="shared" si="181"/>
        <v>5051.8639022038451</v>
      </c>
      <c r="O57" s="372">
        <f t="shared" si="181"/>
        <v>4085.9251465944367</v>
      </c>
      <c r="P57" s="372">
        <f t="shared" si="181"/>
        <v>3136.6270593735444</v>
      </c>
      <c r="Q57" s="372">
        <f t="shared" ref="Q57:S57" si="182">Q47+Q54+Q55+Q56</f>
        <v>2206.3169662332107</v>
      </c>
      <c r="R57" s="372">
        <f t="shared" si="182"/>
        <v>1297.5318612393919</v>
      </c>
      <c r="S57" s="373">
        <f t="shared" si="182"/>
        <v>413.02302866213165</v>
      </c>
      <c r="U57" s="356">
        <f t="shared" ref="U57:AA57" si="183">U47+U54+U55+U56</f>
        <v>1623.1200000000001</v>
      </c>
      <c r="V57" s="133">
        <f t="shared" si="183"/>
        <v>1662.0600000000002</v>
      </c>
      <c r="W57" s="133">
        <f t="shared" si="183"/>
        <v>2022.1200000000001</v>
      </c>
      <c r="X57" s="133">
        <f t="shared" si="183"/>
        <v>2011.6</v>
      </c>
      <c r="Y57" s="133">
        <f t="shared" si="183"/>
        <v>2395.9699999999998</v>
      </c>
      <c r="Z57" s="133">
        <f t="shared" si="183"/>
        <v>2822.8500000000004</v>
      </c>
      <c r="AA57" s="372">
        <f t="shared" si="183"/>
        <v>6032.2629062873702</v>
      </c>
      <c r="AB57" s="372">
        <f t="shared" ref="AB57:AG57" si="184">AB47+AB54+AB55+AB56</f>
        <v>5073.4242501754252</v>
      </c>
      <c r="AC57" s="372">
        <f t="shared" si="184"/>
        <v>4149.6503817625962</v>
      </c>
      <c r="AD57" s="372">
        <f t="shared" si="184"/>
        <v>3284.0947347892534</v>
      </c>
      <c r="AE57" s="372">
        <f t="shared" si="184"/>
        <v>2446.3276375188134</v>
      </c>
      <c r="AF57" s="372">
        <f t="shared" si="184"/>
        <v>1632.3065148401083</v>
      </c>
      <c r="AG57" s="373">
        <f t="shared" si="184"/>
        <v>874.98916082860285</v>
      </c>
      <c r="AI57" s="356">
        <f t="shared" ref="AI57:AU57" si="185">AI47+AI54+AI55+AI56</f>
        <v>1623.1200000000001</v>
      </c>
      <c r="AJ57" s="133">
        <f t="shared" si="185"/>
        <v>1662.0600000000002</v>
      </c>
      <c r="AK57" s="133">
        <f t="shared" si="185"/>
        <v>2022.1200000000001</v>
      </c>
      <c r="AL57" s="133">
        <f t="shared" si="185"/>
        <v>2011.6</v>
      </c>
      <c r="AM57" s="133">
        <f t="shared" si="185"/>
        <v>2395.9699999999998</v>
      </c>
      <c r="AN57" s="133">
        <f t="shared" si="185"/>
        <v>2822.8500000000004</v>
      </c>
      <c r="AO57" s="372">
        <f t="shared" si="185"/>
        <v>6021.3070973217164</v>
      </c>
      <c r="AP57" s="372">
        <f t="shared" si="185"/>
        <v>5009.9579296981447</v>
      </c>
      <c r="AQ57" s="372">
        <f t="shared" si="185"/>
        <v>3993.0089907055749</v>
      </c>
      <c r="AR57" s="372">
        <f t="shared" si="185"/>
        <v>2984.7968047083004</v>
      </c>
      <c r="AS57" s="372">
        <f t="shared" si="185"/>
        <v>1951.5222719386179</v>
      </c>
      <c r="AT57" s="372">
        <f t="shared" si="185"/>
        <v>916.17225489052316</v>
      </c>
      <c r="AU57" s="373">
        <f t="shared" si="185"/>
        <v>-127.61534937017814</v>
      </c>
    </row>
    <row r="58" spans="2:47" ht="9.5" customHeight="1" x14ac:dyDescent="0.35">
      <c r="B58" s="363">
        <v>17</v>
      </c>
      <c r="C58" s="321"/>
      <c r="D58" s="322"/>
      <c r="E58" s="322"/>
      <c r="F58" s="322"/>
      <c r="G58" s="322"/>
      <c r="H58" s="322"/>
      <c r="I58" s="322"/>
      <c r="J58" s="6"/>
      <c r="K58" s="6"/>
      <c r="L58" s="6"/>
      <c r="M58" s="368"/>
      <c r="N58" s="368"/>
      <c r="O58" s="368"/>
      <c r="P58" s="368"/>
      <c r="Q58" s="368"/>
      <c r="R58" s="368"/>
      <c r="S58" s="369"/>
      <c r="U58" s="321"/>
      <c r="V58" s="322"/>
      <c r="W58" s="322"/>
      <c r="X58" s="322"/>
      <c r="Y58" s="322"/>
      <c r="Z58" s="322"/>
      <c r="AA58" s="368"/>
      <c r="AB58" s="368"/>
      <c r="AC58" s="368"/>
      <c r="AD58" s="368"/>
      <c r="AE58" s="368"/>
      <c r="AF58" s="368"/>
      <c r="AG58" s="369"/>
      <c r="AI58" s="321"/>
      <c r="AJ58" s="322"/>
      <c r="AK58" s="322"/>
      <c r="AL58" s="322"/>
      <c r="AM58" s="322"/>
      <c r="AN58" s="322"/>
      <c r="AO58" s="368"/>
      <c r="AP58" s="368"/>
      <c r="AQ58" s="368"/>
      <c r="AR58" s="368"/>
      <c r="AS58" s="368"/>
      <c r="AT58" s="368"/>
      <c r="AU58" s="369"/>
    </row>
    <row r="59" spans="2:47" ht="14.5" x14ac:dyDescent="0.35">
      <c r="B59" s="363">
        <v>18</v>
      </c>
      <c r="C59" s="316" t="s">
        <v>103</v>
      </c>
      <c r="D59" s="317"/>
      <c r="E59" s="317"/>
      <c r="F59" s="317"/>
      <c r="G59" s="317">
        <f>'Historical-BS'!B112</f>
        <v>709.58</v>
      </c>
      <c r="H59" s="317">
        <f>'Historical-BS'!C112</f>
        <v>709.58</v>
      </c>
      <c r="I59" s="317">
        <f>'Historical-BS'!D112</f>
        <v>709.58</v>
      </c>
      <c r="J59" s="3">
        <f>'Historical-BS'!E112</f>
        <v>709.58</v>
      </c>
      <c r="K59" s="3">
        <f>'Historical-BS'!F112</f>
        <v>709.58</v>
      </c>
      <c r="L59" s="3">
        <f>'Historical-BS'!G112</f>
        <v>709.58</v>
      </c>
      <c r="M59" s="366"/>
      <c r="N59" s="366"/>
      <c r="O59" s="366"/>
      <c r="P59" s="366"/>
      <c r="Q59" s="366"/>
      <c r="R59" s="366"/>
      <c r="S59" s="367"/>
      <c r="U59" s="355">
        <f>G59</f>
        <v>709.58</v>
      </c>
      <c r="V59" s="317">
        <f t="shared" ref="V59:Z61" si="186">H59</f>
        <v>709.58</v>
      </c>
      <c r="W59" s="317">
        <f t="shared" si="186"/>
        <v>709.58</v>
      </c>
      <c r="X59" s="317">
        <f t="shared" si="186"/>
        <v>709.58</v>
      </c>
      <c r="Y59" s="317">
        <f t="shared" si="186"/>
        <v>709.58</v>
      </c>
      <c r="Z59" s="317">
        <f t="shared" si="186"/>
        <v>709.58</v>
      </c>
      <c r="AA59" s="366"/>
      <c r="AB59" s="366"/>
      <c r="AC59" s="366"/>
      <c r="AD59" s="366"/>
      <c r="AE59" s="366"/>
      <c r="AF59" s="366"/>
      <c r="AG59" s="367"/>
      <c r="AI59" s="355">
        <f>U59</f>
        <v>709.58</v>
      </c>
      <c r="AJ59" s="317">
        <f t="shared" ref="AJ59:AJ61" si="187">V59</f>
        <v>709.58</v>
      </c>
      <c r="AK59" s="317">
        <f t="shared" ref="AK59:AK61" si="188">W59</f>
        <v>709.58</v>
      </c>
      <c r="AL59" s="317">
        <f t="shared" ref="AL59:AL61" si="189">X59</f>
        <v>709.58</v>
      </c>
      <c r="AM59" s="317">
        <f t="shared" ref="AM59:AM61" si="190">Y59</f>
        <v>709.58</v>
      </c>
      <c r="AN59" s="317">
        <f t="shared" ref="AN59:AN61" si="191">Z59</f>
        <v>709.58</v>
      </c>
      <c r="AO59" s="366"/>
      <c r="AP59" s="366"/>
      <c r="AQ59" s="366"/>
      <c r="AR59" s="366"/>
      <c r="AS59" s="366"/>
      <c r="AT59" s="366"/>
      <c r="AU59" s="367"/>
    </row>
    <row r="60" spans="2:47" ht="14.5" x14ac:dyDescent="0.35">
      <c r="B60" s="363">
        <v>19</v>
      </c>
      <c r="C60" s="316" t="s">
        <v>104</v>
      </c>
      <c r="D60" s="317"/>
      <c r="E60" s="317"/>
      <c r="F60" s="317"/>
      <c r="G60" s="317">
        <f>'Historical-BS'!B115</f>
        <v>505.8</v>
      </c>
      <c r="H60" s="317">
        <f>'Historical-BS'!C115</f>
        <v>583.89</v>
      </c>
      <c r="I60" s="317">
        <f>'Historical-BS'!D115</f>
        <v>688.86</v>
      </c>
      <c r="J60" s="3">
        <f>'Historical-BS'!E115</f>
        <v>722.14</v>
      </c>
      <c r="K60" s="3">
        <f>'Historical-BS'!F115</f>
        <v>949.75</v>
      </c>
      <c r="L60" s="3">
        <f>'Historical-BS'!G115</f>
        <v>1305.52</v>
      </c>
      <c r="M60" s="366"/>
      <c r="N60" s="366"/>
      <c r="O60" s="366"/>
      <c r="P60" s="366"/>
      <c r="Q60" s="366"/>
      <c r="R60" s="366"/>
      <c r="S60" s="367"/>
      <c r="U60" s="355">
        <f t="shared" ref="U60:U61" si="192">G60</f>
        <v>505.8</v>
      </c>
      <c r="V60" s="317">
        <f t="shared" si="186"/>
        <v>583.89</v>
      </c>
      <c r="W60" s="317">
        <f t="shared" si="186"/>
        <v>688.86</v>
      </c>
      <c r="X60" s="317">
        <f t="shared" si="186"/>
        <v>722.14</v>
      </c>
      <c r="Y60" s="317">
        <f t="shared" si="186"/>
        <v>949.75</v>
      </c>
      <c r="Z60" s="317">
        <f t="shared" si="186"/>
        <v>1305.52</v>
      </c>
      <c r="AA60" s="366"/>
      <c r="AB60" s="366"/>
      <c r="AC60" s="366"/>
      <c r="AD60" s="366"/>
      <c r="AE60" s="366"/>
      <c r="AF60" s="366"/>
      <c r="AG60" s="367"/>
      <c r="AI60" s="355">
        <f t="shared" ref="AI60:AI61" si="193">U60</f>
        <v>505.8</v>
      </c>
      <c r="AJ60" s="317">
        <f t="shared" si="187"/>
        <v>583.89</v>
      </c>
      <c r="AK60" s="317">
        <f t="shared" si="188"/>
        <v>688.86</v>
      </c>
      <c r="AL60" s="317">
        <f t="shared" si="189"/>
        <v>722.14</v>
      </c>
      <c r="AM60" s="317">
        <f t="shared" si="190"/>
        <v>949.75</v>
      </c>
      <c r="AN60" s="317">
        <f t="shared" si="191"/>
        <v>1305.52</v>
      </c>
      <c r="AO60" s="366"/>
      <c r="AP60" s="366"/>
      <c r="AQ60" s="366"/>
      <c r="AR60" s="366"/>
      <c r="AS60" s="366"/>
      <c r="AT60" s="366"/>
      <c r="AU60" s="367"/>
    </row>
    <row r="61" spans="2:47" ht="14.5" x14ac:dyDescent="0.35">
      <c r="B61" s="363">
        <v>20</v>
      </c>
      <c r="C61" s="323" t="s">
        <v>105</v>
      </c>
      <c r="D61" s="317"/>
      <c r="E61" s="317"/>
      <c r="F61" s="317"/>
      <c r="G61" s="317">
        <f>'Historical-BS'!B120</f>
        <v>26.36</v>
      </c>
      <c r="H61" s="317">
        <f>'Historical-BS'!C120</f>
        <v>21.17</v>
      </c>
      <c r="I61" s="317">
        <f>'Historical-BS'!D120</f>
        <v>18.52</v>
      </c>
      <c r="J61" s="3">
        <f>'Historical-BS'!E120</f>
        <v>18.84</v>
      </c>
      <c r="K61" s="3">
        <f>'Historical-BS'!F120</f>
        <v>18.059999999999999</v>
      </c>
      <c r="L61" s="3">
        <f>'Historical-BS'!G120</f>
        <v>14.99</v>
      </c>
      <c r="M61" s="366"/>
      <c r="N61" s="366"/>
      <c r="O61" s="366"/>
      <c r="P61" s="366"/>
      <c r="Q61" s="366"/>
      <c r="R61" s="366"/>
      <c r="S61" s="367"/>
      <c r="U61" s="355">
        <f t="shared" si="192"/>
        <v>26.36</v>
      </c>
      <c r="V61" s="317">
        <f t="shared" si="186"/>
        <v>21.17</v>
      </c>
      <c r="W61" s="317">
        <f t="shared" si="186"/>
        <v>18.52</v>
      </c>
      <c r="X61" s="317">
        <f t="shared" si="186"/>
        <v>18.84</v>
      </c>
      <c r="Y61" s="317">
        <f t="shared" si="186"/>
        <v>18.059999999999999</v>
      </c>
      <c r="Z61" s="317">
        <f t="shared" si="186"/>
        <v>14.99</v>
      </c>
      <c r="AA61" s="366"/>
      <c r="AB61" s="366"/>
      <c r="AC61" s="366"/>
      <c r="AD61" s="366"/>
      <c r="AE61" s="366"/>
      <c r="AF61" s="366"/>
      <c r="AG61" s="367"/>
      <c r="AI61" s="355">
        <f t="shared" si="193"/>
        <v>26.36</v>
      </c>
      <c r="AJ61" s="317">
        <f t="shared" si="187"/>
        <v>21.17</v>
      </c>
      <c r="AK61" s="317">
        <f t="shared" si="188"/>
        <v>18.52</v>
      </c>
      <c r="AL61" s="317">
        <f t="shared" si="189"/>
        <v>18.84</v>
      </c>
      <c r="AM61" s="317">
        <f t="shared" si="190"/>
        <v>18.059999999999999</v>
      </c>
      <c r="AN61" s="317">
        <f t="shared" si="191"/>
        <v>14.99</v>
      </c>
      <c r="AO61" s="366"/>
      <c r="AP61" s="366"/>
      <c r="AQ61" s="366"/>
      <c r="AR61" s="366"/>
      <c r="AS61" s="366"/>
      <c r="AT61" s="366"/>
      <c r="AU61" s="367"/>
    </row>
    <row r="62" spans="2:47" ht="15.5" customHeight="1" x14ac:dyDescent="0.35">
      <c r="B62" s="363">
        <v>21</v>
      </c>
      <c r="C62" s="318" t="s">
        <v>106</v>
      </c>
      <c r="D62" s="131"/>
      <c r="E62" s="131"/>
      <c r="F62" s="131"/>
      <c r="G62" s="131">
        <f>SUM(G59:G61)</f>
        <v>1241.74</v>
      </c>
      <c r="H62" s="131">
        <f t="shared" ref="H62:P62" si="194">SUM(H59:H61)</f>
        <v>1314.64</v>
      </c>
      <c r="I62" s="131">
        <f t="shared" si="194"/>
        <v>1416.96</v>
      </c>
      <c r="J62" s="15">
        <f t="shared" si="194"/>
        <v>1450.56</v>
      </c>
      <c r="K62" s="15">
        <f t="shared" si="194"/>
        <v>1677.3899999999999</v>
      </c>
      <c r="L62" s="15">
        <f t="shared" si="194"/>
        <v>2030.09</v>
      </c>
      <c r="M62" s="368">
        <f t="shared" si="194"/>
        <v>0</v>
      </c>
      <c r="N62" s="368">
        <f t="shared" si="194"/>
        <v>0</v>
      </c>
      <c r="O62" s="368">
        <f t="shared" si="194"/>
        <v>0</v>
      </c>
      <c r="P62" s="368">
        <f t="shared" si="194"/>
        <v>0</v>
      </c>
      <c r="Q62" s="368"/>
      <c r="R62" s="368"/>
      <c r="S62" s="369"/>
      <c r="U62" s="318">
        <f>SUM(U59:U61)</f>
        <v>1241.74</v>
      </c>
      <c r="V62" s="131">
        <f t="shared" ref="V62:AA62" si="195">SUM(V59:V61)</f>
        <v>1314.64</v>
      </c>
      <c r="W62" s="131">
        <f t="shared" si="195"/>
        <v>1416.96</v>
      </c>
      <c r="X62" s="131">
        <f t="shared" si="195"/>
        <v>1450.56</v>
      </c>
      <c r="Y62" s="131">
        <f t="shared" si="195"/>
        <v>1677.3899999999999</v>
      </c>
      <c r="Z62" s="131">
        <f t="shared" si="195"/>
        <v>2030.09</v>
      </c>
      <c r="AA62" s="368">
        <f t="shared" si="195"/>
        <v>0</v>
      </c>
      <c r="AB62" s="368">
        <f t="shared" ref="AB62" si="196">SUM(AB59:AB61)</f>
        <v>0</v>
      </c>
      <c r="AC62" s="368">
        <f t="shared" ref="AC62" si="197">SUM(AC59:AC61)</f>
        <v>0</v>
      </c>
      <c r="AD62" s="368">
        <f t="shared" ref="AD62" si="198">SUM(AD59:AD61)</f>
        <v>0</v>
      </c>
      <c r="AE62" s="368">
        <f t="shared" ref="AE62" si="199">SUM(AE59:AE61)</f>
        <v>0</v>
      </c>
      <c r="AF62" s="368">
        <f t="shared" ref="AF62" si="200">SUM(AF59:AF61)</f>
        <v>0</v>
      </c>
      <c r="AG62" s="369">
        <f t="shared" ref="AG62" si="201">SUM(AG59:AG61)</f>
        <v>0</v>
      </c>
      <c r="AI62" s="318">
        <f>SUM(AI59:AI61)</f>
        <v>1241.74</v>
      </c>
      <c r="AJ62" s="131">
        <f t="shared" ref="AJ62" si="202">SUM(AJ59:AJ61)</f>
        <v>1314.64</v>
      </c>
      <c r="AK62" s="131">
        <f t="shared" ref="AK62" si="203">SUM(AK59:AK61)</f>
        <v>1416.96</v>
      </c>
      <c r="AL62" s="131">
        <f t="shared" ref="AL62" si="204">SUM(AL59:AL61)</f>
        <v>1450.56</v>
      </c>
      <c r="AM62" s="131">
        <f t="shared" ref="AM62" si="205">SUM(AM59:AM61)</f>
        <v>1677.3899999999999</v>
      </c>
      <c r="AN62" s="131">
        <f t="shared" ref="AN62" si="206">SUM(AN59:AN61)</f>
        <v>2030.09</v>
      </c>
      <c r="AO62" s="368">
        <f t="shared" ref="AO62" si="207">SUM(AO59:AO61)</f>
        <v>0</v>
      </c>
      <c r="AP62" s="368">
        <f t="shared" ref="AP62" si="208">SUM(AP59:AP61)</f>
        <v>0</v>
      </c>
      <c r="AQ62" s="368">
        <f t="shared" ref="AQ62" si="209">SUM(AQ59:AQ61)</f>
        <v>0</v>
      </c>
      <c r="AR62" s="368">
        <f t="shared" ref="AR62" si="210">SUM(AR59:AR61)</f>
        <v>0</v>
      </c>
      <c r="AS62" s="368">
        <f t="shared" ref="AS62" si="211">SUM(AS59:AS61)</f>
        <v>0</v>
      </c>
      <c r="AT62" s="368">
        <f t="shared" ref="AT62" si="212">SUM(AT59:AT61)</f>
        <v>0</v>
      </c>
      <c r="AU62" s="369">
        <f t="shared" ref="AU62" si="213">SUM(AU59:AU61)</f>
        <v>0</v>
      </c>
    </row>
    <row r="63" spans="2:47" ht="14.5" x14ac:dyDescent="0.35">
      <c r="B63" s="363">
        <v>22</v>
      </c>
      <c r="C63" s="316" t="s">
        <v>107</v>
      </c>
      <c r="D63" s="317"/>
      <c r="E63" s="317"/>
      <c r="F63" s="317"/>
      <c r="G63" s="317">
        <f>'Historical-BS'!B79</f>
        <v>100.46</v>
      </c>
      <c r="H63" s="317">
        <f>'Historical-BS'!C79</f>
        <v>101.44</v>
      </c>
      <c r="I63" s="317">
        <f>'Historical-BS'!D79</f>
        <v>118.12</v>
      </c>
      <c r="J63" s="3">
        <f>'Historical-BS'!E79</f>
        <v>91.68</v>
      </c>
      <c r="K63" s="3">
        <f>'Historical-BS'!F79</f>
        <v>145.47</v>
      </c>
      <c r="L63" s="3">
        <f>'Historical-BS'!G79</f>
        <v>189.19</v>
      </c>
      <c r="M63" s="366"/>
      <c r="N63" s="366"/>
      <c r="O63" s="366"/>
      <c r="P63" s="366"/>
      <c r="Q63" s="366"/>
      <c r="R63" s="366"/>
      <c r="S63" s="367"/>
      <c r="U63" s="355">
        <f>G63</f>
        <v>100.46</v>
      </c>
      <c r="V63" s="317">
        <f t="shared" ref="V63:Z68" si="214">H63</f>
        <v>101.44</v>
      </c>
      <c r="W63" s="317">
        <f t="shared" si="214"/>
        <v>118.12</v>
      </c>
      <c r="X63" s="317">
        <f t="shared" si="214"/>
        <v>91.68</v>
      </c>
      <c r="Y63" s="317">
        <f t="shared" si="214"/>
        <v>145.47</v>
      </c>
      <c r="Z63" s="317">
        <f t="shared" si="214"/>
        <v>189.19</v>
      </c>
      <c r="AA63" s="366"/>
      <c r="AB63" s="366"/>
      <c r="AC63" s="366"/>
      <c r="AD63" s="366"/>
      <c r="AE63" s="366"/>
      <c r="AF63" s="366"/>
      <c r="AG63" s="367"/>
      <c r="AI63" s="355">
        <f>U63</f>
        <v>100.46</v>
      </c>
      <c r="AJ63" s="317">
        <f t="shared" ref="AJ63:AJ68" si="215">V63</f>
        <v>101.44</v>
      </c>
      <c r="AK63" s="317">
        <f t="shared" ref="AK63:AK68" si="216">W63</f>
        <v>118.12</v>
      </c>
      <c r="AL63" s="317">
        <f t="shared" ref="AL63:AL68" si="217">X63</f>
        <v>91.68</v>
      </c>
      <c r="AM63" s="317">
        <f t="shared" ref="AM63:AM68" si="218">Y63</f>
        <v>145.47</v>
      </c>
      <c r="AN63" s="317">
        <f t="shared" ref="AN63:AN68" si="219">Z63</f>
        <v>189.19</v>
      </c>
      <c r="AO63" s="366"/>
      <c r="AP63" s="366"/>
      <c r="AQ63" s="366"/>
      <c r="AR63" s="366"/>
      <c r="AS63" s="366"/>
      <c r="AT63" s="366"/>
      <c r="AU63" s="367"/>
    </row>
    <row r="64" spans="2:47" ht="14.5" x14ac:dyDescent="0.35">
      <c r="B64" s="363">
        <v>23</v>
      </c>
      <c r="C64" s="316" t="s">
        <v>108</v>
      </c>
      <c r="D64" s="317"/>
      <c r="E64" s="317"/>
      <c r="F64" s="317"/>
      <c r="G64" s="317">
        <f>'Historical-BS'!B80</f>
        <v>80.260000000000005</v>
      </c>
      <c r="H64" s="317">
        <f>'Historical-BS'!C80</f>
        <v>98.18</v>
      </c>
      <c r="I64" s="317">
        <f>'Historical-BS'!D80</f>
        <v>115.66</v>
      </c>
      <c r="J64" s="3">
        <f>'Historical-BS'!E80</f>
        <v>109.29</v>
      </c>
      <c r="K64" s="3">
        <f>'Historical-BS'!F80</f>
        <v>137.82</v>
      </c>
      <c r="L64" s="3">
        <f>'Historical-BS'!G80</f>
        <v>153.63</v>
      </c>
      <c r="M64" s="366"/>
      <c r="N64" s="366"/>
      <c r="O64" s="366"/>
      <c r="P64" s="366"/>
      <c r="Q64" s="366"/>
      <c r="R64" s="366"/>
      <c r="S64" s="367"/>
      <c r="U64" s="355">
        <f t="shared" ref="U64:U68" si="220">G64</f>
        <v>80.260000000000005</v>
      </c>
      <c r="V64" s="317">
        <f t="shared" si="214"/>
        <v>98.18</v>
      </c>
      <c r="W64" s="317">
        <f t="shared" si="214"/>
        <v>115.66</v>
      </c>
      <c r="X64" s="317">
        <f t="shared" si="214"/>
        <v>109.29</v>
      </c>
      <c r="Y64" s="317">
        <f t="shared" si="214"/>
        <v>137.82</v>
      </c>
      <c r="Z64" s="317">
        <f t="shared" si="214"/>
        <v>153.63</v>
      </c>
      <c r="AA64" s="366"/>
      <c r="AB64" s="366"/>
      <c r="AC64" s="366"/>
      <c r="AD64" s="366"/>
      <c r="AE64" s="366"/>
      <c r="AF64" s="366"/>
      <c r="AG64" s="367"/>
      <c r="AI64" s="355">
        <f t="shared" ref="AI64:AI68" si="221">U64</f>
        <v>80.260000000000005</v>
      </c>
      <c r="AJ64" s="317">
        <f t="shared" si="215"/>
        <v>98.18</v>
      </c>
      <c r="AK64" s="317">
        <f t="shared" si="216"/>
        <v>115.66</v>
      </c>
      <c r="AL64" s="317">
        <f t="shared" si="217"/>
        <v>109.29</v>
      </c>
      <c r="AM64" s="317">
        <f t="shared" si="218"/>
        <v>137.82</v>
      </c>
      <c r="AN64" s="317">
        <f t="shared" si="219"/>
        <v>153.63</v>
      </c>
      <c r="AO64" s="366"/>
      <c r="AP64" s="366"/>
      <c r="AQ64" s="366"/>
      <c r="AR64" s="366"/>
      <c r="AS64" s="366"/>
      <c r="AT64" s="366"/>
      <c r="AU64" s="367"/>
    </row>
    <row r="65" spans="1:47" ht="14.5" x14ac:dyDescent="0.35">
      <c r="B65" s="363">
        <v>24</v>
      </c>
      <c r="C65" s="316" t="s">
        <v>109</v>
      </c>
      <c r="D65" s="317"/>
      <c r="E65" s="317"/>
      <c r="F65" s="317"/>
      <c r="G65" s="317">
        <f>'Historical-BS'!B83</f>
        <v>3.89</v>
      </c>
      <c r="H65" s="317">
        <f>'Historical-BS'!C83</f>
        <v>3.53</v>
      </c>
      <c r="I65" s="317">
        <f>'Historical-BS'!D83</f>
        <v>14.66</v>
      </c>
      <c r="J65" s="3">
        <f>'Historical-BS'!E83</f>
        <v>15.51</v>
      </c>
      <c r="K65" s="3">
        <f>'Historical-BS'!F83</f>
        <v>19.34</v>
      </c>
      <c r="L65" s="3">
        <f>'Historical-BS'!G83</f>
        <v>21.59</v>
      </c>
      <c r="M65" s="366"/>
      <c r="N65" s="366"/>
      <c r="O65" s="366"/>
      <c r="P65" s="366"/>
      <c r="Q65" s="366"/>
      <c r="R65" s="366"/>
      <c r="S65" s="367"/>
      <c r="U65" s="355">
        <f t="shared" si="220"/>
        <v>3.89</v>
      </c>
      <c r="V65" s="317">
        <f t="shared" si="214"/>
        <v>3.53</v>
      </c>
      <c r="W65" s="317">
        <f t="shared" si="214"/>
        <v>14.66</v>
      </c>
      <c r="X65" s="317">
        <f t="shared" si="214"/>
        <v>15.51</v>
      </c>
      <c r="Y65" s="317">
        <f t="shared" si="214"/>
        <v>19.34</v>
      </c>
      <c r="Z65" s="317">
        <f t="shared" si="214"/>
        <v>21.59</v>
      </c>
      <c r="AA65" s="366"/>
      <c r="AB65" s="366"/>
      <c r="AC65" s="366"/>
      <c r="AD65" s="366"/>
      <c r="AE65" s="366"/>
      <c r="AF65" s="366"/>
      <c r="AG65" s="367"/>
      <c r="AI65" s="355">
        <f t="shared" si="221"/>
        <v>3.89</v>
      </c>
      <c r="AJ65" s="317">
        <f t="shared" si="215"/>
        <v>3.53</v>
      </c>
      <c r="AK65" s="317">
        <f t="shared" si="216"/>
        <v>14.66</v>
      </c>
      <c r="AL65" s="317">
        <f t="shared" si="217"/>
        <v>15.51</v>
      </c>
      <c r="AM65" s="317">
        <f t="shared" si="218"/>
        <v>19.34</v>
      </c>
      <c r="AN65" s="317">
        <f t="shared" si="219"/>
        <v>21.59</v>
      </c>
      <c r="AO65" s="366"/>
      <c r="AP65" s="366"/>
      <c r="AQ65" s="366"/>
      <c r="AR65" s="366"/>
      <c r="AS65" s="366"/>
      <c r="AT65" s="366"/>
      <c r="AU65" s="367"/>
    </row>
    <row r="66" spans="1:47" ht="14.5" x14ac:dyDescent="0.35">
      <c r="B66" s="363">
        <v>25</v>
      </c>
      <c r="C66" s="316" t="s">
        <v>110</v>
      </c>
      <c r="D66" s="317"/>
      <c r="E66" s="317"/>
      <c r="F66" s="317"/>
      <c r="G66" s="317">
        <f>'Historical-BS'!B87</f>
        <v>8.3699999999999992</v>
      </c>
      <c r="H66" s="317">
        <f>'Historical-BS'!C87</f>
        <v>12.91</v>
      </c>
      <c r="I66" s="317">
        <f>'Historical-BS'!D87</f>
        <v>20.03</v>
      </c>
      <c r="J66" s="3">
        <f>'Historical-BS'!E87</f>
        <v>17.260000000000002</v>
      </c>
      <c r="K66" s="3">
        <f>'Historical-BS'!F87</f>
        <v>21.56</v>
      </c>
      <c r="L66" s="3">
        <f>'Historical-BS'!G87</f>
        <v>16.440000000000001</v>
      </c>
      <c r="M66" s="366"/>
      <c r="N66" s="366"/>
      <c r="O66" s="366"/>
      <c r="P66" s="366"/>
      <c r="Q66" s="366"/>
      <c r="R66" s="366"/>
      <c r="S66" s="367"/>
      <c r="U66" s="355">
        <f t="shared" si="220"/>
        <v>8.3699999999999992</v>
      </c>
      <c r="V66" s="317">
        <f t="shared" si="214"/>
        <v>12.91</v>
      </c>
      <c r="W66" s="317">
        <f t="shared" si="214"/>
        <v>20.03</v>
      </c>
      <c r="X66" s="317">
        <f t="shared" si="214"/>
        <v>17.260000000000002</v>
      </c>
      <c r="Y66" s="317">
        <f t="shared" si="214"/>
        <v>21.56</v>
      </c>
      <c r="Z66" s="317">
        <f t="shared" si="214"/>
        <v>16.440000000000001</v>
      </c>
      <c r="AA66" s="366"/>
      <c r="AB66" s="366"/>
      <c r="AC66" s="366"/>
      <c r="AD66" s="366"/>
      <c r="AE66" s="366"/>
      <c r="AF66" s="366"/>
      <c r="AG66" s="367"/>
      <c r="AI66" s="355">
        <f t="shared" si="221"/>
        <v>8.3699999999999992</v>
      </c>
      <c r="AJ66" s="317">
        <f t="shared" si="215"/>
        <v>12.91</v>
      </c>
      <c r="AK66" s="317">
        <f t="shared" si="216"/>
        <v>20.03</v>
      </c>
      <c r="AL66" s="317">
        <f t="shared" si="217"/>
        <v>17.260000000000002</v>
      </c>
      <c r="AM66" s="317">
        <f t="shared" si="218"/>
        <v>21.56</v>
      </c>
      <c r="AN66" s="317">
        <f t="shared" si="219"/>
        <v>16.440000000000001</v>
      </c>
      <c r="AO66" s="366"/>
      <c r="AP66" s="366"/>
      <c r="AQ66" s="366"/>
      <c r="AR66" s="366"/>
      <c r="AS66" s="366"/>
      <c r="AT66" s="366"/>
      <c r="AU66" s="367"/>
    </row>
    <row r="67" spans="1:47" ht="14.5" x14ac:dyDescent="0.35">
      <c r="B67" s="363">
        <v>26</v>
      </c>
      <c r="C67" s="316" t="s">
        <v>111</v>
      </c>
      <c r="D67" s="317"/>
      <c r="E67" s="317"/>
      <c r="F67" s="317"/>
      <c r="G67" s="317">
        <f>'Historical-BS'!B82</f>
        <v>5.73</v>
      </c>
      <c r="H67" s="317">
        <f>'Historical-BS'!C82</f>
        <v>15.71</v>
      </c>
      <c r="I67" s="317">
        <f>'Historical-BS'!D82</f>
        <v>0.19</v>
      </c>
      <c r="J67" s="3">
        <f>'Historical-BS'!E82</f>
        <v>0.21</v>
      </c>
      <c r="K67" s="3">
        <f>'Historical-BS'!F82</f>
        <v>0.65</v>
      </c>
      <c r="L67" s="3">
        <f>'Historical-BS'!G82</f>
        <v>0.1</v>
      </c>
      <c r="M67" s="366"/>
      <c r="N67" s="366"/>
      <c r="O67" s="366"/>
      <c r="P67" s="366"/>
      <c r="Q67" s="366"/>
      <c r="R67" s="366"/>
      <c r="S67" s="367"/>
      <c r="U67" s="355">
        <f t="shared" si="220"/>
        <v>5.73</v>
      </c>
      <c r="V67" s="317">
        <f t="shared" si="214"/>
        <v>15.71</v>
      </c>
      <c r="W67" s="317">
        <f t="shared" si="214"/>
        <v>0.19</v>
      </c>
      <c r="X67" s="317">
        <f t="shared" si="214"/>
        <v>0.21</v>
      </c>
      <c r="Y67" s="317">
        <f t="shared" si="214"/>
        <v>0.65</v>
      </c>
      <c r="Z67" s="317">
        <f t="shared" si="214"/>
        <v>0.1</v>
      </c>
      <c r="AA67" s="366"/>
      <c r="AB67" s="366"/>
      <c r="AC67" s="366"/>
      <c r="AD67" s="366"/>
      <c r="AE67" s="366"/>
      <c r="AF67" s="366"/>
      <c r="AG67" s="367"/>
      <c r="AI67" s="355">
        <f t="shared" si="221"/>
        <v>5.73</v>
      </c>
      <c r="AJ67" s="317">
        <f t="shared" si="215"/>
        <v>15.71</v>
      </c>
      <c r="AK67" s="317">
        <f t="shared" si="216"/>
        <v>0.19</v>
      </c>
      <c r="AL67" s="317">
        <f t="shared" si="217"/>
        <v>0.21</v>
      </c>
      <c r="AM67" s="317">
        <f t="shared" si="218"/>
        <v>0.65</v>
      </c>
      <c r="AN67" s="317">
        <f t="shared" si="219"/>
        <v>0.1</v>
      </c>
      <c r="AO67" s="366"/>
      <c r="AP67" s="366"/>
      <c r="AQ67" s="366"/>
      <c r="AR67" s="366"/>
      <c r="AS67" s="366"/>
      <c r="AT67" s="366"/>
      <c r="AU67" s="367"/>
    </row>
    <row r="68" spans="1:47" ht="14.5" x14ac:dyDescent="0.35">
      <c r="B68" s="363">
        <v>27</v>
      </c>
      <c r="C68" s="316" t="s">
        <v>112</v>
      </c>
      <c r="D68" s="317"/>
      <c r="E68" s="317"/>
      <c r="F68" s="317"/>
      <c r="G68" s="317">
        <f>'Historical-BS'!B88+'Historical-BS'!B86</f>
        <v>117.36</v>
      </c>
      <c r="H68" s="317">
        <f>'Historical-BS'!C88+'Historical-BS'!C86</f>
        <v>48.41</v>
      </c>
      <c r="I68" s="317">
        <f>'Historical-BS'!D88+'Historical-BS'!D86</f>
        <v>70.94</v>
      </c>
      <c r="J68" s="3">
        <f>'Historical-BS'!E88+'Historical-BS'!E86</f>
        <v>63.63</v>
      </c>
      <c r="K68" s="3">
        <f>'Historical-BS'!F88+'Historical-BS'!F86</f>
        <v>123.29</v>
      </c>
      <c r="L68" s="3">
        <f>'Historical-BS'!G88+'Historical-BS'!G86</f>
        <v>158.38</v>
      </c>
      <c r="M68" s="366"/>
      <c r="N68" s="366"/>
      <c r="O68" s="366"/>
      <c r="P68" s="366"/>
      <c r="Q68" s="366"/>
      <c r="R68" s="366"/>
      <c r="S68" s="367"/>
      <c r="U68" s="355">
        <f t="shared" si="220"/>
        <v>117.36</v>
      </c>
      <c r="V68" s="317">
        <f t="shared" si="214"/>
        <v>48.41</v>
      </c>
      <c r="W68" s="317">
        <f t="shared" si="214"/>
        <v>70.94</v>
      </c>
      <c r="X68" s="317">
        <f t="shared" si="214"/>
        <v>63.63</v>
      </c>
      <c r="Y68" s="317">
        <f t="shared" si="214"/>
        <v>123.29</v>
      </c>
      <c r="Z68" s="317">
        <f t="shared" si="214"/>
        <v>158.38</v>
      </c>
      <c r="AA68" s="366"/>
      <c r="AB68" s="366"/>
      <c r="AC68" s="366"/>
      <c r="AD68" s="366"/>
      <c r="AE68" s="366"/>
      <c r="AF68" s="366"/>
      <c r="AG68" s="367"/>
      <c r="AI68" s="355">
        <f t="shared" si="221"/>
        <v>117.36</v>
      </c>
      <c r="AJ68" s="317">
        <f t="shared" si="215"/>
        <v>48.41</v>
      </c>
      <c r="AK68" s="317">
        <f t="shared" si="216"/>
        <v>70.94</v>
      </c>
      <c r="AL68" s="317">
        <f t="shared" si="217"/>
        <v>63.63</v>
      </c>
      <c r="AM68" s="317">
        <f t="shared" si="218"/>
        <v>123.29</v>
      </c>
      <c r="AN68" s="317">
        <f t="shared" si="219"/>
        <v>158.38</v>
      </c>
      <c r="AO68" s="366"/>
      <c r="AP68" s="366"/>
      <c r="AQ68" s="366"/>
      <c r="AR68" s="366"/>
      <c r="AS68" s="366"/>
      <c r="AT68" s="366"/>
      <c r="AU68" s="367"/>
    </row>
    <row r="69" spans="1:47" ht="14.5" x14ac:dyDescent="0.35">
      <c r="B69" s="363">
        <v>28</v>
      </c>
      <c r="C69" s="315" t="s">
        <v>113</v>
      </c>
      <c r="D69" s="14"/>
      <c r="E69" s="14"/>
      <c r="F69" s="14"/>
      <c r="G69" s="15">
        <f>SUM(G63:G68)</f>
        <v>316.07</v>
      </c>
      <c r="H69" s="15">
        <f>SUM(H63:H68)</f>
        <v>280.18</v>
      </c>
      <c r="I69" s="15">
        <f t="shared" ref="I69:P69" si="222">SUM(I63:I68)</f>
        <v>339.6</v>
      </c>
      <c r="J69" s="15">
        <f t="shared" si="222"/>
        <v>297.58000000000004</v>
      </c>
      <c r="K69" s="15">
        <f t="shared" si="222"/>
        <v>448.12999999999994</v>
      </c>
      <c r="L69" s="27">
        <f t="shared" si="222"/>
        <v>539.32999999999993</v>
      </c>
      <c r="M69" s="368">
        <f t="shared" si="222"/>
        <v>0</v>
      </c>
      <c r="N69" s="368">
        <f t="shared" si="222"/>
        <v>0</v>
      </c>
      <c r="O69" s="368">
        <f t="shared" si="222"/>
        <v>0</v>
      </c>
      <c r="P69" s="368">
        <f t="shared" si="222"/>
        <v>0</v>
      </c>
      <c r="Q69" s="368"/>
      <c r="R69" s="368"/>
      <c r="S69" s="369"/>
      <c r="U69" s="296">
        <f>SUM(U63:U68)</f>
        <v>316.07</v>
      </c>
      <c r="V69" s="15">
        <f t="shared" ref="V69:AA69" si="223">SUM(V63:V68)</f>
        <v>280.18</v>
      </c>
      <c r="W69" s="15">
        <f t="shared" si="223"/>
        <v>339.6</v>
      </c>
      <c r="X69" s="15">
        <f t="shared" si="223"/>
        <v>297.58000000000004</v>
      </c>
      <c r="Y69" s="15">
        <f t="shared" si="223"/>
        <v>448.12999999999994</v>
      </c>
      <c r="Z69" s="15">
        <f t="shared" si="223"/>
        <v>539.32999999999993</v>
      </c>
      <c r="AA69" s="368">
        <f t="shared" si="223"/>
        <v>0</v>
      </c>
      <c r="AB69" s="368">
        <f t="shared" ref="AB69" si="224">SUM(AB63:AB68)</f>
        <v>0</v>
      </c>
      <c r="AC69" s="368">
        <f t="shared" ref="AC69" si="225">SUM(AC63:AC68)</f>
        <v>0</v>
      </c>
      <c r="AD69" s="368">
        <f t="shared" ref="AD69" si="226">SUM(AD63:AD68)</f>
        <v>0</v>
      </c>
      <c r="AE69" s="368">
        <f t="shared" ref="AE69" si="227">SUM(AE63:AE68)</f>
        <v>0</v>
      </c>
      <c r="AF69" s="368">
        <f t="shared" ref="AF69" si="228">SUM(AF63:AF68)</f>
        <v>0</v>
      </c>
      <c r="AG69" s="369">
        <f t="shared" ref="AG69" si="229">SUM(AG63:AG68)</f>
        <v>0</v>
      </c>
      <c r="AI69" s="296">
        <f>SUM(AI63:AI68)</f>
        <v>316.07</v>
      </c>
      <c r="AJ69" s="15">
        <f t="shared" ref="AJ69" si="230">SUM(AJ63:AJ68)</f>
        <v>280.18</v>
      </c>
      <c r="AK69" s="15">
        <f t="shared" ref="AK69" si="231">SUM(AK63:AK68)</f>
        <v>339.6</v>
      </c>
      <c r="AL69" s="15">
        <f t="shared" ref="AL69" si="232">SUM(AL63:AL68)</f>
        <v>297.58000000000004</v>
      </c>
      <c r="AM69" s="15">
        <f t="shared" ref="AM69" si="233">SUM(AM63:AM68)</f>
        <v>448.12999999999994</v>
      </c>
      <c r="AN69" s="15">
        <f t="shared" ref="AN69" si="234">SUM(AN63:AN68)</f>
        <v>539.32999999999993</v>
      </c>
      <c r="AO69" s="368">
        <f t="shared" ref="AO69" si="235">SUM(AO63:AO68)</f>
        <v>0</v>
      </c>
      <c r="AP69" s="368">
        <f t="shared" ref="AP69" si="236">SUM(AP63:AP68)</f>
        <v>0</v>
      </c>
      <c r="AQ69" s="368">
        <f t="shared" ref="AQ69" si="237">SUM(AQ63:AQ68)</f>
        <v>0</v>
      </c>
      <c r="AR69" s="368">
        <f t="shared" ref="AR69" si="238">SUM(AR63:AR68)</f>
        <v>0</v>
      </c>
      <c r="AS69" s="368">
        <f t="shared" ref="AS69" si="239">SUM(AS63:AS68)</f>
        <v>0</v>
      </c>
      <c r="AT69" s="368">
        <f t="shared" ref="AT69" si="240">SUM(AT63:AT68)</f>
        <v>0</v>
      </c>
      <c r="AU69" s="369">
        <f t="shared" ref="AU69" si="241">SUM(AU63:AU68)</f>
        <v>0</v>
      </c>
    </row>
    <row r="70" spans="1:47" ht="14.5" x14ac:dyDescent="0.35">
      <c r="B70" s="363">
        <v>29</v>
      </c>
      <c r="C70" s="312" t="s">
        <v>114</v>
      </c>
      <c r="D70" s="3"/>
      <c r="E70" s="3"/>
      <c r="F70" s="3"/>
      <c r="G70" s="3">
        <f>'Historical-BS'!B103</f>
        <v>40.61</v>
      </c>
      <c r="H70" s="3">
        <f>'Historical-BS'!C103</f>
        <v>44.74</v>
      </c>
      <c r="I70" s="3">
        <f>'Historical-BS'!D103</f>
        <v>82.46</v>
      </c>
      <c r="J70" s="3">
        <f>'Historical-BS'!E103</f>
        <v>89.38</v>
      </c>
      <c r="K70" s="3">
        <f>'Historical-BS'!F103</f>
        <v>54.46</v>
      </c>
      <c r="L70" s="3">
        <f>'Historical-BS'!G103</f>
        <v>8.48</v>
      </c>
      <c r="M70" s="366"/>
      <c r="N70" s="366"/>
      <c r="O70" s="366"/>
      <c r="P70" s="366"/>
      <c r="Q70" s="366"/>
      <c r="R70" s="366"/>
      <c r="S70" s="367"/>
      <c r="U70" s="275">
        <f>G70</f>
        <v>40.61</v>
      </c>
      <c r="V70" s="3">
        <f t="shared" ref="V70:Z74" si="242">H70</f>
        <v>44.74</v>
      </c>
      <c r="W70" s="3">
        <f t="shared" si="242"/>
        <v>82.46</v>
      </c>
      <c r="X70" s="3">
        <f t="shared" si="242"/>
        <v>89.38</v>
      </c>
      <c r="Y70" s="3">
        <f t="shared" si="242"/>
        <v>54.46</v>
      </c>
      <c r="Z70" s="3">
        <f t="shared" si="242"/>
        <v>8.48</v>
      </c>
      <c r="AA70" s="366"/>
      <c r="AB70" s="366"/>
      <c r="AC70" s="366"/>
      <c r="AD70" s="366"/>
      <c r="AE70" s="366"/>
      <c r="AF70" s="366"/>
      <c r="AG70" s="367"/>
      <c r="AI70" s="275">
        <f>U70</f>
        <v>40.61</v>
      </c>
      <c r="AJ70" s="3">
        <f t="shared" ref="AJ70:AJ74" si="243">V70</f>
        <v>44.74</v>
      </c>
      <c r="AK70" s="3">
        <f t="shared" ref="AK70:AK74" si="244">W70</f>
        <v>82.46</v>
      </c>
      <c r="AL70" s="3">
        <f t="shared" ref="AL70:AL74" si="245">X70</f>
        <v>89.38</v>
      </c>
      <c r="AM70" s="3">
        <f t="shared" ref="AM70:AM74" si="246">Y70</f>
        <v>54.46</v>
      </c>
      <c r="AN70" s="3">
        <f t="shared" ref="AN70:AN74" si="247">Z70</f>
        <v>8.48</v>
      </c>
      <c r="AO70" s="366"/>
      <c r="AP70" s="366"/>
      <c r="AQ70" s="366"/>
      <c r="AR70" s="366"/>
      <c r="AS70" s="366"/>
      <c r="AT70" s="366"/>
      <c r="AU70" s="367"/>
    </row>
    <row r="71" spans="1:47" ht="14.5" x14ac:dyDescent="0.35">
      <c r="B71" s="363">
        <v>30</v>
      </c>
      <c r="C71" s="312" t="s">
        <v>115</v>
      </c>
      <c r="D71" s="3"/>
      <c r="E71" s="3"/>
      <c r="F71" s="3"/>
      <c r="G71" s="3">
        <f>'Historical-BS'!B98</f>
        <v>3</v>
      </c>
      <c r="H71" s="3">
        <f>'Historical-BS'!C98</f>
        <v>7.32</v>
      </c>
      <c r="I71" s="3">
        <f>'Historical-BS'!D98</f>
        <v>42.83</v>
      </c>
      <c r="J71" s="3">
        <f>'Historical-BS'!E98</f>
        <v>53.09</v>
      </c>
      <c r="K71" s="3">
        <f>'Historical-BS'!F98</f>
        <v>101.93</v>
      </c>
      <c r="L71" s="3">
        <f>'Historical-BS'!G98</f>
        <v>106.32</v>
      </c>
      <c r="M71" s="366"/>
      <c r="N71" s="366"/>
      <c r="O71" s="366"/>
      <c r="P71" s="366"/>
      <c r="Q71" s="366"/>
      <c r="R71" s="366"/>
      <c r="S71" s="367"/>
      <c r="U71" s="275">
        <f t="shared" ref="U71:U74" si="248">G71</f>
        <v>3</v>
      </c>
      <c r="V71" s="3">
        <f t="shared" si="242"/>
        <v>7.32</v>
      </c>
      <c r="W71" s="3">
        <f t="shared" si="242"/>
        <v>42.83</v>
      </c>
      <c r="X71" s="3">
        <f t="shared" si="242"/>
        <v>53.09</v>
      </c>
      <c r="Y71" s="3">
        <f t="shared" si="242"/>
        <v>101.93</v>
      </c>
      <c r="Z71" s="3">
        <f t="shared" si="242"/>
        <v>106.32</v>
      </c>
      <c r="AA71" s="366"/>
      <c r="AB71" s="366"/>
      <c r="AC71" s="366"/>
      <c r="AD71" s="366"/>
      <c r="AE71" s="366"/>
      <c r="AF71" s="366"/>
      <c r="AG71" s="367"/>
      <c r="AI71" s="275">
        <f t="shared" ref="AI71:AI74" si="249">U71</f>
        <v>3</v>
      </c>
      <c r="AJ71" s="3">
        <f t="shared" si="243"/>
        <v>7.32</v>
      </c>
      <c r="AK71" s="3">
        <f t="shared" si="244"/>
        <v>42.83</v>
      </c>
      <c r="AL71" s="3">
        <f t="shared" si="245"/>
        <v>53.09</v>
      </c>
      <c r="AM71" s="3">
        <f t="shared" si="246"/>
        <v>101.93</v>
      </c>
      <c r="AN71" s="3">
        <f t="shared" si="247"/>
        <v>106.32</v>
      </c>
      <c r="AO71" s="366"/>
      <c r="AP71" s="366"/>
      <c r="AQ71" s="366"/>
      <c r="AR71" s="366"/>
      <c r="AS71" s="366"/>
      <c r="AT71" s="366"/>
      <c r="AU71" s="367"/>
    </row>
    <row r="72" spans="1:47" ht="14.5" x14ac:dyDescent="0.35">
      <c r="B72" s="363">
        <v>31</v>
      </c>
      <c r="C72" s="312" t="s">
        <v>116</v>
      </c>
      <c r="D72" s="3"/>
      <c r="E72" s="3"/>
      <c r="F72" s="3"/>
      <c r="G72" s="3">
        <f>'Historical-BS'!B97</f>
        <v>0.59</v>
      </c>
      <c r="H72" s="3">
        <f>'Historical-BS'!C97</f>
        <v>0</v>
      </c>
      <c r="I72" s="3">
        <f>'Historical-BS'!D97</f>
        <v>109.01</v>
      </c>
      <c r="J72" s="3">
        <f>'Historical-BS'!E97</f>
        <v>87.54</v>
      </c>
      <c r="K72" s="3">
        <f>'Historical-BS'!F97</f>
        <v>76.5</v>
      </c>
      <c r="L72" s="3">
        <f>'Historical-BS'!G97</f>
        <v>91.77</v>
      </c>
      <c r="M72" s="366"/>
      <c r="N72" s="366"/>
      <c r="O72" s="366"/>
      <c r="P72" s="366"/>
      <c r="Q72" s="366"/>
      <c r="R72" s="366"/>
      <c r="S72" s="367"/>
      <c r="U72" s="275">
        <f t="shared" si="248"/>
        <v>0.59</v>
      </c>
      <c r="V72" s="3">
        <f t="shared" si="242"/>
        <v>0</v>
      </c>
      <c r="W72" s="3">
        <f t="shared" si="242"/>
        <v>109.01</v>
      </c>
      <c r="X72" s="3">
        <f t="shared" si="242"/>
        <v>87.54</v>
      </c>
      <c r="Y72" s="3">
        <f t="shared" si="242"/>
        <v>76.5</v>
      </c>
      <c r="Z72" s="3">
        <f t="shared" si="242"/>
        <v>91.77</v>
      </c>
      <c r="AA72" s="366"/>
      <c r="AB72" s="366"/>
      <c r="AC72" s="366"/>
      <c r="AD72" s="366"/>
      <c r="AE72" s="366"/>
      <c r="AF72" s="366"/>
      <c r="AG72" s="367"/>
      <c r="AI72" s="275">
        <f t="shared" si="249"/>
        <v>0.59</v>
      </c>
      <c r="AJ72" s="3">
        <f t="shared" si="243"/>
        <v>0</v>
      </c>
      <c r="AK72" s="3">
        <f t="shared" si="244"/>
        <v>109.01</v>
      </c>
      <c r="AL72" s="3">
        <f t="shared" si="245"/>
        <v>87.54</v>
      </c>
      <c r="AM72" s="3">
        <f t="shared" si="246"/>
        <v>76.5</v>
      </c>
      <c r="AN72" s="3">
        <f t="shared" si="247"/>
        <v>91.77</v>
      </c>
      <c r="AO72" s="366"/>
      <c r="AP72" s="366"/>
      <c r="AQ72" s="366"/>
      <c r="AR72" s="366"/>
      <c r="AS72" s="366"/>
      <c r="AT72" s="366"/>
      <c r="AU72" s="367"/>
    </row>
    <row r="73" spans="1:47" ht="14.5" x14ac:dyDescent="0.35">
      <c r="B73" s="363">
        <v>32</v>
      </c>
      <c r="C73" s="312" t="s">
        <v>117</v>
      </c>
      <c r="D73" s="3"/>
      <c r="E73" s="3"/>
      <c r="F73" s="3"/>
      <c r="G73" s="3">
        <f>'Historical-BS'!B99</f>
        <v>8.92</v>
      </c>
      <c r="H73" s="3">
        <f>'Historical-BS'!C99</f>
        <v>5.23</v>
      </c>
      <c r="I73" s="3">
        <f>'Historical-BS'!D99</f>
        <v>18.2</v>
      </c>
      <c r="J73" s="3">
        <f>'Historical-BS'!E99</f>
        <v>17.170000000000002</v>
      </c>
      <c r="K73" s="3">
        <f>'Historical-BS'!F99</f>
        <v>15.44</v>
      </c>
      <c r="L73" s="3">
        <f>'Historical-BS'!G99</f>
        <v>22.38</v>
      </c>
      <c r="M73" s="366"/>
      <c r="N73" s="366"/>
      <c r="O73" s="366"/>
      <c r="P73" s="366"/>
      <c r="Q73" s="366"/>
      <c r="R73" s="366"/>
      <c r="S73" s="367"/>
      <c r="U73" s="275">
        <f t="shared" si="248"/>
        <v>8.92</v>
      </c>
      <c r="V73" s="3">
        <f t="shared" si="242"/>
        <v>5.23</v>
      </c>
      <c r="W73" s="3">
        <f t="shared" si="242"/>
        <v>18.2</v>
      </c>
      <c r="X73" s="3">
        <f t="shared" si="242"/>
        <v>17.170000000000002</v>
      </c>
      <c r="Y73" s="3">
        <f t="shared" si="242"/>
        <v>15.44</v>
      </c>
      <c r="Z73" s="3">
        <f t="shared" si="242"/>
        <v>22.38</v>
      </c>
      <c r="AA73" s="366"/>
      <c r="AB73" s="366"/>
      <c r="AC73" s="366"/>
      <c r="AD73" s="366"/>
      <c r="AE73" s="366"/>
      <c r="AF73" s="366"/>
      <c r="AG73" s="367"/>
      <c r="AI73" s="275">
        <f t="shared" si="249"/>
        <v>8.92</v>
      </c>
      <c r="AJ73" s="3">
        <f t="shared" si="243"/>
        <v>5.23</v>
      </c>
      <c r="AK73" s="3">
        <f t="shared" si="244"/>
        <v>18.2</v>
      </c>
      <c r="AL73" s="3">
        <f t="shared" si="245"/>
        <v>17.170000000000002</v>
      </c>
      <c r="AM73" s="3">
        <f t="shared" si="246"/>
        <v>15.44</v>
      </c>
      <c r="AN73" s="3">
        <f t="shared" si="247"/>
        <v>22.38</v>
      </c>
      <c r="AO73" s="366"/>
      <c r="AP73" s="366"/>
      <c r="AQ73" s="366"/>
      <c r="AR73" s="366"/>
      <c r="AS73" s="366"/>
      <c r="AT73" s="366"/>
      <c r="AU73" s="367"/>
    </row>
    <row r="74" spans="1:47" ht="14.5" x14ac:dyDescent="0.35">
      <c r="B74" s="363">
        <v>33</v>
      </c>
      <c r="C74" s="312" t="s">
        <v>118</v>
      </c>
      <c r="D74" s="3"/>
      <c r="E74" s="3"/>
      <c r="F74" s="3"/>
      <c r="G74" s="3">
        <f>'Historical-BS'!B104+'Historical-BS'!B105</f>
        <v>12.18</v>
      </c>
      <c r="H74" s="3">
        <f>'Historical-BS'!C104+'Historical-BS'!C105</f>
        <v>9.94</v>
      </c>
      <c r="I74" s="3">
        <f>'Historical-BS'!D104+'Historical-BS'!D105</f>
        <v>13.079999999999998</v>
      </c>
      <c r="J74" s="3">
        <f>'Historical-BS'!E104+'Historical-BS'!E105</f>
        <v>19.53</v>
      </c>
      <c r="K74" s="3">
        <f>'Historical-BS'!F104+'Historical-BS'!F105</f>
        <v>22.15</v>
      </c>
      <c r="L74" s="3">
        <f>'Historical-BS'!G104+'Historical-BS'!G105</f>
        <v>24.47</v>
      </c>
      <c r="M74" s="366"/>
      <c r="N74" s="366"/>
      <c r="O74" s="366"/>
      <c r="P74" s="366"/>
      <c r="Q74" s="366"/>
      <c r="R74" s="366"/>
      <c r="S74" s="367"/>
      <c r="U74" s="275">
        <f t="shared" si="248"/>
        <v>12.18</v>
      </c>
      <c r="V74" s="3">
        <f t="shared" si="242"/>
        <v>9.94</v>
      </c>
      <c r="W74" s="3">
        <f t="shared" si="242"/>
        <v>13.079999999999998</v>
      </c>
      <c r="X74" s="3">
        <f t="shared" si="242"/>
        <v>19.53</v>
      </c>
      <c r="Y74" s="3">
        <f t="shared" si="242"/>
        <v>22.15</v>
      </c>
      <c r="Z74" s="3">
        <f t="shared" si="242"/>
        <v>24.47</v>
      </c>
      <c r="AA74" s="366"/>
      <c r="AB74" s="366"/>
      <c r="AC74" s="366"/>
      <c r="AD74" s="366"/>
      <c r="AE74" s="366"/>
      <c r="AF74" s="366"/>
      <c r="AG74" s="367"/>
      <c r="AI74" s="275">
        <f t="shared" si="249"/>
        <v>12.18</v>
      </c>
      <c r="AJ74" s="3">
        <f t="shared" si="243"/>
        <v>9.94</v>
      </c>
      <c r="AK74" s="3">
        <f t="shared" si="244"/>
        <v>13.079999999999998</v>
      </c>
      <c r="AL74" s="3">
        <f t="shared" si="245"/>
        <v>19.53</v>
      </c>
      <c r="AM74" s="3">
        <f t="shared" si="246"/>
        <v>22.15</v>
      </c>
      <c r="AN74" s="3">
        <f t="shared" si="247"/>
        <v>24.47</v>
      </c>
      <c r="AO74" s="366"/>
      <c r="AP74" s="366"/>
      <c r="AQ74" s="366"/>
      <c r="AR74" s="366"/>
      <c r="AS74" s="366"/>
      <c r="AT74" s="366"/>
      <c r="AU74" s="367"/>
    </row>
    <row r="75" spans="1:47" ht="14.5" x14ac:dyDescent="0.35">
      <c r="B75" s="363">
        <v>34</v>
      </c>
      <c r="C75" s="324" t="s">
        <v>119</v>
      </c>
      <c r="D75" s="28"/>
      <c r="E75" s="28"/>
      <c r="F75" s="28"/>
      <c r="G75" s="29">
        <f>SUM(G70:G74)</f>
        <v>65.300000000000011</v>
      </c>
      <c r="H75" s="29">
        <f>SUM(H70:H74)</f>
        <v>67.23</v>
      </c>
      <c r="I75" s="29">
        <f t="shared" ref="I75:P75" si="250">SUM(I70:I74)</f>
        <v>265.58</v>
      </c>
      <c r="J75" s="29">
        <f t="shared" si="250"/>
        <v>266.71000000000004</v>
      </c>
      <c r="K75" s="29">
        <f t="shared" si="250"/>
        <v>270.48</v>
      </c>
      <c r="L75" s="29">
        <f t="shared" si="250"/>
        <v>253.42</v>
      </c>
      <c r="M75" s="368">
        <f>SUM(M70:M74)</f>
        <v>0</v>
      </c>
      <c r="N75" s="368">
        <f t="shared" si="250"/>
        <v>0</v>
      </c>
      <c r="O75" s="368">
        <f t="shared" si="250"/>
        <v>0</v>
      </c>
      <c r="P75" s="368">
        <f t="shared" si="250"/>
        <v>0</v>
      </c>
      <c r="Q75" s="368"/>
      <c r="R75" s="368"/>
      <c r="S75" s="369"/>
      <c r="U75" s="357">
        <f>SUM(U70:U74)</f>
        <v>65.300000000000011</v>
      </c>
      <c r="V75" s="29">
        <f t="shared" ref="V75:Z75" si="251">SUM(V70:V74)</f>
        <v>67.23</v>
      </c>
      <c r="W75" s="29">
        <f t="shared" si="251"/>
        <v>265.58</v>
      </c>
      <c r="X75" s="29">
        <f t="shared" si="251"/>
        <v>266.71000000000004</v>
      </c>
      <c r="Y75" s="29">
        <f t="shared" si="251"/>
        <v>270.48</v>
      </c>
      <c r="Z75" s="29">
        <f t="shared" si="251"/>
        <v>253.42</v>
      </c>
      <c r="AA75" s="368">
        <f>SUM(AA70:AA74)</f>
        <v>0</v>
      </c>
      <c r="AB75" s="368">
        <f t="shared" ref="AB75:AG75" si="252">SUM(AB70:AB74)</f>
        <v>0</v>
      </c>
      <c r="AC75" s="368">
        <f t="shared" si="252"/>
        <v>0</v>
      </c>
      <c r="AD75" s="368">
        <f t="shared" si="252"/>
        <v>0</v>
      </c>
      <c r="AE75" s="368">
        <f t="shared" si="252"/>
        <v>0</v>
      </c>
      <c r="AF75" s="368">
        <f t="shared" si="252"/>
        <v>0</v>
      </c>
      <c r="AG75" s="369">
        <f t="shared" si="252"/>
        <v>0</v>
      </c>
      <c r="AI75" s="357">
        <f>SUM(AI70:AI74)</f>
        <v>65.300000000000011</v>
      </c>
      <c r="AJ75" s="29">
        <f t="shared" ref="AJ75" si="253">SUM(AJ70:AJ74)</f>
        <v>67.23</v>
      </c>
      <c r="AK75" s="29">
        <f t="shared" ref="AK75" si="254">SUM(AK70:AK74)</f>
        <v>265.58</v>
      </c>
      <c r="AL75" s="29">
        <f t="shared" ref="AL75" si="255">SUM(AL70:AL74)</f>
        <v>266.71000000000004</v>
      </c>
      <c r="AM75" s="29">
        <f t="shared" ref="AM75" si="256">SUM(AM70:AM74)</f>
        <v>270.48</v>
      </c>
      <c r="AN75" s="29">
        <f t="shared" ref="AN75" si="257">SUM(AN70:AN74)</f>
        <v>253.42</v>
      </c>
      <c r="AO75" s="368">
        <f>SUM(AO70:AO74)</f>
        <v>0</v>
      </c>
      <c r="AP75" s="368">
        <f t="shared" ref="AP75" si="258">SUM(AP70:AP74)</f>
        <v>0</v>
      </c>
      <c r="AQ75" s="368">
        <f t="shared" ref="AQ75" si="259">SUM(AQ70:AQ74)</f>
        <v>0</v>
      </c>
      <c r="AR75" s="368">
        <f t="shared" ref="AR75" si="260">SUM(AR70:AR74)</f>
        <v>0</v>
      </c>
      <c r="AS75" s="368">
        <f t="shared" ref="AS75" si="261">SUM(AS70:AS74)</f>
        <v>0</v>
      </c>
      <c r="AT75" s="368">
        <f t="shared" ref="AT75" si="262">SUM(AT70:AT74)</f>
        <v>0</v>
      </c>
      <c r="AU75" s="369">
        <f t="shared" ref="AU75" si="263">SUM(AU70:AU74)</f>
        <v>0</v>
      </c>
    </row>
    <row r="76" spans="1:47" ht="14.5" x14ac:dyDescent="0.35">
      <c r="B76" s="363">
        <v>35</v>
      </c>
      <c r="C76" s="325" t="s">
        <v>120</v>
      </c>
      <c r="D76" s="326"/>
      <c r="E76" s="326"/>
      <c r="F76" s="326"/>
      <c r="G76" s="327">
        <f t="shared" ref="G76:P76" si="264">G62+G69+G75</f>
        <v>1623.11</v>
      </c>
      <c r="H76" s="327">
        <f t="shared" si="264"/>
        <v>1662.0500000000002</v>
      </c>
      <c r="I76" s="327">
        <f t="shared" si="264"/>
        <v>2022.1399999999999</v>
      </c>
      <c r="J76" s="327">
        <f t="shared" si="264"/>
        <v>2014.85</v>
      </c>
      <c r="K76" s="327">
        <f t="shared" si="264"/>
        <v>2396</v>
      </c>
      <c r="L76" s="327">
        <f t="shared" si="264"/>
        <v>2822.84</v>
      </c>
      <c r="M76" s="370">
        <f t="shared" si="264"/>
        <v>0</v>
      </c>
      <c r="N76" s="370">
        <f t="shared" si="264"/>
        <v>0</v>
      </c>
      <c r="O76" s="370">
        <f t="shared" si="264"/>
        <v>0</v>
      </c>
      <c r="P76" s="370">
        <f t="shared" si="264"/>
        <v>0</v>
      </c>
      <c r="Q76" s="370"/>
      <c r="R76" s="370"/>
      <c r="S76" s="371"/>
      <c r="U76" s="358">
        <f t="shared" ref="U76:AA76" si="265">U62+U69+U75</f>
        <v>1623.11</v>
      </c>
      <c r="V76" s="327">
        <f t="shared" si="265"/>
        <v>1662.0500000000002</v>
      </c>
      <c r="W76" s="327">
        <f t="shared" si="265"/>
        <v>2022.1399999999999</v>
      </c>
      <c r="X76" s="327">
        <f t="shared" si="265"/>
        <v>2014.85</v>
      </c>
      <c r="Y76" s="327">
        <f t="shared" si="265"/>
        <v>2396</v>
      </c>
      <c r="Z76" s="327">
        <f t="shared" si="265"/>
        <v>2822.84</v>
      </c>
      <c r="AA76" s="370">
        <f t="shared" si="265"/>
        <v>0</v>
      </c>
      <c r="AB76" s="370">
        <f t="shared" ref="AB76:AG76" si="266">AB62+AB69+AB75</f>
        <v>0</v>
      </c>
      <c r="AC76" s="370">
        <f t="shared" si="266"/>
        <v>0</v>
      </c>
      <c r="AD76" s="370">
        <f t="shared" si="266"/>
        <v>0</v>
      </c>
      <c r="AE76" s="370">
        <f t="shared" si="266"/>
        <v>0</v>
      </c>
      <c r="AF76" s="370">
        <f t="shared" si="266"/>
        <v>0</v>
      </c>
      <c r="AG76" s="371">
        <f t="shared" si="266"/>
        <v>0</v>
      </c>
      <c r="AI76" s="358">
        <f t="shared" ref="AI76:AU76" si="267">AI62+AI69+AI75</f>
        <v>1623.11</v>
      </c>
      <c r="AJ76" s="327">
        <f t="shared" si="267"/>
        <v>1662.0500000000002</v>
      </c>
      <c r="AK76" s="327">
        <f t="shared" si="267"/>
        <v>2022.1399999999999</v>
      </c>
      <c r="AL76" s="327">
        <f t="shared" si="267"/>
        <v>2014.85</v>
      </c>
      <c r="AM76" s="327">
        <f t="shared" si="267"/>
        <v>2396</v>
      </c>
      <c r="AN76" s="327">
        <f t="shared" si="267"/>
        <v>2822.84</v>
      </c>
      <c r="AO76" s="370">
        <f t="shared" si="267"/>
        <v>0</v>
      </c>
      <c r="AP76" s="370">
        <f t="shared" si="267"/>
        <v>0</v>
      </c>
      <c r="AQ76" s="370">
        <f t="shared" si="267"/>
        <v>0</v>
      </c>
      <c r="AR76" s="370">
        <f t="shared" si="267"/>
        <v>0</v>
      </c>
      <c r="AS76" s="370">
        <f t="shared" si="267"/>
        <v>0</v>
      </c>
      <c r="AT76" s="370">
        <f t="shared" si="267"/>
        <v>0</v>
      </c>
      <c r="AU76" s="371">
        <f t="shared" si="267"/>
        <v>0</v>
      </c>
    </row>
    <row r="77" spans="1:47" ht="14.5" x14ac:dyDescent="0.35">
      <c r="B77" s="46"/>
      <c r="C77" s="9"/>
      <c r="D77" s="9"/>
      <c r="E77" s="9"/>
      <c r="F77" s="9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47" ht="14.5" x14ac:dyDescent="0.35">
      <c r="A78" s="8" t="s">
        <v>3</v>
      </c>
      <c r="B78" s="46"/>
      <c r="C78" s="309" t="s">
        <v>121</v>
      </c>
      <c r="D78" s="310"/>
      <c r="E78" s="310"/>
      <c r="F78" s="310"/>
      <c r="G78" s="310" t="s">
        <v>64</v>
      </c>
      <c r="H78" s="310" t="s">
        <v>65</v>
      </c>
      <c r="I78" s="310" t="s">
        <v>66</v>
      </c>
      <c r="J78" s="310" t="s">
        <v>67</v>
      </c>
      <c r="K78" s="310" t="s">
        <v>68</v>
      </c>
      <c r="L78" s="310" t="s">
        <v>15</v>
      </c>
      <c r="M78" s="310" t="s">
        <v>16</v>
      </c>
      <c r="N78" s="310" t="s">
        <v>17</v>
      </c>
      <c r="O78" s="310" t="s">
        <v>18</v>
      </c>
      <c r="P78" s="310" t="s">
        <v>19</v>
      </c>
      <c r="Q78" s="310" t="s">
        <v>20</v>
      </c>
      <c r="R78" s="310" t="s">
        <v>21</v>
      </c>
      <c r="S78" s="311" t="s">
        <v>22</v>
      </c>
      <c r="U78" s="350" t="s">
        <v>64</v>
      </c>
      <c r="V78" s="351" t="s">
        <v>65</v>
      </c>
      <c r="W78" s="351" t="s">
        <v>66</v>
      </c>
      <c r="X78" s="351" t="s">
        <v>67</v>
      </c>
      <c r="Y78" s="351" t="s">
        <v>68</v>
      </c>
      <c r="Z78" s="351" t="s">
        <v>15</v>
      </c>
      <c r="AA78" s="351" t="s">
        <v>16</v>
      </c>
      <c r="AB78" s="351" t="s">
        <v>17</v>
      </c>
      <c r="AC78" s="351" t="s">
        <v>18</v>
      </c>
      <c r="AD78" s="351" t="s">
        <v>19</v>
      </c>
      <c r="AE78" s="351" t="s">
        <v>20</v>
      </c>
      <c r="AF78" s="351" t="s">
        <v>21</v>
      </c>
      <c r="AG78" s="352" t="s">
        <v>22</v>
      </c>
      <c r="AI78" s="359" t="s">
        <v>64</v>
      </c>
      <c r="AJ78" s="360" t="s">
        <v>65</v>
      </c>
      <c r="AK78" s="360" t="s">
        <v>66</v>
      </c>
      <c r="AL78" s="360" t="s">
        <v>67</v>
      </c>
      <c r="AM78" s="360" t="s">
        <v>68</v>
      </c>
      <c r="AN78" s="360" t="s">
        <v>15</v>
      </c>
      <c r="AO78" s="360" t="s">
        <v>16</v>
      </c>
      <c r="AP78" s="360" t="s">
        <v>17</v>
      </c>
      <c r="AQ78" s="360" t="s">
        <v>18</v>
      </c>
      <c r="AR78" s="360" t="s">
        <v>19</v>
      </c>
      <c r="AS78" s="360" t="s">
        <v>20</v>
      </c>
      <c r="AT78" s="360" t="s">
        <v>21</v>
      </c>
      <c r="AU78" s="361" t="s">
        <v>22</v>
      </c>
    </row>
    <row r="79" spans="1:47" ht="14.5" hidden="1" x14ac:dyDescent="0.35">
      <c r="B79" s="46"/>
      <c r="C79" s="328"/>
      <c r="D79" s="290"/>
      <c r="E79" s="290"/>
      <c r="F79" s="290"/>
      <c r="G79" s="290"/>
      <c r="H79" s="290"/>
      <c r="I79" s="290"/>
      <c r="J79" s="290"/>
      <c r="K79" s="290"/>
      <c r="L79" s="290"/>
      <c r="M79" s="329"/>
      <c r="N79" s="329"/>
      <c r="O79" s="329"/>
      <c r="P79" s="329"/>
      <c r="Q79" s="134"/>
      <c r="R79" s="134"/>
      <c r="S79" s="330"/>
      <c r="U79" s="344"/>
      <c r="AG79" s="345"/>
      <c r="AI79" s="344"/>
      <c r="AU79" s="345"/>
    </row>
    <row r="80" spans="1:47" ht="14.5" x14ac:dyDescent="0.35">
      <c r="B80" s="363">
        <v>1</v>
      </c>
      <c r="C80" s="292" t="s">
        <v>85</v>
      </c>
      <c r="D80" s="9"/>
      <c r="E80" s="9"/>
      <c r="F80" s="9"/>
      <c r="G80" s="9">
        <v>135.78</v>
      </c>
      <c r="H80" s="9">
        <v>126.23</v>
      </c>
      <c r="I80" s="9">
        <v>160.58000000000001</v>
      </c>
      <c r="J80" s="9">
        <v>123.42</v>
      </c>
      <c r="K80" s="9">
        <v>237.52</v>
      </c>
      <c r="L80" s="9">
        <v>295.91000000000003</v>
      </c>
      <c r="M80" s="331">
        <f>Forecast!M33</f>
        <v>252.37997316813852</v>
      </c>
      <c r="N80" s="331">
        <f>Forecast!N33</f>
        <v>278.60269993946139</v>
      </c>
      <c r="O80" s="331">
        <f>Forecast!O33</f>
        <v>307.55001452451444</v>
      </c>
      <c r="P80" s="331">
        <f>Forecast!P33</f>
        <v>339.50500642880417</v>
      </c>
      <c r="Q80" s="331">
        <f>Forecast!Q33</f>
        <v>374.78017865947726</v>
      </c>
      <c r="R80" s="331">
        <f>Forecast!R33</f>
        <v>413.7205038403016</v>
      </c>
      <c r="S80" s="332">
        <f>Forecast!S33</f>
        <v>456.70679786241334</v>
      </c>
      <c r="U80" s="292">
        <v>135.78</v>
      </c>
      <c r="V80" s="9">
        <v>126.23</v>
      </c>
      <c r="W80" s="9">
        <v>160.58000000000001</v>
      </c>
      <c r="X80" s="9">
        <v>123.42</v>
      </c>
      <c r="Y80" s="9">
        <v>237.52</v>
      </c>
      <c r="Z80" s="9">
        <v>295.91000000000003</v>
      </c>
      <c r="AA80" s="426">
        <f>Forecast!AA33</f>
        <v>252.37997316813852</v>
      </c>
      <c r="AB80" s="426">
        <f>Forecast!AB33</f>
        <v>294.05235862586238</v>
      </c>
      <c r="AC80" s="426">
        <f>Forecast!AC33</f>
        <v>338.38810617783577</v>
      </c>
      <c r="AD80" s="426">
        <f>Forecast!AD33</f>
        <v>401.46042194784286</v>
      </c>
      <c r="AE80" s="426">
        <f>Forecast!AE33</f>
        <v>444.86523968640165</v>
      </c>
      <c r="AF80" s="426">
        <f>Forecast!AF33</f>
        <v>482.83582029005134</v>
      </c>
      <c r="AG80" s="427">
        <f>Forecast!AG33</f>
        <v>549.48823556633397</v>
      </c>
      <c r="AI80" s="292">
        <v>135.78</v>
      </c>
      <c r="AJ80" s="9">
        <v>126.23</v>
      </c>
      <c r="AK80" s="9">
        <v>160.58000000000001</v>
      </c>
      <c r="AL80" s="9">
        <v>123.42</v>
      </c>
      <c r="AM80" s="9">
        <v>237.52</v>
      </c>
      <c r="AN80" s="9">
        <v>295.91000000000003</v>
      </c>
      <c r="AO80" s="442">
        <f>Forecast!AO33</f>
        <v>244.62916702208682</v>
      </c>
      <c r="AP80" s="442">
        <f>Forecast!AP33</f>
        <v>267.61603887261356</v>
      </c>
      <c r="AQ80" s="442">
        <f>Forecast!AQ33</f>
        <v>289.1589805916355</v>
      </c>
      <c r="AR80" s="442">
        <f>Forecast!AR33</f>
        <v>322.1057340640732</v>
      </c>
      <c r="AS80" s="442">
        <f>Forecast!AS33</f>
        <v>335.13386593237641</v>
      </c>
      <c r="AT80" s="442">
        <f>Forecast!AT33</f>
        <v>341.52574677825118</v>
      </c>
      <c r="AU80" s="443">
        <f>Forecast!AU33</f>
        <v>364.93581790989049</v>
      </c>
    </row>
    <row r="81" spans="2:47" ht="14.5" x14ac:dyDescent="0.35">
      <c r="B81" s="363">
        <v>2</v>
      </c>
      <c r="C81" s="333" t="s">
        <v>122</v>
      </c>
      <c r="D81" s="3"/>
      <c r="E81" s="3"/>
      <c r="F81" s="3"/>
      <c r="G81" s="3">
        <v>24.24</v>
      </c>
      <c r="H81" s="3">
        <v>31.28</v>
      </c>
      <c r="I81" s="3">
        <v>48.37</v>
      </c>
      <c r="J81" s="3">
        <v>60.43</v>
      </c>
      <c r="K81" s="3">
        <v>61.58</v>
      </c>
      <c r="L81" s="3">
        <v>69.77</v>
      </c>
      <c r="M81" s="334">
        <f>-('Net Working Capital'!F5+'Net Working Capital'!F6)</f>
        <v>46.663000000000004</v>
      </c>
      <c r="N81" s="334">
        <f>-('Net Working Capital'!G5+'Net Working Capital'!G6)</f>
        <v>42.764966666666666</v>
      </c>
      <c r="O81" s="334">
        <f>-('Net Working Capital'!H5+'Net Working Capital'!H6)</f>
        <v>39.205518888888889</v>
      </c>
      <c r="P81" s="334">
        <f>-('Net Working Capital'!I5+'Net Working Capital'!I6)</f>
        <v>35.954212629629637</v>
      </c>
      <c r="Q81" s="334">
        <f>-('Net Working Capital'!J5+'Net Working Capital'!J6)</f>
        <v>32.983420620987651</v>
      </c>
      <c r="R81" s="334">
        <f>-('Net Working Capital'!K5+'Net Working Capital'!K6)</f>
        <v>30.268065862921812</v>
      </c>
      <c r="S81" s="335">
        <f>-('Net Working Capital'!L5+'Net Working Capital'!L6)</f>
        <v>27.785380760393693</v>
      </c>
      <c r="U81" s="275">
        <v>24.24</v>
      </c>
      <c r="V81" s="3">
        <v>31.28</v>
      </c>
      <c r="W81" s="3">
        <v>48.37</v>
      </c>
      <c r="X81" s="3">
        <v>60.43</v>
      </c>
      <c r="Y81" s="3">
        <v>61.58</v>
      </c>
      <c r="Z81" s="3">
        <v>69.77</v>
      </c>
      <c r="AA81" s="428">
        <f>M81</f>
        <v>46.663000000000004</v>
      </c>
      <c r="AB81" s="428">
        <f t="shared" ref="AB81:AG84" si="268">N81</f>
        <v>42.764966666666666</v>
      </c>
      <c r="AC81" s="428">
        <f t="shared" si="268"/>
        <v>39.205518888888889</v>
      </c>
      <c r="AD81" s="428">
        <f t="shared" si="268"/>
        <v>35.954212629629637</v>
      </c>
      <c r="AE81" s="428">
        <f t="shared" si="268"/>
        <v>32.983420620987651</v>
      </c>
      <c r="AF81" s="428">
        <f t="shared" si="268"/>
        <v>30.268065862921812</v>
      </c>
      <c r="AG81" s="429">
        <f t="shared" si="268"/>
        <v>27.785380760393693</v>
      </c>
      <c r="AI81" s="275">
        <v>24.24</v>
      </c>
      <c r="AJ81" s="3">
        <v>31.28</v>
      </c>
      <c r="AK81" s="3">
        <v>48.37</v>
      </c>
      <c r="AL81" s="3">
        <v>60.43</v>
      </c>
      <c r="AM81" s="3">
        <v>61.58</v>
      </c>
      <c r="AN81" s="3">
        <v>69.77</v>
      </c>
      <c r="AO81" s="444">
        <f>M81</f>
        <v>46.663000000000004</v>
      </c>
      <c r="AP81" s="444">
        <f t="shared" ref="AP81:AU84" si="269">N81</f>
        <v>42.764966666666666</v>
      </c>
      <c r="AQ81" s="444">
        <f t="shared" si="269"/>
        <v>39.205518888888889</v>
      </c>
      <c r="AR81" s="444">
        <f t="shared" si="269"/>
        <v>35.954212629629637</v>
      </c>
      <c r="AS81" s="444">
        <f t="shared" si="269"/>
        <v>32.983420620987651</v>
      </c>
      <c r="AT81" s="444">
        <f t="shared" si="269"/>
        <v>30.268065862921812</v>
      </c>
      <c r="AU81" s="445">
        <f t="shared" si="269"/>
        <v>27.785380760393693</v>
      </c>
    </row>
    <row r="82" spans="2:47" ht="14.5" x14ac:dyDescent="0.35">
      <c r="B82" s="363">
        <v>3</v>
      </c>
      <c r="C82" s="333" t="s">
        <v>123</v>
      </c>
      <c r="D82" s="3"/>
      <c r="E82" s="3"/>
      <c r="F82" s="3"/>
      <c r="G82" s="3">
        <v>-33.380000000000003</v>
      </c>
      <c r="H82" s="3">
        <v>-11.76</v>
      </c>
      <c r="I82" s="3">
        <v>-11.35</v>
      </c>
      <c r="J82" s="3">
        <v>-28.42</v>
      </c>
      <c r="K82" s="3">
        <v>0.02</v>
      </c>
      <c r="L82" s="3">
        <v>-74.63</v>
      </c>
      <c r="M82" s="334">
        <f>-'Net Working Capital'!G97</f>
        <v>-158.28573546786069</v>
      </c>
      <c r="N82" s="334">
        <f>-'Net Working Capital'!H97</f>
        <v>-42.223159563337276</v>
      </c>
      <c r="O82" s="334">
        <f>-'Net Working Capital'!I97</f>
        <v>-46.610220718596736</v>
      </c>
      <c r="P82" s="334">
        <f>-'Net Working Capital'!J97</f>
        <v>-51.453105307702117</v>
      </c>
      <c r="Q82" s="334">
        <f>-'Net Working Capital'!K97</f>
        <v>-56.799174193766589</v>
      </c>
      <c r="R82" s="334">
        <f>-'Net Working Capital'!L97</f>
        <v>-62.700709117568408</v>
      </c>
      <c r="S82" s="335">
        <f>-'Net Working Capital'!M97</f>
        <v>-69.215423985466373</v>
      </c>
      <c r="U82" s="275">
        <v>-33.380000000000003</v>
      </c>
      <c r="V82" s="3">
        <v>-11.76</v>
      </c>
      <c r="W82" s="3">
        <v>-11.35</v>
      </c>
      <c r="X82" s="3">
        <v>-28.42</v>
      </c>
      <c r="Y82" s="3">
        <v>0.02</v>
      </c>
      <c r="Z82" s="3">
        <v>-74.63</v>
      </c>
      <c r="AA82" s="428">
        <f t="shared" ref="AA82:AA84" si="270">M82</f>
        <v>-158.28573546786069</v>
      </c>
      <c r="AB82" s="428">
        <f t="shared" si="268"/>
        <v>-42.223159563337276</v>
      </c>
      <c r="AC82" s="428">
        <f t="shared" si="268"/>
        <v>-46.610220718596736</v>
      </c>
      <c r="AD82" s="428">
        <f t="shared" si="268"/>
        <v>-51.453105307702117</v>
      </c>
      <c r="AE82" s="428">
        <f t="shared" si="268"/>
        <v>-56.799174193766589</v>
      </c>
      <c r="AF82" s="428">
        <f t="shared" si="268"/>
        <v>-62.700709117568408</v>
      </c>
      <c r="AG82" s="429">
        <f t="shared" si="268"/>
        <v>-69.215423985466373</v>
      </c>
      <c r="AI82" s="275">
        <v>-33.380000000000003</v>
      </c>
      <c r="AJ82" s="3">
        <v>-11.76</v>
      </c>
      <c r="AK82" s="3">
        <v>-11.35</v>
      </c>
      <c r="AL82" s="3">
        <v>-28.42</v>
      </c>
      <c r="AM82" s="3">
        <v>0.02</v>
      </c>
      <c r="AN82" s="3">
        <v>-74.63</v>
      </c>
      <c r="AO82" s="444">
        <f t="shared" ref="AO82:AO84" si="271">M82</f>
        <v>-158.28573546786069</v>
      </c>
      <c r="AP82" s="444">
        <f t="shared" si="269"/>
        <v>-42.223159563337276</v>
      </c>
      <c r="AQ82" s="444">
        <f t="shared" si="269"/>
        <v>-46.610220718596736</v>
      </c>
      <c r="AR82" s="444">
        <f t="shared" si="269"/>
        <v>-51.453105307702117</v>
      </c>
      <c r="AS82" s="444">
        <f t="shared" si="269"/>
        <v>-56.799174193766589</v>
      </c>
      <c r="AT82" s="444">
        <f t="shared" si="269"/>
        <v>-62.700709117568408</v>
      </c>
      <c r="AU82" s="445">
        <f t="shared" si="269"/>
        <v>-69.215423985466373</v>
      </c>
    </row>
    <row r="83" spans="2:47" ht="14.5" x14ac:dyDescent="0.35">
      <c r="B83" s="363">
        <v>4</v>
      </c>
      <c r="C83" s="333" t="s">
        <v>124</v>
      </c>
      <c r="D83" s="3"/>
      <c r="E83" s="3"/>
      <c r="F83" s="3"/>
      <c r="G83" s="3">
        <v>-48.98</v>
      </c>
      <c r="H83" s="3">
        <v>-0.11</v>
      </c>
      <c r="I83" s="3">
        <v>-20.61</v>
      </c>
      <c r="J83" s="3">
        <v>54.18</v>
      </c>
      <c r="K83" s="3">
        <v>-62.1</v>
      </c>
      <c r="L83" s="3">
        <v>-74.37</v>
      </c>
      <c r="M83" s="334">
        <f>-'Net Working Capital'!G59+-'Net Working Capital'!G72</f>
        <v>-145.00635391123063</v>
      </c>
      <c r="N83" s="334">
        <f>-'Net Working Capital'!H59+-'Net Working Capital'!H72</f>
        <v>-160.07277123027299</v>
      </c>
      <c r="O83" s="334">
        <f>-'Net Working Capital'!I59+-'Net Working Capital'!I72</f>
        <v>-176.70461602686257</v>
      </c>
      <c r="P83" s="334">
        <f>-'Net Working Capital'!J59+-'Net Working Capital'!J72</f>
        <v>-195.06453899197382</v>
      </c>
      <c r="Q83" s="334">
        <f>-'Net Working Capital'!K59+-'Net Working Capital'!K72</f>
        <v>-215.33209051181234</v>
      </c>
      <c r="R83" s="334">
        <f>-'Net Working Capital'!L59+-'Net Working Capital'!L72</f>
        <v>-237.70547657611434</v>
      </c>
      <c r="S83" s="335">
        <f>-'Net Working Capital'!M59+-'Net Working Capital'!M72</f>
        <v>-262.40349712844215</v>
      </c>
      <c r="U83" s="275">
        <v>-48.98</v>
      </c>
      <c r="V83" s="3">
        <v>-0.11</v>
      </c>
      <c r="W83" s="3">
        <v>-20.61</v>
      </c>
      <c r="X83" s="3">
        <v>54.18</v>
      </c>
      <c r="Y83" s="3">
        <v>-62.1</v>
      </c>
      <c r="Z83" s="3">
        <v>-74.37</v>
      </c>
      <c r="AA83" s="428">
        <f t="shared" si="270"/>
        <v>-145.00635391123063</v>
      </c>
      <c r="AB83" s="428">
        <f t="shared" si="268"/>
        <v>-160.07277123027299</v>
      </c>
      <c r="AC83" s="428">
        <f t="shared" si="268"/>
        <v>-176.70461602686257</v>
      </c>
      <c r="AD83" s="428">
        <f t="shared" si="268"/>
        <v>-195.06453899197382</v>
      </c>
      <c r="AE83" s="428">
        <f t="shared" si="268"/>
        <v>-215.33209051181234</v>
      </c>
      <c r="AF83" s="428">
        <f t="shared" si="268"/>
        <v>-237.70547657611434</v>
      </c>
      <c r="AG83" s="429">
        <f t="shared" si="268"/>
        <v>-262.40349712844215</v>
      </c>
      <c r="AI83" s="275">
        <v>-48.98</v>
      </c>
      <c r="AJ83" s="3">
        <v>-0.11</v>
      </c>
      <c r="AK83" s="3">
        <v>-20.61</v>
      </c>
      <c r="AL83" s="3">
        <v>54.18</v>
      </c>
      <c r="AM83" s="3">
        <v>-62.1</v>
      </c>
      <c r="AN83" s="3">
        <v>-74.37</v>
      </c>
      <c r="AO83" s="444">
        <f t="shared" si="271"/>
        <v>-145.00635391123063</v>
      </c>
      <c r="AP83" s="444">
        <f t="shared" si="269"/>
        <v>-160.07277123027299</v>
      </c>
      <c r="AQ83" s="444">
        <f t="shared" si="269"/>
        <v>-176.70461602686257</v>
      </c>
      <c r="AR83" s="444">
        <f t="shared" si="269"/>
        <v>-195.06453899197382</v>
      </c>
      <c r="AS83" s="444">
        <f t="shared" si="269"/>
        <v>-215.33209051181234</v>
      </c>
      <c r="AT83" s="444">
        <f t="shared" si="269"/>
        <v>-237.70547657611434</v>
      </c>
      <c r="AU83" s="445">
        <f t="shared" si="269"/>
        <v>-262.40349712844215</v>
      </c>
    </row>
    <row r="84" spans="2:47" ht="14.5" x14ac:dyDescent="0.35">
      <c r="B84" s="363">
        <v>5</v>
      </c>
      <c r="C84" s="333" t="s">
        <v>125</v>
      </c>
      <c r="D84" s="3"/>
      <c r="E84" s="3"/>
      <c r="F84" s="3"/>
      <c r="G84" s="3">
        <v>15.27</v>
      </c>
      <c r="H84" s="3">
        <v>0.92</v>
      </c>
      <c r="I84" s="3">
        <v>14.7</v>
      </c>
      <c r="J84" s="3">
        <v>-25.17</v>
      </c>
      <c r="K84" s="3">
        <v>52.69</v>
      </c>
      <c r="L84" s="3">
        <v>33.729999999999997</v>
      </c>
      <c r="M84" s="334">
        <f>-'Net Working Capital'!G85</f>
        <v>15.174955220816798</v>
      </c>
      <c r="N84" s="334">
        <f>-'Net Working Capital'!H85</f>
        <v>-18.080471742914426</v>
      </c>
      <c r="O84" s="334">
        <f>-'Net Working Capital'!I85</f>
        <v>-19.959064820088656</v>
      </c>
      <c r="P84" s="334">
        <f>-'Net Working Capital'!J85</f>
        <v>-22.032847049392586</v>
      </c>
      <c r="Q84" s="135">
        <f>-'Net Working Capital'!K85</f>
        <v>-24.32209892987234</v>
      </c>
      <c r="R84" s="334">
        <f>-'Net Working Capital'!L85</f>
        <v>-26.849208140388896</v>
      </c>
      <c r="S84" s="335">
        <f>-'Net Working Capital'!M85</f>
        <v>-29.638888479338505</v>
      </c>
      <c r="U84" s="275">
        <v>15.27</v>
      </c>
      <c r="V84" s="3">
        <v>0.92</v>
      </c>
      <c r="W84" s="3">
        <v>14.7</v>
      </c>
      <c r="X84" s="3">
        <v>-25.17</v>
      </c>
      <c r="Y84" s="3">
        <v>52.69</v>
      </c>
      <c r="Z84" s="3">
        <v>33.729999999999997</v>
      </c>
      <c r="AA84" s="428">
        <f t="shared" si="270"/>
        <v>15.174955220816798</v>
      </c>
      <c r="AB84" s="428">
        <f t="shared" si="268"/>
        <v>-18.080471742914426</v>
      </c>
      <c r="AC84" s="428">
        <f t="shared" si="268"/>
        <v>-19.959064820088656</v>
      </c>
      <c r="AD84" s="428">
        <f t="shared" si="268"/>
        <v>-22.032847049392586</v>
      </c>
      <c r="AE84" s="428">
        <f t="shared" si="268"/>
        <v>-24.32209892987234</v>
      </c>
      <c r="AF84" s="428">
        <f t="shared" si="268"/>
        <v>-26.849208140388896</v>
      </c>
      <c r="AG84" s="429">
        <f t="shared" si="268"/>
        <v>-29.638888479338505</v>
      </c>
      <c r="AI84" s="275">
        <v>15.27</v>
      </c>
      <c r="AJ84" s="3">
        <v>0.92</v>
      </c>
      <c r="AK84" s="3">
        <v>14.7</v>
      </c>
      <c r="AL84" s="3">
        <v>-25.17</v>
      </c>
      <c r="AM84" s="3">
        <v>52.69</v>
      </c>
      <c r="AN84" s="3">
        <v>33.729999999999997</v>
      </c>
      <c r="AO84" s="444">
        <f t="shared" si="271"/>
        <v>15.174955220816798</v>
      </c>
      <c r="AP84" s="444">
        <f t="shared" si="269"/>
        <v>-18.080471742914426</v>
      </c>
      <c r="AQ84" s="444">
        <f t="shared" si="269"/>
        <v>-19.959064820088656</v>
      </c>
      <c r="AR84" s="444">
        <f t="shared" si="269"/>
        <v>-22.032847049392586</v>
      </c>
      <c r="AS84" s="444">
        <f t="shared" si="269"/>
        <v>-24.32209892987234</v>
      </c>
      <c r="AT84" s="444">
        <f t="shared" si="269"/>
        <v>-26.849208140388896</v>
      </c>
      <c r="AU84" s="445">
        <f t="shared" si="269"/>
        <v>-29.638888479338505</v>
      </c>
    </row>
    <row r="85" spans="2:47" ht="14.5" x14ac:dyDescent="0.35">
      <c r="B85" s="363">
        <v>6</v>
      </c>
      <c r="C85" s="336" t="s">
        <v>126</v>
      </c>
      <c r="D85" s="32"/>
      <c r="E85" s="32"/>
      <c r="F85" s="32"/>
      <c r="G85" s="32">
        <f>SUM(G82:G84)</f>
        <v>-67.09</v>
      </c>
      <c r="H85" s="32">
        <f t="shared" ref="H85:Q85" si="272">SUM(H82:H84)</f>
        <v>-10.95</v>
      </c>
      <c r="I85" s="32">
        <f t="shared" si="272"/>
        <v>-17.260000000000002</v>
      </c>
      <c r="J85" s="32">
        <f t="shared" si="272"/>
        <v>0.58999999999999631</v>
      </c>
      <c r="K85" s="32">
        <f t="shared" si="272"/>
        <v>-9.39</v>
      </c>
      <c r="L85" s="32">
        <f t="shared" si="272"/>
        <v>-115.27000000000001</v>
      </c>
      <c r="M85" s="136">
        <f t="shared" si="272"/>
        <v>-288.1171341582745</v>
      </c>
      <c r="N85" s="136">
        <f t="shared" si="272"/>
        <v>-220.37640253652469</v>
      </c>
      <c r="O85" s="136">
        <f t="shared" si="272"/>
        <v>-243.27390156554796</v>
      </c>
      <c r="P85" s="136">
        <f t="shared" si="272"/>
        <v>-268.55049134906852</v>
      </c>
      <c r="Q85" s="136">
        <f t="shared" si="272"/>
        <v>-296.4533636354513</v>
      </c>
      <c r="R85" s="136">
        <f t="shared" ref="R85:S85" si="273">SUM(R82:R84)</f>
        <v>-327.25539383407164</v>
      </c>
      <c r="S85" s="337">
        <f t="shared" si="273"/>
        <v>-361.25780959324703</v>
      </c>
      <c r="U85" s="336">
        <f>SUM(U82:U84)</f>
        <v>-67.09</v>
      </c>
      <c r="V85" s="32">
        <f t="shared" ref="V85:AG85" si="274">SUM(V82:V84)</f>
        <v>-10.95</v>
      </c>
      <c r="W85" s="32">
        <f t="shared" si="274"/>
        <v>-17.260000000000002</v>
      </c>
      <c r="X85" s="32">
        <f t="shared" si="274"/>
        <v>0.58999999999999631</v>
      </c>
      <c r="Y85" s="32">
        <f t="shared" si="274"/>
        <v>-9.39</v>
      </c>
      <c r="Z85" s="32">
        <f t="shared" si="274"/>
        <v>-115.27000000000001</v>
      </c>
      <c r="AA85" s="430">
        <f t="shared" si="274"/>
        <v>-288.1171341582745</v>
      </c>
      <c r="AB85" s="430">
        <f t="shared" si="274"/>
        <v>-220.37640253652469</v>
      </c>
      <c r="AC85" s="430">
        <f t="shared" si="274"/>
        <v>-243.27390156554796</v>
      </c>
      <c r="AD85" s="430">
        <f t="shared" si="274"/>
        <v>-268.55049134906852</v>
      </c>
      <c r="AE85" s="430">
        <f t="shared" si="274"/>
        <v>-296.4533636354513</v>
      </c>
      <c r="AF85" s="430">
        <f t="shared" si="274"/>
        <v>-327.25539383407164</v>
      </c>
      <c r="AG85" s="431">
        <f t="shared" si="274"/>
        <v>-361.25780959324703</v>
      </c>
      <c r="AI85" s="336">
        <f>SUM(AI82:AI84)</f>
        <v>-67.09</v>
      </c>
      <c r="AJ85" s="32">
        <f t="shared" ref="AJ85:AU85" si="275">SUM(AJ82:AJ84)</f>
        <v>-10.95</v>
      </c>
      <c r="AK85" s="32">
        <f t="shared" si="275"/>
        <v>-17.260000000000002</v>
      </c>
      <c r="AL85" s="32">
        <f t="shared" si="275"/>
        <v>0.58999999999999631</v>
      </c>
      <c r="AM85" s="32">
        <f t="shared" si="275"/>
        <v>-9.39</v>
      </c>
      <c r="AN85" s="32">
        <f t="shared" si="275"/>
        <v>-115.27000000000001</v>
      </c>
      <c r="AO85" s="446">
        <f t="shared" si="275"/>
        <v>-288.1171341582745</v>
      </c>
      <c r="AP85" s="446">
        <f t="shared" si="275"/>
        <v>-220.37640253652469</v>
      </c>
      <c r="AQ85" s="446">
        <f t="shared" si="275"/>
        <v>-243.27390156554796</v>
      </c>
      <c r="AR85" s="446">
        <f t="shared" si="275"/>
        <v>-268.55049134906852</v>
      </c>
      <c r="AS85" s="446">
        <f t="shared" si="275"/>
        <v>-296.4533636354513</v>
      </c>
      <c r="AT85" s="446">
        <f t="shared" si="275"/>
        <v>-327.25539383407164</v>
      </c>
      <c r="AU85" s="447">
        <f t="shared" si="275"/>
        <v>-361.25780959324703</v>
      </c>
    </row>
    <row r="86" spans="2:47" ht="14.5" x14ac:dyDescent="0.35">
      <c r="B86" s="363">
        <v>7</v>
      </c>
      <c r="C86" s="292"/>
      <c r="D86" s="9"/>
      <c r="E86" s="9"/>
      <c r="F86" s="9"/>
      <c r="G86" s="9"/>
      <c r="H86" s="9"/>
      <c r="I86" s="9"/>
      <c r="J86" s="9"/>
      <c r="K86" s="9"/>
      <c r="L86" s="9"/>
      <c r="M86" s="331"/>
      <c r="N86" s="331"/>
      <c r="O86" s="331"/>
      <c r="P86" s="331"/>
      <c r="Q86" s="134"/>
      <c r="R86" s="331"/>
      <c r="S86" s="332"/>
      <c r="U86" s="292"/>
      <c r="V86" s="9"/>
      <c r="W86" s="9"/>
      <c r="X86" s="9"/>
      <c r="Y86" s="9"/>
      <c r="Z86" s="9"/>
      <c r="AA86" s="426"/>
      <c r="AB86" s="426"/>
      <c r="AC86" s="426"/>
      <c r="AD86" s="426"/>
      <c r="AE86" s="432"/>
      <c r="AF86" s="426"/>
      <c r="AG86" s="427"/>
      <c r="AI86" s="292"/>
      <c r="AJ86" s="9"/>
      <c r="AK86" s="9"/>
      <c r="AL86" s="9"/>
      <c r="AM86" s="9"/>
      <c r="AN86" s="9"/>
      <c r="AO86" s="442"/>
      <c r="AP86" s="442"/>
      <c r="AQ86" s="442"/>
      <c r="AR86" s="442"/>
      <c r="AS86" s="448"/>
      <c r="AT86" s="442"/>
      <c r="AU86" s="443"/>
    </row>
    <row r="87" spans="2:47" ht="14.5" x14ac:dyDescent="0.35">
      <c r="B87" s="363">
        <v>8</v>
      </c>
      <c r="C87" s="333" t="s">
        <v>127</v>
      </c>
      <c r="D87" s="3"/>
      <c r="E87" s="3"/>
      <c r="F87" s="3"/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34">
        <f>L87</f>
        <v>0</v>
      </c>
      <c r="N87" s="334">
        <f t="shared" ref="N87:Q87" si="276">M87</f>
        <v>0</v>
      </c>
      <c r="O87" s="334">
        <f t="shared" si="276"/>
        <v>0</v>
      </c>
      <c r="P87" s="334">
        <f t="shared" si="276"/>
        <v>0</v>
      </c>
      <c r="Q87" s="334">
        <f t="shared" si="276"/>
        <v>0</v>
      </c>
      <c r="R87" s="334">
        <f t="shared" ref="R87:R88" si="277">Q87</f>
        <v>0</v>
      </c>
      <c r="S87" s="335">
        <f t="shared" ref="S87:S88" si="278">R87</f>
        <v>0</v>
      </c>
      <c r="U87" s="275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428">
        <f>Z87</f>
        <v>0</v>
      </c>
      <c r="AB87" s="428">
        <f t="shared" ref="AB87:AB88" si="279">AA87</f>
        <v>0</v>
      </c>
      <c r="AC87" s="428">
        <f t="shared" ref="AC87:AC88" si="280">AB87</f>
        <v>0</v>
      </c>
      <c r="AD87" s="428">
        <f t="shared" ref="AD87:AD88" si="281">AC87</f>
        <v>0</v>
      </c>
      <c r="AE87" s="428">
        <f t="shared" ref="AE87:AE88" si="282">AD87</f>
        <v>0</v>
      </c>
      <c r="AF87" s="428">
        <f t="shared" ref="AF87:AF88" si="283">AE87</f>
        <v>0</v>
      </c>
      <c r="AG87" s="429">
        <f t="shared" ref="AG87:AG88" si="284">AF87</f>
        <v>0</v>
      </c>
      <c r="AI87" s="275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444">
        <f>AN87</f>
        <v>0</v>
      </c>
      <c r="AP87" s="444">
        <f t="shared" ref="AP87:AU87" si="285">AO87</f>
        <v>0</v>
      </c>
      <c r="AQ87" s="444">
        <f t="shared" si="285"/>
        <v>0</v>
      </c>
      <c r="AR87" s="444">
        <f t="shared" si="285"/>
        <v>0</v>
      </c>
      <c r="AS87" s="444">
        <f t="shared" si="285"/>
        <v>0</v>
      </c>
      <c r="AT87" s="444">
        <f t="shared" si="285"/>
        <v>0</v>
      </c>
      <c r="AU87" s="445">
        <f t="shared" si="285"/>
        <v>0</v>
      </c>
    </row>
    <row r="88" spans="2:47" ht="14.5" x14ac:dyDescent="0.35">
      <c r="B88" s="363">
        <v>9</v>
      </c>
      <c r="C88" s="333" t="s">
        <v>128</v>
      </c>
      <c r="D88" s="4"/>
      <c r="E88" s="3"/>
      <c r="F88" s="3"/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34">
        <f>L88</f>
        <v>0</v>
      </c>
      <c r="N88" s="334">
        <f t="shared" ref="N88:Q88" si="286">M88</f>
        <v>0</v>
      </c>
      <c r="O88" s="334">
        <f t="shared" si="286"/>
        <v>0</v>
      </c>
      <c r="P88" s="334">
        <f t="shared" si="286"/>
        <v>0</v>
      </c>
      <c r="Q88" s="334">
        <f t="shared" si="286"/>
        <v>0</v>
      </c>
      <c r="R88" s="334">
        <f t="shared" si="277"/>
        <v>0</v>
      </c>
      <c r="S88" s="335">
        <f t="shared" si="278"/>
        <v>0</v>
      </c>
      <c r="U88" s="275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428">
        <f>Z88</f>
        <v>0</v>
      </c>
      <c r="AB88" s="428">
        <f t="shared" si="279"/>
        <v>0</v>
      </c>
      <c r="AC88" s="428">
        <f t="shared" si="280"/>
        <v>0</v>
      </c>
      <c r="AD88" s="428">
        <f t="shared" si="281"/>
        <v>0</v>
      </c>
      <c r="AE88" s="428">
        <f t="shared" si="282"/>
        <v>0</v>
      </c>
      <c r="AF88" s="428">
        <f t="shared" si="283"/>
        <v>0</v>
      </c>
      <c r="AG88" s="429">
        <f t="shared" si="284"/>
        <v>0</v>
      </c>
      <c r="AI88" s="275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444">
        <f>AN88</f>
        <v>0</v>
      </c>
      <c r="AP88" s="444">
        <f t="shared" ref="AP88:AU88" si="287">AO88</f>
        <v>0</v>
      </c>
      <c r="AQ88" s="444">
        <f t="shared" si="287"/>
        <v>0</v>
      </c>
      <c r="AR88" s="444">
        <f t="shared" si="287"/>
        <v>0</v>
      </c>
      <c r="AS88" s="444">
        <f t="shared" si="287"/>
        <v>0</v>
      </c>
      <c r="AT88" s="444">
        <f t="shared" si="287"/>
        <v>0</v>
      </c>
      <c r="AU88" s="445">
        <f t="shared" si="287"/>
        <v>0</v>
      </c>
    </row>
    <row r="89" spans="2:47" ht="14.5" x14ac:dyDescent="0.35">
      <c r="B89" s="363">
        <v>10</v>
      </c>
      <c r="C89" s="333" t="s">
        <v>129</v>
      </c>
      <c r="D89" s="3"/>
      <c r="E89" s="3"/>
      <c r="F89" s="3"/>
      <c r="G89" s="3">
        <v>52.78</v>
      </c>
      <c r="H89" s="3">
        <v>52.95</v>
      </c>
      <c r="I89" s="3">
        <v>69.28</v>
      </c>
      <c r="J89" s="3">
        <v>55.3</v>
      </c>
      <c r="K89" s="3">
        <v>101.53</v>
      </c>
      <c r="L89" s="3">
        <v>107.58</v>
      </c>
      <c r="M89" s="334">
        <f>-M32</f>
        <v>104.36056719430536</v>
      </c>
      <c r="N89" s="334">
        <f t="shared" ref="N89:Q89" si="288">-N32</f>
        <v>115.20381519407192</v>
      </c>
      <c r="O89" s="334">
        <f t="shared" si="288"/>
        <v>127.17369588993648</v>
      </c>
      <c r="P89" s="334">
        <f t="shared" si="288"/>
        <v>140.38726841694279</v>
      </c>
      <c r="Q89" s="334">
        <f t="shared" si="288"/>
        <v>154.97375456185301</v>
      </c>
      <c r="R89" s="334">
        <f t="shared" ref="R89:S89" si="289">-R32</f>
        <v>171.07580248422983</v>
      </c>
      <c r="S89" s="335">
        <f t="shared" si="289"/>
        <v>188.85088174038009</v>
      </c>
      <c r="U89" s="275">
        <v>52.78</v>
      </c>
      <c r="V89" s="3">
        <v>52.95</v>
      </c>
      <c r="W89" s="3">
        <v>69.28</v>
      </c>
      <c r="X89" s="3">
        <v>55.3</v>
      </c>
      <c r="Y89" s="3">
        <v>101.53</v>
      </c>
      <c r="Z89" s="3">
        <v>107.58</v>
      </c>
      <c r="AA89" s="428">
        <f>-AA32</f>
        <v>104.36056719430536</v>
      </c>
      <c r="AB89" s="428">
        <f t="shared" ref="AB89:AG89" si="290">-AB32</f>
        <v>121.31450447925073</v>
      </c>
      <c r="AC89" s="428">
        <f t="shared" si="290"/>
        <v>138.5004914331945</v>
      </c>
      <c r="AD89" s="428">
        <f t="shared" si="290"/>
        <v>162.17429314545336</v>
      </c>
      <c r="AE89" s="428">
        <f t="shared" si="290"/>
        <v>177.43168940482212</v>
      </c>
      <c r="AF89" s="428">
        <f t="shared" si="290"/>
        <v>196.72446834959391</v>
      </c>
      <c r="AG89" s="429">
        <f t="shared" si="290"/>
        <v>223.26092260221435</v>
      </c>
      <c r="AI89" s="275">
        <v>52.78</v>
      </c>
      <c r="AJ89" s="3">
        <v>52.95</v>
      </c>
      <c r="AK89" s="3">
        <v>69.28</v>
      </c>
      <c r="AL89" s="3">
        <v>55.3</v>
      </c>
      <c r="AM89" s="3">
        <v>101.53</v>
      </c>
      <c r="AN89" s="3">
        <v>107.58</v>
      </c>
      <c r="AO89" s="444">
        <f>-AO32</f>
        <v>101.155564374703</v>
      </c>
      <c r="AP89" s="444">
        <f t="shared" ref="AP89:AU89" si="291">-AP32</f>
        <v>110.40791272087284</v>
      </c>
      <c r="AQ89" s="444">
        <f t="shared" si="291"/>
        <v>118.35126643965424</v>
      </c>
      <c r="AR89" s="444">
        <f t="shared" si="291"/>
        <v>130.11810600529145</v>
      </c>
      <c r="AS89" s="444">
        <f t="shared" si="291"/>
        <v>133.66602445960518</v>
      </c>
      <c r="AT89" s="444">
        <f t="shared" si="291"/>
        <v>139.14972365200435</v>
      </c>
      <c r="AU89" s="445">
        <f t="shared" si="291"/>
        <v>148.27598140146188</v>
      </c>
    </row>
    <row r="90" spans="2:47" ht="14.5" x14ac:dyDescent="0.35">
      <c r="B90" s="363">
        <v>11</v>
      </c>
      <c r="C90" s="333" t="s">
        <v>130</v>
      </c>
      <c r="D90" s="3"/>
      <c r="E90" s="3"/>
      <c r="F90" s="3"/>
      <c r="G90" s="3">
        <v>-107.96000000000001</v>
      </c>
      <c r="H90" s="3">
        <v>-12.29</v>
      </c>
      <c r="I90" s="3">
        <v>-41.319999999999993</v>
      </c>
      <c r="J90" s="3">
        <v>-61.21</v>
      </c>
      <c r="K90" s="3">
        <v>-28.570000000000007</v>
      </c>
      <c r="L90" s="3">
        <v>-171.69000000000003</v>
      </c>
      <c r="M90" s="334">
        <f>AVERAGE(H90:L90)</f>
        <v>-63.016000000000005</v>
      </c>
      <c r="N90" s="334">
        <f>M90</f>
        <v>-63.016000000000005</v>
      </c>
      <c r="O90" s="334">
        <f t="shared" ref="O90:Q90" si="292">N90</f>
        <v>-63.016000000000005</v>
      </c>
      <c r="P90" s="334">
        <f t="shared" si="292"/>
        <v>-63.016000000000005</v>
      </c>
      <c r="Q90" s="334">
        <f t="shared" si="292"/>
        <v>-63.016000000000005</v>
      </c>
      <c r="R90" s="334">
        <f t="shared" ref="R90" si="293">Q90</f>
        <v>-63.016000000000005</v>
      </c>
      <c r="S90" s="335">
        <f t="shared" ref="S90" si="294">R90</f>
        <v>-63.016000000000005</v>
      </c>
      <c r="U90" s="275">
        <v>-107.96000000000001</v>
      </c>
      <c r="V90" s="3">
        <v>-12.29</v>
      </c>
      <c r="W90" s="3">
        <v>-41.319999999999993</v>
      </c>
      <c r="X90" s="3">
        <v>-61.21</v>
      </c>
      <c r="Y90" s="3">
        <v>-28.570000000000007</v>
      </c>
      <c r="Z90" s="3">
        <v>-171.69000000000003</v>
      </c>
      <c r="AA90" s="428">
        <f>AVERAGE(V90:Z90)</f>
        <v>-63.016000000000005</v>
      </c>
      <c r="AB90" s="428">
        <f>AA90</f>
        <v>-63.016000000000005</v>
      </c>
      <c r="AC90" s="428">
        <f t="shared" ref="AC90" si="295">AB90</f>
        <v>-63.016000000000005</v>
      </c>
      <c r="AD90" s="428">
        <f t="shared" ref="AD90" si="296">AC90</f>
        <v>-63.016000000000005</v>
      </c>
      <c r="AE90" s="428">
        <f t="shared" ref="AE90" si="297">AD90</f>
        <v>-63.016000000000005</v>
      </c>
      <c r="AF90" s="428">
        <f t="shared" ref="AF90" si="298">AE90</f>
        <v>-63.016000000000005</v>
      </c>
      <c r="AG90" s="429">
        <f t="shared" ref="AG90" si="299">AF90</f>
        <v>-63.016000000000005</v>
      </c>
      <c r="AI90" s="275">
        <v>-107.96000000000001</v>
      </c>
      <c r="AJ90" s="3">
        <v>-12.29</v>
      </c>
      <c r="AK90" s="3">
        <v>-41.319999999999993</v>
      </c>
      <c r="AL90" s="3">
        <v>-61.21</v>
      </c>
      <c r="AM90" s="3">
        <v>-28.570000000000007</v>
      </c>
      <c r="AN90" s="3">
        <v>-171.69000000000003</v>
      </c>
      <c r="AO90" s="444">
        <f>AVERAGE(AJ90:AN90)</f>
        <v>-63.016000000000005</v>
      </c>
      <c r="AP90" s="444">
        <f t="shared" ref="AP90:AU90" si="300">AVERAGE(AK90:AO90)</f>
        <v>-73.161200000000022</v>
      </c>
      <c r="AQ90" s="444">
        <f t="shared" si="300"/>
        <v>-79.529440000000008</v>
      </c>
      <c r="AR90" s="444">
        <f t="shared" si="300"/>
        <v>-83.193328000000022</v>
      </c>
      <c r="AS90" s="444">
        <f t="shared" si="300"/>
        <v>-94.117993600000005</v>
      </c>
      <c r="AT90" s="444">
        <f t="shared" si="300"/>
        <v>-78.603592320000004</v>
      </c>
      <c r="AU90" s="445">
        <f t="shared" si="300"/>
        <v>-81.721110784000018</v>
      </c>
    </row>
    <row r="91" spans="2:47" ht="14.5" x14ac:dyDescent="0.35">
      <c r="B91" s="363">
        <v>12</v>
      </c>
      <c r="C91" s="336" t="s">
        <v>131</v>
      </c>
      <c r="D91" s="32"/>
      <c r="E91" s="32"/>
      <c r="F91" s="32"/>
      <c r="G91" s="32">
        <f t="shared" ref="G91:L91" si="301">SUM(G87:G90)</f>
        <v>-55.180000000000007</v>
      </c>
      <c r="H91" s="32">
        <f t="shared" si="301"/>
        <v>40.660000000000004</v>
      </c>
      <c r="I91" s="32">
        <f t="shared" si="301"/>
        <v>27.960000000000008</v>
      </c>
      <c r="J91" s="32">
        <f t="shared" si="301"/>
        <v>-5.9100000000000037</v>
      </c>
      <c r="K91" s="32">
        <f t="shared" si="301"/>
        <v>72.959999999999994</v>
      </c>
      <c r="L91" s="32">
        <f t="shared" si="301"/>
        <v>-64.110000000000028</v>
      </c>
      <c r="M91" s="136">
        <f t="shared" ref="M91:Q91" si="302">SUM(M87:M90)</f>
        <v>41.344567194305355</v>
      </c>
      <c r="N91" s="136">
        <f t="shared" si="302"/>
        <v>52.187815194071916</v>
      </c>
      <c r="O91" s="136">
        <f t="shared" si="302"/>
        <v>64.157695889936477</v>
      </c>
      <c r="P91" s="136">
        <f t="shared" si="302"/>
        <v>77.371268416942783</v>
      </c>
      <c r="Q91" s="136">
        <f t="shared" si="302"/>
        <v>91.957754561853008</v>
      </c>
      <c r="R91" s="136">
        <f t="shared" ref="R91:S91" si="303">SUM(R87:R90)</f>
        <v>108.05980248422982</v>
      </c>
      <c r="S91" s="337">
        <f t="shared" si="303"/>
        <v>125.83488174038008</v>
      </c>
      <c r="U91" s="336">
        <f t="shared" ref="U91:AG91" si="304">SUM(U87:U90)</f>
        <v>-55.180000000000007</v>
      </c>
      <c r="V91" s="32">
        <f t="shared" si="304"/>
        <v>40.660000000000004</v>
      </c>
      <c r="W91" s="32">
        <f t="shared" si="304"/>
        <v>27.960000000000008</v>
      </c>
      <c r="X91" s="32">
        <f t="shared" si="304"/>
        <v>-5.9100000000000037</v>
      </c>
      <c r="Y91" s="32">
        <f t="shared" si="304"/>
        <v>72.959999999999994</v>
      </c>
      <c r="Z91" s="32">
        <f t="shared" si="304"/>
        <v>-64.110000000000028</v>
      </c>
      <c r="AA91" s="430">
        <f t="shared" si="304"/>
        <v>41.344567194305355</v>
      </c>
      <c r="AB91" s="430">
        <f t="shared" si="304"/>
        <v>58.298504479250724</v>
      </c>
      <c r="AC91" s="430">
        <f t="shared" si="304"/>
        <v>75.484491433194492</v>
      </c>
      <c r="AD91" s="430">
        <f t="shared" si="304"/>
        <v>99.158293145453356</v>
      </c>
      <c r="AE91" s="430">
        <f t="shared" si="304"/>
        <v>114.41568940482212</v>
      </c>
      <c r="AF91" s="430">
        <f t="shared" si="304"/>
        <v>133.70846834959389</v>
      </c>
      <c r="AG91" s="431">
        <f t="shared" si="304"/>
        <v>160.24492260221433</v>
      </c>
      <c r="AI91" s="336">
        <f t="shared" ref="AI91:AU91" si="305">SUM(AI87:AI90)</f>
        <v>-55.180000000000007</v>
      </c>
      <c r="AJ91" s="32">
        <f t="shared" si="305"/>
        <v>40.660000000000004</v>
      </c>
      <c r="AK91" s="32">
        <f t="shared" si="305"/>
        <v>27.960000000000008</v>
      </c>
      <c r="AL91" s="32">
        <f t="shared" si="305"/>
        <v>-5.9100000000000037</v>
      </c>
      <c r="AM91" s="32">
        <f t="shared" si="305"/>
        <v>72.959999999999994</v>
      </c>
      <c r="AN91" s="32">
        <f t="shared" si="305"/>
        <v>-64.110000000000028</v>
      </c>
      <c r="AO91" s="446">
        <f t="shared" si="305"/>
        <v>38.139564374702999</v>
      </c>
      <c r="AP91" s="446">
        <f t="shared" si="305"/>
        <v>37.246712720872821</v>
      </c>
      <c r="AQ91" s="446">
        <f t="shared" si="305"/>
        <v>38.821826439654231</v>
      </c>
      <c r="AR91" s="446">
        <f t="shared" si="305"/>
        <v>46.924778005291429</v>
      </c>
      <c r="AS91" s="446">
        <f t="shared" si="305"/>
        <v>39.548030859605177</v>
      </c>
      <c r="AT91" s="446">
        <f t="shared" si="305"/>
        <v>60.54613133200435</v>
      </c>
      <c r="AU91" s="447">
        <f t="shared" si="305"/>
        <v>66.554870617461859</v>
      </c>
    </row>
    <row r="92" spans="2:47" ht="14.5" x14ac:dyDescent="0.35">
      <c r="B92" s="363">
        <v>13</v>
      </c>
      <c r="C92" s="315" t="s">
        <v>132</v>
      </c>
      <c r="D92" s="14"/>
      <c r="E92" s="14"/>
      <c r="F92" s="14"/>
      <c r="G92" s="14">
        <f t="shared" ref="G92:L92" si="306">G80+G81+G85+G91</f>
        <v>37.75</v>
      </c>
      <c r="H92" s="14">
        <f t="shared" si="306"/>
        <v>187.22</v>
      </c>
      <c r="I92" s="14">
        <f t="shared" si="306"/>
        <v>219.65000000000003</v>
      </c>
      <c r="J92" s="14">
        <f t="shared" si="306"/>
        <v>178.53</v>
      </c>
      <c r="K92" s="14">
        <f t="shared" si="306"/>
        <v>362.67</v>
      </c>
      <c r="L92" s="14">
        <f t="shared" si="306"/>
        <v>186.29999999999995</v>
      </c>
      <c r="M92" s="137">
        <f t="shared" ref="M92:Q92" si="307">M80+M81+M85+M91</f>
        <v>52.27040620416939</v>
      </c>
      <c r="N92" s="137">
        <f t="shared" si="307"/>
        <v>153.17907926367531</v>
      </c>
      <c r="O92" s="137">
        <f t="shared" si="307"/>
        <v>167.63932773779186</v>
      </c>
      <c r="P92" s="137">
        <f t="shared" si="307"/>
        <v>184.27999612630805</v>
      </c>
      <c r="Q92" s="137">
        <f t="shared" si="307"/>
        <v>203.26799020686661</v>
      </c>
      <c r="R92" s="137">
        <f t="shared" ref="R92:S92" si="308">R80+R81+R85+R91</f>
        <v>224.79297835338156</v>
      </c>
      <c r="S92" s="338">
        <f t="shared" si="308"/>
        <v>249.06925076994008</v>
      </c>
      <c r="U92" s="315">
        <f t="shared" ref="U92:AG92" si="309">U80+U81+U85+U91</f>
        <v>37.75</v>
      </c>
      <c r="V92" s="14">
        <f t="shared" si="309"/>
        <v>187.22</v>
      </c>
      <c r="W92" s="14">
        <f t="shared" si="309"/>
        <v>219.65000000000003</v>
      </c>
      <c r="X92" s="14">
        <f t="shared" si="309"/>
        <v>178.53</v>
      </c>
      <c r="Y92" s="14">
        <f t="shared" si="309"/>
        <v>362.67</v>
      </c>
      <c r="Z92" s="14">
        <f t="shared" si="309"/>
        <v>186.29999999999995</v>
      </c>
      <c r="AA92" s="433">
        <f t="shared" si="309"/>
        <v>52.27040620416939</v>
      </c>
      <c r="AB92" s="433">
        <f t="shared" si="309"/>
        <v>174.73942723525511</v>
      </c>
      <c r="AC92" s="433">
        <f t="shared" si="309"/>
        <v>209.8042149343712</v>
      </c>
      <c r="AD92" s="433">
        <f t="shared" si="309"/>
        <v>268.02243637385732</v>
      </c>
      <c r="AE92" s="433">
        <f t="shared" si="309"/>
        <v>295.81098607676012</v>
      </c>
      <c r="AF92" s="433">
        <f t="shared" si="309"/>
        <v>319.55696066849538</v>
      </c>
      <c r="AG92" s="434">
        <f t="shared" si="309"/>
        <v>376.26072933569492</v>
      </c>
      <c r="AI92" s="315">
        <f t="shared" ref="AI92:AU92" si="310">AI80+AI81+AI85+AI91</f>
        <v>37.75</v>
      </c>
      <c r="AJ92" s="14">
        <f t="shared" si="310"/>
        <v>187.22</v>
      </c>
      <c r="AK92" s="14">
        <f t="shared" si="310"/>
        <v>219.65000000000003</v>
      </c>
      <c r="AL92" s="14">
        <f t="shared" si="310"/>
        <v>178.53</v>
      </c>
      <c r="AM92" s="14">
        <f t="shared" si="310"/>
        <v>362.67</v>
      </c>
      <c r="AN92" s="14">
        <f t="shared" si="310"/>
        <v>186.29999999999995</v>
      </c>
      <c r="AO92" s="449">
        <f t="shared" si="310"/>
        <v>41.314597238515304</v>
      </c>
      <c r="AP92" s="449">
        <f t="shared" si="310"/>
        <v>127.25131572362837</v>
      </c>
      <c r="AQ92" s="449">
        <f t="shared" si="310"/>
        <v>123.91242435463066</v>
      </c>
      <c r="AR92" s="449">
        <f t="shared" si="310"/>
        <v>136.43423334992576</v>
      </c>
      <c r="AS92" s="449">
        <f t="shared" si="310"/>
        <v>111.21195377751795</v>
      </c>
      <c r="AT92" s="449">
        <f t="shared" si="310"/>
        <v>105.08455013910567</v>
      </c>
      <c r="AU92" s="450">
        <f t="shared" si="310"/>
        <v>98.018259694499022</v>
      </c>
    </row>
    <row r="93" spans="2:47" ht="14.5" x14ac:dyDescent="0.35">
      <c r="B93" s="363">
        <v>14</v>
      </c>
      <c r="C93" s="292"/>
      <c r="D93" s="9"/>
      <c r="E93" s="9"/>
      <c r="F93" s="9"/>
      <c r="G93" s="9"/>
      <c r="H93" s="3"/>
      <c r="I93" s="3"/>
      <c r="J93" s="339"/>
      <c r="K93" s="339"/>
      <c r="L93" s="339"/>
      <c r="M93" s="340"/>
      <c r="N93" s="340"/>
      <c r="O93" s="340"/>
      <c r="P93" s="340"/>
      <c r="Q93" s="340"/>
      <c r="R93" s="340"/>
      <c r="S93" s="341"/>
      <c r="U93" s="292"/>
      <c r="V93" s="3"/>
      <c r="W93" s="3"/>
      <c r="X93" s="339"/>
      <c r="Y93" s="339"/>
      <c r="Z93" s="339"/>
      <c r="AA93" s="435"/>
      <c r="AB93" s="435"/>
      <c r="AC93" s="435"/>
      <c r="AD93" s="435"/>
      <c r="AE93" s="435"/>
      <c r="AF93" s="435"/>
      <c r="AG93" s="436"/>
      <c r="AI93" s="292"/>
      <c r="AJ93" s="3"/>
      <c r="AK93" s="3"/>
      <c r="AL93" s="339"/>
      <c r="AM93" s="339"/>
      <c r="AN93" s="339"/>
      <c r="AO93" s="451"/>
      <c r="AP93" s="451"/>
      <c r="AQ93" s="451"/>
      <c r="AR93" s="451"/>
      <c r="AS93" s="451"/>
      <c r="AT93" s="451"/>
      <c r="AU93" s="452"/>
    </row>
    <row r="94" spans="2:47" ht="14.5" x14ac:dyDescent="0.35">
      <c r="B94" s="363">
        <v>15</v>
      </c>
      <c r="C94" s="333" t="s">
        <v>133</v>
      </c>
      <c r="D94" s="3"/>
      <c r="E94" s="3"/>
      <c r="F94" s="3"/>
      <c r="G94" s="3">
        <v>-13.66</v>
      </c>
      <c r="H94" s="3">
        <v>-16.54</v>
      </c>
      <c r="I94" s="3">
        <v>-20.350000000000001</v>
      </c>
      <c r="J94" s="3">
        <v>-29.33</v>
      </c>
      <c r="K94" s="3">
        <v>-30.12</v>
      </c>
      <c r="L94" s="3">
        <v>-42.8</v>
      </c>
      <c r="M94" s="334">
        <f>AVERAGE(H94:L94)</f>
        <v>-27.827999999999996</v>
      </c>
      <c r="N94" s="334">
        <f>M94</f>
        <v>-27.827999999999996</v>
      </c>
      <c r="O94" s="334">
        <f t="shared" ref="O94:Q94" si="311">N94</f>
        <v>-27.827999999999996</v>
      </c>
      <c r="P94" s="334">
        <f t="shared" si="311"/>
        <v>-27.827999999999996</v>
      </c>
      <c r="Q94" s="334">
        <f t="shared" si="311"/>
        <v>-27.827999999999996</v>
      </c>
      <c r="R94" s="334">
        <f t="shared" ref="R94:R95" si="312">Q94</f>
        <v>-27.827999999999996</v>
      </c>
      <c r="S94" s="335">
        <f t="shared" ref="S94:S95" si="313">R94</f>
        <v>-27.827999999999996</v>
      </c>
      <c r="U94" s="275">
        <v>-13.66</v>
      </c>
      <c r="V94" s="3">
        <v>-16.54</v>
      </c>
      <c r="W94" s="3">
        <v>-20.350000000000001</v>
      </c>
      <c r="X94" s="3">
        <v>-29.33</v>
      </c>
      <c r="Y94" s="3">
        <v>-30.12</v>
      </c>
      <c r="Z94" s="3">
        <v>-42.8</v>
      </c>
      <c r="AA94" s="428">
        <f>AVERAGE(V94:Z94)</f>
        <v>-27.827999999999996</v>
      </c>
      <c r="AB94" s="428">
        <f>AA94</f>
        <v>-27.827999999999996</v>
      </c>
      <c r="AC94" s="428">
        <f t="shared" ref="AC94:AC95" si="314">AB94</f>
        <v>-27.827999999999996</v>
      </c>
      <c r="AD94" s="428">
        <f t="shared" ref="AD94:AD95" si="315">AC94</f>
        <v>-27.827999999999996</v>
      </c>
      <c r="AE94" s="428">
        <f t="shared" ref="AE94:AE95" si="316">AD94</f>
        <v>-27.827999999999996</v>
      </c>
      <c r="AF94" s="428">
        <f t="shared" ref="AF94:AF95" si="317">AE94</f>
        <v>-27.827999999999996</v>
      </c>
      <c r="AG94" s="429">
        <f t="shared" ref="AG94:AG95" si="318">AF94</f>
        <v>-27.827999999999996</v>
      </c>
      <c r="AI94" s="275">
        <v>-13.66</v>
      </c>
      <c r="AJ94" s="3">
        <v>-16.54</v>
      </c>
      <c r="AK94" s="3">
        <v>-20.350000000000001</v>
      </c>
      <c r="AL94" s="3">
        <v>-29.33</v>
      </c>
      <c r="AM94" s="3">
        <v>-30.12</v>
      </c>
      <c r="AN94" s="3">
        <v>-42.8</v>
      </c>
      <c r="AO94" s="444">
        <f>AVERAGE(AJ94:AN94)</f>
        <v>-27.827999999999996</v>
      </c>
      <c r="AP94" s="444">
        <f t="shared" ref="AP94:AU94" si="319">AVERAGE(AK94:AO94)</f>
        <v>-30.085599999999999</v>
      </c>
      <c r="AQ94" s="444">
        <f t="shared" si="319"/>
        <v>-32.032719999999998</v>
      </c>
      <c r="AR94" s="444">
        <f t="shared" si="319"/>
        <v>-32.573263999999995</v>
      </c>
      <c r="AS94" s="444">
        <f t="shared" si="319"/>
        <v>-33.063916799999994</v>
      </c>
      <c r="AT94" s="444">
        <f t="shared" si="319"/>
        <v>-31.116700159999994</v>
      </c>
      <c r="AU94" s="445">
        <f t="shared" si="319"/>
        <v>-31.774440191999997</v>
      </c>
    </row>
    <row r="95" spans="2:47" ht="14.5" x14ac:dyDescent="0.35">
      <c r="B95" s="363">
        <v>16</v>
      </c>
      <c r="C95" s="333" t="s">
        <v>134</v>
      </c>
      <c r="D95" s="4"/>
      <c r="E95" s="3"/>
      <c r="F95" s="3"/>
      <c r="G95" s="3">
        <v>0.49</v>
      </c>
      <c r="H95" s="3">
        <v>0.47</v>
      </c>
      <c r="I95" s="3">
        <v>0.89</v>
      </c>
      <c r="J95" s="3">
        <v>0.13</v>
      </c>
      <c r="K95" s="3">
        <v>4.83</v>
      </c>
      <c r="L95" s="3">
        <v>0.22</v>
      </c>
      <c r="M95" s="334">
        <f>L95</f>
        <v>0.22</v>
      </c>
      <c r="N95" s="334">
        <f t="shared" ref="N95:Q95" si="320">M95</f>
        <v>0.22</v>
      </c>
      <c r="O95" s="334">
        <f t="shared" si="320"/>
        <v>0.22</v>
      </c>
      <c r="P95" s="334">
        <f t="shared" si="320"/>
        <v>0.22</v>
      </c>
      <c r="Q95" s="334">
        <f t="shared" si="320"/>
        <v>0.22</v>
      </c>
      <c r="R95" s="334">
        <f t="shared" si="312"/>
        <v>0.22</v>
      </c>
      <c r="S95" s="335">
        <f t="shared" si="313"/>
        <v>0.22</v>
      </c>
      <c r="U95" s="275">
        <v>0.49</v>
      </c>
      <c r="V95" s="3">
        <v>0.47</v>
      </c>
      <c r="W95" s="3">
        <v>0.89</v>
      </c>
      <c r="X95" s="3">
        <v>0.13</v>
      </c>
      <c r="Y95" s="3">
        <v>4.83</v>
      </c>
      <c r="Z95" s="3">
        <v>0.22</v>
      </c>
      <c r="AA95" s="428">
        <f>Z95</f>
        <v>0.22</v>
      </c>
      <c r="AB95" s="428">
        <f t="shared" ref="AB95" si="321">AA95</f>
        <v>0.22</v>
      </c>
      <c r="AC95" s="428">
        <f t="shared" si="314"/>
        <v>0.22</v>
      </c>
      <c r="AD95" s="428">
        <f t="shared" si="315"/>
        <v>0.22</v>
      </c>
      <c r="AE95" s="428">
        <f t="shared" si="316"/>
        <v>0.22</v>
      </c>
      <c r="AF95" s="428">
        <f t="shared" si="317"/>
        <v>0.22</v>
      </c>
      <c r="AG95" s="429">
        <f t="shared" si="318"/>
        <v>0.22</v>
      </c>
      <c r="AI95" s="275">
        <v>0.49</v>
      </c>
      <c r="AJ95" s="3">
        <v>0.47</v>
      </c>
      <c r="AK95" s="3">
        <v>0.89</v>
      </c>
      <c r="AL95" s="3">
        <v>0.13</v>
      </c>
      <c r="AM95" s="3">
        <v>4.83</v>
      </c>
      <c r="AN95" s="3">
        <v>0.22</v>
      </c>
      <c r="AO95" s="444">
        <f>AN95</f>
        <v>0.22</v>
      </c>
      <c r="AP95" s="444">
        <f t="shared" ref="AP95:AU95" si="322">AO95</f>
        <v>0.22</v>
      </c>
      <c r="AQ95" s="444">
        <f t="shared" si="322"/>
        <v>0.22</v>
      </c>
      <c r="AR95" s="444">
        <f t="shared" si="322"/>
        <v>0.22</v>
      </c>
      <c r="AS95" s="444">
        <f t="shared" si="322"/>
        <v>0.22</v>
      </c>
      <c r="AT95" s="444">
        <f t="shared" si="322"/>
        <v>0.22</v>
      </c>
      <c r="AU95" s="445">
        <f t="shared" si="322"/>
        <v>0.22</v>
      </c>
    </row>
    <row r="96" spans="2:47" ht="14.5" x14ac:dyDescent="0.35">
      <c r="B96" s="363">
        <v>17</v>
      </c>
      <c r="C96" s="333" t="s">
        <v>135</v>
      </c>
      <c r="D96" s="4"/>
      <c r="E96" s="3"/>
      <c r="F96" s="3"/>
      <c r="G96" s="3">
        <v>3.25</v>
      </c>
      <c r="H96" s="3">
        <v>2.19</v>
      </c>
      <c r="I96" s="3">
        <v>-96.33</v>
      </c>
      <c r="J96" s="3">
        <v>-26.23</v>
      </c>
      <c r="K96" s="3">
        <v>-11.51</v>
      </c>
      <c r="L96" s="3">
        <v>-61.29</v>
      </c>
      <c r="M96" s="334">
        <v>0</v>
      </c>
      <c r="N96" s="334">
        <v>0</v>
      </c>
      <c r="O96" s="334">
        <v>0</v>
      </c>
      <c r="P96" s="334">
        <v>0</v>
      </c>
      <c r="Q96" s="334">
        <v>0</v>
      </c>
      <c r="R96" s="334">
        <v>0</v>
      </c>
      <c r="S96" s="335">
        <v>0</v>
      </c>
      <c r="U96" s="275">
        <v>3.25</v>
      </c>
      <c r="V96" s="3">
        <v>2.19</v>
      </c>
      <c r="W96" s="3">
        <v>-96.33</v>
      </c>
      <c r="X96" s="3">
        <v>-26.23</v>
      </c>
      <c r="Y96" s="3">
        <v>-11.51</v>
      </c>
      <c r="Z96" s="3">
        <v>-61.29</v>
      </c>
      <c r="AA96" s="428">
        <v>0</v>
      </c>
      <c r="AB96" s="428">
        <v>0</v>
      </c>
      <c r="AC96" s="428">
        <v>0</v>
      </c>
      <c r="AD96" s="428">
        <v>0</v>
      </c>
      <c r="AE96" s="428">
        <v>0</v>
      </c>
      <c r="AF96" s="428">
        <v>0</v>
      </c>
      <c r="AG96" s="429">
        <v>0</v>
      </c>
      <c r="AI96" s="275">
        <v>3.25</v>
      </c>
      <c r="AJ96" s="3">
        <v>2.19</v>
      </c>
      <c r="AK96" s="3">
        <v>-96.33</v>
      </c>
      <c r="AL96" s="3">
        <v>-26.23</v>
      </c>
      <c r="AM96" s="3">
        <v>-11.51</v>
      </c>
      <c r="AN96" s="3">
        <v>-61.29</v>
      </c>
      <c r="AO96" s="444">
        <v>0</v>
      </c>
      <c r="AP96" s="444">
        <v>0</v>
      </c>
      <c r="AQ96" s="444">
        <v>0</v>
      </c>
      <c r="AR96" s="444">
        <v>0</v>
      </c>
      <c r="AS96" s="444">
        <v>0</v>
      </c>
      <c r="AT96" s="444">
        <v>0</v>
      </c>
      <c r="AU96" s="445">
        <v>0</v>
      </c>
    </row>
    <row r="97" spans="2:47" ht="14.5" x14ac:dyDescent="0.35">
      <c r="B97" s="363">
        <v>18</v>
      </c>
      <c r="C97" s="333" t="s">
        <v>136</v>
      </c>
      <c r="D97" s="4"/>
      <c r="E97" s="3"/>
      <c r="F97" s="3"/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34">
        <v>0</v>
      </c>
      <c r="N97" s="334">
        <v>0</v>
      </c>
      <c r="O97" s="334">
        <v>0</v>
      </c>
      <c r="P97" s="334">
        <v>0</v>
      </c>
      <c r="Q97" s="334">
        <v>0</v>
      </c>
      <c r="R97" s="334">
        <v>0</v>
      </c>
      <c r="S97" s="335">
        <v>0</v>
      </c>
      <c r="U97" s="275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428">
        <v>0</v>
      </c>
      <c r="AB97" s="428">
        <v>0</v>
      </c>
      <c r="AC97" s="428">
        <v>0</v>
      </c>
      <c r="AD97" s="428">
        <v>0</v>
      </c>
      <c r="AE97" s="428">
        <v>0</v>
      </c>
      <c r="AF97" s="428">
        <v>0</v>
      </c>
      <c r="AG97" s="429">
        <v>0</v>
      </c>
      <c r="AI97" s="275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444">
        <v>0</v>
      </c>
      <c r="AP97" s="444">
        <v>0</v>
      </c>
      <c r="AQ97" s="444">
        <v>0</v>
      </c>
      <c r="AR97" s="444">
        <v>0</v>
      </c>
      <c r="AS97" s="444">
        <v>0</v>
      </c>
      <c r="AT97" s="444">
        <v>0</v>
      </c>
      <c r="AU97" s="445">
        <v>0</v>
      </c>
    </row>
    <row r="98" spans="2:47" ht="14.5" x14ac:dyDescent="0.35">
      <c r="B98" s="363">
        <v>19</v>
      </c>
      <c r="C98" s="333" t="s">
        <v>137</v>
      </c>
      <c r="D98" s="4"/>
      <c r="E98" s="3"/>
      <c r="F98" s="3"/>
      <c r="G98" s="3">
        <v>-25.37</v>
      </c>
      <c r="H98" s="3">
        <v>-18.22</v>
      </c>
      <c r="I98" s="3">
        <v>-26.36</v>
      </c>
      <c r="J98" s="3">
        <v>-15.66</v>
      </c>
      <c r="K98" s="3">
        <v>-35.979999999999997</v>
      </c>
      <c r="L98" s="3">
        <v>-39.17</v>
      </c>
      <c r="M98" s="334">
        <f>AVERAGE(H98:L98)</f>
        <v>-27.077999999999996</v>
      </c>
      <c r="N98" s="334">
        <f>M98</f>
        <v>-27.077999999999996</v>
      </c>
      <c r="O98" s="334">
        <f t="shared" ref="O98:Q99" si="323">N98</f>
        <v>-27.077999999999996</v>
      </c>
      <c r="P98" s="334">
        <f t="shared" si="323"/>
        <v>-27.077999999999996</v>
      </c>
      <c r="Q98" s="334">
        <f t="shared" si="323"/>
        <v>-27.077999999999996</v>
      </c>
      <c r="R98" s="334">
        <f t="shared" ref="R98:R99" si="324">Q98</f>
        <v>-27.077999999999996</v>
      </c>
      <c r="S98" s="335">
        <f t="shared" ref="S98:S99" si="325">R98</f>
        <v>-27.077999999999996</v>
      </c>
      <c r="U98" s="275">
        <v>-25.37</v>
      </c>
      <c r="V98" s="3">
        <v>-18.22</v>
      </c>
      <c r="W98" s="3">
        <v>-26.36</v>
      </c>
      <c r="X98" s="3">
        <v>-15.66</v>
      </c>
      <c r="Y98" s="3">
        <v>-35.979999999999997</v>
      </c>
      <c r="Z98" s="3">
        <v>-39.17</v>
      </c>
      <c r="AA98" s="428">
        <f>AVERAGE(V98:Z98)</f>
        <v>-27.077999999999996</v>
      </c>
      <c r="AB98" s="428">
        <f>AA98</f>
        <v>-27.077999999999996</v>
      </c>
      <c r="AC98" s="428">
        <f t="shared" ref="AC98:AC99" si="326">AB98</f>
        <v>-27.077999999999996</v>
      </c>
      <c r="AD98" s="428">
        <f t="shared" ref="AD98:AD99" si="327">AC98</f>
        <v>-27.077999999999996</v>
      </c>
      <c r="AE98" s="428">
        <f t="shared" ref="AE98:AE99" si="328">AD98</f>
        <v>-27.077999999999996</v>
      </c>
      <c r="AF98" s="428">
        <f t="shared" ref="AF98:AF99" si="329">AE98</f>
        <v>-27.077999999999996</v>
      </c>
      <c r="AG98" s="429">
        <f t="shared" ref="AG98:AG99" si="330">AF98</f>
        <v>-27.077999999999996</v>
      </c>
      <c r="AI98" s="275">
        <v>-25.37</v>
      </c>
      <c r="AJ98" s="3">
        <v>-18.22</v>
      </c>
      <c r="AK98" s="3">
        <v>-26.36</v>
      </c>
      <c r="AL98" s="3">
        <v>-15.66</v>
      </c>
      <c r="AM98" s="3">
        <v>-35.979999999999997</v>
      </c>
      <c r="AN98" s="3">
        <v>-39.17</v>
      </c>
      <c r="AO98" s="444">
        <f>AVERAGE(AJ98:AN98)</f>
        <v>-27.077999999999996</v>
      </c>
      <c r="AP98" s="444">
        <f t="shared" ref="AP98:AU98" si="331">AVERAGE(AK98:AO98)</f>
        <v>-28.849599999999999</v>
      </c>
      <c r="AQ98" s="444">
        <f t="shared" si="331"/>
        <v>-29.347520000000003</v>
      </c>
      <c r="AR98" s="444">
        <f t="shared" si="331"/>
        <v>-32.085024000000004</v>
      </c>
      <c r="AS98" s="444">
        <f t="shared" si="331"/>
        <v>-31.3060288</v>
      </c>
      <c r="AT98" s="444">
        <f t="shared" si="331"/>
        <v>-29.73323456</v>
      </c>
      <c r="AU98" s="445">
        <f t="shared" si="331"/>
        <v>-30.264281472</v>
      </c>
    </row>
    <row r="99" spans="2:47" ht="14.5" x14ac:dyDescent="0.35">
      <c r="B99" s="363">
        <v>20</v>
      </c>
      <c r="C99" s="333" t="s">
        <v>138</v>
      </c>
      <c r="D99" s="4"/>
      <c r="E99" s="3"/>
      <c r="F99" s="3"/>
      <c r="G99" s="3">
        <v>-16.579999999999998</v>
      </c>
      <c r="H99" s="3">
        <v>3.22</v>
      </c>
      <c r="I99" s="3">
        <v>-3.66</v>
      </c>
      <c r="J99" s="3">
        <v>-0.02</v>
      </c>
      <c r="K99" s="3">
        <v>-2.42</v>
      </c>
      <c r="L99" s="3">
        <v>-5.85</v>
      </c>
      <c r="M99" s="334">
        <f>AVERAGE(H99:L99)</f>
        <v>-1.746</v>
      </c>
      <c r="N99" s="334">
        <f>M99</f>
        <v>-1.746</v>
      </c>
      <c r="O99" s="334">
        <f t="shared" si="323"/>
        <v>-1.746</v>
      </c>
      <c r="P99" s="334">
        <f t="shared" si="323"/>
        <v>-1.746</v>
      </c>
      <c r="Q99" s="334">
        <f t="shared" si="323"/>
        <v>-1.746</v>
      </c>
      <c r="R99" s="334">
        <f t="shared" si="324"/>
        <v>-1.746</v>
      </c>
      <c r="S99" s="335">
        <f t="shared" si="325"/>
        <v>-1.746</v>
      </c>
      <c r="U99" s="275">
        <v>-16.579999999999998</v>
      </c>
      <c r="V99" s="3">
        <v>3.22</v>
      </c>
      <c r="W99" s="3">
        <v>-3.66</v>
      </c>
      <c r="X99" s="3">
        <v>-0.02</v>
      </c>
      <c r="Y99" s="3">
        <v>-2.42</v>
      </c>
      <c r="Z99" s="3">
        <v>-5.85</v>
      </c>
      <c r="AA99" s="428">
        <f>AVERAGE(V99:Z99)</f>
        <v>-1.746</v>
      </c>
      <c r="AB99" s="428">
        <f>AA99</f>
        <v>-1.746</v>
      </c>
      <c r="AC99" s="428">
        <f t="shared" si="326"/>
        <v>-1.746</v>
      </c>
      <c r="AD99" s="428">
        <f t="shared" si="327"/>
        <v>-1.746</v>
      </c>
      <c r="AE99" s="428">
        <f t="shared" si="328"/>
        <v>-1.746</v>
      </c>
      <c r="AF99" s="428">
        <f t="shared" si="329"/>
        <v>-1.746</v>
      </c>
      <c r="AG99" s="429">
        <f t="shared" si="330"/>
        <v>-1.746</v>
      </c>
      <c r="AI99" s="275">
        <v>-16.579999999999998</v>
      </c>
      <c r="AJ99" s="3">
        <v>3.22</v>
      </c>
      <c r="AK99" s="3">
        <v>-3.66</v>
      </c>
      <c r="AL99" s="3">
        <v>-0.02</v>
      </c>
      <c r="AM99" s="3">
        <v>-2.42</v>
      </c>
      <c r="AN99" s="3">
        <v>-5.85</v>
      </c>
      <c r="AO99" s="444">
        <f>AVERAGE(AJ99:AN99)</f>
        <v>-1.746</v>
      </c>
      <c r="AP99" s="444">
        <f t="shared" ref="AP99:AU99" si="332">AVERAGE(AK99:AO99)</f>
        <v>-2.7391999999999999</v>
      </c>
      <c r="AQ99" s="444">
        <f t="shared" si="332"/>
        <v>-2.55504</v>
      </c>
      <c r="AR99" s="444">
        <f t="shared" si="332"/>
        <v>-3.0620479999999999</v>
      </c>
      <c r="AS99" s="444">
        <f t="shared" si="332"/>
        <v>-3.1904575999999998</v>
      </c>
      <c r="AT99" s="444">
        <f t="shared" si="332"/>
        <v>-2.65854912</v>
      </c>
      <c r="AU99" s="445">
        <f t="shared" si="332"/>
        <v>-2.8410589439999998</v>
      </c>
    </row>
    <row r="100" spans="2:47" ht="14.5" x14ac:dyDescent="0.35">
      <c r="B100" s="363">
        <v>21</v>
      </c>
      <c r="C100" s="333" t="s">
        <v>139</v>
      </c>
      <c r="D100" s="4"/>
      <c r="E100" s="3"/>
      <c r="F100" s="3"/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34">
        <v>0</v>
      </c>
      <c r="N100" s="334">
        <v>0</v>
      </c>
      <c r="O100" s="334">
        <v>0</v>
      </c>
      <c r="P100" s="334">
        <v>0</v>
      </c>
      <c r="Q100" s="334">
        <v>0</v>
      </c>
      <c r="R100" s="334">
        <v>0</v>
      </c>
      <c r="S100" s="335">
        <v>0</v>
      </c>
      <c r="U100" s="275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428">
        <v>0</v>
      </c>
      <c r="AB100" s="428">
        <v>0</v>
      </c>
      <c r="AC100" s="428">
        <v>0</v>
      </c>
      <c r="AD100" s="428">
        <v>0</v>
      </c>
      <c r="AE100" s="428">
        <v>0</v>
      </c>
      <c r="AF100" s="428">
        <v>0</v>
      </c>
      <c r="AG100" s="429">
        <v>0</v>
      </c>
      <c r="AI100" s="275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444">
        <v>0</v>
      </c>
      <c r="AP100" s="444">
        <v>0</v>
      </c>
      <c r="AQ100" s="444">
        <v>0</v>
      </c>
      <c r="AR100" s="444">
        <v>0</v>
      </c>
      <c r="AS100" s="444">
        <v>0</v>
      </c>
      <c r="AT100" s="444">
        <v>0</v>
      </c>
      <c r="AU100" s="445">
        <v>0</v>
      </c>
    </row>
    <row r="101" spans="2:47" ht="14.5" x14ac:dyDescent="0.35">
      <c r="B101" s="363">
        <v>22</v>
      </c>
      <c r="C101" s="333" t="s">
        <v>140</v>
      </c>
      <c r="D101" s="4"/>
      <c r="E101" s="3"/>
      <c r="F101" s="3"/>
      <c r="G101" s="3">
        <v>-4.07</v>
      </c>
      <c r="H101" s="3">
        <v>0</v>
      </c>
      <c r="I101" s="3">
        <v>-0.03</v>
      </c>
      <c r="J101" s="3">
        <v>0.16</v>
      </c>
      <c r="K101" s="3">
        <v>0</v>
      </c>
      <c r="L101" s="3">
        <v>0</v>
      </c>
      <c r="M101" s="334">
        <v>0</v>
      </c>
      <c r="N101" s="334">
        <v>0</v>
      </c>
      <c r="O101" s="334">
        <v>0</v>
      </c>
      <c r="P101" s="334">
        <v>0</v>
      </c>
      <c r="Q101" s="334">
        <v>0</v>
      </c>
      <c r="R101" s="334">
        <v>0</v>
      </c>
      <c r="S101" s="335">
        <v>0</v>
      </c>
      <c r="U101" s="275">
        <v>-4.07</v>
      </c>
      <c r="V101" s="3">
        <v>0</v>
      </c>
      <c r="W101" s="3">
        <v>-0.03</v>
      </c>
      <c r="X101" s="3">
        <v>0.16</v>
      </c>
      <c r="Y101" s="3">
        <v>0</v>
      </c>
      <c r="Z101" s="3">
        <v>0</v>
      </c>
      <c r="AA101" s="428">
        <v>0</v>
      </c>
      <c r="AB101" s="428">
        <v>0</v>
      </c>
      <c r="AC101" s="428">
        <v>0</v>
      </c>
      <c r="AD101" s="428">
        <v>0</v>
      </c>
      <c r="AE101" s="428">
        <v>0</v>
      </c>
      <c r="AF101" s="428">
        <v>0</v>
      </c>
      <c r="AG101" s="429">
        <v>0</v>
      </c>
      <c r="AI101" s="275">
        <v>-4.07</v>
      </c>
      <c r="AJ101" s="3">
        <v>0</v>
      </c>
      <c r="AK101" s="3">
        <v>-0.03</v>
      </c>
      <c r="AL101" s="3">
        <v>0.16</v>
      </c>
      <c r="AM101" s="3">
        <v>0</v>
      </c>
      <c r="AN101" s="3">
        <v>0</v>
      </c>
      <c r="AO101" s="444">
        <v>0</v>
      </c>
      <c r="AP101" s="444">
        <v>0</v>
      </c>
      <c r="AQ101" s="444">
        <v>0</v>
      </c>
      <c r="AR101" s="444">
        <v>0</v>
      </c>
      <c r="AS101" s="444">
        <v>0</v>
      </c>
      <c r="AT101" s="444">
        <v>0</v>
      </c>
      <c r="AU101" s="445">
        <v>0</v>
      </c>
    </row>
    <row r="102" spans="2:47" ht="14.5" x14ac:dyDescent="0.35">
      <c r="B102" s="363">
        <v>23</v>
      </c>
      <c r="C102" s="315" t="s">
        <v>141</v>
      </c>
      <c r="D102" s="14"/>
      <c r="E102" s="14"/>
      <c r="F102" s="14"/>
      <c r="G102" s="14">
        <f t="shared" ref="G102:K102" si="333">SUM(G94:G101)</f>
        <v>-55.94</v>
      </c>
      <c r="H102" s="14">
        <f t="shared" si="333"/>
        <v>-28.880000000000003</v>
      </c>
      <c r="I102" s="14">
        <f>SUM(I94:I101)</f>
        <v>-145.83999999999997</v>
      </c>
      <c r="J102" s="14">
        <f t="shared" si="333"/>
        <v>-70.95</v>
      </c>
      <c r="K102" s="14">
        <f t="shared" si="333"/>
        <v>-75.2</v>
      </c>
      <c r="L102" s="14">
        <f t="shared" ref="L102:Q102" si="334">SUM(L94:L101)</f>
        <v>-148.89000000000001</v>
      </c>
      <c r="M102" s="137">
        <f t="shared" si="334"/>
        <v>-56.431999999999995</v>
      </c>
      <c r="N102" s="137">
        <f t="shared" si="334"/>
        <v>-56.431999999999995</v>
      </c>
      <c r="O102" s="137">
        <f t="shared" si="334"/>
        <v>-56.431999999999995</v>
      </c>
      <c r="P102" s="137">
        <f t="shared" si="334"/>
        <v>-56.431999999999995</v>
      </c>
      <c r="Q102" s="137">
        <f t="shared" si="334"/>
        <v>-56.431999999999995</v>
      </c>
      <c r="R102" s="137">
        <f t="shared" ref="R102:S102" si="335">SUM(R94:R101)</f>
        <v>-56.431999999999995</v>
      </c>
      <c r="S102" s="338">
        <f t="shared" si="335"/>
        <v>-56.431999999999995</v>
      </c>
      <c r="U102" s="315">
        <f t="shared" ref="U102:AG102" si="336">SUM(U94:U101)</f>
        <v>-55.94</v>
      </c>
      <c r="V102" s="14">
        <f t="shared" si="336"/>
        <v>-28.880000000000003</v>
      </c>
      <c r="W102" s="14">
        <f t="shared" si="336"/>
        <v>-145.83999999999997</v>
      </c>
      <c r="X102" s="14">
        <f t="shared" si="336"/>
        <v>-70.95</v>
      </c>
      <c r="Y102" s="14">
        <f t="shared" si="336"/>
        <v>-75.2</v>
      </c>
      <c r="Z102" s="14">
        <f t="shared" si="336"/>
        <v>-148.89000000000001</v>
      </c>
      <c r="AA102" s="433">
        <f t="shared" si="336"/>
        <v>-56.431999999999995</v>
      </c>
      <c r="AB102" s="433">
        <f t="shared" si="336"/>
        <v>-56.431999999999995</v>
      </c>
      <c r="AC102" s="433">
        <f t="shared" si="336"/>
        <v>-56.431999999999995</v>
      </c>
      <c r="AD102" s="433">
        <f t="shared" si="336"/>
        <v>-56.431999999999995</v>
      </c>
      <c r="AE102" s="433">
        <f t="shared" si="336"/>
        <v>-56.431999999999995</v>
      </c>
      <c r="AF102" s="433">
        <f t="shared" si="336"/>
        <v>-56.431999999999995</v>
      </c>
      <c r="AG102" s="434">
        <f t="shared" si="336"/>
        <v>-56.431999999999995</v>
      </c>
      <c r="AI102" s="315">
        <f t="shared" ref="AI102:AU102" si="337">SUM(AI94:AI101)</f>
        <v>-55.94</v>
      </c>
      <c r="AJ102" s="14">
        <f t="shared" si="337"/>
        <v>-28.880000000000003</v>
      </c>
      <c r="AK102" s="14">
        <f t="shared" si="337"/>
        <v>-145.83999999999997</v>
      </c>
      <c r="AL102" s="14">
        <f t="shared" si="337"/>
        <v>-70.95</v>
      </c>
      <c r="AM102" s="14">
        <f t="shared" si="337"/>
        <v>-75.2</v>
      </c>
      <c r="AN102" s="14">
        <f t="shared" si="337"/>
        <v>-148.89000000000001</v>
      </c>
      <c r="AO102" s="449">
        <f t="shared" si="337"/>
        <v>-56.431999999999995</v>
      </c>
      <c r="AP102" s="449">
        <f t="shared" si="337"/>
        <v>-61.454399999999993</v>
      </c>
      <c r="AQ102" s="449">
        <f t="shared" si="337"/>
        <v>-63.71528</v>
      </c>
      <c r="AR102" s="449">
        <f t="shared" si="337"/>
        <v>-67.500336000000004</v>
      </c>
      <c r="AS102" s="449">
        <f t="shared" si="337"/>
        <v>-67.340403199999997</v>
      </c>
      <c r="AT102" s="449">
        <f t="shared" si="337"/>
        <v>-63.288483839999998</v>
      </c>
      <c r="AU102" s="450">
        <f t="shared" si="337"/>
        <v>-64.659780607999991</v>
      </c>
    </row>
    <row r="103" spans="2:47" ht="14.5" x14ac:dyDescent="0.35">
      <c r="B103" s="363">
        <v>24</v>
      </c>
      <c r="C103" s="342" t="s">
        <v>142</v>
      </c>
      <c r="D103" s="17"/>
      <c r="E103" s="17"/>
      <c r="F103" s="17"/>
      <c r="G103" s="17">
        <f t="shared" ref="G103:K103" si="338">G92+G102</f>
        <v>-18.189999999999998</v>
      </c>
      <c r="H103" s="17">
        <f t="shared" si="338"/>
        <v>158.34</v>
      </c>
      <c r="I103" s="17">
        <f t="shared" si="338"/>
        <v>73.810000000000059</v>
      </c>
      <c r="J103" s="17">
        <f t="shared" si="338"/>
        <v>107.58</v>
      </c>
      <c r="K103" s="17">
        <f t="shared" si="338"/>
        <v>287.47000000000003</v>
      </c>
      <c r="L103" s="17">
        <f t="shared" ref="L103:Q103" si="339">L92+L102</f>
        <v>37.40999999999994</v>
      </c>
      <c r="M103" s="138">
        <f t="shared" si="339"/>
        <v>-4.1615937958306048</v>
      </c>
      <c r="N103" s="138">
        <f t="shared" si="339"/>
        <v>96.747079263675317</v>
      </c>
      <c r="O103" s="138">
        <f t="shared" si="339"/>
        <v>111.20732773779187</v>
      </c>
      <c r="P103" s="138">
        <f t="shared" si="339"/>
        <v>127.84799612630806</v>
      </c>
      <c r="Q103" s="138">
        <f t="shared" si="339"/>
        <v>146.83599020686663</v>
      </c>
      <c r="R103" s="138">
        <f>R92+R102</f>
        <v>168.36097835338157</v>
      </c>
      <c r="S103" s="343">
        <f t="shared" ref="S103" si="340">S92+S102</f>
        <v>192.6372507699401</v>
      </c>
      <c r="U103" s="342">
        <f t="shared" ref="U103:AE103" si="341">U92+U102</f>
        <v>-18.189999999999998</v>
      </c>
      <c r="V103" s="17">
        <f t="shared" si="341"/>
        <v>158.34</v>
      </c>
      <c r="W103" s="17">
        <f t="shared" si="341"/>
        <v>73.810000000000059</v>
      </c>
      <c r="X103" s="17">
        <f t="shared" si="341"/>
        <v>107.58</v>
      </c>
      <c r="Y103" s="17">
        <f t="shared" si="341"/>
        <v>287.47000000000003</v>
      </c>
      <c r="Z103" s="17">
        <f t="shared" si="341"/>
        <v>37.40999999999994</v>
      </c>
      <c r="AA103" s="437">
        <f t="shared" si="341"/>
        <v>-4.1615937958306048</v>
      </c>
      <c r="AB103" s="437">
        <f t="shared" si="341"/>
        <v>118.30742723525512</v>
      </c>
      <c r="AC103" s="437">
        <f t="shared" si="341"/>
        <v>153.37221493437121</v>
      </c>
      <c r="AD103" s="437">
        <f t="shared" si="341"/>
        <v>211.59043637385733</v>
      </c>
      <c r="AE103" s="437">
        <f t="shared" si="341"/>
        <v>239.37898607676013</v>
      </c>
      <c r="AF103" s="437">
        <f>AF92+AF102</f>
        <v>263.12496066849536</v>
      </c>
      <c r="AG103" s="438">
        <f t="shared" ref="AG103" si="342">AG92+AG102</f>
        <v>319.8287293356949</v>
      </c>
      <c r="AI103" s="342">
        <f t="shared" ref="AI103:AS103" si="343">AI92+AI102</f>
        <v>-18.189999999999998</v>
      </c>
      <c r="AJ103" s="17">
        <f t="shared" si="343"/>
        <v>158.34</v>
      </c>
      <c r="AK103" s="17">
        <f t="shared" si="343"/>
        <v>73.810000000000059</v>
      </c>
      <c r="AL103" s="17">
        <f t="shared" si="343"/>
        <v>107.58</v>
      </c>
      <c r="AM103" s="17">
        <f t="shared" si="343"/>
        <v>287.47000000000003</v>
      </c>
      <c r="AN103" s="17">
        <f t="shared" si="343"/>
        <v>37.40999999999994</v>
      </c>
      <c r="AO103" s="453">
        <f t="shared" si="343"/>
        <v>-15.117402761484691</v>
      </c>
      <c r="AP103" s="453">
        <f t="shared" si="343"/>
        <v>65.796915723628373</v>
      </c>
      <c r="AQ103" s="453">
        <f t="shared" si="343"/>
        <v>60.197144354630659</v>
      </c>
      <c r="AR103" s="453">
        <f t="shared" si="343"/>
        <v>68.933897349925758</v>
      </c>
      <c r="AS103" s="453">
        <f t="shared" si="343"/>
        <v>43.871550577517951</v>
      </c>
      <c r="AT103" s="453">
        <f>AT92+AT102</f>
        <v>41.796066299105675</v>
      </c>
      <c r="AU103" s="454">
        <f t="shared" ref="AU103" si="344">AU92+AU102</f>
        <v>33.358479086499031</v>
      </c>
    </row>
    <row r="104" spans="2:47" ht="14.5" x14ac:dyDescent="0.35">
      <c r="B104" s="363">
        <v>25</v>
      </c>
      <c r="C104" s="292"/>
      <c r="D104" s="9"/>
      <c r="E104" s="9"/>
      <c r="F104" s="9"/>
      <c r="G104" s="9"/>
      <c r="H104" s="9"/>
      <c r="I104" s="9"/>
      <c r="J104" s="9"/>
      <c r="K104" s="9"/>
      <c r="L104" s="9"/>
      <c r="M104" s="331"/>
      <c r="N104" s="331"/>
      <c r="O104" s="331"/>
      <c r="P104" s="331"/>
      <c r="Q104" s="331"/>
      <c r="R104" s="331"/>
      <c r="S104" s="332"/>
      <c r="U104" s="292"/>
      <c r="V104" s="9"/>
      <c r="W104" s="9"/>
      <c r="X104" s="9"/>
      <c r="Y104" s="9"/>
      <c r="Z104" s="9"/>
      <c r="AA104" s="426"/>
      <c r="AB104" s="426"/>
      <c r="AC104" s="426"/>
      <c r="AD104" s="426"/>
      <c r="AE104" s="426"/>
      <c r="AF104" s="426"/>
      <c r="AG104" s="427"/>
      <c r="AI104" s="292"/>
      <c r="AJ104" s="9"/>
      <c r="AK104" s="9"/>
      <c r="AL104" s="9"/>
      <c r="AM104" s="9"/>
      <c r="AN104" s="9"/>
      <c r="AO104" s="442"/>
      <c r="AP104" s="442"/>
      <c r="AQ104" s="442"/>
      <c r="AR104" s="442"/>
      <c r="AS104" s="442"/>
      <c r="AT104" s="442"/>
      <c r="AU104" s="443"/>
    </row>
    <row r="105" spans="2:47" ht="14.5" x14ac:dyDescent="0.35">
      <c r="B105" s="363">
        <v>26</v>
      </c>
      <c r="C105" s="333" t="s">
        <v>143</v>
      </c>
      <c r="D105" s="3"/>
      <c r="E105" s="3"/>
      <c r="F105" s="3"/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34">
        <f>'New Debt'!G21+'New Debt'!G23</f>
        <v>6090.7205000832009</v>
      </c>
      <c r="N105" s="334">
        <f>'New Debt'!H21+'New Debt'!H23</f>
        <v>0</v>
      </c>
      <c r="O105" s="334">
        <f>'New Debt'!I21+'New Debt'!I23</f>
        <v>0</v>
      </c>
      <c r="P105" s="334">
        <f>'New Debt'!J21+'New Debt'!J23</f>
        <v>0</v>
      </c>
      <c r="Q105" s="334">
        <f>'New Debt'!K21+'New Debt'!K23</f>
        <v>0</v>
      </c>
      <c r="R105" s="334">
        <f>'New Debt'!L21+'New Debt'!L23</f>
        <v>0</v>
      </c>
      <c r="S105" s="335">
        <f>'New Debt'!M21+'New Debt'!M23</f>
        <v>0</v>
      </c>
      <c r="U105" s="275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428">
        <f>M105</f>
        <v>6090.7205000832009</v>
      </c>
      <c r="AB105" s="428">
        <f t="shared" ref="AB105:AG111" si="345">N105</f>
        <v>0</v>
      </c>
      <c r="AC105" s="428">
        <f t="shared" si="345"/>
        <v>0</v>
      </c>
      <c r="AD105" s="428">
        <f t="shared" si="345"/>
        <v>0</v>
      </c>
      <c r="AE105" s="428">
        <f t="shared" si="345"/>
        <v>0</v>
      </c>
      <c r="AF105" s="428">
        <f t="shared" si="345"/>
        <v>0</v>
      </c>
      <c r="AG105" s="429">
        <f t="shared" si="345"/>
        <v>0</v>
      </c>
      <c r="AI105" s="275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444">
        <f>AA105</f>
        <v>6090.7205000832009</v>
      </c>
      <c r="AP105" s="444">
        <f t="shared" ref="AP105:AU109" si="346">AB105</f>
        <v>0</v>
      </c>
      <c r="AQ105" s="444">
        <f t="shared" si="346"/>
        <v>0</v>
      </c>
      <c r="AR105" s="444">
        <f t="shared" si="346"/>
        <v>0</v>
      </c>
      <c r="AS105" s="444">
        <f t="shared" si="346"/>
        <v>0</v>
      </c>
      <c r="AT105" s="444">
        <f t="shared" si="346"/>
        <v>0</v>
      </c>
      <c r="AU105" s="445">
        <f t="shared" si="346"/>
        <v>0</v>
      </c>
    </row>
    <row r="106" spans="2:47" ht="14.5" x14ac:dyDescent="0.35">
      <c r="B106" s="363">
        <v>27</v>
      </c>
      <c r="C106" s="333" t="s">
        <v>144</v>
      </c>
      <c r="D106" s="3"/>
      <c r="E106" s="3"/>
      <c r="F106" s="3"/>
      <c r="G106" s="3">
        <v>-3.34</v>
      </c>
      <c r="H106" s="3">
        <v>-3.41</v>
      </c>
      <c r="I106" s="3">
        <v>-13.66</v>
      </c>
      <c r="J106" s="3">
        <v>-16.079999999999998</v>
      </c>
      <c r="K106" s="3">
        <v>-17.73</v>
      </c>
      <c r="L106" s="3">
        <v>-19.899999999999999</v>
      </c>
      <c r="M106" s="334">
        <f>'New Debt'!G22+'New Debt'!G24+'New Debt'!G27</f>
        <v>0</v>
      </c>
      <c r="N106" s="334">
        <f>'New Debt'!H22+'New Debt'!H24+'New Debt'!H27</f>
        <v>-1015.1200833472003</v>
      </c>
      <c r="O106" s="334">
        <f>'New Debt'!I22+'New Debt'!I24+'New Debt'!I27</f>
        <v>-1015.1200833472003</v>
      </c>
      <c r="P106" s="334">
        <f>'New Debt'!J22+'New Debt'!J24+'New Debt'!J27</f>
        <v>-1015.1200833472003</v>
      </c>
      <c r="Q106" s="334">
        <f>'New Debt'!K22+'New Debt'!K24+'New Debt'!K27</f>
        <v>-1015.1200833472003</v>
      </c>
      <c r="R106" s="334">
        <f>'New Debt'!L22+'New Debt'!L24+'New Debt'!L27</f>
        <v>-1015.1200833472003</v>
      </c>
      <c r="S106" s="335">
        <f>'New Debt'!M22+'New Debt'!M24+'New Debt'!M27</f>
        <v>-1015.1200833472003</v>
      </c>
      <c r="U106" s="275">
        <v>-3.34</v>
      </c>
      <c r="V106" s="3">
        <v>-3.41</v>
      </c>
      <c r="W106" s="3">
        <v>-13.66</v>
      </c>
      <c r="X106" s="3">
        <v>-16.079999999999998</v>
      </c>
      <c r="Y106" s="3">
        <v>-17.73</v>
      </c>
      <c r="Z106" s="3">
        <v>-19.899999999999999</v>
      </c>
      <c r="AA106" s="428">
        <f t="shared" ref="AA106:AA111" si="347">M106</f>
        <v>0</v>
      </c>
      <c r="AB106" s="428">
        <f t="shared" si="345"/>
        <v>-1015.1200833472003</v>
      </c>
      <c r="AC106" s="428">
        <f t="shared" si="345"/>
        <v>-1015.1200833472003</v>
      </c>
      <c r="AD106" s="428">
        <f t="shared" si="345"/>
        <v>-1015.1200833472003</v>
      </c>
      <c r="AE106" s="428">
        <f t="shared" si="345"/>
        <v>-1015.1200833472003</v>
      </c>
      <c r="AF106" s="428">
        <f t="shared" si="345"/>
        <v>-1015.1200833472003</v>
      </c>
      <c r="AG106" s="429">
        <f t="shared" si="345"/>
        <v>-1015.1200833472003</v>
      </c>
      <c r="AI106" s="275">
        <v>-3.34</v>
      </c>
      <c r="AJ106" s="3">
        <v>-3.41</v>
      </c>
      <c r="AK106" s="3">
        <v>-13.66</v>
      </c>
      <c r="AL106" s="3">
        <v>-16.079999999999998</v>
      </c>
      <c r="AM106" s="3">
        <v>-17.73</v>
      </c>
      <c r="AN106" s="3">
        <v>-19.899999999999999</v>
      </c>
      <c r="AO106" s="444">
        <f t="shared" ref="AO106:AO109" si="348">AA106</f>
        <v>0</v>
      </c>
      <c r="AP106" s="444">
        <f t="shared" si="346"/>
        <v>-1015.1200833472003</v>
      </c>
      <c r="AQ106" s="444">
        <f t="shared" si="346"/>
        <v>-1015.1200833472003</v>
      </c>
      <c r="AR106" s="444">
        <f t="shared" si="346"/>
        <v>-1015.1200833472003</v>
      </c>
      <c r="AS106" s="444">
        <f t="shared" si="346"/>
        <v>-1015.1200833472003</v>
      </c>
      <c r="AT106" s="444">
        <f t="shared" si="346"/>
        <v>-1015.1200833472003</v>
      </c>
      <c r="AU106" s="445">
        <f t="shared" si="346"/>
        <v>-1015.1200833472003</v>
      </c>
    </row>
    <row r="107" spans="2:47" ht="14.5" x14ac:dyDescent="0.35">
      <c r="B107" s="363">
        <v>28</v>
      </c>
      <c r="C107" s="333" t="s">
        <v>145</v>
      </c>
      <c r="D107" s="3"/>
      <c r="E107" s="3"/>
      <c r="F107" s="3"/>
      <c r="G107" s="3">
        <v>315.04000000000002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34">
        <v>0</v>
      </c>
      <c r="N107" s="334">
        <v>0</v>
      </c>
      <c r="O107" s="334">
        <v>0</v>
      </c>
      <c r="P107" s="334">
        <v>0</v>
      </c>
      <c r="Q107" s="334">
        <v>0</v>
      </c>
      <c r="R107" s="334">
        <v>0</v>
      </c>
      <c r="S107" s="335">
        <v>0</v>
      </c>
      <c r="U107" s="275">
        <v>315.04000000000002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428">
        <f t="shared" si="347"/>
        <v>0</v>
      </c>
      <c r="AB107" s="428">
        <f t="shared" si="345"/>
        <v>0</v>
      </c>
      <c r="AC107" s="428">
        <f t="shared" si="345"/>
        <v>0</v>
      </c>
      <c r="AD107" s="428">
        <f t="shared" si="345"/>
        <v>0</v>
      </c>
      <c r="AE107" s="428">
        <f t="shared" si="345"/>
        <v>0</v>
      </c>
      <c r="AF107" s="428">
        <f t="shared" si="345"/>
        <v>0</v>
      </c>
      <c r="AG107" s="429">
        <f t="shared" si="345"/>
        <v>0</v>
      </c>
      <c r="AI107" s="275">
        <v>315.04000000000002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444">
        <f t="shared" si="348"/>
        <v>0</v>
      </c>
      <c r="AP107" s="444">
        <f t="shared" si="346"/>
        <v>0</v>
      </c>
      <c r="AQ107" s="444">
        <f t="shared" si="346"/>
        <v>0</v>
      </c>
      <c r="AR107" s="444">
        <f t="shared" si="346"/>
        <v>0</v>
      </c>
      <c r="AS107" s="444">
        <f t="shared" si="346"/>
        <v>0</v>
      </c>
      <c r="AT107" s="444">
        <f t="shared" si="346"/>
        <v>0</v>
      </c>
      <c r="AU107" s="445">
        <f t="shared" si="346"/>
        <v>0</v>
      </c>
    </row>
    <row r="108" spans="2:47" ht="14.5" x14ac:dyDescent="0.35">
      <c r="B108" s="363">
        <v>29</v>
      </c>
      <c r="C108" s="333" t="s">
        <v>146</v>
      </c>
      <c r="D108" s="3"/>
      <c r="E108" s="3"/>
      <c r="F108" s="3"/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34">
        <v>0</v>
      </c>
      <c r="N108" s="334">
        <v>0</v>
      </c>
      <c r="O108" s="334">
        <v>0</v>
      </c>
      <c r="P108" s="334">
        <v>0</v>
      </c>
      <c r="Q108" s="334">
        <v>0</v>
      </c>
      <c r="R108" s="334">
        <v>0</v>
      </c>
      <c r="S108" s="335">
        <v>0</v>
      </c>
      <c r="U108" s="275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428">
        <f t="shared" si="347"/>
        <v>0</v>
      </c>
      <c r="AB108" s="428">
        <f t="shared" si="345"/>
        <v>0</v>
      </c>
      <c r="AC108" s="428">
        <f t="shared" si="345"/>
        <v>0</v>
      </c>
      <c r="AD108" s="428">
        <f t="shared" si="345"/>
        <v>0</v>
      </c>
      <c r="AE108" s="428">
        <f t="shared" si="345"/>
        <v>0</v>
      </c>
      <c r="AF108" s="428">
        <f t="shared" si="345"/>
        <v>0</v>
      </c>
      <c r="AG108" s="429">
        <f t="shared" si="345"/>
        <v>0</v>
      </c>
      <c r="AI108" s="275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444">
        <f t="shared" si="348"/>
        <v>0</v>
      </c>
      <c r="AP108" s="444">
        <f t="shared" si="346"/>
        <v>0</v>
      </c>
      <c r="AQ108" s="444">
        <f t="shared" si="346"/>
        <v>0</v>
      </c>
      <c r="AR108" s="444">
        <f t="shared" si="346"/>
        <v>0</v>
      </c>
      <c r="AS108" s="444">
        <f t="shared" si="346"/>
        <v>0</v>
      </c>
      <c r="AT108" s="444">
        <f t="shared" si="346"/>
        <v>0</v>
      </c>
      <c r="AU108" s="445">
        <f t="shared" si="346"/>
        <v>0</v>
      </c>
    </row>
    <row r="109" spans="2:47" ht="14.5" x14ac:dyDescent="0.35">
      <c r="B109" s="363">
        <v>30</v>
      </c>
      <c r="C109" s="333" t="s">
        <v>147</v>
      </c>
      <c r="D109" s="3"/>
      <c r="E109" s="3"/>
      <c r="F109" s="3"/>
      <c r="G109" s="3">
        <v>-37.57</v>
      </c>
      <c r="H109" s="3">
        <v>-49.19</v>
      </c>
      <c r="I109" s="3">
        <v>-49.19</v>
      </c>
      <c r="J109" s="3">
        <v>-58.14</v>
      </c>
      <c r="K109" s="3">
        <v>-44.72</v>
      </c>
      <c r="L109" s="3">
        <v>-80.5</v>
      </c>
      <c r="M109" s="334"/>
      <c r="N109" s="334"/>
      <c r="O109" s="334"/>
      <c r="P109" s="334"/>
      <c r="Q109" s="334"/>
      <c r="R109" s="334"/>
      <c r="S109" s="335"/>
      <c r="U109" s="275">
        <v>-37.57</v>
      </c>
      <c r="V109" s="3">
        <v>-49.19</v>
      </c>
      <c r="W109" s="3">
        <v>-49.19</v>
      </c>
      <c r="X109" s="3">
        <v>-58.14</v>
      </c>
      <c r="Y109" s="3">
        <v>-44.72</v>
      </c>
      <c r="Z109" s="3">
        <v>-80.5</v>
      </c>
      <c r="AA109" s="428">
        <f t="shared" si="347"/>
        <v>0</v>
      </c>
      <c r="AB109" s="428">
        <f t="shared" si="345"/>
        <v>0</v>
      </c>
      <c r="AC109" s="428">
        <f t="shared" si="345"/>
        <v>0</v>
      </c>
      <c r="AD109" s="428">
        <f t="shared" si="345"/>
        <v>0</v>
      </c>
      <c r="AE109" s="428">
        <f t="shared" si="345"/>
        <v>0</v>
      </c>
      <c r="AF109" s="428">
        <f t="shared" si="345"/>
        <v>0</v>
      </c>
      <c r="AG109" s="429">
        <f t="shared" si="345"/>
        <v>0</v>
      </c>
      <c r="AI109" s="275">
        <v>-37.57</v>
      </c>
      <c r="AJ109" s="3">
        <v>-49.19</v>
      </c>
      <c r="AK109" s="3">
        <v>-49.19</v>
      </c>
      <c r="AL109" s="3">
        <v>-58.14</v>
      </c>
      <c r="AM109" s="3">
        <v>-44.72</v>
      </c>
      <c r="AN109" s="3">
        <v>-80.5</v>
      </c>
      <c r="AO109" s="444">
        <f t="shared" si="348"/>
        <v>0</v>
      </c>
      <c r="AP109" s="444">
        <f t="shared" si="346"/>
        <v>0</v>
      </c>
      <c r="AQ109" s="444">
        <f t="shared" si="346"/>
        <v>0</v>
      </c>
      <c r="AR109" s="444">
        <f t="shared" si="346"/>
        <v>0</v>
      </c>
      <c r="AS109" s="444">
        <f t="shared" si="346"/>
        <v>0</v>
      </c>
      <c r="AT109" s="444">
        <f t="shared" si="346"/>
        <v>0</v>
      </c>
      <c r="AU109" s="445">
        <f t="shared" si="346"/>
        <v>0</v>
      </c>
    </row>
    <row r="110" spans="2:47" ht="14.5" x14ac:dyDescent="0.35">
      <c r="B110" s="363">
        <v>31</v>
      </c>
      <c r="C110" s="333" t="s">
        <v>148</v>
      </c>
      <c r="D110" s="3"/>
      <c r="E110" s="3"/>
      <c r="F110" s="3"/>
      <c r="G110" s="3">
        <v>-259.63</v>
      </c>
      <c r="H110" s="3">
        <v>-104.63</v>
      </c>
      <c r="I110" s="3">
        <v>4.2200000000000006</v>
      </c>
      <c r="J110" s="3">
        <v>-48.74</v>
      </c>
      <c r="K110" s="3">
        <v>-223.44000000000003</v>
      </c>
      <c r="L110" s="3">
        <v>62.17</v>
      </c>
      <c r="M110" s="334">
        <f>AVERAGE(H110:L110)</f>
        <v>-62.084000000000003</v>
      </c>
      <c r="N110" s="334">
        <f>M110</f>
        <v>-62.084000000000003</v>
      </c>
      <c r="O110" s="334">
        <f t="shared" ref="O110:Q110" si="349">N110</f>
        <v>-62.084000000000003</v>
      </c>
      <c r="P110" s="334">
        <f t="shared" si="349"/>
        <v>-62.084000000000003</v>
      </c>
      <c r="Q110" s="334">
        <f t="shared" si="349"/>
        <v>-62.084000000000003</v>
      </c>
      <c r="R110" s="334">
        <f t="shared" ref="R110" si="350">Q110</f>
        <v>-62.084000000000003</v>
      </c>
      <c r="S110" s="335">
        <f t="shared" ref="S110" si="351">R110</f>
        <v>-62.084000000000003</v>
      </c>
      <c r="U110" s="275">
        <v>-259.63</v>
      </c>
      <c r="V110" s="3">
        <v>-104.63</v>
      </c>
      <c r="W110" s="3">
        <v>4.2200000000000006</v>
      </c>
      <c r="X110" s="3">
        <v>-48.74</v>
      </c>
      <c r="Y110" s="3">
        <v>-223.44000000000003</v>
      </c>
      <c r="Z110" s="3">
        <v>62.17</v>
      </c>
      <c r="AA110" s="428">
        <f t="shared" si="347"/>
        <v>-62.084000000000003</v>
      </c>
      <c r="AB110" s="428">
        <f t="shared" si="345"/>
        <v>-62.084000000000003</v>
      </c>
      <c r="AC110" s="428">
        <f t="shared" si="345"/>
        <v>-62.084000000000003</v>
      </c>
      <c r="AD110" s="428">
        <f t="shared" si="345"/>
        <v>-62.084000000000003</v>
      </c>
      <c r="AE110" s="428">
        <f t="shared" si="345"/>
        <v>-62.084000000000003</v>
      </c>
      <c r="AF110" s="428">
        <f t="shared" si="345"/>
        <v>-62.084000000000003</v>
      </c>
      <c r="AG110" s="429">
        <f t="shared" si="345"/>
        <v>-62.084000000000003</v>
      </c>
      <c r="AI110" s="275">
        <v>-259.63</v>
      </c>
      <c r="AJ110" s="3">
        <v>-104.63</v>
      </c>
      <c r="AK110" s="3">
        <v>4.2200000000000006</v>
      </c>
      <c r="AL110" s="3">
        <v>-48.74</v>
      </c>
      <c r="AM110" s="3">
        <v>-223.44000000000003</v>
      </c>
      <c r="AN110" s="3">
        <v>62.17</v>
      </c>
      <c r="AO110" s="444">
        <f>AVERAGE(AJ110:AN110)</f>
        <v>-62.084000000000003</v>
      </c>
      <c r="AP110" s="444">
        <f>AO110</f>
        <v>-62.084000000000003</v>
      </c>
      <c r="AQ110" s="444">
        <f t="shared" ref="AQ110" si="352">AP110</f>
        <v>-62.084000000000003</v>
      </c>
      <c r="AR110" s="444">
        <f t="shared" ref="AR110" si="353">AQ110</f>
        <v>-62.084000000000003</v>
      </c>
      <c r="AS110" s="444">
        <f t="shared" ref="AS110" si="354">AR110</f>
        <v>-62.084000000000003</v>
      </c>
      <c r="AT110" s="444">
        <f t="shared" ref="AT110" si="355">AS110</f>
        <v>-62.084000000000003</v>
      </c>
      <c r="AU110" s="445">
        <f t="shared" ref="AU110" si="356">AT110</f>
        <v>-62.084000000000003</v>
      </c>
    </row>
    <row r="111" spans="2:47" ht="14.5" x14ac:dyDescent="0.35">
      <c r="B111" s="363">
        <v>32</v>
      </c>
      <c r="C111" s="333" t="s">
        <v>149</v>
      </c>
      <c r="D111" s="3"/>
      <c r="E111" s="3"/>
      <c r="F111" s="3"/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34"/>
      <c r="N111" s="334"/>
      <c r="O111" s="334"/>
      <c r="P111" s="334"/>
      <c r="Q111" s="334"/>
      <c r="R111" s="334"/>
      <c r="S111" s="335"/>
      <c r="U111" s="275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428">
        <f t="shared" si="347"/>
        <v>0</v>
      </c>
      <c r="AB111" s="428">
        <f t="shared" si="345"/>
        <v>0</v>
      </c>
      <c r="AC111" s="428">
        <f t="shared" si="345"/>
        <v>0</v>
      </c>
      <c r="AD111" s="428">
        <f t="shared" si="345"/>
        <v>0</v>
      </c>
      <c r="AE111" s="428">
        <f t="shared" si="345"/>
        <v>0</v>
      </c>
      <c r="AF111" s="428">
        <f t="shared" si="345"/>
        <v>0</v>
      </c>
      <c r="AG111" s="429">
        <f t="shared" si="345"/>
        <v>0</v>
      </c>
      <c r="AI111" s="275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444"/>
      <c r="AP111" s="444"/>
      <c r="AQ111" s="444"/>
      <c r="AR111" s="444"/>
      <c r="AS111" s="444"/>
      <c r="AT111" s="444"/>
      <c r="AU111" s="445"/>
    </row>
    <row r="112" spans="2:47" ht="14.5" x14ac:dyDescent="0.35">
      <c r="B112" s="363">
        <v>33</v>
      </c>
      <c r="C112" s="315" t="s">
        <v>150</v>
      </c>
      <c r="D112" s="14"/>
      <c r="E112" s="14"/>
      <c r="F112" s="14"/>
      <c r="G112" s="14">
        <f t="shared" ref="G112:Q112" si="357">SUM(G105:G111)</f>
        <v>14.500000000000057</v>
      </c>
      <c r="H112" s="14">
        <f t="shared" si="357"/>
        <v>-157.22999999999999</v>
      </c>
      <c r="I112" s="14">
        <f t="shared" si="357"/>
        <v>-58.629999999999995</v>
      </c>
      <c r="J112" s="14">
        <f t="shared" si="357"/>
        <v>-122.96000000000001</v>
      </c>
      <c r="K112" s="14">
        <f t="shared" si="357"/>
        <v>-285.89000000000004</v>
      </c>
      <c r="L112" s="14">
        <f t="shared" si="357"/>
        <v>-38.230000000000004</v>
      </c>
      <c r="M112" s="137">
        <f t="shared" si="357"/>
        <v>6028.6365000832011</v>
      </c>
      <c r="N112" s="137">
        <f t="shared" si="357"/>
        <v>-1077.2040833472004</v>
      </c>
      <c r="O112" s="137">
        <f t="shared" si="357"/>
        <v>-1077.2040833472004</v>
      </c>
      <c r="P112" s="137">
        <f t="shared" si="357"/>
        <v>-1077.2040833472004</v>
      </c>
      <c r="Q112" s="137">
        <f t="shared" si="357"/>
        <v>-1077.2040833472004</v>
      </c>
      <c r="R112" s="137">
        <f t="shared" ref="R112:S112" si="358">SUM(R105:R111)</f>
        <v>-1077.2040833472004</v>
      </c>
      <c r="S112" s="338">
        <f t="shared" si="358"/>
        <v>-1077.2040833472004</v>
      </c>
      <c r="U112" s="315">
        <f t="shared" ref="U112:AG112" si="359">SUM(U105:U111)</f>
        <v>14.500000000000057</v>
      </c>
      <c r="V112" s="14">
        <f t="shared" si="359"/>
        <v>-157.22999999999999</v>
      </c>
      <c r="W112" s="14">
        <f t="shared" si="359"/>
        <v>-58.629999999999995</v>
      </c>
      <c r="X112" s="14">
        <f t="shared" si="359"/>
        <v>-122.96000000000001</v>
      </c>
      <c r="Y112" s="14">
        <f t="shared" si="359"/>
        <v>-285.89000000000004</v>
      </c>
      <c r="Z112" s="14">
        <f t="shared" si="359"/>
        <v>-38.230000000000004</v>
      </c>
      <c r="AA112" s="433">
        <f t="shared" si="359"/>
        <v>6028.6365000832011</v>
      </c>
      <c r="AB112" s="433">
        <f t="shared" si="359"/>
        <v>-1077.2040833472004</v>
      </c>
      <c r="AC112" s="433">
        <f t="shared" si="359"/>
        <v>-1077.2040833472004</v>
      </c>
      <c r="AD112" s="433">
        <f t="shared" si="359"/>
        <v>-1077.2040833472004</v>
      </c>
      <c r="AE112" s="433">
        <f t="shared" si="359"/>
        <v>-1077.2040833472004</v>
      </c>
      <c r="AF112" s="433">
        <f t="shared" si="359"/>
        <v>-1077.2040833472004</v>
      </c>
      <c r="AG112" s="434">
        <f t="shared" si="359"/>
        <v>-1077.2040833472004</v>
      </c>
      <c r="AI112" s="315">
        <f t="shared" ref="AI112:AU112" si="360">SUM(AI105:AI111)</f>
        <v>14.500000000000057</v>
      </c>
      <c r="AJ112" s="14">
        <f t="shared" si="360"/>
        <v>-157.22999999999999</v>
      </c>
      <c r="AK112" s="14">
        <f t="shared" si="360"/>
        <v>-58.629999999999995</v>
      </c>
      <c r="AL112" s="14">
        <f t="shared" si="360"/>
        <v>-122.96000000000001</v>
      </c>
      <c r="AM112" s="14">
        <f t="shared" si="360"/>
        <v>-285.89000000000004</v>
      </c>
      <c r="AN112" s="14">
        <f t="shared" si="360"/>
        <v>-38.230000000000004</v>
      </c>
      <c r="AO112" s="449">
        <f t="shared" si="360"/>
        <v>6028.6365000832011</v>
      </c>
      <c r="AP112" s="449">
        <f t="shared" si="360"/>
        <v>-1077.2040833472004</v>
      </c>
      <c r="AQ112" s="449">
        <f t="shared" si="360"/>
        <v>-1077.2040833472004</v>
      </c>
      <c r="AR112" s="449">
        <f t="shared" si="360"/>
        <v>-1077.2040833472004</v>
      </c>
      <c r="AS112" s="449">
        <f t="shared" si="360"/>
        <v>-1077.2040833472004</v>
      </c>
      <c r="AT112" s="449">
        <f t="shared" si="360"/>
        <v>-1077.2040833472004</v>
      </c>
      <c r="AU112" s="450">
        <f t="shared" si="360"/>
        <v>-1077.2040833472004</v>
      </c>
    </row>
    <row r="113" spans="1:47" ht="14.5" x14ac:dyDescent="0.35">
      <c r="B113" s="363">
        <v>34</v>
      </c>
      <c r="C113" s="315" t="s">
        <v>151</v>
      </c>
      <c r="D113" s="14"/>
      <c r="E113" s="14"/>
      <c r="F113" s="14"/>
      <c r="G113" s="14">
        <v>-1.08</v>
      </c>
      <c r="H113" s="14">
        <v>1.66</v>
      </c>
      <c r="I113" s="14">
        <v>0.81</v>
      </c>
      <c r="J113" s="14">
        <v>-1.06</v>
      </c>
      <c r="K113" s="14">
        <v>-0.34</v>
      </c>
      <c r="L113" s="14">
        <v>-0.78</v>
      </c>
      <c r="M113" s="137">
        <f>AVERAGE(H113:L113)</f>
        <v>5.799999999999992E-2</v>
      </c>
      <c r="N113" s="137">
        <f>M113</f>
        <v>5.799999999999992E-2</v>
      </c>
      <c r="O113" s="137">
        <f t="shared" ref="O113:Q113" si="361">N113</f>
        <v>5.799999999999992E-2</v>
      </c>
      <c r="P113" s="137">
        <f t="shared" si="361"/>
        <v>5.799999999999992E-2</v>
      </c>
      <c r="Q113" s="137">
        <f t="shared" si="361"/>
        <v>5.799999999999992E-2</v>
      </c>
      <c r="R113" s="137">
        <f t="shared" ref="R113" si="362">Q113</f>
        <v>5.799999999999992E-2</v>
      </c>
      <c r="S113" s="338">
        <f t="shared" ref="S113" si="363">R113</f>
        <v>5.799999999999992E-2</v>
      </c>
      <c r="U113" s="315">
        <v>-1.08</v>
      </c>
      <c r="V113" s="14">
        <v>1.66</v>
      </c>
      <c r="W113" s="14">
        <v>0.81</v>
      </c>
      <c r="X113" s="14">
        <v>-1.06</v>
      </c>
      <c r="Y113" s="14">
        <v>-0.34</v>
      </c>
      <c r="Z113" s="14">
        <v>-0.78</v>
      </c>
      <c r="AA113" s="433">
        <f>AVERAGE(V113:Z113)</f>
        <v>5.799999999999992E-2</v>
      </c>
      <c r="AB113" s="433">
        <f>AA113</f>
        <v>5.799999999999992E-2</v>
      </c>
      <c r="AC113" s="433">
        <f t="shared" ref="AC113" si="364">AB113</f>
        <v>5.799999999999992E-2</v>
      </c>
      <c r="AD113" s="433">
        <f t="shared" ref="AD113" si="365">AC113</f>
        <v>5.799999999999992E-2</v>
      </c>
      <c r="AE113" s="433">
        <f t="shared" ref="AE113" si="366">AD113</f>
        <v>5.799999999999992E-2</v>
      </c>
      <c r="AF113" s="433">
        <f t="shared" ref="AF113" si="367">AE113</f>
        <v>5.799999999999992E-2</v>
      </c>
      <c r="AG113" s="434">
        <f t="shared" ref="AG113" si="368">AF113</f>
        <v>5.799999999999992E-2</v>
      </c>
      <c r="AI113" s="315">
        <v>-1.08</v>
      </c>
      <c r="AJ113" s="14">
        <v>1.66</v>
      </c>
      <c r="AK113" s="14">
        <v>0.81</v>
      </c>
      <c r="AL113" s="14">
        <v>-1.06</v>
      </c>
      <c r="AM113" s="14">
        <v>-0.34</v>
      </c>
      <c r="AN113" s="14">
        <v>-0.78</v>
      </c>
      <c r="AO113" s="449">
        <f>AVERAGE(AJ113:AN113)</f>
        <v>5.799999999999992E-2</v>
      </c>
      <c r="AP113" s="449">
        <f>AO113</f>
        <v>5.799999999999992E-2</v>
      </c>
      <c r="AQ113" s="449">
        <f t="shared" ref="AQ113" si="369">AP113</f>
        <v>5.799999999999992E-2</v>
      </c>
      <c r="AR113" s="449">
        <f t="shared" ref="AR113" si="370">AQ113</f>
        <v>5.799999999999992E-2</v>
      </c>
      <c r="AS113" s="449">
        <f t="shared" ref="AS113" si="371">AR113</f>
        <v>5.799999999999992E-2</v>
      </c>
      <c r="AT113" s="449">
        <f t="shared" ref="AT113" si="372">AS113</f>
        <v>5.799999999999992E-2</v>
      </c>
      <c r="AU113" s="450">
        <f t="shared" ref="AU113" si="373">AT113</f>
        <v>5.799999999999992E-2</v>
      </c>
    </row>
    <row r="114" spans="1:47" ht="14.5" x14ac:dyDescent="0.35">
      <c r="B114" s="363">
        <v>35</v>
      </c>
      <c r="C114" s="342" t="s">
        <v>152</v>
      </c>
      <c r="D114" s="17"/>
      <c r="E114" s="17"/>
      <c r="F114" s="17"/>
      <c r="G114" s="17">
        <f>G103+G112+G113</f>
        <v>-4.769999999999941</v>
      </c>
      <c r="H114" s="17">
        <f t="shared" ref="H114:P114" si="374">H103+H112+H113</f>
        <v>2.7700000000000138</v>
      </c>
      <c r="I114" s="17">
        <f t="shared" si="374"/>
        <v>15.990000000000064</v>
      </c>
      <c r="J114" s="17">
        <f t="shared" si="374"/>
        <v>-16.440000000000008</v>
      </c>
      <c r="K114" s="17">
        <f t="shared" si="374"/>
        <v>1.239999999999984</v>
      </c>
      <c r="L114" s="17">
        <f t="shared" si="374"/>
        <v>-1.6000000000000643</v>
      </c>
      <c r="M114" s="138">
        <f t="shared" si="374"/>
        <v>6024.5329062873707</v>
      </c>
      <c r="N114" s="138">
        <f>N103+N112+N113</f>
        <v>-980.39900408352503</v>
      </c>
      <c r="O114" s="138">
        <f t="shared" si="374"/>
        <v>-965.93875560940853</v>
      </c>
      <c r="P114" s="138">
        <f t="shared" si="374"/>
        <v>-949.29808722089228</v>
      </c>
      <c r="Q114" s="138">
        <f>Q103+Q112+Q113</f>
        <v>-930.31009314033372</v>
      </c>
      <c r="R114" s="138">
        <f t="shared" ref="R114:S114" si="375">R103+R112+R113</f>
        <v>-908.78510499381878</v>
      </c>
      <c r="S114" s="343">
        <f t="shared" si="375"/>
        <v>-884.50883257726025</v>
      </c>
      <c r="U114" s="342">
        <f>U103+U112+U113</f>
        <v>-4.769999999999941</v>
      </c>
      <c r="V114" s="17">
        <f t="shared" ref="V114:AD114" si="376">V103+V112+V113</f>
        <v>2.7700000000000138</v>
      </c>
      <c r="W114" s="17">
        <f t="shared" si="376"/>
        <v>15.990000000000064</v>
      </c>
      <c r="X114" s="17">
        <f t="shared" si="376"/>
        <v>-16.440000000000008</v>
      </c>
      <c r="Y114" s="17">
        <f t="shared" si="376"/>
        <v>1.239999999999984</v>
      </c>
      <c r="Z114" s="17">
        <f t="shared" si="376"/>
        <v>-1.6000000000000643</v>
      </c>
      <c r="AA114" s="437">
        <f t="shared" si="376"/>
        <v>6024.5329062873707</v>
      </c>
      <c r="AB114" s="437">
        <f t="shared" si="376"/>
        <v>-958.83865611194528</v>
      </c>
      <c r="AC114" s="437">
        <f t="shared" si="376"/>
        <v>-923.77386841282919</v>
      </c>
      <c r="AD114" s="437">
        <f t="shared" si="376"/>
        <v>-865.55564697334307</v>
      </c>
      <c r="AE114" s="437">
        <f>AE103+AE112+AE113</f>
        <v>-837.76709727044022</v>
      </c>
      <c r="AF114" s="437">
        <f t="shared" ref="AF114:AG114" si="377">AF103+AF112+AF113</f>
        <v>-814.02112267870507</v>
      </c>
      <c r="AG114" s="438">
        <f t="shared" si="377"/>
        <v>-757.31735401150547</v>
      </c>
      <c r="AI114" s="342">
        <f>AI103+AI112+AI113</f>
        <v>-4.769999999999941</v>
      </c>
      <c r="AJ114" s="17">
        <f t="shared" ref="AJ114:AR114" si="378">AJ103+AJ112+AJ113</f>
        <v>2.7700000000000138</v>
      </c>
      <c r="AK114" s="17">
        <f t="shared" si="378"/>
        <v>15.990000000000064</v>
      </c>
      <c r="AL114" s="17">
        <f t="shared" si="378"/>
        <v>-16.440000000000008</v>
      </c>
      <c r="AM114" s="17">
        <f t="shared" si="378"/>
        <v>1.239999999999984</v>
      </c>
      <c r="AN114" s="17">
        <f t="shared" si="378"/>
        <v>-1.6000000000000643</v>
      </c>
      <c r="AO114" s="453">
        <f t="shared" si="378"/>
        <v>6013.5770973217168</v>
      </c>
      <c r="AP114" s="453">
        <f t="shared" si="378"/>
        <v>-1011.349167623572</v>
      </c>
      <c r="AQ114" s="453">
        <f t="shared" si="378"/>
        <v>-1016.9489389925698</v>
      </c>
      <c r="AR114" s="453">
        <f t="shared" si="378"/>
        <v>-1008.2121859972747</v>
      </c>
      <c r="AS114" s="453">
        <f>AS103+AS112+AS113</f>
        <v>-1033.2745327696825</v>
      </c>
      <c r="AT114" s="453">
        <f t="shared" ref="AT114:AU114" si="379">AT103+AT112+AT113</f>
        <v>-1035.3500170480947</v>
      </c>
      <c r="AU114" s="454">
        <f t="shared" si="379"/>
        <v>-1043.7876042607013</v>
      </c>
    </row>
    <row r="115" spans="1:47" ht="15" customHeight="1" x14ac:dyDescent="0.35">
      <c r="B115" s="46"/>
      <c r="C115" s="344"/>
      <c r="S115" s="345"/>
      <c r="U115" s="344"/>
      <c r="AA115" s="432"/>
      <c r="AB115" s="432"/>
      <c r="AC115" s="432"/>
      <c r="AD115" s="432"/>
      <c r="AE115" s="432"/>
      <c r="AF115" s="432"/>
      <c r="AG115" s="439"/>
      <c r="AI115" s="344"/>
      <c r="AO115" s="448"/>
      <c r="AP115" s="448"/>
      <c r="AQ115" s="448"/>
      <c r="AR115" s="448"/>
      <c r="AS115" s="448"/>
      <c r="AT115" s="448"/>
      <c r="AU115" s="455"/>
    </row>
    <row r="116" spans="1:47" ht="15" customHeight="1" x14ac:dyDescent="0.35">
      <c r="B116" s="46" t="s">
        <v>153</v>
      </c>
      <c r="C116" s="346" t="s">
        <v>154</v>
      </c>
      <c r="D116" s="347"/>
      <c r="E116" s="347"/>
      <c r="F116" s="347"/>
      <c r="G116" s="347">
        <f>G92+G94+G106+G105</f>
        <v>20.75</v>
      </c>
      <c r="H116" s="347">
        <f t="shared" ref="H116:S116" si="380">H92+H94+H106+H105</f>
        <v>167.27</v>
      </c>
      <c r="I116" s="347">
        <f t="shared" si="380"/>
        <v>185.64000000000004</v>
      </c>
      <c r="J116" s="347">
        <f t="shared" si="380"/>
        <v>133.12</v>
      </c>
      <c r="K116" s="347">
        <f t="shared" si="380"/>
        <v>314.82</v>
      </c>
      <c r="L116" s="347">
        <f>L92+L94+L106+L105</f>
        <v>123.59999999999994</v>
      </c>
      <c r="M116" s="348">
        <f t="shared" si="380"/>
        <v>6115.1629062873699</v>
      </c>
      <c r="N116" s="348">
        <f t="shared" si="380"/>
        <v>-889.76900408352503</v>
      </c>
      <c r="O116" s="348">
        <f t="shared" si="380"/>
        <v>-875.30875560940842</v>
      </c>
      <c r="P116" s="348">
        <f t="shared" si="380"/>
        <v>-858.66808722089229</v>
      </c>
      <c r="Q116" s="348">
        <f t="shared" si="380"/>
        <v>-839.68009314033372</v>
      </c>
      <c r="R116" s="348">
        <f t="shared" si="380"/>
        <v>-818.15510499381878</v>
      </c>
      <c r="S116" s="349">
        <f t="shared" si="380"/>
        <v>-793.87883257726025</v>
      </c>
      <c r="U116" s="353">
        <f t="shared" ref="U116:AG116" si="381">U92+U94+U106+U105</f>
        <v>20.75</v>
      </c>
      <c r="V116" s="354">
        <f t="shared" si="381"/>
        <v>167.27</v>
      </c>
      <c r="W116" s="354">
        <f t="shared" si="381"/>
        <v>185.64000000000004</v>
      </c>
      <c r="X116" s="354">
        <f t="shared" si="381"/>
        <v>133.12</v>
      </c>
      <c r="Y116" s="354">
        <f t="shared" si="381"/>
        <v>314.82</v>
      </c>
      <c r="Z116" s="354">
        <f t="shared" si="381"/>
        <v>123.59999999999994</v>
      </c>
      <c r="AA116" s="440">
        <f t="shared" si="381"/>
        <v>6115.1629062873699</v>
      </c>
      <c r="AB116" s="440">
        <f t="shared" si="381"/>
        <v>-868.20865611194517</v>
      </c>
      <c r="AC116" s="440">
        <f t="shared" si="381"/>
        <v>-833.14386841282908</v>
      </c>
      <c r="AD116" s="440">
        <f t="shared" si="381"/>
        <v>-774.92564697334296</v>
      </c>
      <c r="AE116" s="440">
        <f t="shared" si="381"/>
        <v>-747.13709727044011</v>
      </c>
      <c r="AF116" s="440">
        <f t="shared" si="381"/>
        <v>-723.39112267870496</v>
      </c>
      <c r="AG116" s="441">
        <f t="shared" si="381"/>
        <v>-666.68735401150536</v>
      </c>
      <c r="AI116" s="353">
        <f t="shared" ref="AI116:AU116" si="382">AI92+AI94+AI106+AI105</f>
        <v>20.75</v>
      </c>
      <c r="AJ116" s="354">
        <f t="shared" si="382"/>
        <v>167.27</v>
      </c>
      <c r="AK116" s="354">
        <f t="shared" si="382"/>
        <v>185.64000000000004</v>
      </c>
      <c r="AL116" s="354">
        <f t="shared" si="382"/>
        <v>133.12</v>
      </c>
      <c r="AM116" s="354">
        <f t="shared" si="382"/>
        <v>314.82</v>
      </c>
      <c r="AN116" s="354">
        <f t="shared" si="382"/>
        <v>123.59999999999994</v>
      </c>
      <c r="AO116" s="456">
        <f t="shared" si="382"/>
        <v>6104.207097321716</v>
      </c>
      <c r="AP116" s="456">
        <f t="shared" si="382"/>
        <v>-917.9543676235719</v>
      </c>
      <c r="AQ116" s="456">
        <f t="shared" si="382"/>
        <v>-923.24037899256962</v>
      </c>
      <c r="AR116" s="456">
        <f t="shared" si="382"/>
        <v>-911.25911399727454</v>
      </c>
      <c r="AS116" s="456">
        <f t="shared" si="382"/>
        <v>-936.9720463696824</v>
      </c>
      <c r="AT116" s="456">
        <f t="shared" si="382"/>
        <v>-941.15223336809458</v>
      </c>
      <c r="AU116" s="457">
        <f t="shared" si="382"/>
        <v>-948.87626384470127</v>
      </c>
    </row>
    <row r="117" spans="1:47" ht="27.75" customHeight="1" x14ac:dyDescent="0.35"/>
    <row r="120" spans="1:47" s="80" customFormat="1" ht="14.5" hidden="1" x14ac:dyDescent="0.35">
      <c r="A120" t="s">
        <v>3</v>
      </c>
      <c r="B120" s="80" t="s">
        <v>155</v>
      </c>
    </row>
    <row r="122" spans="1:47" ht="14.5" hidden="1" x14ac:dyDescent="0.35">
      <c r="C122" t="s">
        <v>156</v>
      </c>
      <c r="G122" s="24">
        <f t="shared" ref="G122:L122" si="383">G92</f>
        <v>37.75</v>
      </c>
      <c r="H122" s="24">
        <f t="shared" si="383"/>
        <v>187.22</v>
      </c>
      <c r="I122" s="24">
        <f t="shared" si="383"/>
        <v>219.65000000000003</v>
      </c>
      <c r="J122" s="24">
        <f t="shared" si="383"/>
        <v>178.53</v>
      </c>
      <c r="K122" s="24">
        <f t="shared" si="383"/>
        <v>362.67</v>
      </c>
      <c r="L122" s="24">
        <f t="shared" si="383"/>
        <v>186.29999999999995</v>
      </c>
      <c r="M122" s="24">
        <f>M92</f>
        <v>52.27040620416939</v>
      </c>
      <c r="N122" s="24">
        <f t="shared" ref="N122:Q122" si="384">N92</f>
        <v>153.17907926367531</v>
      </c>
      <c r="O122" s="24">
        <f t="shared" si="384"/>
        <v>167.63932773779186</v>
      </c>
      <c r="P122" s="24">
        <f t="shared" si="384"/>
        <v>184.27999612630805</v>
      </c>
      <c r="Q122" s="24">
        <f t="shared" si="384"/>
        <v>203.26799020686661</v>
      </c>
      <c r="R122" s="24"/>
      <c r="S122" s="24"/>
    </row>
    <row r="123" spans="1:47" ht="14.5" hidden="1" x14ac:dyDescent="0.35">
      <c r="C123" s="38" t="s">
        <v>157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40">
        <f>-'New Debt'!G39</f>
        <v>-121.81441000166402</v>
      </c>
      <c r="N123" s="38"/>
      <c r="O123" s="38"/>
      <c r="P123" s="38"/>
      <c r="Q123" s="38"/>
    </row>
    <row r="124" spans="1:47" ht="14.5" hidden="1" x14ac:dyDescent="0.35">
      <c r="C124" s="42" t="s">
        <v>158</v>
      </c>
    </row>
    <row r="128" spans="1:47" s="80" customFormat="1" ht="14.5" hidden="1" x14ac:dyDescent="0.35">
      <c r="A128"/>
      <c r="B128" s="80" t="s">
        <v>159</v>
      </c>
    </row>
    <row r="130" spans="3:19" ht="14.5" hidden="1" x14ac:dyDescent="0.35">
      <c r="C130" t="s">
        <v>160</v>
      </c>
      <c r="M130" s="24">
        <f>L132</f>
        <v>7.73</v>
      </c>
      <c r="N130" s="24">
        <f t="shared" ref="N130:Q130" si="385">M132</f>
        <v>6032.2629062873702</v>
      </c>
      <c r="O130" s="24">
        <f t="shared" si="385"/>
        <v>5051.8639022038451</v>
      </c>
      <c r="P130" s="24">
        <f t="shared" si="385"/>
        <v>4085.9251465944367</v>
      </c>
      <c r="Q130" s="24">
        <f t="shared" si="385"/>
        <v>3136.6270593735444</v>
      </c>
      <c r="R130" s="24">
        <f t="shared" ref="R130" si="386">Q132</f>
        <v>2206.3169662332107</v>
      </c>
      <c r="S130" s="24">
        <f t="shared" ref="S130" si="387">R132</f>
        <v>1297.5318612393919</v>
      </c>
    </row>
    <row r="131" spans="3:19" ht="14.5" hidden="1" x14ac:dyDescent="0.35">
      <c r="C131" s="38" t="s">
        <v>161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81">
        <f>M114</f>
        <v>6024.5329062873707</v>
      </c>
      <c r="N131" s="81">
        <f t="shared" ref="N131:Q131" si="388">N114</f>
        <v>-980.39900408352503</v>
      </c>
      <c r="O131" s="81">
        <f t="shared" si="388"/>
        <v>-965.93875560940853</v>
      </c>
      <c r="P131" s="81">
        <f t="shared" si="388"/>
        <v>-949.29808722089228</v>
      </c>
      <c r="Q131" s="81">
        <f t="shared" si="388"/>
        <v>-930.31009314033372</v>
      </c>
      <c r="R131" s="81">
        <f>R114</f>
        <v>-908.78510499381878</v>
      </c>
      <c r="S131" s="81">
        <f>S114</f>
        <v>-884.50883257726025</v>
      </c>
    </row>
    <row r="132" spans="3:19" ht="14.5" hidden="1" x14ac:dyDescent="0.35">
      <c r="C132" t="s">
        <v>162</v>
      </c>
      <c r="L132" s="24">
        <f>L53</f>
        <v>7.73</v>
      </c>
      <c r="M132" s="24">
        <f>SUM(M130:M131)</f>
        <v>6032.2629062873702</v>
      </c>
      <c r="N132" s="24">
        <f t="shared" ref="N132:Q132" si="389">SUM(N130:N131)</f>
        <v>5051.8639022038451</v>
      </c>
      <c r="O132" s="24">
        <f t="shared" si="389"/>
        <v>4085.9251465944367</v>
      </c>
      <c r="P132" s="24">
        <f t="shared" si="389"/>
        <v>3136.6270593735444</v>
      </c>
      <c r="Q132" s="24">
        <f t="shared" si="389"/>
        <v>2206.3169662332107</v>
      </c>
      <c r="R132" s="24">
        <f t="shared" ref="R132:S132" si="390">SUM(R130:R131)</f>
        <v>1297.5318612393919</v>
      </c>
      <c r="S132" s="24">
        <f t="shared" si="390"/>
        <v>413.02302866213165</v>
      </c>
    </row>
    <row r="135" spans="3:19" ht="15" customHeight="1" x14ac:dyDescent="0.35"/>
    <row r="136" spans="3:19" ht="15" customHeight="1" x14ac:dyDescent="0.35"/>
    <row r="137" spans="3:19" ht="15" customHeight="1" x14ac:dyDescent="0.35"/>
    <row r="138" spans="3:19" ht="15" customHeight="1" x14ac:dyDescent="0.35"/>
    <row r="139" spans="3:19" ht="15" customHeight="1" x14ac:dyDescent="0.35"/>
    <row r="140" spans="3:19" ht="15" customHeight="1" x14ac:dyDescent="0.35"/>
    <row r="141" spans="3:19" ht="15" customHeight="1" x14ac:dyDescent="0.35"/>
    <row r="142" spans="3:19" ht="15" customHeight="1" x14ac:dyDescent="0.35"/>
    <row r="143" spans="3:19" ht="15" customHeight="1" x14ac:dyDescent="0.35"/>
    <row r="144" spans="3:19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048576" ht="16" hidden="1" customHeight="1" x14ac:dyDescent="0.35"/>
  </sheetData>
  <mergeCells count="3">
    <mergeCell ref="U3:AG3"/>
    <mergeCell ref="AI3:AU3"/>
    <mergeCell ref="G3:S3"/>
  </mergeCells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01DB-A740-4AF6-9EDA-42D232F615B0}">
  <dimension ref="B1:U49"/>
  <sheetViews>
    <sheetView showGridLines="0" zoomScale="82" zoomScaleNormal="82" workbookViewId="0">
      <selection activeCell="F31" sqref="F31"/>
    </sheetView>
  </sheetViews>
  <sheetFormatPr defaultColWidth="0" defaultRowHeight="14.5" zeroHeight="1" x14ac:dyDescent="0.35"/>
  <cols>
    <col min="1" max="1" width="9.1796875" customWidth="1"/>
    <col min="2" max="2" width="16" customWidth="1"/>
    <col min="3" max="3" width="2.453125" style="218" customWidth="1"/>
    <col min="4" max="4" width="20.6328125" customWidth="1"/>
    <col min="5" max="5" width="2.36328125" style="218" customWidth="1"/>
    <col min="6" max="6" width="47.6328125" customWidth="1"/>
    <col min="7" max="7" width="3.36328125" style="218" customWidth="1"/>
    <col min="8" max="8" width="47.6328125" customWidth="1"/>
    <col min="9" max="9" width="4.453125" style="218" customWidth="1"/>
    <col min="10" max="10" width="53.36328125" customWidth="1"/>
    <col min="11" max="11" width="11.6328125" customWidth="1"/>
    <col min="12" max="36" width="0" hidden="1" customWidth="1"/>
    <col min="37" max="37" width="9.1796875" customWidth="1"/>
  </cols>
  <sheetData>
    <row r="1" spans="2:21" x14ac:dyDescent="0.35">
      <c r="B1" s="215" t="s">
        <v>163</v>
      </c>
      <c r="C1" s="217"/>
      <c r="D1" s="214"/>
      <c r="E1" s="224"/>
      <c r="F1" s="214"/>
      <c r="G1" s="224"/>
      <c r="H1" s="214"/>
      <c r="I1" s="22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</row>
    <row r="2" spans="2:21" x14ac:dyDescent="0.35"/>
    <row r="3" spans="2:21" x14ac:dyDescent="0.35">
      <c r="B3" s="216" t="s">
        <v>164</v>
      </c>
      <c r="C3" s="219"/>
      <c r="D3" s="216" t="s">
        <v>165</v>
      </c>
      <c r="E3" s="219"/>
      <c r="F3" s="232" t="s">
        <v>166</v>
      </c>
      <c r="G3" s="219"/>
      <c r="H3" s="233" t="s">
        <v>167</v>
      </c>
      <c r="I3" s="219"/>
      <c r="J3" s="234" t="s">
        <v>168</v>
      </c>
    </row>
    <row r="4" spans="2:21" ht="3" customHeight="1" x14ac:dyDescent="0.35">
      <c r="B4" s="166"/>
      <c r="C4" s="220"/>
    </row>
    <row r="5" spans="2:21" ht="96.75" customHeight="1" x14ac:dyDescent="0.35">
      <c r="B5" s="230"/>
      <c r="D5" s="235" t="s">
        <v>169</v>
      </c>
      <c r="F5" s="472" t="s">
        <v>170</v>
      </c>
      <c r="H5" s="241" t="s">
        <v>170</v>
      </c>
      <c r="J5" s="237" t="s">
        <v>170</v>
      </c>
      <c r="K5" s="218"/>
      <c r="M5" s="218"/>
    </row>
    <row r="6" spans="2:21" ht="3.75" customHeight="1" x14ac:dyDescent="0.35">
      <c r="B6" s="230"/>
      <c r="D6" s="227"/>
      <c r="F6" s="239"/>
      <c r="H6" s="213"/>
      <c r="J6" s="213"/>
      <c r="K6" s="218"/>
      <c r="M6" s="218"/>
    </row>
    <row r="7" spans="2:21" ht="97.5" customHeight="1" x14ac:dyDescent="0.35">
      <c r="B7" s="231" t="s">
        <v>171</v>
      </c>
      <c r="C7" s="221"/>
      <c r="D7" s="236" t="s">
        <v>172</v>
      </c>
      <c r="F7" s="238" t="s">
        <v>173</v>
      </c>
      <c r="H7" s="240" t="s">
        <v>174</v>
      </c>
      <c r="J7" s="237" t="s">
        <v>175</v>
      </c>
      <c r="K7" s="218"/>
      <c r="M7" s="218"/>
    </row>
    <row r="8" spans="2:21" ht="3.75" customHeight="1" x14ac:dyDescent="0.35">
      <c r="B8" s="230"/>
      <c r="D8" s="227"/>
      <c r="F8" s="239"/>
      <c r="H8" s="213"/>
      <c r="J8" s="213"/>
      <c r="K8" s="218"/>
      <c r="M8" s="218"/>
    </row>
    <row r="9" spans="2:21" ht="99.75" customHeight="1" x14ac:dyDescent="0.35">
      <c r="B9" s="230"/>
      <c r="D9" s="236" t="s">
        <v>72</v>
      </c>
      <c r="F9" s="243" t="s">
        <v>176</v>
      </c>
      <c r="H9" s="241" t="s">
        <v>177</v>
      </c>
      <c r="J9" s="237" t="s">
        <v>177</v>
      </c>
      <c r="K9" s="218"/>
      <c r="M9" s="218"/>
    </row>
    <row r="10" spans="2:21" ht="4.5" customHeight="1" x14ac:dyDescent="0.35">
      <c r="B10" s="230"/>
      <c r="D10" s="228"/>
      <c r="F10" s="239"/>
      <c r="H10" s="213"/>
      <c r="J10" s="213"/>
      <c r="K10" s="218"/>
      <c r="M10" s="218"/>
    </row>
    <row r="11" spans="2:21" ht="29" x14ac:dyDescent="0.35">
      <c r="B11" s="230"/>
      <c r="D11" s="236" t="s">
        <v>178</v>
      </c>
      <c r="F11" s="238" t="s">
        <v>179</v>
      </c>
      <c r="H11" s="240" t="s">
        <v>180</v>
      </c>
      <c r="J11" s="237" t="s">
        <v>180</v>
      </c>
      <c r="K11" s="218"/>
      <c r="M11" s="218"/>
    </row>
    <row r="12" spans="2:21" ht="3.75" customHeight="1" x14ac:dyDescent="0.35">
      <c r="B12" s="230"/>
      <c r="D12" s="227"/>
      <c r="F12" s="239"/>
      <c r="H12" s="213"/>
      <c r="J12" s="213"/>
      <c r="K12" s="218"/>
      <c r="M12" s="218"/>
    </row>
    <row r="13" spans="2:21" ht="29" x14ac:dyDescent="0.35">
      <c r="B13" s="230"/>
      <c r="D13" s="236" t="s">
        <v>181</v>
      </c>
      <c r="F13" s="238" t="s">
        <v>182</v>
      </c>
      <c r="H13" s="240" t="s">
        <v>183</v>
      </c>
      <c r="J13" s="237" t="s">
        <v>183</v>
      </c>
      <c r="K13" s="218"/>
      <c r="M13" s="218"/>
    </row>
    <row r="14" spans="2:21" ht="3" customHeight="1" x14ac:dyDescent="0.35">
      <c r="B14" s="230"/>
      <c r="D14" s="227"/>
      <c r="F14" s="239"/>
      <c r="H14" s="213"/>
      <c r="J14" s="213"/>
      <c r="K14" s="218"/>
      <c r="M14" s="218"/>
    </row>
    <row r="15" spans="2:21" ht="29" x14ac:dyDescent="0.35">
      <c r="B15" s="230"/>
      <c r="D15" s="236" t="s">
        <v>184</v>
      </c>
      <c r="F15" s="238" t="s">
        <v>185</v>
      </c>
      <c r="H15" s="241" t="s">
        <v>185</v>
      </c>
      <c r="J15" s="237" t="s">
        <v>185</v>
      </c>
      <c r="K15" s="218"/>
      <c r="M15" s="218"/>
    </row>
    <row r="16" spans="2:21" ht="2.25" customHeight="1" x14ac:dyDescent="0.35">
      <c r="B16" s="230"/>
      <c r="D16" s="227"/>
      <c r="F16" s="239"/>
      <c r="H16" s="213"/>
      <c r="J16" s="213"/>
      <c r="K16" s="218"/>
      <c r="M16" s="218"/>
    </row>
    <row r="17" spans="2:21" ht="29" x14ac:dyDescent="0.35">
      <c r="B17" s="230"/>
      <c r="D17" s="236" t="s">
        <v>186</v>
      </c>
      <c r="F17" s="238" t="s">
        <v>187</v>
      </c>
      <c r="H17" s="240" t="s">
        <v>187</v>
      </c>
      <c r="J17" s="237" t="s">
        <v>187</v>
      </c>
      <c r="K17" s="218"/>
      <c r="M17" s="218"/>
    </row>
    <row r="18" spans="2:21" s="218" customFormat="1" ht="5.25" customHeight="1" x14ac:dyDescent="0.35">
      <c r="D18" s="228"/>
      <c r="F18" s="223"/>
      <c r="H18" s="242"/>
      <c r="J18" s="242"/>
    </row>
    <row r="19" spans="2:21" x14ac:dyDescent="0.35">
      <c r="B19" s="230"/>
      <c r="D19" s="236" t="s">
        <v>188</v>
      </c>
      <c r="F19" s="244" t="s">
        <v>189</v>
      </c>
      <c r="H19" s="240" t="s">
        <v>189</v>
      </c>
      <c r="J19" s="237" t="s">
        <v>189</v>
      </c>
      <c r="K19" s="218"/>
      <c r="M19" s="218"/>
    </row>
    <row r="20" spans="2:21" ht="4.5" customHeight="1" x14ac:dyDescent="0.35">
      <c r="B20" s="230"/>
      <c r="D20" s="229"/>
      <c r="F20" s="239"/>
      <c r="H20" s="213"/>
      <c r="J20" s="213"/>
      <c r="K20" s="218"/>
      <c r="M20" s="218"/>
    </row>
    <row r="21" spans="2:21" ht="43.5" x14ac:dyDescent="0.35">
      <c r="B21" s="230"/>
      <c r="D21" s="236" t="s">
        <v>190</v>
      </c>
      <c r="F21" s="245" t="s">
        <v>191</v>
      </c>
      <c r="H21" s="240" t="s">
        <v>191</v>
      </c>
      <c r="J21" s="237" t="s">
        <v>191</v>
      </c>
      <c r="K21" s="218"/>
      <c r="M21" s="218"/>
    </row>
    <row r="22" spans="2:21" ht="4.5" customHeight="1" x14ac:dyDescent="0.35">
      <c r="B22" s="230"/>
      <c r="C22" s="222"/>
      <c r="D22" s="229"/>
      <c r="F22" s="239"/>
      <c r="H22" s="213"/>
      <c r="J22" s="213"/>
      <c r="K22" s="218"/>
      <c r="M22" s="218"/>
    </row>
    <row r="23" spans="2:21" ht="73.5" customHeight="1" x14ac:dyDescent="0.35">
      <c r="B23" s="251" t="s">
        <v>86</v>
      </c>
      <c r="C23" s="223"/>
      <c r="D23" s="236" t="s">
        <v>192</v>
      </c>
      <c r="E23" s="213"/>
      <c r="F23" s="238" t="s">
        <v>193</v>
      </c>
      <c r="G23" s="213"/>
      <c r="H23" s="240" t="s">
        <v>193</v>
      </c>
      <c r="I23" s="213"/>
      <c r="J23" s="237" t="s">
        <v>193</v>
      </c>
      <c r="K23" s="213"/>
      <c r="L23" s="213"/>
      <c r="M23" s="213"/>
      <c r="N23" s="213"/>
      <c r="O23" s="213"/>
      <c r="P23" s="213"/>
    </row>
    <row r="24" spans="2:21" ht="4.5" customHeight="1" x14ac:dyDescent="0.35">
      <c r="B24" s="230"/>
      <c r="C24" s="223"/>
      <c r="D24" s="229"/>
      <c r="F24" s="239"/>
      <c r="H24" s="213"/>
      <c r="J24" s="213"/>
      <c r="K24" s="218"/>
      <c r="M24" s="218"/>
      <c r="Q24" s="208"/>
      <c r="R24" s="208"/>
      <c r="S24" s="208"/>
      <c r="T24" s="208"/>
      <c r="U24" s="208"/>
    </row>
    <row r="25" spans="2:21" ht="4.5" customHeight="1" x14ac:dyDescent="0.35">
      <c r="B25" s="230"/>
      <c r="C25" s="223"/>
      <c r="D25" s="228"/>
      <c r="F25" s="239"/>
      <c r="H25" s="213"/>
      <c r="J25" s="213"/>
      <c r="N25" s="208"/>
      <c r="O25" s="208"/>
      <c r="P25" s="208"/>
      <c r="Q25" s="208"/>
      <c r="R25" s="208"/>
      <c r="S25" s="208"/>
      <c r="T25" s="208"/>
      <c r="U25" s="208"/>
    </row>
    <row r="26" spans="2:21" ht="43.5" x14ac:dyDescent="0.35">
      <c r="B26" s="230"/>
      <c r="C26" s="223"/>
      <c r="D26" s="236" t="s">
        <v>194</v>
      </c>
      <c r="F26" s="238" t="s">
        <v>195</v>
      </c>
      <c r="H26" s="240" t="s">
        <v>195</v>
      </c>
      <c r="J26" s="237" t="s">
        <v>195</v>
      </c>
      <c r="N26" s="208"/>
      <c r="O26" s="208"/>
      <c r="P26" s="208"/>
      <c r="Q26" s="208"/>
      <c r="R26" s="208"/>
      <c r="S26" s="208"/>
      <c r="T26" s="208"/>
      <c r="U26" s="208"/>
    </row>
    <row r="27" spans="2:21" ht="4.5" customHeight="1" x14ac:dyDescent="0.35">
      <c r="D27" s="229"/>
      <c r="F27" s="239"/>
      <c r="H27" s="213"/>
      <c r="J27" s="213"/>
    </row>
    <row r="28" spans="2:21" ht="36.75" customHeight="1" x14ac:dyDescent="0.35">
      <c r="B28" s="251" t="s">
        <v>196</v>
      </c>
      <c r="D28" s="236" t="s">
        <v>197</v>
      </c>
      <c r="F28" s="238" t="s">
        <v>198</v>
      </c>
      <c r="H28" s="240" t="s">
        <v>198</v>
      </c>
      <c r="J28" s="237" t="s">
        <v>199</v>
      </c>
    </row>
    <row r="29" spans="2:21" x14ac:dyDescent="0.35">
      <c r="B29" s="218"/>
      <c r="D29" s="225"/>
      <c r="H29" s="213"/>
      <c r="J29" s="213"/>
    </row>
    <row r="30" spans="2:21" x14ac:dyDescent="0.35">
      <c r="B30" s="218"/>
      <c r="D30" s="226"/>
      <c r="H30" s="213"/>
      <c r="J30" s="213"/>
      <c r="L30" t="s">
        <v>200</v>
      </c>
    </row>
    <row r="31" spans="2:21" x14ac:dyDescent="0.35">
      <c r="D31" s="225"/>
      <c r="H31" s="208"/>
      <c r="J31" s="213"/>
      <c r="L31" t="s">
        <v>201</v>
      </c>
    </row>
    <row r="32" spans="2:21" hidden="1" x14ac:dyDescent="0.35">
      <c r="D32" s="226"/>
      <c r="H32" s="208"/>
      <c r="L32" t="s">
        <v>202</v>
      </c>
    </row>
    <row r="33" spans="4:12" hidden="1" x14ac:dyDescent="0.35">
      <c r="D33" s="225"/>
      <c r="H33" s="208"/>
      <c r="L33" t="s">
        <v>203</v>
      </c>
    </row>
    <row r="34" spans="4:12" hidden="1" x14ac:dyDescent="0.35">
      <c r="D34" s="226"/>
      <c r="H34" s="208"/>
    </row>
    <row r="35" spans="4:12" hidden="1" x14ac:dyDescent="0.35">
      <c r="D35" s="225"/>
    </row>
    <row r="36" spans="4:12" hidden="1" x14ac:dyDescent="0.35">
      <c r="D36" s="226"/>
    </row>
    <row r="37" spans="4:12" hidden="1" x14ac:dyDescent="0.35">
      <c r="D37" s="225"/>
    </row>
    <row r="38" spans="4:12" hidden="1" x14ac:dyDescent="0.35">
      <c r="D38" s="226"/>
    </row>
    <row r="39" spans="4:12" hidden="1" x14ac:dyDescent="0.35">
      <c r="D39" s="225"/>
    </row>
    <row r="40" spans="4:12" hidden="1" x14ac:dyDescent="0.35">
      <c r="D40" s="226"/>
    </row>
    <row r="41" spans="4:12" hidden="1" x14ac:dyDescent="0.35">
      <c r="D41" s="225"/>
    </row>
    <row r="42" spans="4:12" hidden="1" x14ac:dyDescent="0.35">
      <c r="D42" s="226"/>
    </row>
    <row r="43" spans="4:12" hidden="1" x14ac:dyDescent="0.35">
      <c r="D43" s="225"/>
      <c r="L43" s="218"/>
    </row>
    <row r="44" spans="4:12" hidden="1" x14ac:dyDescent="0.35">
      <c r="D44" s="226"/>
      <c r="L44" t="s">
        <v>204</v>
      </c>
    </row>
    <row r="45" spans="4:12" hidden="1" x14ac:dyDescent="0.35">
      <c r="D45" s="225"/>
      <c r="L45" t="s">
        <v>205</v>
      </c>
    </row>
    <row r="46" spans="4:12" hidden="1" x14ac:dyDescent="0.35">
      <c r="D46" s="226"/>
      <c r="L46" t="s">
        <v>206</v>
      </c>
    </row>
    <row r="47" spans="4:12" hidden="1" x14ac:dyDescent="0.35">
      <c r="D47" s="225"/>
      <c r="L47" t="s">
        <v>207</v>
      </c>
    </row>
    <row r="48" spans="4:12" ht="409.5" hidden="1" x14ac:dyDescent="0.35">
      <c r="D48" s="226"/>
      <c r="L48" s="213" t="s">
        <v>208</v>
      </c>
    </row>
    <row r="49" spans="4:12" hidden="1" x14ac:dyDescent="0.35">
      <c r="D49" s="225"/>
      <c r="L49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87C1-6E05-4D50-A476-2937E697813C}">
  <dimension ref="A1:N111"/>
  <sheetViews>
    <sheetView showGridLines="0" zoomScaleNormal="100" workbookViewId="0">
      <selection activeCell="A2" sqref="A2:XFD2"/>
    </sheetView>
  </sheetViews>
  <sheetFormatPr defaultColWidth="0" defaultRowHeight="14.5" zeroHeight="1" x14ac:dyDescent="0.35"/>
  <cols>
    <col min="1" max="1" width="3.1796875" customWidth="1"/>
    <col min="2" max="2" width="3.6328125" customWidth="1"/>
    <col min="3" max="3" width="9.1796875" customWidth="1"/>
    <col min="4" max="4" width="13.1796875" customWidth="1"/>
    <col min="5" max="5" width="4.36328125" customWidth="1"/>
    <col min="6" max="11" width="9.36328125" bestFit="1" customWidth="1"/>
    <col min="12" max="12" width="9.1796875" bestFit="1" customWidth="1"/>
    <col min="13" max="19" width="9.1796875" customWidth="1"/>
  </cols>
  <sheetData>
    <row r="1" spans="1:14" x14ac:dyDescent="0.35"/>
    <row r="2" spans="1:14" s="82" customFormat="1" x14ac:dyDescent="0.35">
      <c r="A2" t="s">
        <v>3</v>
      </c>
      <c r="B2" s="82" t="s">
        <v>210</v>
      </c>
    </row>
    <row r="3" spans="1:14" x14ac:dyDescent="0.35"/>
    <row r="4" spans="1:14" x14ac:dyDescent="0.35">
      <c r="F4" s="252" t="s">
        <v>15</v>
      </c>
      <c r="G4" s="252" t="s">
        <v>16</v>
      </c>
      <c r="H4" s="252" t="s">
        <v>17</v>
      </c>
      <c r="I4" s="252" t="s">
        <v>18</v>
      </c>
      <c r="J4" s="252" t="s">
        <v>19</v>
      </c>
      <c r="K4" s="252" t="s">
        <v>20</v>
      </c>
      <c r="L4" s="252" t="s">
        <v>21</v>
      </c>
      <c r="M4" s="252" t="s">
        <v>22</v>
      </c>
    </row>
    <row r="5" spans="1:14" x14ac:dyDescent="0.35">
      <c r="C5" t="s">
        <v>211</v>
      </c>
      <c r="F5" s="61">
        <f>F34</f>
        <v>-23.048000000000002</v>
      </c>
      <c r="G5" s="61">
        <f t="shared" ref="G5:L5" si="0">G34</f>
        <v>-21.511466666666667</v>
      </c>
      <c r="H5" s="61">
        <f t="shared" si="0"/>
        <v>-20.077368888888891</v>
      </c>
      <c r="I5" s="61">
        <f t="shared" si="0"/>
        <v>-18.738877629629634</v>
      </c>
      <c r="J5" s="61">
        <f t="shared" si="0"/>
        <v>-17.489619120987655</v>
      </c>
      <c r="K5" s="61">
        <f t="shared" si="0"/>
        <v>-16.323644512921813</v>
      </c>
      <c r="L5" s="61">
        <f t="shared" si="0"/>
        <v>-15.235401545393692</v>
      </c>
      <c r="M5" s="61">
        <f t="shared" ref="M5" si="1">M34</f>
        <v>-14.219708109034112</v>
      </c>
      <c r="N5" t="s">
        <v>212</v>
      </c>
    </row>
    <row r="6" spans="1:14" x14ac:dyDescent="0.35">
      <c r="C6" t="s">
        <v>181</v>
      </c>
      <c r="F6" s="61">
        <f>F25</f>
        <v>-23.615000000000002</v>
      </c>
      <c r="G6" s="61">
        <f t="shared" ref="G6:L6" si="2">G25</f>
        <v>-21.253499999999999</v>
      </c>
      <c r="H6" s="61">
        <f t="shared" si="2"/>
        <v>-19.128149999999998</v>
      </c>
      <c r="I6" s="61">
        <f t="shared" si="2"/>
        <v>-17.215335</v>
      </c>
      <c r="J6" s="61">
        <f t="shared" si="2"/>
        <v>-15.493801499999998</v>
      </c>
      <c r="K6" s="61">
        <f t="shared" si="2"/>
        <v>-13.944421349999999</v>
      </c>
      <c r="L6" s="61">
        <f t="shared" si="2"/>
        <v>-12.549979214999999</v>
      </c>
      <c r="M6" s="61">
        <f t="shared" ref="M6" si="3">M25</f>
        <v>-11.294981293499999</v>
      </c>
      <c r="N6" t="s">
        <v>213</v>
      </c>
    </row>
    <row r="7" spans="1:14" x14ac:dyDescent="0.35"/>
    <row r="8" spans="1:14" x14ac:dyDescent="0.35">
      <c r="C8" t="s">
        <v>214</v>
      </c>
      <c r="F8" s="58">
        <f>F60</f>
        <v>1387.14</v>
      </c>
      <c r="G8" s="58">
        <f t="shared" ref="G8:L8" si="4">G60</f>
        <v>1531.2663058909184</v>
      </c>
      <c r="H8" s="58">
        <f t="shared" si="4"/>
        <v>1690.3675905509315</v>
      </c>
      <c r="I8" s="58">
        <f t="shared" si="4"/>
        <v>1865.9997808300941</v>
      </c>
      <c r="J8" s="58">
        <f t="shared" si="4"/>
        <v>2059.880467137391</v>
      </c>
      <c r="K8" s="58">
        <f t="shared" si="4"/>
        <v>2273.9057005711979</v>
      </c>
      <c r="L8" s="58">
        <f t="shared" si="4"/>
        <v>2510.1685353013813</v>
      </c>
      <c r="M8" s="58">
        <f t="shared" ref="M8" si="5">M60</f>
        <v>2770.9794975377849</v>
      </c>
    </row>
    <row r="9" spans="1:14" x14ac:dyDescent="0.35">
      <c r="C9" t="s">
        <v>215</v>
      </c>
      <c r="F9" s="58">
        <f>F73</f>
        <v>8.4700000000000006</v>
      </c>
      <c r="G9" s="58">
        <f t="shared" ref="G9:L9" si="6">G73</f>
        <v>9.3500480203123519</v>
      </c>
      <c r="H9" s="58">
        <f t="shared" si="6"/>
        <v>10.321534590572247</v>
      </c>
      <c r="I9" s="58">
        <f t="shared" si="6"/>
        <v>11.393960338272194</v>
      </c>
      <c r="J9" s="58">
        <f t="shared" si="6"/>
        <v>12.57781302294916</v>
      </c>
      <c r="K9" s="58">
        <f t="shared" si="6"/>
        <v>13.88467010095451</v>
      </c>
      <c r="L9" s="58">
        <f t="shared" si="6"/>
        <v>15.327311946885457</v>
      </c>
      <c r="M9" s="58">
        <f t="shared" ref="M9" si="7">M73</f>
        <v>16.919846838923995</v>
      </c>
    </row>
    <row r="10" spans="1:14" x14ac:dyDescent="0.35">
      <c r="C10" t="s">
        <v>216</v>
      </c>
      <c r="F10" s="58">
        <f>F98</f>
        <v>248.09</v>
      </c>
      <c r="G10" s="58">
        <f t="shared" ref="G10:L10" si="8">G98</f>
        <v>406.37573546786069</v>
      </c>
      <c r="H10" s="58">
        <f t="shared" si="8"/>
        <v>448.59889503119797</v>
      </c>
      <c r="I10" s="58">
        <f t="shared" si="8"/>
        <v>495.20911574979471</v>
      </c>
      <c r="J10" s="58">
        <f t="shared" si="8"/>
        <v>546.66222105749682</v>
      </c>
      <c r="K10" s="58">
        <f t="shared" si="8"/>
        <v>603.46139525126341</v>
      </c>
      <c r="L10" s="58">
        <f t="shared" si="8"/>
        <v>666.16210436883182</v>
      </c>
      <c r="M10" s="58">
        <f t="shared" ref="M10" si="9">M98</f>
        <v>735.37752835429819</v>
      </c>
    </row>
    <row r="11" spans="1:14" x14ac:dyDescent="0.35">
      <c r="C11" s="38" t="s">
        <v>217</v>
      </c>
      <c r="D11" s="38"/>
      <c r="E11" s="38"/>
      <c r="F11" s="62">
        <f>F86</f>
        <v>189.19</v>
      </c>
      <c r="G11" s="62">
        <f t="shared" ref="G11:L11" si="10">G86</f>
        <v>174.0150447791832</v>
      </c>
      <c r="H11" s="62">
        <f t="shared" si="10"/>
        <v>192.09551652209763</v>
      </c>
      <c r="I11" s="62">
        <f t="shared" si="10"/>
        <v>212.05458134218628</v>
      </c>
      <c r="J11" s="62">
        <f t="shared" si="10"/>
        <v>234.08742839157887</v>
      </c>
      <c r="K11" s="62">
        <f t="shared" si="10"/>
        <v>258.40952732145121</v>
      </c>
      <c r="L11" s="62">
        <f t="shared" si="10"/>
        <v>285.2587354618401</v>
      </c>
      <c r="M11" s="62">
        <f t="shared" ref="M11" si="11">M86</f>
        <v>314.89762394117861</v>
      </c>
    </row>
    <row r="12" spans="1:14" x14ac:dyDescent="0.35">
      <c r="C12" s="78" t="s">
        <v>218</v>
      </c>
      <c r="D12" s="78"/>
      <c r="E12" s="78"/>
      <c r="F12" s="253">
        <f>SUM(F8:F10)-F11</f>
        <v>1454.51</v>
      </c>
      <c r="G12" s="253">
        <f t="shared" ref="G12:L12" si="12">SUM(G8:G10)-G11</f>
        <v>1772.9770445999084</v>
      </c>
      <c r="H12" s="253">
        <f t="shared" si="12"/>
        <v>1957.1925036506041</v>
      </c>
      <c r="I12" s="253">
        <f t="shared" si="12"/>
        <v>2160.5482755759745</v>
      </c>
      <c r="J12" s="253">
        <f t="shared" si="12"/>
        <v>2385.0330728262584</v>
      </c>
      <c r="K12" s="253">
        <f t="shared" si="12"/>
        <v>2632.8422386019652</v>
      </c>
      <c r="L12" s="253">
        <f t="shared" si="12"/>
        <v>2906.3992161552587</v>
      </c>
      <c r="M12" s="253">
        <f t="shared" ref="M12" si="13">SUM(M8:M10)-M11</f>
        <v>3208.3792487898286</v>
      </c>
    </row>
    <row r="13" spans="1:14" x14ac:dyDescent="0.35">
      <c r="C13" s="78" t="s">
        <v>219</v>
      </c>
      <c r="D13" s="78"/>
      <c r="E13" s="78"/>
      <c r="F13" s="78"/>
      <c r="G13" s="253">
        <f>G12-F12</f>
        <v>318.46704459990838</v>
      </c>
      <c r="H13" s="253">
        <f t="shared" ref="H13:M13" si="14">H12-G12</f>
        <v>184.2154590506957</v>
      </c>
      <c r="I13" s="253">
        <f t="shared" si="14"/>
        <v>203.35577192537039</v>
      </c>
      <c r="J13" s="253">
        <f t="shared" si="14"/>
        <v>224.48479725028392</v>
      </c>
      <c r="K13" s="253">
        <f t="shared" si="14"/>
        <v>247.80916577570679</v>
      </c>
      <c r="L13" s="253">
        <f t="shared" si="14"/>
        <v>273.55697755329356</v>
      </c>
      <c r="M13" s="253">
        <f t="shared" si="14"/>
        <v>301.98003263456985</v>
      </c>
    </row>
    <row r="14" spans="1:14" x14ac:dyDescent="0.35"/>
    <row r="15" spans="1:14" x14ac:dyDescent="0.35"/>
    <row r="16" spans="1:14" x14ac:dyDescent="0.35"/>
    <row r="17" spans="1:13" s="82" customFormat="1" x14ac:dyDescent="0.35">
      <c r="A17" t="s">
        <v>3</v>
      </c>
      <c r="B17" s="82" t="s">
        <v>220</v>
      </c>
    </row>
    <row r="18" spans="1:13" s="46" customFormat="1" x14ac:dyDescent="0.35">
      <c r="A18"/>
    </row>
    <row r="19" spans="1:13" s="46" customFormat="1" x14ac:dyDescent="0.35">
      <c r="A19"/>
      <c r="B19"/>
      <c r="C19"/>
      <c r="D19"/>
      <c r="E19"/>
      <c r="F19" t="s">
        <v>15</v>
      </c>
      <c r="G19"/>
      <c r="H19"/>
      <c r="I19"/>
      <c r="J19"/>
      <c r="K19"/>
      <c r="L19"/>
    </row>
    <row r="20" spans="1:13" s="46" customFormat="1" x14ac:dyDescent="0.35">
      <c r="A20" s="46" t="s">
        <v>221</v>
      </c>
      <c r="B20" s="365">
        <v>1</v>
      </c>
      <c r="C20" s="63" t="s">
        <v>87</v>
      </c>
      <c r="D20"/>
      <c r="E20"/>
      <c r="F20">
        <f>Forecast!L42</f>
        <v>236.15</v>
      </c>
      <c r="G20"/>
      <c r="H20" s="159" t="s">
        <v>222</v>
      </c>
      <c r="I20" s="159"/>
      <c r="J20" s="159">
        <v>10</v>
      </c>
      <c r="K20"/>
      <c r="L20"/>
    </row>
    <row r="21" spans="1:13" s="46" customFormat="1" x14ac:dyDescent="0.35">
      <c r="B21" s="45"/>
      <c r="C21"/>
      <c r="D21"/>
      <c r="E21"/>
      <c r="F21"/>
      <c r="G21"/>
      <c r="H21"/>
      <c r="I21"/>
      <c r="J21"/>
      <c r="K21"/>
      <c r="L21"/>
    </row>
    <row r="22" spans="1:13" s="46" customFormat="1" x14ac:dyDescent="0.35">
      <c r="B22"/>
      <c r="C22"/>
      <c r="D22"/>
      <c r="E22"/>
      <c r="F22"/>
      <c r="G22"/>
      <c r="H22"/>
      <c r="I22"/>
      <c r="J22"/>
      <c r="K22"/>
      <c r="L22"/>
    </row>
    <row r="23" spans="1:13" s="46" customFormat="1" x14ac:dyDescent="0.35">
      <c r="B23"/>
      <c r="C23" s="42" t="s">
        <v>223</v>
      </c>
      <c r="D23" s="42"/>
      <c r="E23" s="42"/>
      <c r="F23" s="252" t="s">
        <v>15</v>
      </c>
      <c r="G23" s="252" t="s">
        <v>16</v>
      </c>
      <c r="H23" s="252" t="s">
        <v>17</v>
      </c>
      <c r="I23" s="252" t="s">
        <v>18</v>
      </c>
      <c r="J23" s="252" t="s">
        <v>19</v>
      </c>
      <c r="K23" s="252" t="s">
        <v>20</v>
      </c>
      <c r="L23" s="252" t="s">
        <v>21</v>
      </c>
      <c r="M23" s="252" t="s">
        <v>22</v>
      </c>
    </row>
    <row r="24" spans="1:13" s="46" customFormat="1" x14ac:dyDescent="0.35">
      <c r="B24"/>
      <c r="C24" t="s">
        <v>224</v>
      </c>
      <c r="D24"/>
      <c r="E24"/>
      <c r="F24" s="41">
        <f>F21+F20</f>
        <v>236.15</v>
      </c>
      <c r="G24" s="41">
        <f>F26</f>
        <v>212.535</v>
      </c>
      <c r="H24" s="41">
        <f t="shared" ref="H24:M24" si="15">G26</f>
        <v>191.28149999999999</v>
      </c>
      <c r="I24" s="41">
        <f t="shared" si="15"/>
        <v>172.15334999999999</v>
      </c>
      <c r="J24" s="41">
        <f t="shared" si="15"/>
        <v>154.93801499999998</v>
      </c>
      <c r="K24" s="41">
        <f t="shared" si="15"/>
        <v>139.44421349999999</v>
      </c>
      <c r="L24" s="41">
        <f t="shared" si="15"/>
        <v>125.49979214999999</v>
      </c>
      <c r="M24" s="41">
        <f t="shared" si="15"/>
        <v>112.949812935</v>
      </c>
    </row>
    <row r="25" spans="1:13" s="46" customFormat="1" x14ac:dyDescent="0.35">
      <c r="B25"/>
      <c r="C25" s="38" t="s">
        <v>225</v>
      </c>
      <c r="D25" s="38"/>
      <c r="E25" s="38"/>
      <c r="F25" s="94">
        <f t="shared" ref="F25:L25" si="16">-F24/$J$20</f>
        <v>-23.615000000000002</v>
      </c>
      <c r="G25" s="94">
        <f t="shared" si="16"/>
        <v>-21.253499999999999</v>
      </c>
      <c r="H25" s="94">
        <f t="shared" si="16"/>
        <v>-19.128149999999998</v>
      </c>
      <c r="I25" s="94">
        <f t="shared" si="16"/>
        <v>-17.215335</v>
      </c>
      <c r="J25" s="94">
        <f t="shared" si="16"/>
        <v>-15.493801499999998</v>
      </c>
      <c r="K25" s="94">
        <f t="shared" si="16"/>
        <v>-13.944421349999999</v>
      </c>
      <c r="L25" s="94">
        <f t="shared" si="16"/>
        <v>-12.549979214999999</v>
      </c>
      <c r="M25" s="94">
        <f t="shared" ref="M25" si="17">-M24/$J$20</f>
        <v>-11.294981293499999</v>
      </c>
    </row>
    <row r="26" spans="1:13" s="46" customFormat="1" x14ac:dyDescent="0.35">
      <c r="B26"/>
      <c r="C26" s="42" t="s">
        <v>226</v>
      </c>
      <c r="D26" s="42"/>
      <c r="E26" s="42"/>
      <c r="F26" s="43">
        <f>SUM(F24:F25)</f>
        <v>212.535</v>
      </c>
      <c r="G26" s="43">
        <f t="shared" ref="G26" si="18">SUM(G24:G25)</f>
        <v>191.28149999999999</v>
      </c>
      <c r="H26" s="43">
        <f t="shared" ref="H26" si="19">SUM(H24:H25)</f>
        <v>172.15334999999999</v>
      </c>
      <c r="I26" s="43">
        <f t="shared" ref="I26" si="20">SUM(I24:I25)</f>
        <v>154.93801499999998</v>
      </c>
      <c r="J26" s="43">
        <f t="shared" ref="J26" si="21">SUM(J24:J25)</f>
        <v>139.44421349999999</v>
      </c>
      <c r="K26" s="43">
        <f t="shared" ref="K26" si="22">SUM(K24:K25)</f>
        <v>125.49979214999999</v>
      </c>
      <c r="L26" s="43">
        <f t="shared" ref="L26:M26" si="23">SUM(L24:L25)</f>
        <v>112.949812935</v>
      </c>
      <c r="M26" s="43">
        <f t="shared" si="23"/>
        <v>101.6548316415</v>
      </c>
    </row>
    <row r="27" spans="1:13" s="46" customFormat="1" x14ac:dyDescent="0.35">
      <c r="B27"/>
      <c r="C27"/>
      <c r="D27"/>
      <c r="E27"/>
      <c r="F27" s="39"/>
      <c r="G27" s="39"/>
      <c r="H27" s="39"/>
      <c r="I27" s="39"/>
      <c r="J27" s="39"/>
      <c r="K27" s="39"/>
      <c r="L27" s="39"/>
    </row>
    <row r="28" spans="1:13" x14ac:dyDescent="0.35">
      <c r="A28" s="46"/>
      <c r="F28" t="s">
        <v>15</v>
      </c>
    </row>
    <row r="29" spans="1:13" x14ac:dyDescent="0.35">
      <c r="A29" s="46" t="s">
        <v>221</v>
      </c>
      <c r="B29" s="364">
        <v>4</v>
      </c>
      <c r="C29" s="63" t="s">
        <v>90</v>
      </c>
      <c r="D29" s="65"/>
      <c r="F29">
        <v>240.43</v>
      </c>
      <c r="H29" s="159" t="s">
        <v>222</v>
      </c>
      <c r="I29" s="159"/>
      <c r="J29" s="159">
        <v>15</v>
      </c>
    </row>
    <row r="30" spans="1:13" x14ac:dyDescent="0.35">
      <c r="A30" s="46" t="s">
        <v>221</v>
      </c>
      <c r="B30" s="364">
        <v>5</v>
      </c>
      <c r="C30" s="63" t="s">
        <v>91</v>
      </c>
      <c r="D30" s="65"/>
      <c r="F30">
        <v>105.29</v>
      </c>
    </row>
    <row r="31" spans="1:13" x14ac:dyDescent="0.35">
      <c r="A31" s="46"/>
    </row>
    <row r="32" spans="1:13" x14ac:dyDescent="0.35">
      <c r="A32" s="46"/>
      <c r="C32" s="42" t="s">
        <v>223</v>
      </c>
      <c r="D32" s="42"/>
      <c r="E32" s="42"/>
      <c r="F32" s="252" t="s">
        <v>15</v>
      </c>
      <c r="G32" s="252" t="s">
        <v>16</v>
      </c>
      <c r="H32" s="252" t="s">
        <v>17</v>
      </c>
      <c r="I32" s="252" t="s">
        <v>18</v>
      </c>
      <c r="J32" s="252" t="s">
        <v>19</v>
      </c>
      <c r="K32" s="252" t="s">
        <v>20</v>
      </c>
      <c r="L32" s="252" t="s">
        <v>21</v>
      </c>
      <c r="M32" s="252" t="s">
        <v>22</v>
      </c>
    </row>
    <row r="33" spans="1:14" x14ac:dyDescent="0.35">
      <c r="A33" s="46"/>
      <c r="C33" t="s">
        <v>224</v>
      </c>
      <c r="F33" s="41">
        <f>F30+F29</f>
        <v>345.72</v>
      </c>
      <c r="G33" s="41">
        <f>F35</f>
        <v>322.67200000000003</v>
      </c>
      <c r="H33" s="41">
        <f t="shared" ref="H33:M33" si="24">G35</f>
        <v>301.16053333333338</v>
      </c>
      <c r="I33" s="41">
        <f t="shared" si="24"/>
        <v>281.08316444444449</v>
      </c>
      <c r="J33" s="41">
        <f t="shared" si="24"/>
        <v>262.34428681481484</v>
      </c>
      <c r="K33" s="41">
        <f t="shared" si="24"/>
        <v>244.8546676938272</v>
      </c>
      <c r="L33" s="41">
        <f t="shared" si="24"/>
        <v>228.53102318090538</v>
      </c>
      <c r="M33" s="41">
        <f t="shared" si="24"/>
        <v>213.29562163551168</v>
      </c>
    </row>
    <row r="34" spans="1:14" x14ac:dyDescent="0.35">
      <c r="A34" s="46"/>
      <c r="C34" s="38" t="s">
        <v>227</v>
      </c>
      <c r="D34" s="38"/>
      <c r="E34" s="38"/>
      <c r="F34" s="40">
        <f>-F33/$J$29</f>
        <v>-23.048000000000002</v>
      </c>
      <c r="G34" s="40">
        <f t="shared" ref="G34:L34" si="25">-G33/$J$29</f>
        <v>-21.511466666666667</v>
      </c>
      <c r="H34" s="40">
        <f t="shared" si="25"/>
        <v>-20.077368888888891</v>
      </c>
      <c r="I34" s="40">
        <f t="shared" si="25"/>
        <v>-18.738877629629634</v>
      </c>
      <c r="J34" s="40">
        <f t="shared" si="25"/>
        <v>-17.489619120987655</v>
      </c>
      <c r="K34" s="40">
        <f t="shared" si="25"/>
        <v>-16.323644512921813</v>
      </c>
      <c r="L34" s="40">
        <f t="shared" si="25"/>
        <v>-15.235401545393692</v>
      </c>
      <c r="M34" s="40">
        <f t="shared" ref="M34" si="26">-M33/$J$29</f>
        <v>-14.219708109034112</v>
      </c>
    </row>
    <row r="35" spans="1:14" x14ac:dyDescent="0.35">
      <c r="A35" s="46"/>
      <c r="C35" s="42" t="s">
        <v>226</v>
      </c>
      <c r="D35" s="42"/>
      <c r="E35" s="42"/>
      <c r="F35" s="43">
        <f>SUM(F33:F34)</f>
        <v>322.67200000000003</v>
      </c>
      <c r="G35" s="43">
        <f t="shared" ref="G35:L35" si="27">SUM(G33:G34)</f>
        <v>301.16053333333338</v>
      </c>
      <c r="H35" s="43">
        <f t="shared" si="27"/>
        <v>281.08316444444449</v>
      </c>
      <c r="I35" s="43">
        <f t="shared" si="27"/>
        <v>262.34428681481484</v>
      </c>
      <c r="J35" s="43">
        <f t="shared" si="27"/>
        <v>244.8546676938272</v>
      </c>
      <c r="K35" s="43">
        <f t="shared" si="27"/>
        <v>228.53102318090538</v>
      </c>
      <c r="L35" s="43">
        <f t="shared" si="27"/>
        <v>213.29562163551168</v>
      </c>
      <c r="M35" s="43">
        <f t="shared" ref="M35" si="28">SUM(M33:M34)</f>
        <v>199.07591352647756</v>
      </c>
    </row>
    <row r="36" spans="1:14" x14ac:dyDescent="0.35">
      <c r="A36" s="46"/>
      <c r="F36" s="39"/>
      <c r="G36" s="39"/>
      <c r="H36" s="39"/>
      <c r="I36" s="39"/>
      <c r="J36" s="39"/>
      <c r="K36" s="39"/>
      <c r="L36" s="39"/>
    </row>
    <row r="37" spans="1:14" x14ac:dyDescent="0.35">
      <c r="A37" s="46"/>
      <c r="F37" t="s">
        <v>65</v>
      </c>
      <c r="G37" t="s">
        <v>66</v>
      </c>
      <c r="H37" t="s">
        <v>67</v>
      </c>
      <c r="I37" t="s">
        <v>68</v>
      </c>
      <c r="J37" t="s">
        <v>15</v>
      </c>
      <c r="K37" s="159" t="s">
        <v>228</v>
      </c>
      <c r="L37" s="159" t="s">
        <v>222</v>
      </c>
    </row>
    <row r="38" spans="1:14" x14ac:dyDescent="0.35">
      <c r="A38" s="46" t="s">
        <v>229</v>
      </c>
      <c r="B38" s="364">
        <v>15</v>
      </c>
      <c r="C38" s="63" t="s">
        <v>133</v>
      </c>
      <c r="F38">
        <f>Forecast!G94</f>
        <v>-13.66</v>
      </c>
      <c r="G38">
        <f>Forecast!H94</f>
        <v>-16.54</v>
      </c>
      <c r="H38">
        <f>Forecast!I94</f>
        <v>-20.350000000000001</v>
      </c>
      <c r="I38">
        <f>Forecast!J94</f>
        <v>-29.33</v>
      </c>
      <c r="J38">
        <f>Forecast!K94</f>
        <v>-30.12</v>
      </c>
      <c r="K38" s="159">
        <f>AVERAGE(F38:J38)</f>
        <v>-22</v>
      </c>
      <c r="L38" s="159">
        <v>10</v>
      </c>
    </row>
    <row r="39" spans="1:14" x14ac:dyDescent="0.35">
      <c r="A39" s="46"/>
      <c r="B39" s="47"/>
    </row>
    <row r="40" spans="1:14" x14ac:dyDescent="0.35">
      <c r="A40" s="46"/>
      <c r="B40" s="47"/>
      <c r="F40" s="252" t="s">
        <v>15</v>
      </c>
      <c r="G40" s="252" t="s">
        <v>16</v>
      </c>
      <c r="H40" s="252" t="s">
        <v>17</v>
      </c>
      <c r="I40" s="252" t="s">
        <v>18</v>
      </c>
      <c r="J40" s="252" t="s">
        <v>19</v>
      </c>
      <c r="K40" s="252" t="s">
        <v>20</v>
      </c>
      <c r="L40" s="252" t="s">
        <v>21</v>
      </c>
      <c r="M40" s="252" t="s">
        <v>22</v>
      </c>
    </row>
    <row r="41" spans="1:14" x14ac:dyDescent="0.35">
      <c r="A41" s="46"/>
      <c r="B41" s="47"/>
      <c r="C41" t="s">
        <v>230</v>
      </c>
      <c r="F41" s="48">
        <v>0.09</v>
      </c>
      <c r="G41" s="49">
        <f>F41-1%</f>
        <v>0.08</v>
      </c>
      <c r="H41" s="49">
        <f t="shared" ref="H41:M41" si="29">G41-1%</f>
        <v>7.0000000000000007E-2</v>
      </c>
      <c r="I41" s="49">
        <f t="shared" si="29"/>
        <v>6.0000000000000005E-2</v>
      </c>
      <c r="J41" s="49">
        <f t="shared" si="29"/>
        <v>0.05</v>
      </c>
      <c r="K41" s="49">
        <f t="shared" si="29"/>
        <v>0.04</v>
      </c>
      <c r="L41" s="49">
        <f t="shared" si="29"/>
        <v>0.03</v>
      </c>
      <c r="M41" s="49">
        <f t="shared" si="29"/>
        <v>1.9999999999999997E-2</v>
      </c>
    </row>
    <row r="42" spans="1:14" x14ac:dyDescent="0.35">
      <c r="A42" s="46"/>
      <c r="C42" t="s">
        <v>231</v>
      </c>
      <c r="F42">
        <f>1</f>
        <v>1</v>
      </c>
      <c r="G42">
        <f>F42*(1+G41)</f>
        <v>1.08</v>
      </c>
      <c r="H42">
        <f t="shared" ref="H42:M42" si="30">G42*(1+H41)</f>
        <v>1.1556000000000002</v>
      </c>
      <c r="I42">
        <f t="shared" si="30"/>
        <v>1.2249360000000002</v>
      </c>
      <c r="J42">
        <f t="shared" si="30"/>
        <v>1.2861828000000004</v>
      </c>
      <c r="K42">
        <f t="shared" si="30"/>
        <v>1.3376301120000005</v>
      </c>
      <c r="L42">
        <f t="shared" si="30"/>
        <v>1.3777590153600006</v>
      </c>
      <c r="M42">
        <f t="shared" si="30"/>
        <v>1.4053141956672006</v>
      </c>
    </row>
    <row r="43" spans="1:14" x14ac:dyDescent="0.35">
      <c r="A43" s="46"/>
    </row>
    <row r="44" spans="1:14" x14ac:dyDescent="0.35">
      <c r="A44" s="46"/>
      <c r="C44" s="42" t="s">
        <v>223</v>
      </c>
      <c r="D44" s="42"/>
      <c r="E44" s="42"/>
      <c r="F44" s="44" t="s">
        <v>15</v>
      </c>
      <c r="G44" s="44" t="s">
        <v>16</v>
      </c>
      <c r="H44" s="44" t="s">
        <v>17</v>
      </c>
      <c r="I44" s="44" t="s">
        <v>18</v>
      </c>
      <c r="J44" s="44" t="s">
        <v>19</v>
      </c>
      <c r="K44" s="44" t="s">
        <v>20</v>
      </c>
      <c r="L44" s="44" t="s">
        <v>21</v>
      </c>
      <c r="M44" s="44" t="s">
        <v>22</v>
      </c>
    </row>
    <row r="45" spans="1:14" x14ac:dyDescent="0.35">
      <c r="A45" s="46"/>
      <c r="C45" t="s">
        <v>224</v>
      </c>
      <c r="F45" s="41"/>
      <c r="G45" s="41">
        <f>F48</f>
        <v>22</v>
      </c>
      <c r="H45" s="41">
        <f t="shared" ref="H45:M45" si="31">G48</f>
        <v>43.56</v>
      </c>
      <c r="I45" s="41">
        <f t="shared" si="31"/>
        <v>64.627200000000016</v>
      </c>
      <c r="J45" s="41">
        <f t="shared" si="31"/>
        <v>85.113072000000017</v>
      </c>
      <c r="K45" s="41">
        <f t="shared" si="31"/>
        <v>104.89778640000003</v>
      </c>
      <c r="L45" s="41">
        <f t="shared" si="31"/>
        <v>123.83587022400005</v>
      </c>
      <c r="M45" s="41">
        <f t="shared" si="31"/>
        <v>141.76298153952004</v>
      </c>
    </row>
    <row r="46" spans="1:14" x14ac:dyDescent="0.35">
      <c r="A46" s="46"/>
      <c r="C46" t="s">
        <v>232</v>
      </c>
      <c r="F46" s="41">
        <f>-$K$38*F42</f>
        <v>22</v>
      </c>
      <c r="G46" s="41">
        <f t="shared" ref="G46:L46" si="32">-$K$38*G42</f>
        <v>23.76</v>
      </c>
      <c r="H46" s="41">
        <f t="shared" si="32"/>
        <v>25.423200000000005</v>
      </c>
      <c r="I46" s="41">
        <f t="shared" si="32"/>
        <v>26.948592000000005</v>
      </c>
      <c r="J46" s="41">
        <f t="shared" si="32"/>
        <v>28.29602160000001</v>
      </c>
      <c r="K46" s="41">
        <f t="shared" si="32"/>
        <v>29.427862464000011</v>
      </c>
      <c r="L46" s="41">
        <f t="shared" si="32"/>
        <v>30.310698337920012</v>
      </c>
      <c r="M46" s="41">
        <f t="shared" ref="M46" si="33">-$K$38*M42</f>
        <v>30.916912304678412</v>
      </c>
      <c r="N46" t="s">
        <v>233</v>
      </c>
    </row>
    <row r="47" spans="1:14" x14ac:dyDescent="0.35">
      <c r="A47" s="46"/>
      <c r="C47" s="38" t="s">
        <v>227</v>
      </c>
      <c r="D47" s="38"/>
      <c r="E47" s="38"/>
      <c r="F47" s="40">
        <f t="shared" ref="F47:M47" si="34">-F45/$L$38</f>
        <v>0</v>
      </c>
      <c r="G47" s="40">
        <f t="shared" si="34"/>
        <v>-2.2000000000000002</v>
      </c>
      <c r="H47" s="40">
        <f t="shared" si="34"/>
        <v>-4.3559999999999999</v>
      </c>
      <c r="I47" s="40">
        <f t="shared" si="34"/>
        <v>-6.4627200000000018</v>
      </c>
      <c r="J47" s="40">
        <f t="shared" si="34"/>
        <v>-8.511307200000001</v>
      </c>
      <c r="K47" s="40">
        <f t="shared" si="34"/>
        <v>-10.489778640000003</v>
      </c>
      <c r="L47" s="40">
        <f t="shared" si="34"/>
        <v>-12.383587022400004</v>
      </c>
      <c r="M47" s="40">
        <f t="shared" si="34"/>
        <v>-14.176298153952004</v>
      </c>
    </row>
    <row r="48" spans="1:14" x14ac:dyDescent="0.35">
      <c r="A48" s="46"/>
      <c r="C48" s="42" t="s">
        <v>226</v>
      </c>
      <c r="D48" s="42"/>
      <c r="E48" s="42"/>
      <c r="F48" s="43">
        <f t="shared" ref="F48:L48" si="35">SUM(F45:F47)</f>
        <v>22</v>
      </c>
      <c r="G48" s="43">
        <f t="shared" si="35"/>
        <v>43.56</v>
      </c>
      <c r="H48" s="43">
        <f t="shared" si="35"/>
        <v>64.627200000000016</v>
      </c>
      <c r="I48" s="43">
        <f t="shared" si="35"/>
        <v>85.113072000000017</v>
      </c>
      <c r="J48" s="43">
        <f t="shared" si="35"/>
        <v>104.89778640000003</v>
      </c>
      <c r="K48" s="43">
        <f t="shared" si="35"/>
        <v>123.83587022400005</v>
      </c>
      <c r="L48" s="43">
        <f t="shared" si="35"/>
        <v>141.76298153952004</v>
      </c>
      <c r="M48" s="43">
        <f t="shared" ref="M48" si="36">SUM(M45:M47)</f>
        <v>158.50359569024647</v>
      </c>
    </row>
    <row r="49" spans="1:13" x14ac:dyDescent="0.35">
      <c r="A49" s="46"/>
    </row>
    <row r="50" spans="1:13" x14ac:dyDescent="0.35">
      <c r="A50" s="46"/>
      <c r="F50" s="44" t="s">
        <v>15</v>
      </c>
      <c r="J50" s="160" t="s">
        <v>234</v>
      </c>
    </row>
    <row r="51" spans="1:13" x14ac:dyDescent="0.35">
      <c r="A51" s="46" t="s">
        <v>221</v>
      </c>
      <c r="B51" s="364">
        <v>10</v>
      </c>
      <c r="C51" s="64" t="s">
        <v>96</v>
      </c>
      <c r="D51" s="65"/>
      <c r="F51" s="38">
        <f>Forecast!L51</f>
        <v>1387.14</v>
      </c>
      <c r="H51" s="51">
        <f>F51/$F54</f>
        <v>0.72898404490130553</v>
      </c>
      <c r="I51" s="161">
        <f>H51*360</f>
        <v>262.43425616447001</v>
      </c>
    </row>
    <row r="52" spans="1:13" x14ac:dyDescent="0.35">
      <c r="A52" s="46" t="s">
        <v>221</v>
      </c>
      <c r="C52" t="s">
        <v>235</v>
      </c>
      <c r="F52" s="23">
        <f>'Historical-BS'!G21</f>
        <v>20.7</v>
      </c>
      <c r="G52" s="50">
        <f>F52/$F51</f>
        <v>1.4922790778147841E-2</v>
      </c>
      <c r="H52" s="51"/>
      <c r="I52" s="39">
        <f>H52*360</f>
        <v>0</v>
      </c>
    </row>
    <row r="53" spans="1:13" x14ac:dyDescent="0.35">
      <c r="A53" s="46"/>
      <c r="C53" t="s">
        <v>236</v>
      </c>
      <c r="F53" s="23">
        <f>'Historical-BS'!G22</f>
        <v>1366.44</v>
      </c>
      <c r="G53" s="50">
        <f>F53/$F51</f>
        <v>0.98507720922185216</v>
      </c>
      <c r="H53" s="51"/>
      <c r="I53" s="39">
        <f>H53*360</f>
        <v>0</v>
      </c>
    </row>
    <row r="54" spans="1:13" x14ac:dyDescent="0.35">
      <c r="A54" s="46"/>
      <c r="C54" t="s">
        <v>70</v>
      </c>
      <c r="F54">
        <f>Forecast!L10</f>
        <v>1902.84</v>
      </c>
    </row>
    <row r="55" spans="1:13" x14ac:dyDescent="0.35">
      <c r="A55" s="46"/>
    </row>
    <row r="56" spans="1:13" x14ac:dyDescent="0.35">
      <c r="A56" s="46"/>
      <c r="F56" s="252" t="s">
        <v>15</v>
      </c>
      <c r="G56" s="252" t="s">
        <v>16</v>
      </c>
      <c r="H56" s="252" t="s">
        <v>17</v>
      </c>
      <c r="I56" s="252" t="s">
        <v>18</v>
      </c>
      <c r="J56" s="252" t="s">
        <v>19</v>
      </c>
      <c r="K56" s="252" t="s">
        <v>20</v>
      </c>
      <c r="L56" s="252" t="s">
        <v>21</v>
      </c>
      <c r="M56" s="252" t="s">
        <v>22</v>
      </c>
    </row>
    <row r="57" spans="1:13" x14ac:dyDescent="0.35">
      <c r="A57" s="46"/>
      <c r="C57" t="s">
        <v>70</v>
      </c>
      <c r="F57" s="52">
        <f>Forecast!L10</f>
        <v>1902.84</v>
      </c>
      <c r="G57" s="52">
        <f>Forecast!M10</f>
        <v>2100.5484504098176</v>
      </c>
      <c r="H57" s="52">
        <f>Forecast!N10</f>
        <v>2318.7991594243795</v>
      </c>
      <c r="I57" s="52">
        <f>Forecast!O10</f>
        <v>2559.7265041414244</v>
      </c>
      <c r="J57" s="52">
        <f>Forecast!P10</f>
        <v>2825.6866272241537</v>
      </c>
      <c r="K57" s="52">
        <f>Forecast!Q10</f>
        <v>3119.2804787367513</v>
      </c>
      <c r="L57" s="52">
        <f>Forecast!R10</f>
        <v>3443.3792520674765</v>
      </c>
      <c r="M57" s="52">
        <f>Forecast!S10</f>
        <v>3801.1524626892724</v>
      </c>
    </row>
    <row r="58" spans="1:13" x14ac:dyDescent="0.35">
      <c r="A58" s="46"/>
      <c r="C58" t="s">
        <v>224</v>
      </c>
      <c r="F58" s="53"/>
      <c r="G58" s="53">
        <f>F60</f>
        <v>1387.14</v>
      </c>
      <c r="H58" s="53">
        <f t="shared" ref="H58:K58" si="37">G60</f>
        <v>1531.2663058909184</v>
      </c>
      <c r="I58" s="53">
        <f t="shared" si="37"/>
        <v>1690.3675905509315</v>
      </c>
      <c r="J58" s="53">
        <f t="shared" si="37"/>
        <v>1865.9997808300941</v>
      </c>
      <c r="K58" s="53">
        <f t="shared" si="37"/>
        <v>2059.880467137391</v>
      </c>
      <c r="L58" s="53">
        <f t="shared" ref="L58" si="38">K60</f>
        <v>2273.9057005711979</v>
      </c>
      <c r="M58" s="53">
        <f t="shared" ref="M58" si="39">L60</f>
        <v>2510.1685353013813</v>
      </c>
    </row>
    <row r="59" spans="1:13" x14ac:dyDescent="0.35">
      <c r="A59" s="46"/>
      <c r="C59" t="s">
        <v>237</v>
      </c>
      <c r="D59" s="38"/>
      <c r="E59" s="38"/>
      <c r="F59" s="54"/>
      <c r="G59" s="54">
        <f>G60-G58</f>
        <v>144.12630589091827</v>
      </c>
      <c r="H59" s="54">
        <f t="shared" ref="H59:K59" si="40">H60-H58</f>
        <v>159.10128466001311</v>
      </c>
      <c r="I59" s="54">
        <f t="shared" si="40"/>
        <v>175.63219027916261</v>
      </c>
      <c r="J59" s="54">
        <f t="shared" si="40"/>
        <v>193.88068630729686</v>
      </c>
      <c r="K59" s="54">
        <f t="shared" si="40"/>
        <v>214.02523343380699</v>
      </c>
      <c r="L59" s="54">
        <f t="shared" ref="L59:M59" si="41">L60-L58</f>
        <v>236.26283473018339</v>
      </c>
      <c r="M59" s="54">
        <f t="shared" si="41"/>
        <v>260.81096223640361</v>
      </c>
    </row>
    <row r="60" spans="1:13" x14ac:dyDescent="0.35">
      <c r="A60" s="46"/>
      <c r="C60" s="73" t="s">
        <v>226</v>
      </c>
      <c r="D60" s="42"/>
      <c r="E60" s="42"/>
      <c r="F60" s="57">
        <f>F51</f>
        <v>1387.14</v>
      </c>
      <c r="G60" s="57">
        <f t="shared" ref="G60:K60" si="42">G57*$I51/360</f>
        <v>1531.2663058909184</v>
      </c>
      <c r="H60" s="57">
        <f t="shared" si="42"/>
        <v>1690.3675905509315</v>
      </c>
      <c r="I60" s="57">
        <f t="shared" si="42"/>
        <v>1865.9997808300941</v>
      </c>
      <c r="J60" s="57">
        <f t="shared" si="42"/>
        <v>2059.880467137391</v>
      </c>
      <c r="K60" s="57">
        <f t="shared" si="42"/>
        <v>2273.9057005711979</v>
      </c>
      <c r="L60" s="57">
        <f t="shared" ref="L60:M60" si="43">L57*$I51/360</f>
        <v>2510.1685353013813</v>
      </c>
      <c r="M60" s="57">
        <f t="shared" si="43"/>
        <v>2770.9794975377849</v>
      </c>
    </row>
    <row r="61" spans="1:13" ht="14" customHeight="1" x14ac:dyDescent="0.35">
      <c r="A61" s="46"/>
      <c r="C61" s="55" t="s">
        <v>235</v>
      </c>
      <c r="F61" s="53">
        <f>F60*$G52</f>
        <v>20.7</v>
      </c>
      <c r="G61" s="53">
        <f t="shared" ref="G61:K61" si="44">G60*$G52</f>
        <v>22.850766708437508</v>
      </c>
      <c r="H61" s="53">
        <f t="shared" si="44"/>
        <v>25.225001891953426</v>
      </c>
      <c r="I61" s="53">
        <f t="shared" si="44"/>
        <v>27.84592432139722</v>
      </c>
      <c r="J61" s="53">
        <f t="shared" si="44"/>
        <v>30.739165239084723</v>
      </c>
      <c r="K61" s="53">
        <f t="shared" si="44"/>
        <v>33.933019018861678</v>
      </c>
      <c r="L61" s="53">
        <f t="shared" ref="L61:M61" si="45">L60*$G52</f>
        <v>37.458719870192326</v>
      </c>
      <c r="M61" s="53">
        <f t="shared" si="45"/>
        <v>41.350747292293597</v>
      </c>
    </row>
    <row r="62" spans="1:13" ht="14" customHeight="1" x14ac:dyDescent="0.35">
      <c r="A62" s="46"/>
      <c r="C62" s="55" t="s">
        <v>236</v>
      </c>
      <c r="F62" s="53">
        <f>F60*$G53</f>
        <v>1366.44</v>
      </c>
      <c r="G62" s="53">
        <f t="shared" ref="G62:K62" si="46">G60*$G53</f>
        <v>1508.4155391824809</v>
      </c>
      <c r="H62" s="53">
        <f t="shared" si="46"/>
        <v>1665.142588658978</v>
      </c>
      <c r="I62" s="53">
        <f t="shared" si="46"/>
        <v>1838.1538565086969</v>
      </c>
      <c r="J62" s="53">
        <f t="shared" si="46"/>
        <v>2029.1413018983062</v>
      </c>
      <c r="K62" s="53">
        <f t="shared" si="46"/>
        <v>2239.9726815523363</v>
      </c>
      <c r="L62" s="53">
        <f t="shared" ref="L62:M62" si="47">L60*$G53</f>
        <v>2472.7098154311889</v>
      </c>
      <c r="M62" s="53">
        <f t="shared" si="47"/>
        <v>2729.6287502454911</v>
      </c>
    </row>
    <row r="63" spans="1:13" ht="14" customHeight="1" x14ac:dyDescent="0.35">
      <c r="A63" s="46"/>
    </row>
    <row r="64" spans="1:13" ht="14" customHeight="1" x14ac:dyDescent="0.35">
      <c r="A64" s="46"/>
    </row>
    <row r="65" spans="1:13" x14ac:dyDescent="0.35">
      <c r="A65" s="46"/>
      <c r="B65" s="364">
        <v>2</v>
      </c>
      <c r="C65" s="64" t="s">
        <v>88</v>
      </c>
      <c r="D65" s="65"/>
      <c r="F65" s="44" t="s">
        <v>15</v>
      </c>
      <c r="I65" s="159" t="s">
        <v>238</v>
      </c>
    </row>
    <row r="66" spans="1:13" x14ac:dyDescent="0.35">
      <c r="A66" s="46"/>
      <c r="C66" t="s">
        <v>239</v>
      </c>
      <c r="F66" s="56">
        <f>'Historical-BS'!G41</f>
        <v>8.4700000000000006</v>
      </c>
      <c r="H66" s="51">
        <f>F66/$F67</f>
        <v>4.4512413024741966E-3</v>
      </c>
      <c r="I66" s="161">
        <f>H66*360</f>
        <v>1.6024468688907108</v>
      </c>
    </row>
    <row r="67" spans="1:13" x14ac:dyDescent="0.35">
      <c r="A67" s="46"/>
      <c r="C67" t="s">
        <v>70</v>
      </c>
      <c r="F67">
        <f>Forecast!L10</f>
        <v>1902.84</v>
      </c>
    </row>
    <row r="68" spans="1:13" x14ac:dyDescent="0.35">
      <c r="A68" s="46"/>
    </row>
    <row r="69" spans="1:13" x14ac:dyDescent="0.35">
      <c r="A69" s="46"/>
      <c r="F69" s="252" t="s">
        <v>15</v>
      </c>
      <c r="G69" s="252" t="s">
        <v>16</v>
      </c>
      <c r="H69" s="252" t="s">
        <v>17</v>
      </c>
      <c r="I69" s="252" t="s">
        <v>18</v>
      </c>
      <c r="J69" s="252" t="s">
        <v>19</v>
      </c>
      <c r="K69" s="252" t="s">
        <v>20</v>
      </c>
      <c r="L69" s="252" t="s">
        <v>21</v>
      </c>
      <c r="M69" s="252" t="s">
        <v>22</v>
      </c>
    </row>
    <row r="70" spans="1:13" x14ac:dyDescent="0.35">
      <c r="A70" s="46"/>
      <c r="C70" t="s">
        <v>70</v>
      </c>
      <c r="F70" s="52">
        <f>Forecast!L10</f>
        <v>1902.84</v>
      </c>
      <c r="G70" s="52">
        <f>Forecast!M10</f>
        <v>2100.5484504098176</v>
      </c>
      <c r="H70" s="52">
        <f>Forecast!N10</f>
        <v>2318.7991594243795</v>
      </c>
      <c r="I70" s="52">
        <f>Forecast!O10</f>
        <v>2559.7265041414244</v>
      </c>
      <c r="J70" s="52">
        <f>Forecast!P10</f>
        <v>2825.6866272241537</v>
      </c>
      <c r="K70" s="52">
        <f>Forecast!Q10</f>
        <v>3119.2804787367513</v>
      </c>
      <c r="L70" s="52">
        <f>Forecast!R10</f>
        <v>3443.3792520674765</v>
      </c>
      <c r="M70" s="52">
        <f>Forecast!S10</f>
        <v>3801.1524626892724</v>
      </c>
    </row>
    <row r="71" spans="1:13" x14ac:dyDescent="0.35">
      <c r="A71" s="46"/>
      <c r="C71" t="s">
        <v>224</v>
      </c>
      <c r="F71" s="53"/>
      <c r="G71" s="53">
        <f>F73</f>
        <v>8.4700000000000006</v>
      </c>
      <c r="H71" s="53">
        <f t="shared" ref="H71:K71" si="48">G73</f>
        <v>9.3500480203123519</v>
      </c>
      <c r="I71" s="53">
        <f t="shared" si="48"/>
        <v>10.321534590572247</v>
      </c>
      <c r="J71" s="53">
        <f t="shared" si="48"/>
        <v>11.393960338272194</v>
      </c>
      <c r="K71" s="53">
        <f t="shared" si="48"/>
        <v>12.57781302294916</v>
      </c>
      <c r="L71" s="53">
        <f t="shared" ref="L71" si="49">K73</f>
        <v>13.88467010095451</v>
      </c>
      <c r="M71" s="53">
        <f t="shared" ref="M71" si="50">L73</f>
        <v>15.327311946885457</v>
      </c>
    </row>
    <row r="72" spans="1:13" x14ac:dyDescent="0.35">
      <c r="A72" s="46"/>
      <c r="C72" t="s">
        <v>237</v>
      </c>
      <c r="D72" s="38"/>
      <c r="E72" s="38"/>
      <c r="F72" s="54"/>
      <c r="G72" s="54">
        <f>G73-G71</f>
        <v>0.8800480203123513</v>
      </c>
      <c r="H72" s="54">
        <f t="shared" ref="H72" si="51">H73-H71</f>
        <v>0.97148657025989493</v>
      </c>
      <c r="I72" s="54">
        <f t="shared" ref="I72" si="52">I73-I71</f>
        <v>1.0724257476999473</v>
      </c>
      <c r="J72" s="54">
        <f t="shared" ref="J72" si="53">J73-J71</f>
        <v>1.1838526846769657</v>
      </c>
      <c r="K72" s="54">
        <f t="shared" ref="K72:M72" si="54">K73-K71</f>
        <v>1.3068570780053506</v>
      </c>
      <c r="L72" s="54">
        <f t="shared" si="54"/>
        <v>1.4426418459309467</v>
      </c>
      <c r="M72" s="54">
        <f t="shared" si="54"/>
        <v>1.5925348920385378</v>
      </c>
    </row>
    <row r="73" spans="1:13" x14ac:dyDescent="0.35">
      <c r="A73" s="46"/>
      <c r="C73" s="73" t="s">
        <v>226</v>
      </c>
      <c r="D73" s="42"/>
      <c r="E73" s="42"/>
      <c r="F73" s="57">
        <f>F66</f>
        <v>8.4700000000000006</v>
      </c>
      <c r="G73" s="57">
        <f>G70*$I66/360</f>
        <v>9.3500480203123519</v>
      </c>
      <c r="H73" s="57">
        <f t="shared" ref="H73:K73" si="55">H70*$I66/360</f>
        <v>10.321534590572247</v>
      </c>
      <c r="I73" s="57">
        <f t="shared" si="55"/>
        <v>11.393960338272194</v>
      </c>
      <c r="J73" s="57">
        <f t="shared" si="55"/>
        <v>12.57781302294916</v>
      </c>
      <c r="K73" s="57">
        <f t="shared" si="55"/>
        <v>13.88467010095451</v>
      </c>
      <c r="L73" s="57">
        <f t="shared" ref="L73:M73" si="56">L70*$I66/360</f>
        <v>15.327311946885457</v>
      </c>
      <c r="M73" s="57">
        <f t="shared" si="56"/>
        <v>16.919846838923995</v>
      </c>
    </row>
    <row r="74" spans="1:13" x14ac:dyDescent="0.35">
      <c r="A74" s="46"/>
    </row>
    <row r="75" spans="1:13" x14ac:dyDescent="0.35">
      <c r="A75" s="46"/>
    </row>
    <row r="76" spans="1:13" x14ac:dyDescent="0.35">
      <c r="A76" s="46"/>
      <c r="B76" s="364">
        <v>22</v>
      </c>
      <c r="C76" s="64" t="s">
        <v>107</v>
      </c>
      <c r="D76" s="65"/>
      <c r="F76" s="252" t="s">
        <v>65</v>
      </c>
      <c r="G76" s="252" t="s">
        <v>66</v>
      </c>
      <c r="H76" s="252" t="s">
        <v>67</v>
      </c>
      <c r="I76" s="252" t="s">
        <v>68</v>
      </c>
      <c r="J76" s="252" t="s">
        <v>15</v>
      </c>
    </row>
    <row r="77" spans="1:13" x14ac:dyDescent="0.35">
      <c r="A77" s="46"/>
      <c r="C77" t="s">
        <v>107</v>
      </c>
      <c r="F77" s="53">
        <f>Forecast!H63</f>
        <v>101.44</v>
      </c>
      <c r="G77" s="53">
        <f>Forecast!I63</f>
        <v>118.12</v>
      </c>
      <c r="H77" s="53">
        <f>Forecast!J63</f>
        <v>91.68</v>
      </c>
      <c r="I77" s="53">
        <f>Forecast!K63</f>
        <v>145.47</v>
      </c>
      <c r="J77" s="53">
        <f>Forecast!L63</f>
        <v>189.19</v>
      </c>
    </row>
    <row r="78" spans="1:13" x14ac:dyDescent="0.35">
      <c r="A78" s="46"/>
      <c r="C78" t="s">
        <v>240</v>
      </c>
      <c r="F78" s="53">
        <f>-Forecast!H17</f>
        <v>481.98</v>
      </c>
      <c r="G78" s="53">
        <f>-Forecast!I17</f>
        <v>518.86</v>
      </c>
      <c r="H78" s="53">
        <f>-Forecast!J17</f>
        <v>507.54</v>
      </c>
      <c r="I78" s="53">
        <f>-Forecast!K17</f>
        <v>534.46999999999991</v>
      </c>
      <c r="J78" s="53">
        <f>-Forecast!L17</f>
        <v>660.94999999999993</v>
      </c>
      <c r="K78" s="162" t="s">
        <v>241</v>
      </c>
    </row>
    <row r="79" spans="1:13" x14ac:dyDescent="0.35">
      <c r="A79" s="46"/>
      <c r="C79" s="55" t="s">
        <v>242</v>
      </c>
      <c r="F79" s="50">
        <f>F77/F78</f>
        <v>0.21046516452964853</v>
      </c>
      <c r="G79" s="50">
        <f t="shared" ref="G79:J79" si="57">G77/G78</f>
        <v>0.22765293142658907</v>
      </c>
      <c r="H79" s="50">
        <f t="shared" si="57"/>
        <v>0.18063600898451354</v>
      </c>
      <c r="I79" s="50">
        <f t="shared" si="57"/>
        <v>0.27217617452803716</v>
      </c>
      <c r="J79" s="50">
        <f t="shared" si="57"/>
        <v>0.28623950374461005</v>
      </c>
      <c r="K79" s="163">
        <f>AVERAGE(F79:J79)</f>
        <v>0.23543395664267966</v>
      </c>
    </row>
    <row r="80" spans="1:13" x14ac:dyDescent="0.35">
      <c r="A80" s="46"/>
      <c r="C80" s="164" t="s">
        <v>243</v>
      </c>
      <c r="D80" s="159"/>
      <c r="F80" s="53">
        <f>F79*360</f>
        <v>75.767459230673467</v>
      </c>
      <c r="G80" s="53">
        <f t="shared" ref="G80:J80" si="58">G79*360</f>
        <v>81.955055313572061</v>
      </c>
      <c r="H80" s="53">
        <f t="shared" si="58"/>
        <v>65.028963234424879</v>
      </c>
      <c r="I80" s="53">
        <f t="shared" si="58"/>
        <v>97.983422830093375</v>
      </c>
      <c r="J80" s="53">
        <f t="shared" si="58"/>
        <v>103.04622134805962</v>
      </c>
      <c r="K80" s="165">
        <f>AVERAGE(F80:J80)</f>
        <v>84.756224391364682</v>
      </c>
    </row>
    <row r="81" spans="1:13" x14ac:dyDescent="0.35">
      <c r="A81" s="46"/>
    </row>
    <row r="82" spans="1:13" x14ac:dyDescent="0.35">
      <c r="F82" s="252" t="s">
        <v>15</v>
      </c>
      <c r="G82" s="252" t="s">
        <v>16</v>
      </c>
      <c r="H82" s="252" t="s">
        <v>17</v>
      </c>
      <c r="I82" s="252" t="s">
        <v>18</v>
      </c>
      <c r="J82" s="252" t="s">
        <v>19</v>
      </c>
      <c r="K82" s="252" t="s">
        <v>20</v>
      </c>
      <c r="L82" s="252" t="s">
        <v>21</v>
      </c>
      <c r="M82" s="252" t="s">
        <v>22</v>
      </c>
    </row>
    <row r="83" spans="1:13" x14ac:dyDescent="0.35">
      <c r="C83" t="s">
        <v>240</v>
      </c>
      <c r="F83" s="53">
        <f>-Forecast!L17</f>
        <v>660.94999999999993</v>
      </c>
      <c r="G83" s="53">
        <f>-Forecast!M17</f>
        <v>749.39028726807101</v>
      </c>
      <c r="H83" s="53">
        <f>-Forecast!N17</f>
        <v>827.25326704983843</v>
      </c>
      <c r="I83" s="53">
        <f>-Forecast!O17</f>
        <v>913.2063485095947</v>
      </c>
      <c r="J83" s="53">
        <f>-Forecast!P17</f>
        <v>1008.0901075583007</v>
      </c>
      <c r="K83" s="53">
        <f>-Forecast!Q17</f>
        <v>1112.8324574347055</v>
      </c>
      <c r="L83" s="53">
        <f>-Forecast!R17</f>
        <v>1228.457723208583</v>
      </c>
      <c r="M83" s="53">
        <f>-Forecast!S17</f>
        <v>1356.0966591409483</v>
      </c>
    </row>
    <row r="84" spans="1:13" x14ac:dyDescent="0.35">
      <c r="C84" t="s">
        <v>224</v>
      </c>
      <c r="G84" s="58">
        <f>F86</f>
        <v>189.19</v>
      </c>
      <c r="H84" s="58">
        <f t="shared" ref="H84:K84" si="59">G86</f>
        <v>174.0150447791832</v>
      </c>
      <c r="I84" s="58">
        <f t="shared" si="59"/>
        <v>192.09551652209763</v>
      </c>
      <c r="J84" s="58">
        <f t="shared" si="59"/>
        <v>212.05458134218628</v>
      </c>
      <c r="K84" s="58">
        <f t="shared" si="59"/>
        <v>234.08742839157887</v>
      </c>
      <c r="L84" s="58">
        <f t="shared" ref="L84" si="60">K86</f>
        <v>258.40952732145121</v>
      </c>
      <c r="M84" s="58">
        <f t="shared" ref="M84" si="61">L86</f>
        <v>285.2587354618401</v>
      </c>
    </row>
    <row r="85" spans="1:13" x14ac:dyDescent="0.35">
      <c r="C85" s="38" t="s">
        <v>237</v>
      </c>
      <c r="D85" s="38"/>
      <c r="E85" s="38"/>
      <c r="F85" s="38"/>
      <c r="G85" s="59">
        <f>G86-G84</f>
        <v>-15.174955220816798</v>
      </c>
      <c r="H85" s="59">
        <f t="shared" ref="H85:K85" si="62">H86-H84</f>
        <v>18.080471742914426</v>
      </c>
      <c r="I85" s="59">
        <f t="shared" si="62"/>
        <v>19.959064820088656</v>
      </c>
      <c r="J85" s="59">
        <f t="shared" si="62"/>
        <v>22.032847049392586</v>
      </c>
      <c r="K85" s="59">
        <f t="shared" si="62"/>
        <v>24.32209892987234</v>
      </c>
      <c r="L85" s="59">
        <f t="shared" ref="L85:M85" si="63">L86-L84</f>
        <v>26.849208140388896</v>
      </c>
      <c r="M85" s="59">
        <f t="shared" si="63"/>
        <v>29.638888479338505</v>
      </c>
    </row>
    <row r="86" spans="1:13" x14ac:dyDescent="0.35">
      <c r="C86" s="42" t="s">
        <v>226</v>
      </c>
      <c r="D86" s="42"/>
      <c r="E86" s="42"/>
      <c r="F86" s="84">
        <f>J77</f>
        <v>189.19</v>
      </c>
      <c r="G86" s="57">
        <f>G83*$K80/365</f>
        <v>174.0150447791832</v>
      </c>
      <c r="H86" s="57">
        <f t="shared" ref="H86:K86" si="64">H83*$K80/365</f>
        <v>192.09551652209763</v>
      </c>
      <c r="I86" s="57">
        <f t="shared" si="64"/>
        <v>212.05458134218628</v>
      </c>
      <c r="J86" s="57">
        <f t="shared" si="64"/>
        <v>234.08742839157887</v>
      </c>
      <c r="K86" s="57">
        <f t="shared" si="64"/>
        <v>258.40952732145121</v>
      </c>
      <c r="L86" s="57">
        <f t="shared" ref="L86:M86" si="65">L83*$K80/365</f>
        <v>285.2587354618401</v>
      </c>
      <c r="M86" s="57">
        <f t="shared" si="65"/>
        <v>314.89762394117861</v>
      </c>
    </row>
    <row r="87" spans="1:13" x14ac:dyDescent="0.35"/>
    <row r="88" spans="1:13" x14ac:dyDescent="0.35"/>
    <row r="89" spans="1:13" x14ac:dyDescent="0.35">
      <c r="B89" s="364">
        <v>9</v>
      </c>
      <c r="C89" s="64" t="s">
        <v>95</v>
      </c>
      <c r="D89" s="65"/>
      <c r="F89" s="252" t="s">
        <v>65</v>
      </c>
      <c r="G89" s="252" t="s">
        <v>66</v>
      </c>
      <c r="H89" s="252" t="s">
        <v>67</v>
      </c>
      <c r="I89" s="252" t="s">
        <v>68</v>
      </c>
      <c r="J89" s="252" t="s">
        <v>15</v>
      </c>
    </row>
    <row r="90" spans="1:13" x14ac:dyDescent="0.35">
      <c r="C90" t="s">
        <v>244</v>
      </c>
      <c r="F90" s="60">
        <f>-Forecast!H13</f>
        <v>570.47</v>
      </c>
      <c r="G90" s="60">
        <f>-Forecast!I13</f>
        <v>627.44000000000005</v>
      </c>
      <c r="H90" s="60">
        <f>-Forecast!J13</f>
        <v>589.92999999999995</v>
      </c>
      <c r="I90" s="60">
        <f>-Forecast!K13</f>
        <v>679.57</v>
      </c>
      <c r="J90" s="60">
        <f>-Forecast!L13</f>
        <v>775.24</v>
      </c>
    </row>
    <row r="91" spans="1:13" x14ac:dyDescent="0.35">
      <c r="C91" t="s">
        <v>245</v>
      </c>
      <c r="F91" s="60">
        <f>Forecast!H50</f>
        <v>248.09</v>
      </c>
      <c r="G91" s="60">
        <f>Forecast!I50</f>
        <v>268.32</v>
      </c>
      <c r="H91" s="60">
        <f>Forecast!J50</f>
        <v>286.36</v>
      </c>
      <c r="I91" s="60">
        <f>Forecast!K50</f>
        <v>286.38</v>
      </c>
      <c r="J91" s="60">
        <f>Forecast!L50</f>
        <v>382.75</v>
      </c>
      <c r="K91" s="162" t="s">
        <v>241</v>
      </c>
    </row>
    <row r="92" spans="1:13" x14ac:dyDescent="0.35">
      <c r="C92" s="159" t="s">
        <v>246</v>
      </c>
      <c r="D92" s="159"/>
      <c r="F92" s="53">
        <f>F91/F90*360</f>
        <v>156.55932827317824</v>
      </c>
      <c r="G92" s="53">
        <f t="shared" ref="G92:J92" si="66">G91/G90*360</f>
        <v>153.95129414764756</v>
      </c>
      <c r="H92" s="53">
        <f t="shared" si="66"/>
        <v>174.74886850982324</v>
      </c>
      <c r="I92" s="53">
        <f t="shared" si="66"/>
        <v>151.70887472960843</v>
      </c>
      <c r="J92" s="53">
        <f t="shared" si="66"/>
        <v>177.73850678499562</v>
      </c>
      <c r="K92" s="165">
        <f>AVERAGE(F92:J92)</f>
        <v>162.94137448905062</v>
      </c>
    </row>
    <row r="93" spans="1:13" x14ac:dyDescent="0.35"/>
    <row r="94" spans="1:13" x14ac:dyDescent="0.35">
      <c r="F94" s="252" t="s">
        <v>15</v>
      </c>
      <c r="G94" s="252" t="s">
        <v>16</v>
      </c>
      <c r="H94" s="252" t="s">
        <v>17</v>
      </c>
      <c r="I94" s="252" t="s">
        <v>18</v>
      </c>
      <c r="J94" s="252" t="s">
        <v>19</v>
      </c>
      <c r="K94" s="252" t="s">
        <v>20</v>
      </c>
      <c r="L94" s="252" t="s">
        <v>21</v>
      </c>
      <c r="M94" s="252" t="s">
        <v>22</v>
      </c>
    </row>
    <row r="95" spans="1:13" x14ac:dyDescent="0.35">
      <c r="C95" t="s">
        <v>244</v>
      </c>
      <c r="F95" s="60">
        <f>-Forecast!L13</f>
        <v>775.24</v>
      </c>
      <c r="G95" s="60">
        <f>-Forecast!M13</f>
        <v>897.8398839900583</v>
      </c>
      <c r="H95" s="60">
        <f>-Forecast!N13</f>
        <v>991.12704012499603</v>
      </c>
      <c r="I95" s="60">
        <f>-Forecast!O13</f>
        <v>1094.106897213549</v>
      </c>
      <c r="J95" s="60">
        <f>-Forecast!P13</f>
        <v>1207.7865440733924</v>
      </c>
      <c r="K95" s="60">
        <f>-Forecast!Q13</f>
        <v>1333.2777078362833</v>
      </c>
      <c r="L95" s="60">
        <f>-Forecast!R13</f>
        <v>1471.8076260544544</v>
      </c>
      <c r="M95" s="60">
        <f>-Forecast!S13</f>
        <v>1624.7310484381435</v>
      </c>
    </row>
    <row r="96" spans="1:13" x14ac:dyDescent="0.35">
      <c r="C96" t="s">
        <v>224</v>
      </c>
      <c r="G96" s="58">
        <f>F98</f>
        <v>248.09</v>
      </c>
      <c r="H96" s="58">
        <f t="shared" ref="H96:K96" si="67">G98</f>
        <v>406.37573546786069</v>
      </c>
      <c r="I96" s="58">
        <f t="shared" si="67"/>
        <v>448.59889503119797</v>
      </c>
      <c r="J96" s="58">
        <f t="shared" si="67"/>
        <v>495.20911574979471</v>
      </c>
      <c r="K96" s="58">
        <f t="shared" si="67"/>
        <v>546.66222105749682</v>
      </c>
      <c r="L96" s="58">
        <f t="shared" ref="L96" si="68">K98</f>
        <v>603.46139525126341</v>
      </c>
      <c r="M96" s="58">
        <f t="shared" ref="M96" si="69">L98</f>
        <v>666.16210436883182</v>
      </c>
    </row>
    <row r="97" spans="1:13" x14ac:dyDescent="0.35">
      <c r="C97" s="38" t="s">
        <v>237</v>
      </c>
      <c r="D97" s="38"/>
      <c r="E97" s="38"/>
      <c r="F97" s="38"/>
      <c r="G97" s="59">
        <f>G98-G96</f>
        <v>158.28573546786069</v>
      </c>
      <c r="H97" s="59">
        <f t="shared" ref="H97" si="70">H98-H96</f>
        <v>42.223159563337276</v>
      </c>
      <c r="I97" s="59">
        <f t="shared" ref="I97" si="71">I98-I96</f>
        <v>46.610220718596736</v>
      </c>
      <c r="J97" s="59">
        <f t="shared" ref="J97" si="72">J98-J96</f>
        <v>51.453105307702117</v>
      </c>
      <c r="K97" s="59">
        <f>K98-K96</f>
        <v>56.799174193766589</v>
      </c>
      <c r="L97" s="59">
        <f t="shared" ref="L97:M97" si="73">L98-L96</f>
        <v>62.700709117568408</v>
      </c>
      <c r="M97" s="59">
        <f t="shared" si="73"/>
        <v>69.215423985466373</v>
      </c>
    </row>
    <row r="98" spans="1:13" x14ac:dyDescent="0.35">
      <c r="C98" s="42" t="s">
        <v>226</v>
      </c>
      <c r="D98" s="42"/>
      <c r="E98" s="42"/>
      <c r="F98" s="84">
        <f>F91</f>
        <v>248.09</v>
      </c>
      <c r="G98" s="57">
        <f>$K92*G95/360</f>
        <v>406.37573546786069</v>
      </c>
      <c r="H98" s="57">
        <f t="shared" ref="H98:K98" si="74">$K92*H95/360</f>
        <v>448.59889503119797</v>
      </c>
      <c r="I98" s="57">
        <f t="shared" si="74"/>
        <v>495.20911574979471</v>
      </c>
      <c r="J98" s="57">
        <f t="shared" si="74"/>
        <v>546.66222105749682</v>
      </c>
      <c r="K98" s="57">
        <f t="shared" si="74"/>
        <v>603.46139525126341</v>
      </c>
      <c r="L98" s="57">
        <f t="shared" ref="L98:M98" si="75">$K92*L95/360</f>
        <v>666.16210436883182</v>
      </c>
      <c r="M98" s="57">
        <f t="shared" si="75"/>
        <v>735.37752835429819</v>
      </c>
    </row>
    <row r="99" spans="1:13" x14ac:dyDescent="0.35"/>
    <row r="100" spans="1:13" x14ac:dyDescent="0.35"/>
    <row r="104" spans="1:13" s="82" customFormat="1" hidden="1" x14ac:dyDescent="0.35">
      <c r="A104" t="s">
        <v>3</v>
      </c>
      <c r="B104" s="82" t="s">
        <v>247</v>
      </c>
    </row>
    <row r="107" spans="1:13" hidden="1" x14ac:dyDescent="0.35">
      <c r="F107" s="44" t="s">
        <v>15</v>
      </c>
      <c r="G107" s="44" t="s">
        <v>16</v>
      </c>
      <c r="H107" s="44" t="s">
        <v>17</v>
      </c>
      <c r="I107" s="44" t="s">
        <v>18</v>
      </c>
      <c r="J107" s="44" t="s">
        <v>19</v>
      </c>
      <c r="K107" s="44" t="s">
        <v>20</v>
      </c>
      <c r="L107" s="44" t="s">
        <v>21</v>
      </c>
      <c r="M107" s="44" t="s">
        <v>22</v>
      </c>
    </row>
    <row r="108" spans="1:13" hidden="1" x14ac:dyDescent="0.35">
      <c r="C108" t="s">
        <v>224</v>
      </c>
      <c r="F108" s="53"/>
      <c r="G108" s="53">
        <f>F111</f>
        <v>1305.52</v>
      </c>
      <c r="H108" s="53">
        <f>G111</f>
        <v>1557.8999731681386</v>
      </c>
      <c r="I108" s="53">
        <f t="shared" ref="I108:K108" si="76">H111</f>
        <v>1836.5026731076</v>
      </c>
      <c r="J108" s="53">
        <f t="shared" si="76"/>
        <v>2144.0526876321146</v>
      </c>
      <c r="K108" s="53">
        <f t="shared" si="76"/>
        <v>2483.5576940609189</v>
      </c>
      <c r="L108" s="53">
        <f t="shared" ref="L108" si="77">K111</f>
        <v>2858.3378727203963</v>
      </c>
      <c r="M108" s="53">
        <f t="shared" ref="M108" si="78">L111</f>
        <v>3272.058376560698</v>
      </c>
    </row>
    <row r="109" spans="1:13" hidden="1" x14ac:dyDescent="0.35">
      <c r="C109" t="s">
        <v>248</v>
      </c>
      <c r="F109" s="53"/>
      <c r="G109" s="53">
        <f>Forecast!M33</f>
        <v>252.37997316813852</v>
      </c>
      <c r="H109" s="53">
        <f>Forecast!N33</f>
        <v>278.60269993946139</v>
      </c>
      <c r="I109" s="53">
        <f>Forecast!O33</f>
        <v>307.55001452451444</v>
      </c>
      <c r="J109" s="53">
        <f>Forecast!P33</f>
        <v>339.50500642880417</v>
      </c>
      <c r="K109" s="53">
        <f>Forecast!Q33</f>
        <v>374.78017865947726</v>
      </c>
      <c r="L109" s="53">
        <f>Forecast!R33</f>
        <v>413.7205038403016</v>
      </c>
      <c r="M109" s="53">
        <f>Forecast!S33</f>
        <v>456.70679786241334</v>
      </c>
    </row>
    <row r="110" spans="1:13" hidden="1" x14ac:dyDescent="0.35">
      <c r="C110" s="38" t="s">
        <v>249</v>
      </c>
      <c r="D110" s="38"/>
      <c r="E110" s="38"/>
      <c r="F110" s="54"/>
      <c r="G110" s="54"/>
      <c r="H110" s="54"/>
      <c r="I110" s="54"/>
      <c r="J110" s="54"/>
      <c r="K110" s="54"/>
      <c r="L110" s="54"/>
      <c r="M110" s="54"/>
    </row>
    <row r="111" spans="1:13" hidden="1" x14ac:dyDescent="0.35">
      <c r="C111" t="s">
        <v>226</v>
      </c>
      <c r="F111" s="53">
        <f>Forecast!L60</f>
        <v>1305.52</v>
      </c>
      <c r="G111" s="53">
        <f>SUM(G108:G110)</f>
        <v>1557.8999731681386</v>
      </c>
      <c r="H111" s="53">
        <f t="shared" ref="H111:K111" si="79">SUM(H108:H110)</f>
        <v>1836.5026731076</v>
      </c>
      <c r="I111" s="53">
        <f t="shared" si="79"/>
        <v>2144.0526876321146</v>
      </c>
      <c r="J111" s="53">
        <f t="shared" si="79"/>
        <v>2483.5576940609189</v>
      </c>
      <c r="K111" s="53">
        <f t="shared" si="79"/>
        <v>2858.3378727203963</v>
      </c>
      <c r="L111" s="53">
        <f t="shared" ref="L111:M111" si="80">SUM(L108:L110)</f>
        <v>3272.058376560698</v>
      </c>
      <c r="M111" s="53">
        <f t="shared" si="80"/>
        <v>3728.7651744231111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1AEB-81BC-45A5-8306-3EE566335F96}">
  <dimension ref="A1:U97"/>
  <sheetViews>
    <sheetView showGridLines="0" topLeftCell="A13" zoomScale="98" zoomScaleNormal="98" workbookViewId="0">
      <selection activeCell="O42" sqref="O42"/>
    </sheetView>
  </sheetViews>
  <sheetFormatPr defaultColWidth="0" defaultRowHeight="14.5" zeroHeight="1" x14ac:dyDescent="0.35"/>
  <cols>
    <col min="1" max="1" width="3.1796875" customWidth="1"/>
    <col min="2" max="2" width="9.1796875" customWidth="1"/>
    <col min="3" max="3" width="6.453125" customWidth="1"/>
    <col min="4" max="4" width="12.453125" bestFit="1" customWidth="1"/>
    <col min="5" max="5" width="16.453125" bestFit="1" customWidth="1"/>
    <col min="6" max="6" width="14.453125" customWidth="1"/>
    <col min="7" max="17" width="9.6328125" bestFit="1" customWidth="1"/>
    <col min="18" max="21" width="9.6328125" hidden="1"/>
  </cols>
  <sheetData>
    <row r="1" spans="1:16" x14ac:dyDescent="0.35"/>
    <row r="2" spans="1:16" x14ac:dyDescent="0.35"/>
    <row r="3" spans="1:16" s="82" customFormat="1" x14ac:dyDescent="0.35">
      <c r="A3" t="s">
        <v>3</v>
      </c>
      <c r="B3" s="82" t="s">
        <v>250</v>
      </c>
    </row>
    <row r="4" spans="1:16" x14ac:dyDescent="0.35"/>
    <row r="5" spans="1:16" ht="15.5" x14ac:dyDescent="0.35">
      <c r="B5" s="487" t="s">
        <v>0</v>
      </c>
      <c r="C5" s="487"/>
      <c r="D5" s="487"/>
      <c r="E5" s="487"/>
      <c r="F5" s="488">
        <v>45291</v>
      </c>
      <c r="G5" s="487"/>
      <c r="H5" s="487"/>
      <c r="I5" s="487"/>
      <c r="J5" s="487"/>
      <c r="K5" s="487"/>
      <c r="L5" s="487"/>
      <c r="M5" s="487"/>
    </row>
    <row r="6" spans="1:16" ht="15.5" x14ac:dyDescent="0.35">
      <c r="B6" s="487" t="s">
        <v>251</v>
      </c>
      <c r="C6" s="487"/>
      <c r="D6" s="487"/>
      <c r="E6" s="487"/>
      <c r="F6" s="489">
        <v>6</v>
      </c>
      <c r="G6" s="487"/>
      <c r="H6" s="487"/>
      <c r="I6" s="487"/>
      <c r="J6" s="487"/>
      <c r="K6" s="487"/>
      <c r="L6" s="487"/>
      <c r="M6" s="487"/>
    </row>
    <row r="7" spans="1:16" ht="15.5" x14ac:dyDescent="0.35">
      <c r="B7" s="487" t="s">
        <v>2</v>
      </c>
      <c r="C7" s="487"/>
      <c r="D7" s="487"/>
      <c r="E7" s="487"/>
      <c r="F7" s="490">
        <f>+EDATE(F5,F6*12)</f>
        <v>47483</v>
      </c>
      <c r="G7" s="487"/>
      <c r="H7" s="487"/>
      <c r="I7" s="487"/>
      <c r="J7" s="487"/>
      <c r="K7" s="487"/>
      <c r="L7" s="487"/>
      <c r="M7" s="487"/>
    </row>
    <row r="8" spans="1:16" ht="15.5" hidden="1" x14ac:dyDescent="0.35">
      <c r="B8" s="487"/>
      <c r="C8" s="487"/>
      <c r="D8" s="487"/>
      <c r="E8" s="487"/>
      <c r="F8" s="487"/>
      <c r="G8" s="487"/>
      <c r="H8" s="487"/>
      <c r="I8" s="487"/>
      <c r="J8" s="487"/>
      <c r="K8" s="487"/>
      <c r="L8" s="487"/>
      <c r="M8" s="487"/>
    </row>
    <row r="9" spans="1:16" ht="15.5" hidden="1" x14ac:dyDescent="0.35">
      <c r="B9" s="487"/>
      <c r="C9" s="487"/>
      <c r="D9" s="487"/>
      <c r="E9" s="487"/>
      <c r="F9" s="487"/>
      <c r="G9" s="487"/>
      <c r="H9" s="487"/>
      <c r="I9" s="487"/>
      <c r="J9" s="487"/>
      <c r="K9" s="487"/>
      <c r="L9" s="487"/>
      <c r="M9" s="487"/>
    </row>
    <row r="10" spans="1:16" ht="15.5" x14ac:dyDescent="0.35">
      <c r="B10" s="487" t="s">
        <v>252</v>
      </c>
      <c r="C10" s="487"/>
      <c r="D10" s="487"/>
      <c r="E10" s="487"/>
      <c r="F10" s="491">
        <v>2.6800000000000001E-2</v>
      </c>
      <c r="G10" s="487"/>
      <c r="H10" s="491"/>
      <c r="I10" s="487"/>
      <c r="J10" s="487"/>
      <c r="K10" s="487"/>
      <c r="L10" s="487"/>
      <c r="M10" s="487"/>
    </row>
    <row r="11" spans="1:16" ht="15.5" x14ac:dyDescent="0.35">
      <c r="B11" s="487"/>
      <c r="C11" s="487"/>
      <c r="D11" s="487"/>
      <c r="E11" s="487"/>
      <c r="F11" s="487"/>
      <c r="G11" s="487"/>
      <c r="H11" s="487"/>
      <c r="I11" s="487"/>
      <c r="J11" s="487"/>
      <c r="K11" s="487"/>
      <c r="L11" s="487"/>
      <c r="M11" s="487"/>
    </row>
    <row r="12" spans="1:16" ht="15.5" hidden="1" x14ac:dyDescent="0.35"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7"/>
    </row>
    <row r="13" spans="1:16" ht="16" thickBot="1" x14ac:dyDescent="0.4">
      <c r="B13" s="487"/>
      <c r="C13" s="487"/>
      <c r="D13" s="487"/>
      <c r="E13" s="487"/>
      <c r="F13" s="374" t="s">
        <v>15</v>
      </c>
      <c r="G13" s="374" t="s">
        <v>16</v>
      </c>
      <c r="H13" s="374" t="s">
        <v>17</v>
      </c>
      <c r="I13" s="374" t="s">
        <v>18</v>
      </c>
      <c r="J13" s="374" t="s">
        <v>19</v>
      </c>
      <c r="K13" s="374" t="s">
        <v>20</v>
      </c>
      <c r="L13" s="374" t="s">
        <v>21</v>
      </c>
      <c r="M13" s="374" t="s">
        <v>22</v>
      </c>
    </row>
    <row r="14" spans="1:16" ht="15.5" x14ac:dyDescent="0.35">
      <c r="B14" s="487" t="s">
        <v>253</v>
      </c>
      <c r="C14" s="487"/>
      <c r="D14" s="487"/>
      <c r="E14" s="487"/>
      <c r="F14" s="492"/>
      <c r="G14" s="493">
        <f>G28</f>
        <v>6302.7605000832018</v>
      </c>
      <c r="H14" s="493">
        <f t="shared" ref="H14:K14" si="0">H28</f>
        <v>5287.6404167360015</v>
      </c>
      <c r="I14" s="493">
        <f t="shared" si="0"/>
        <v>4272.5203333888012</v>
      </c>
      <c r="J14" s="493">
        <f t="shared" si="0"/>
        <v>3257.4002500416009</v>
      </c>
      <c r="K14" s="493">
        <f t="shared" si="0"/>
        <v>2242.2801666944006</v>
      </c>
      <c r="L14" s="493">
        <f t="shared" ref="L14:M14" si="1">L28</f>
        <v>1227.1600833472005</v>
      </c>
      <c r="M14" s="493">
        <f t="shared" si="1"/>
        <v>212.04000000000025</v>
      </c>
    </row>
    <row r="15" spans="1:16" ht="15.5" x14ac:dyDescent="0.35">
      <c r="B15" s="494" t="s">
        <v>254</v>
      </c>
      <c r="C15" s="495"/>
      <c r="D15" s="495"/>
      <c r="E15" s="495"/>
      <c r="F15" s="496"/>
      <c r="G15" s="497">
        <f>-Forecast!M132</f>
        <v>-6032.2629062873702</v>
      </c>
      <c r="H15" s="497">
        <f>-Forecast!N132</f>
        <v>-5051.8639022038451</v>
      </c>
      <c r="I15" s="497">
        <f>-Forecast!O132</f>
        <v>-4085.9251465944367</v>
      </c>
      <c r="J15" s="497">
        <f>-Forecast!P132</f>
        <v>-3136.6270593735444</v>
      </c>
      <c r="K15" s="497">
        <f>-Forecast!Q132</f>
        <v>-2206.3169662332107</v>
      </c>
      <c r="L15" s="497">
        <f>-Forecast!R132</f>
        <v>-1297.5318612393919</v>
      </c>
      <c r="M15" s="497">
        <f>-Forecast!S132</f>
        <v>-413.02302866213165</v>
      </c>
    </row>
    <row r="16" spans="1:16" ht="14.5" customHeight="1" x14ac:dyDescent="0.35">
      <c r="B16" s="487" t="s">
        <v>255</v>
      </c>
      <c r="C16" s="487"/>
      <c r="D16" s="487"/>
      <c r="E16" s="487"/>
      <c r="F16" s="487">
        <f>'Historical-BS'!G153</f>
        <v>212.04</v>
      </c>
      <c r="G16" s="498">
        <f>SUM(G14:G15)</f>
        <v>270.49759379583156</v>
      </c>
      <c r="H16" s="498">
        <f t="shared" ref="H16:K16" si="2">SUM(H14:H15)</f>
        <v>235.7765145321564</v>
      </c>
      <c r="I16" s="498">
        <f t="shared" si="2"/>
        <v>186.59518679436451</v>
      </c>
      <c r="J16" s="498">
        <f t="shared" si="2"/>
        <v>120.77319066805649</v>
      </c>
      <c r="K16" s="498">
        <f t="shared" si="2"/>
        <v>35.963200461189899</v>
      </c>
      <c r="L16" s="498">
        <f>SUM(L14:L15)</f>
        <v>-70.371777892191403</v>
      </c>
      <c r="M16" s="498">
        <f>SUM(M14:M15)</f>
        <v>-200.9830286621314</v>
      </c>
      <c r="N16" s="547"/>
      <c r="O16" s="547"/>
      <c r="P16" s="547"/>
    </row>
    <row r="17" spans="2:17" ht="14.5" customHeight="1" x14ac:dyDescent="0.35">
      <c r="B17" s="487"/>
      <c r="C17" s="487"/>
      <c r="D17" s="487"/>
      <c r="E17" s="487"/>
      <c r="F17" s="487"/>
      <c r="G17" s="487"/>
      <c r="H17" s="487"/>
      <c r="I17" s="487"/>
      <c r="J17" s="487"/>
      <c r="K17" s="487"/>
      <c r="L17" s="487"/>
      <c r="M17" s="487"/>
      <c r="N17" s="547"/>
      <c r="O17" s="547"/>
      <c r="P17" s="547"/>
    </row>
    <row r="18" spans="2:17" x14ac:dyDescent="0.35"/>
    <row r="19" spans="2:17" ht="16" thickBot="1" x14ac:dyDescent="0.4">
      <c r="B19" s="552" t="s">
        <v>256</v>
      </c>
      <c r="C19" s="553"/>
      <c r="D19" s="553"/>
      <c r="F19" s="374" t="s">
        <v>15</v>
      </c>
      <c r="G19" s="374" t="s">
        <v>16</v>
      </c>
      <c r="H19" s="374" t="s">
        <v>17</v>
      </c>
      <c r="I19" s="374" t="s">
        <v>18</v>
      </c>
      <c r="J19" s="374" t="s">
        <v>19</v>
      </c>
      <c r="K19" s="374" t="s">
        <v>20</v>
      </c>
      <c r="L19" s="374" t="s">
        <v>21</v>
      </c>
      <c r="M19" s="374" t="s">
        <v>22</v>
      </c>
      <c r="N19" s="44"/>
      <c r="O19" s="44"/>
      <c r="P19" s="44"/>
      <c r="Q19" s="44"/>
    </row>
    <row r="20" spans="2:17" ht="15.5" x14ac:dyDescent="0.35">
      <c r="B20" s="495" t="s">
        <v>224</v>
      </c>
      <c r="C20" s="495"/>
      <c r="D20" s="495"/>
      <c r="E20" s="495"/>
      <c r="F20" s="495"/>
      <c r="G20" s="499">
        <f>F28</f>
        <v>212.04</v>
      </c>
      <c r="H20" s="499">
        <f t="shared" ref="H20:K20" si="3">G28</f>
        <v>6302.7605000832018</v>
      </c>
      <c r="I20" s="499">
        <f t="shared" si="3"/>
        <v>5287.6404167360015</v>
      </c>
      <c r="J20" s="499">
        <f t="shared" si="3"/>
        <v>4272.5203333888012</v>
      </c>
      <c r="K20" s="499">
        <f t="shared" si="3"/>
        <v>3257.4002500416009</v>
      </c>
      <c r="L20" s="499">
        <f t="shared" ref="L20:M20" si="4">K28</f>
        <v>2242.2801666944006</v>
      </c>
      <c r="M20" s="499">
        <f t="shared" si="4"/>
        <v>1227.1600833472005</v>
      </c>
    </row>
    <row r="21" spans="2:17" ht="15.5" x14ac:dyDescent="0.35">
      <c r="B21" s="487" t="s">
        <v>257</v>
      </c>
      <c r="C21" s="487"/>
      <c r="D21" s="487"/>
      <c r="E21" s="487"/>
      <c r="F21" s="500"/>
      <c r="G21" s="500">
        <f t="shared" ref="G21:J22" si="5">G57</f>
        <v>4060.4803333888008</v>
      </c>
      <c r="H21" s="501">
        <f t="shared" si="5"/>
        <v>0</v>
      </c>
      <c r="I21" s="501">
        <f t="shared" si="5"/>
        <v>0</v>
      </c>
      <c r="J21" s="501">
        <f t="shared" si="5"/>
        <v>0</v>
      </c>
      <c r="K21" s="501">
        <f t="shared" ref="K21:M21" si="6">K57</f>
        <v>0</v>
      </c>
      <c r="L21" s="501">
        <f t="shared" si="6"/>
        <v>0</v>
      </c>
      <c r="M21" s="501">
        <f t="shared" si="6"/>
        <v>0</v>
      </c>
    </row>
    <row r="22" spans="2:17" ht="15.5" x14ac:dyDescent="0.35">
      <c r="B22" s="487" t="s">
        <v>258</v>
      </c>
      <c r="C22" s="487"/>
      <c r="D22" s="487"/>
      <c r="E22" s="487"/>
      <c r="F22" s="500"/>
      <c r="G22" s="500">
        <f t="shared" si="5"/>
        <v>0</v>
      </c>
      <c r="H22" s="501">
        <f t="shared" si="5"/>
        <v>-676.74672223146683</v>
      </c>
      <c r="I22" s="501">
        <f t="shared" si="5"/>
        <v>-676.74672223146683</v>
      </c>
      <c r="J22" s="501">
        <f t="shared" si="5"/>
        <v>-676.74672223146683</v>
      </c>
      <c r="K22" s="501">
        <f t="shared" ref="K22:M22" si="7">K58</f>
        <v>-676.74672223146683</v>
      </c>
      <c r="L22" s="501">
        <f t="shared" si="7"/>
        <v>-676.74672223146683</v>
      </c>
      <c r="M22" s="501">
        <f t="shared" si="7"/>
        <v>-676.74672223146683</v>
      </c>
    </row>
    <row r="23" spans="2:17" ht="15.5" x14ac:dyDescent="0.35">
      <c r="B23" s="487" t="s">
        <v>259</v>
      </c>
      <c r="C23" s="487"/>
      <c r="D23" s="487"/>
      <c r="E23" s="487"/>
      <c r="F23" s="500"/>
      <c r="G23" s="500">
        <f t="shared" ref="G23:J23" si="8">G84</f>
        <v>2030.2401666944004</v>
      </c>
      <c r="H23" s="501">
        <f t="shared" si="8"/>
        <v>0</v>
      </c>
      <c r="I23" s="501">
        <f t="shared" si="8"/>
        <v>0</v>
      </c>
      <c r="J23" s="501">
        <f t="shared" si="8"/>
        <v>0</v>
      </c>
      <c r="K23" s="501">
        <f t="shared" ref="K23:M23" si="9">K84</f>
        <v>0</v>
      </c>
      <c r="L23" s="501">
        <f t="shared" si="9"/>
        <v>0</v>
      </c>
      <c r="M23" s="501">
        <f t="shared" si="9"/>
        <v>0</v>
      </c>
    </row>
    <row r="24" spans="2:17" ht="15.5" x14ac:dyDescent="0.35">
      <c r="B24" s="487" t="s">
        <v>260</v>
      </c>
      <c r="C24" s="487"/>
      <c r="D24" s="487"/>
      <c r="E24" s="487"/>
      <c r="F24" s="500"/>
      <c r="G24" s="500">
        <f t="shared" ref="G24:J24" si="10">G85</f>
        <v>0</v>
      </c>
      <c r="H24" s="501">
        <f t="shared" si="10"/>
        <v>-338.37336111573342</v>
      </c>
      <c r="I24" s="501">
        <f t="shared" si="10"/>
        <v>-338.37336111573342</v>
      </c>
      <c r="J24" s="501">
        <f t="shared" si="10"/>
        <v>-338.37336111573342</v>
      </c>
      <c r="K24" s="501">
        <f t="shared" ref="K24:M24" si="11">K85</f>
        <v>-338.37336111573342</v>
      </c>
      <c r="L24" s="501">
        <f t="shared" si="11"/>
        <v>-338.37336111573342</v>
      </c>
      <c r="M24" s="501">
        <f t="shared" si="11"/>
        <v>-338.37336111573342</v>
      </c>
    </row>
    <row r="25" spans="2:17" ht="15.5" x14ac:dyDescent="0.35">
      <c r="B25" s="487" t="s">
        <v>261</v>
      </c>
      <c r="C25" s="487"/>
      <c r="D25" s="487"/>
      <c r="E25" s="487"/>
      <c r="F25" s="500"/>
      <c r="G25" s="500"/>
      <c r="H25" s="501"/>
      <c r="I25" s="501"/>
      <c r="J25" s="501"/>
      <c r="K25" s="501"/>
      <c r="L25" s="501"/>
      <c r="M25" s="501"/>
    </row>
    <row r="26" spans="2:17" ht="15.5" x14ac:dyDescent="0.35">
      <c r="B26" s="487" t="s">
        <v>262</v>
      </c>
      <c r="C26" s="487"/>
      <c r="D26" s="487"/>
      <c r="E26" s="487"/>
      <c r="F26" s="500"/>
      <c r="G26" s="500"/>
      <c r="H26" s="500"/>
      <c r="I26" s="500"/>
      <c r="J26" s="500"/>
      <c r="K26" s="500"/>
      <c r="L26" s="500"/>
      <c r="M26" s="500"/>
    </row>
    <row r="27" spans="2:17" ht="15.5" x14ac:dyDescent="0.35">
      <c r="B27" s="495" t="s">
        <v>263</v>
      </c>
      <c r="C27" s="495"/>
      <c r="D27" s="495"/>
      <c r="E27" s="495"/>
      <c r="F27" s="502"/>
      <c r="G27" s="502">
        <f>-F14</f>
        <v>0</v>
      </c>
      <c r="H27" s="503"/>
      <c r="I27" s="503"/>
      <c r="J27" s="503"/>
      <c r="K27" s="503"/>
      <c r="L27" s="503"/>
      <c r="M27" s="503"/>
    </row>
    <row r="28" spans="2:17" ht="15.5" x14ac:dyDescent="0.35">
      <c r="B28" s="504" t="s">
        <v>226</v>
      </c>
      <c r="C28" s="504"/>
      <c r="D28" s="504"/>
      <c r="E28" s="504"/>
      <c r="F28" s="505">
        <f>'Historical-BS'!G153</f>
        <v>212.04</v>
      </c>
      <c r="G28" s="505">
        <f t="shared" ref="G28" si="12">SUM(G20:G27)</f>
        <v>6302.7605000832018</v>
      </c>
      <c r="H28" s="505">
        <f t="shared" ref="H28" si="13">SUM(H20:H27)</f>
        <v>5287.6404167360015</v>
      </c>
      <c r="I28" s="505">
        <f t="shared" ref="I28" si="14">SUM(I20:I27)</f>
        <v>4272.5203333888012</v>
      </c>
      <c r="J28" s="505">
        <f t="shared" ref="J28" si="15">SUM(J20:J27)</f>
        <v>3257.4002500416009</v>
      </c>
      <c r="K28" s="505">
        <f t="shared" ref="K28" si="16">SUM(K20:K27)</f>
        <v>2242.2801666944006</v>
      </c>
      <c r="L28" s="505">
        <f t="shared" ref="L28" si="17">SUM(L20:L27)</f>
        <v>1227.1600833472005</v>
      </c>
      <c r="M28" s="505">
        <f t="shared" ref="M28" si="18">SUM(M20:M27)</f>
        <v>212.04000000000025</v>
      </c>
    </row>
    <row r="29" spans="2:17" ht="15.5" x14ac:dyDescent="0.35">
      <c r="B29" s="487"/>
      <c r="C29" s="487"/>
      <c r="D29" s="487"/>
      <c r="E29" s="487"/>
      <c r="F29" s="487"/>
      <c r="G29" s="487"/>
      <c r="H29" s="487"/>
      <c r="I29" s="487"/>
      <c r="J29" s="487"/>
      <c r="K29" s="487"/>
      <c r="L29" s="487"/>
      <c r="M29" s="487"/>
    </row>
    <row r="30" spans="2:17" ht="15.5" hidden="1" x14ac:dyDescent="0.35">
      <c r="B30" s="487"/>
      <c r="C30" s="487"/>
      <c r="D30" s="487"/>
      <c r="E30" s="487"/>
      <c r="F30" s="487"/>
      <c r="G30" s="487"/>
      <c r="H30" s="487"/>
      <c r="I30" s="487"/>
      <c r="J30" s="487"/>
      <c r="K30" s="487"/>
      <c r="L30" s="487"/>
      <c r="M30" s="487"/>
    </row>
    <row r="31" spans="2:17" x14ac:dyDescent="0.35">
      <c r="E31" s="550"/>
      <c r="F31" s="550"/>
      <c r="G31" s="550"/>
      <c r="H31" s="550"/>
      <c r="I31" s="550"/>
      <c r="J31" s="550"/>
      <c r="K31" s="550"/>
      <c r="L31" s="550"/>
      <c r="M31" s="550"/>
      <c r="N31" s="551"/>
    </row>
    <row r="32" spans="2:17" ht="16" thickBot="1" x14ac:dyDescent="0.4">
      <c r="B32" s="552" t="s">
        <v>264</v>
      </c>
      <c r="C32" s="553"/>
      <c r="D32" s="553"/>
      <c r="E32" s="550"/>
      <c r="F32" s="374" t="s">
        <v>15</v>
      </c>
      <c r="G32" s="374" t="s">
        <v>16</v>
      </c>
      <c r="H32" s="374" t="s">
        <v>17</v>
      </c>
      <c r="I32" s="374" t="s">
        <v>18</v>
      </c>
      <c r="J32" s="374" t="s">
        <v>19</v>
      </c>
      <c r="K32" s="374" t="s">
        <v>20</v>
      </c>
      <c r="L32" s="374" t="s">
        <v>21</v>
      </c>
      <c r="M32" s="374" t="s">
        <v>22</v>
      </c>
    </row>
    <row r="33" spans="1:15" ht="15.5" x14ac:dyDescent="0.35">
      <c r="B33" s="487" t="s">
        <v>265</v>
      </c>
      <c r="C33" s="487"/>
      <c r="D33" s="487"/>
      <c r="E33" s="487"/>
      <c r="F33" s="500">
        <f>F70</f>
        <v>0</v>
      </c>
      <c r="G33" s="500">
        <f>G67</f>
        <v>0</v>
      </c>
      <c r="H33" s="500">
        <f t="shared" ref="H33:K34" si="19">H67</f>
        <v>178.09266742243278</v>
      </c>
      <c r="I33" s="500">
        <f t="shared" si="19"/>
        <v>148.41055618536066</v>
      </c>
      <c r="J33" s="500">
        <f t="shared" si="19"/>
        <v>118.72844494828853</v>
      </c>
      <c r="K33" s="500">
        <f t="shared" si="19"/>
        <v>89.046333711216406</v>
      </c>
      <c r="L33" s="500">
        <f t="shared" ref="L33:M33" si="20">L67</f>
        <v>59.364222474144277</v>
      </c>
      <c r="M33" s="500">
        <f t="shared" si="20"/>
        <v>29.682111237072142</v>
      </c>
    </row>
    <row r="34" spans="1:15" ht="15.5" x14ac:dyDescent="0.35">
      <c r="B34" s="487" t="s">
        <v>266</v>
      </c>
      <c r="C34" s="487"/>
      <c r="D34" s="487"/>
      <c r="E34" s="487"/>
      <c r="F34" s="500">
        <f>F71</f>
        <v>0</v>
      </c>
      <c r="G34" s="500">
        <f>G68</f>
        <v>81.209606667776015</v>
      </c>
      <c r="H34" s="500">
        <f t="shared" si="19"/>
        <v>0</v>
      </c>
      <c r="I34" s="500">
        <f t="shared" si="19"/>
        <v>0</v>
      </c>
      <c r="J34" s="500">
        <f t="shared" si="19"/>
        <v>0</v>
      </c>
      <c r="K34" s="500">
        <f t="shared" si="19"/>
        <v>0</v>
      </c>
      <c r="L34" s="500">
        <f t="shared" ref="L34:M34" si="21">L68</f>
        <v>0</v>
      </c>
      <c r="M34" s="500">
        <f t="shared" si="21"/>
        <v>0</v>
      </c>
    </row>
    <row r="35" spans="1:15" ht="15.5" x14ac:dyDescent="0.35">
      <c r="B35" s="487" t="s">
        <v>267</v>
      </c>
      <c r="C35" s="487"/>
      <c r="D35" s="487"/>
      <c r="E35" s="487"/>
      <c r="F35" s="500">
        <f>F97</f>
        <v>0</v>
      </c>
      <c r="G35" s="500">
        <f>G94</f>
        <v>0</v>
      </c>
      <c r="H35" s="500">
        <f t="shared" ref="H35:K35" si="22">H94</f>
        <v>89.046333711216391</v>
      </c>
      <c r="I35" s="500">
        <f t="shared" si="22"/>
        <v>74.205278092680331</v>
      </c>
      <c r="J35" s="500">
        <f t="shared" si="22"/>
        <v>59.364222474144263</v>
      </c>
      <c r="K35" s="500">
        <f t="shared" si="22"/>
        <v>44.523166855608203</v>
      </c>
      <c r="L35" s="500">
        <f t="shared" ref="L35:M35" si="23">L94</f>
        <v>29.682111237072139</v>
      </c>
      <c r="M35" s="500">
        <f t="shared" si="23"/>
        <v>14.841055618536071</v>
      </c>
    </row>
    <row r="36" spans="1:15" ht="15.5" x14ac:dyDescent="0.35">
      <c r="B36" s="487" t="s">
        <v>268</v>
      </c>
      <c r="C36" s="487"/>
      <c r="D36" s="487"/>
      <c r="E36" s="487"/>
      <c r="F36" s="500">
        <f>F98</f>
        <v>0</v>
      </c>
      <c r="G36" s="500">
        <f>G95</f>
        <v>40.604803333888007</v>
      </c>
      <c r="H36" s="500">
        <f t="shared" ref="H36:K36" si="24">H95</f>
        <v>0</v>
      </c>
      <c r="I36" s="500">
        <f t="shared" si="24"/>
        <v>0</v>
      </c>
      <c r="J36" s="500">
        <f t="shared" si="24"/>
        <v>0</v>
      </c>
      <c r="K36" s="500">
        <f t="shared" si="24"/>
        <v>0</v>
      </c>
      <c r="L36" s="500">
        <f t="shared" ref="L36:M36" si="25">L95</f>
        <v>0</v>
      </c>
      <c r="M36" s="500">
        <f t="shared" si="25"/>
        <v>0</v>
      </c>
    </row>
    <row r="37" spans="1:15" ht="15.5" x14ac:dyDescent="0.35">
      <c r="B37" s="487" t="s">
        <v>269</v>
      </c>
      <c r="C37" s="487"/>
      <c r="D37" s="487"/>
      <c r="E37" s="487"/>
      <c r="F37" s="500"/>
      <c r="G37" s="500"/>
      <c r="H37" s="500"/>
      <c r="I37" s="500"/>
      <c r="J37" s="500"/>
      <c r="K37" s="500"/>
      <c r="L37" s="500"/>
      <c r="M37" s="500"/>
    </row>
    <row r="38" spans="1:15" ht="15.5" x14ac:dyDescent="0.35">
      <c r="B38" s="495" t="s">
        <v>270</v>
      </c>
      <c r="C38" s="495"/>
      <c r="D38" s="495"/>
      <c r="E38" s="495"/>
      <c r="F38" s="503"/>
      <c r="G38" s="503"/>
      <c r="H38" s="503"/>
      <c r="I38" s="503"/>
      <c r="J38" s="503"/>
      <c r="K38" s="503"/>
      <c r="L38" s="503"/>
      <c r="M38" s="503"/>
    </row>
    <row r="39" spans="1:15" ht="15.5" x14ac:dyDescent="0.35">
      <c r="B39" s="504" t="s">
        <v>46</v>
      </c>
      <c r="C39" s="504"/>
      <c r="D39" s="504"/>
      <c r="E39" s="504"/>
      <c r="F39" s="505">
        <f>SUM(F33:F38)</f>
        <v>0</v>
      </c>
      <c r="G39" s="505">
        <f>SUM(G33:G38)</f>
        <v>121.81441000166402</v>
      </c>
      <c r="H39" s="505">
        <f t="shared" ref="H39:K39" si="26">SUM(H33:H38)</f>
        <v>267.13900113364917</v>
      </c>
      <c r="I39" s="505">
        <f t="shared" si="26"/>
        <v>222.61583427804101</v>
      </c>
      <c r="J39" s="505">
        <f t="shared" si="26"/>
        <v>178.09266742243278</v>
      </c>
      <c r="K39" s="505">
        <f t="shared" si="26"/>
        <v>133.56950056682462</v>
      </c>
      <c r="L39" s="505">
        <f t="shared" ref="L39" si="27">SUM(L33:L38)</f>
        <v>89.04633371121642</v>
      </c>
      <c r="M39" s="505">
        <f t="shared" ref="M39" si="28">SUM(M33:M38)</f>
        <v>44.52316685560821</v>
      </c>
      <c r="N39" s="53"/>
      <c r="O39" s="53"/>
    </row>
    <row r="40" spans="1:15" ht="15.5" x14ac:dyDescent="0.35">
      <c r="B40" s="487"/>
      <c r="C40" s="487"/>
      <c r="D40" s="487"/>
      <c r="E40" s="487"/>
      <c r="F40" s="487"/>
      <c r="G40" s="487"/>
      <c r="H40" s="487"/>
      <c r="I40" s="487"/>
      <c r="J40" s="487"/>
      <c r="K40" s="487"/>
      <c r="L40" s="487"/>
      <c r="M40" s="487"/>
    </row>
    <row r="41" spans="1:15" x14ac:dyDescent="0.35"/>
    <row r="42" spans="1:15" x14ac:dyDescent="0.35"/>
    <row r="43" spans="1:15" x14ac:dyDescent="0.35"/>
    <row r="44" spans="1:15" s="82" customFormat="1" x14ac:dyDescent="0.35">
      <c r="A44" t="s">
        <v>3</v>
      </c>
      <c r="B44" s="82" t="s">
        <v>271</v>
      </c>
    </row>
    <row r="45" spans="1:15" x14ac:dyDescent="0.35"/>
    <row r="46" spans="1:15" x14ac:dyDescent="0.35">
      <c r="B46" t="s">
        <v>272</v>
      </c>
      <c r="E46" s="39">
        <f>'Exit Valuation  Base Case'!J44</f>
        <v>4060.4803333888008</v>
      </c>
    </row>
    <row r="47" spans="1:15" x14ac:dyDescent="0.35">
      <c r="B47" t="s">
        <v>273</v>
      </c>
      <c r="D47" t="s">
        <v>274</v>
      </c>
      <c r="E47" s="66">
        <v>45291</v>
      </c>
    </row>
    <row r="48" spans="1:15" x14ac:dyDescent="0.35">
      <c r="B48" t="s">
        <v>275</v>
      </c>
      <c r="E48" s="75">
        <v>6</v>
      </c>
      <c r="F48" s="69"/>
    </row>
    <row r="49" spans="2:13" x14ac:dyDescent="0.35">
      <c r="B49" t="s">
        <v>276</v>
      </c>
      <c r="E49" s="76">
        <v>0.02</v>
      </c>
      <c r="F49" s="69"/>
    </row>
    <row r="50" spans="2:13" x14ac:dyDescent="0.35">
      <c r="B50" t="s">
        <v>277</v>
      </c>
      <c r="E50" s="76">
        <v>3.2500000000000001E-2</v>
      </c>
      <c r="F50" s="69"/>
    </row>
    <row r="51" spans="2:13" x14ac:dyDescent="0.35">
      <c r="B51" t="s">
        <v>278</v>
      </c>
      <c r="E51" s="76">
        <v>0.8</v>
      </c>
      <c r="F51" s="69"/>
    </row>
    <row r="52" spans="2:13" x14ac:dyDescent="0.35">
      <c r="B52" t="s">
        <v>279</v>
      </c>
      <c r="E52" s="76">
        <v>0.04</v>
      </c>
      <c r="F52" s="69"/>
    </row>
    <row r="53" spans="2:13" x14ac:dyDescent="0.35"/>
    <row r="54" spans="2:13" x14ac:dyDescent="0.35"/>
    <row r="55" spans="2:13" ht="15" thickBot="1" x14ac:dyDescent="0.4">
      <c r="B55" s="78" t="s">
        <v>280</v>
      </c>
      <c r="F55" s="374" t="s">
        <v>15</v>
      </c>
      <c r="G55" s="374" t="s">
        <v>16</v>
      </c>
      <c r="H55" s="374" t="s">
        <v>17</v>
      </c>
      <c r="I55" s="374" t="s">
        <v>18</v>
      </c>
      <c r="J55" s="374" t="s">
        <v>19</v>
      </c>
      <c r="K55" s="374" t="s">
        <v>20</v>
      </c>
      <c r="L55" s="374" t="s">
        <v>21</v>
      </c>
      <c r="M55" s="374" t="s">
        <v>22</v>
      </c>
    </row>
    <row r="56" spans="2:13" x14ac:dyDescent="0.35">
      <c r="B56" s="38" t="s">
        <v>224</v>
      </c>
      <c r="C56" s="38"/>
      <c r="D56" s="38"/>
      <c r="E56" s="38"/>
      <c r="F56" s="77">
        <v>0</v>
      </c>
      <c r="G56" s="77">
        <f>F59</f>
        <v>0</v>
      </c>
      <c r="H56" s="77">
        <f>G59</f>
        <v>4060.4803333888008</v>
      </c>
      <c r="I56" s="77">
        <f t="shared" ref="I56:K56" si="29">H59</f>
        <v>3383.7336111573341</v>
      </c>
      <c r="J56" s="77">
        <f t="shared" si="29"/>
        <v>2706.9868889258673</v>
      </c>
      <c r="K56" s="77">
        <f t="shared" si="29"/>
        <v>2030.2401666944006</v>
      </c>
      <c r="L56" s="77">
        <f t="shared" ref="L56:M56" si="30">K59</f>
        <v>1353.4934444629339</v>
      </c>
      <c r="M56" s="77">
        <f t="shared" si="30"/>
        <v>676.74672223146706</v>
      </c>
    </row>
    <row r="57" spans="2:13" x14ac:dyDescent="0.35">
      <c r="B57" t="s">
        <v>281</v>
      </c>
      <c r="G57" s="36">
        <f>$E$46</f>
        <v>4060.4803333888008</v>
      </c>
      <c r="M57" s="36"/>
    </row>
    <row r="58" spans="2:13" x14ac:dyDescent="0.35">
      <c r="B58" s="38" t="s">
        <v>282</v>
      </c>
      <c r="C58" s="38"/>
      <c r="D58" s="38"/>
      <c r="E58" s="38"/>
      <c r="F58" s="38"/>
      <c r="G58" s="38"/>
      <c r="H58" s="38">
        <f>-($G$57/6)</f>
        <v>-676.74672223146683</v>
      </c>
      <c r="I58" s="38">
        <f t="shared" ref="I58:M58" si="31">-($G$57/6)</f>
        <v>-676.74672223146683</v>
      </c>
      <c r="J58" s="38">
        <f t="shared" si="31"/>
        <v>-676.74672223146683</v>
      </c>
      <c r="K58" s="38">
        <f t="shared" si="31"/>
        <v>-676.74672223146683</v>
      </c>
      <c r="L58" s="38">
        <f t="shared" si="31"/>
        <v>-676.74672223146683</v>
      </c>
      <c r="M58" s="38">
        <f t="shared" si="31"/>
        <v>-676.74672223146683</v>
      </c>
    </row>
    <row r="59" spans="2:13" x14ac:dyDescent="0.35">
      <c r="B59" s="42" t="s">
        <v>226</v>
      </c>
      <c r="C59" s="42"/>
      <c r="D59" s="42"/>
      <c r="E59" s="42"/>
      <c r="F59" s="375">
        <v>0</v>
      </c>
      <c r="G59" s="375">
        <f>SUM(G56:G58)</f>
        <v>4060.4803333888008</v>
      </c>
      <c r="H59" s="375">
        <f t="shared" ref="H59:K59" si="32">SUM(H56:H58)</f>
        <v>3383.7336111573341</v>
      </c>
      <c r="I59" s="375">
        <f t="shared" si="32"/>
        <v>2706.9868889258673</v>
      </c>
      <c r="J59" s="375">
        <f t="shared" si="32"/>
        <v>2030.2401666944006</v>
      </c>
      <c r="K59" s="375">
        <f t="shared" si="32"/>
        <v>1353.4934444629339</v>
      </c>
      <c r="L59" s="375">
        <f t="shared" ref="L59" si="33">SUM(L56:L58)</f>
        <v>676.74672223146706</v>
      </c>
      <c r="M59" s="375">
        <f t="shared" ref="M59" si="34">SUM(M56:M58)</f>
        <v>0</v>
      </c>
    </row>
    <row r="60" spans="2:13" x14ac:dyDescent="0.35"/>
    <row r="61" spans="2:13" ht="15" thickBot="1" x14ac:dyDescent="0.4">
      <c r="B61" s="78" t="s">
        <v>283</v>
      </c>
      <c r="F61" s="374" t="s">
        <v>15</v>
      </c>
      <c r="G61" s="374" t="s">
        <v>16</v>
      </c>
      <c r="H61" s="374" t="s">
        <v>17</v>
      </c>
      <c r="I61" s="374" t="s">
        <v>18</v>
      </c>
      <c r="J61" s="374" t="s">
        <v>19</v>
      </c>
      <c r="K61" s="374" t="s">
        <v>20</v>
      </c>
      <c r="L61" s="374" t="s">
        <v>21</v>
      </c>
      <c r="M61" s="374" t="s">
        <v>22</v>
      </c>
    </row>
    <row r="62" spans="2:13" x14ac:dyDescent="0.35"/>
    <row r="63" spans="2:13" x14ac:dyDescent="0.35">
      <c r="B63" t="s">
        <v>284</v>
      </c>
      <c r="F63" s="49">
        <f>F10</f>
        <v>2.6800000000000001E-2</v>
      </c>
      <c r="G63" s="49">
        <f>$F$10</f>
        <v>2.6800000000000001E-2</v>
      </c>
      <c r="H63" s="49">
        <f t="shared" ref="H63:M63" si="35">$F$10</f>
        <v>2.6800000000000001E-2</v>
      </c>
      <c r="I63" s="49">
        <f t="shared" si="35"/>
        <v>2.6800000000000001E-2</v>
      </c>
      <c r="J63" s="49">
        <f t="shared" si="35"/>
        <v>2.6800000000000001E-2</v>
      </c>
      <c r="K63" s="49">
        <f t="shared" si="35"/>
        <v>2.6800000000000001E-2</v>
      </c>
      <c r="L63" s="49">
        <f t="shared" si="35"/>
        <v>2.6800000000000001E-2</v>
      </c>
      <c r="M63" s="49">
        <f t="shared" si="35"/>
        <v>2.6800000000000001E-2</v>
      </c>
    </row>
    <row r="64" spans="2:13" x14ac:dyDescent="0.35">
      <c r="B64" s="38" t="s">
        <v>277</v>
      </c>
      <c r="C64" s="38"/>
      <c r="D64" s="38"/>
      <c r="E64" s="38"/>
      <c r="F64" s="79">
        <f>$E$50</f>
        <v>3.2500000000000001E-2</v>
      </c>
      <c r="G64" s="79">
        <f t="shared" ref="G64:M64" si="36">$E$50</f>
        <v>3.2500000000000001E-2</v>
      </c>
      <c r="H64" s="79">
        <f t="shared" si="36"/>
        <v>3.2500000000000001E-2</v>
      </c>
      <c r="I64" s="79">
        <f t="shared" si="36"/>
        <v>3.2500000000000001E-2</v>
      </c>
      <c r="J64" s="79">
        <f t="shared" si="36"/>
        <v>3.2500000000000001E-2</v>
      </c>
      <c r="K64" s="79">
        <f t="shared" si="36"/>
        <v>3.2500000000000001E-2</v>
      </c>
      <c r="L64" s="79">
        <f t="shared" si="36"/>
        <v>3.2500000000000001E-2</v>
      </c>
      <c r="M64" s="79">
        <f t="shared" si="36"/>
        <v>3.2500000000000001E-2</v>
      </c>
    </row>
    <row r="65" spans="1:14" x14ac:dyDescent="0.35">
      <c r="B65" s="42" t="s">
        <v>285</v>
      </c>
      <c r="C65" s="42"/>
      <c r="D65" s="42"/>
      <c r="E65" s="42"/>
      <c r="F65" s="376">
        <f>SUM(F63:F64)</f>
        <v>5.9300000000000005E-2</v>
      </c>
      <c r="G65" s="376">
        <f t="shared" ref="G65:H65" si="37">SUM(G63:G64)</f>
        <v>5.9300000000000005E-2</v>
      </c>
      <c r="H65" s="376">
        <f t="shared" si="37"/>
        <v>5.9300000000000005E-2</v>
      </c>
      <c r="I65" s="376">
        <f t="shared" ref="I65" si="38">SUM(I63:I64)</f>
        <v>5.9300000000000005E-2</v>
      </c>
      <c r="J65" s="376">
        <f t="shared" ref="J65" si="39">SUM(J63:J64)</f>
        <v>5.9300000000000005E-2</v>
      </c>
      <c r="K65" s="376">
        <f t="shared" ref="K65" si="40">SUM(K63:K64)</f>
        <v>5.9300000000000005E-2</v>
      </c>
      <c r="L65" s="376">
        <f t="shared" ref="L65" si="41">SUM(L63:L64)</f>
        <v>5.9300000000000005E-2</v>
      </c>
      <c r="M65" s="376">
        <f t="shared" ref="M65" si="42">SUM(M63:M64)</f>
        <v>5.9300000000000005E-2</v>
      </c>
    </row>
    <row r="66" spans="1:14" x14ac:dyDescent="0.35">
      <c r="B66" s="55" t="s">
        <v>286</v>
      </c>
      <c r="G66" s="26">
        <f>$E$51*$E$52+F65*(1-$E$51)</f>
        <v>4.3859999999999996E-2</v>
      </c>
      <c r="H66" s="26">
        <f t="shared" ref="H66:M66" si="43">$E$51*$E$52+G65*(1-$E$51)</f>
        <v>4.3859999999999996E-2</v>
      </c>
      <c r="I66" s="26">
        <f t="shared" si="43"/>
        <v>4.3859999999999996E-2</v>
      </c>
      <c r="J66" s="26">
        <f t="shared" si="43"/>
        <v>4.3859999999999996E-2</v>
      </c>
      <c r="K66" s="26">
        <f t="shared" si="43"/>
        <v>4.3859999999999996E-2</v>
      </c>
      <c r="L66" s="26">
        <f t="shared" si="43"/>
        <v>4.3859999999999996E-2</v>
      </c>
      <c r="M66" s="26">
        <f t="shared" si="43"/>
        <v>4.3859999999999996E-2</v>
      </c>
    </row>
    <row r="67" spans="1:14" x14ac:dyDescent="0.35">
      <c r="B67" s="55" t="s">
        <v>287</v>
      </c>
      <c r="G67" s="36">
        <f>G56*G66</f>
        <v>0</v>
      </c>
      <c r="H67" s="36">
        <f t="shared" ref="H67" si="44">H56*H66</f>
        <v>178.09266742243278</v>
      </c>
      <c r="I67" s="36">
        <f t="shared" ref="I67" si="45">I56*I66</f>
        <v>148.41055618536066</v>
      </c>
      <c r="J67" s="36">
        <f t="shared" ref="J67" si="46">J56*J66</f>
        <v>118.72844494828853</v>
      </c>
      <c r="K67" s="36">
        <f t="shared" ref="K67" si="47">K56*K66</f>
        <v>89.046333711216406</v>
      </c>
      <c r="L67" s="36">
        <f t="shared" ref="L67" si="48">L56*L66</f>
        <v>59.364222474144277</v>
      </c>
      <c r="M67" s="36">
        <f t="shared" ref="M67" si="49">M56*M66</f>
        <v>29.682111237072142</v>
      </c>
      <c r="N67" s="36"/>
    </row>
    <row r="68" spans="1:14" x14ac:dyDescent="0.35">
      <c r="B68" s="55" t="s">
        <v>276</v>
      </c>
      <c r="G68" s="36">
        <f>G57*$E$49</f>
        <v>81.209606667776015</v>
      </c>
      <c r="H68" s="36">
        <f t="shared" ref="H68" si="50">H57*$E$49</f>
        <v>0</v>
      </c>
      <c r="I68" s="36">
        <f t="shared" ref="I68:M68" si="51">I57*$E$49</f>
        <v>0</v>
      </c>
      <c r="J68" s="36">
        <f t="shared" si="51"/>
        <v>0</v>
      </c>
      <c r="K68" s="36">
        <f t="shared" si="51"/>
        <v>0</v>
      </c>
      <c r="L68" s="36">
        <f t="shared" si="51"/>
        <v>0</v>
      </c>
      <c r="M68" s="36">
        <f t="shared" si="51"/>
        <v>0</v>
      </c>
      <c r="N68" s="36"/>
    </row>
    <row r="69" spans="1:14" x14ac:dyDescent="0.35"/>
    <row r="70" spans="1:14" x14ac:dyDescent="0.35"/>
    <row r="71" spans="1:14" s="82" customFormat="1" x14ac:dyDescent="0.35">
      <c r="A71" t="s">
        <v>3</v>
      </c>
      <c r="B71" s="82" t="s">
        <v>288</v>
      </c>
    </row>
    <row r="72" spans="1:14" x14ac:dyDescent="0.35"/>
    <row r="73" spans="1:14" x14ac:dyDescent="0.35">
      <c r="B73" t="s">
        <v>272</v>
      </c>
      <c r="E73" s="39">
        <f>'Exit Valuation  Base Case'!J45</f>
        <v>2030.2401666944004</v>
      </c>
    </row>
    <row r="74" spans="1:14" x14ac:dyDescent="0.35">
      <c r="B74" t="s">
        <v>273</v>
      </c>
      <c r="D74" t="s">
        <v>274</v>
      </c>
      <c r="E74" s="66">
        <v>45291</v>
      </c>
    </row>
    <row r="75" spans="1:14" x14ac:dyDescent="0.35">
      <c r="B75" t="s">
        <v>275</v>
      </c>
      <c r="E75" s="75">
        <v>6</v>
      </c>
      <c r="F75" s="69"/>
    </row>
    <row r="76" spans="1:14" x14ac:dyDescent="0.35">
      <c r="B76" t="s">
        <v>276</v>
      </c>
      <c r="E76" s="76">
        <v>0.02</v>
      </c>
      <c r="F76" s="69"/>
    </row>
    <row r="77" spans="1:14" x14ac:dyDescent="0.35">
      <c r="B77" t="s">
        <v>277</v>
      </c>
      <c r="E77" s="76">
        <v>0.03</v>
      </c>
      <c r="F77" s="69"/>
    </row>
    <row r="78" spans="1:14" x14ac:dyDescent="0.35">
      <c r="B78" t="s">
        <v>278</v>
      </c>
      <c r="E78" s="76">
        <v>0.8</v>
      </c>
      <c r="F78" s="69"/>
    </row>
    <row r="79" spans="1:14" x14ac:dyDescent="0.35">
      <c r="B79" t="s">
        <v>279</v>
      </c>
      <c r="E79" s="76">
        <v>0.04</v>
      </c>
      <c r="F79" s="69"/>
    </row>
    <row r="80" spans="1:14" x14ac:dyDescent="0.35"/>
    <row r="81" spans="2:14" x14ac:dyDescent="0.35"/>
    <row r="82" spans="2:14" ht="15" thickBot="1" x14ac:dyDescent="0.4">
      <c r="B82" s="78" t="s">
        <v>280</v>
      </c>
      <c r="C82" s="134"/>
      <c r="D82" s="134"/>
      <c r="F82" s="374" t="s">
        <v>15</v>
      </c>
      <c r="G82" s="374" t="s">
        <v>16</v>
      </c>
      <c r="H82" s="374" t="s">
        <v>17</v>
      </c>
      <c r="I82" s="374" t="s">
        <v>18</v>
      </c>
      <c r="J82" s="374" t="s">
        <v>19</v>
      </c>
      <c r="K82" s="374" t="s">
        <v>20</v>
      </c>
      <c r="L82" s="374" t="s">
        <v>21</v>
      </c>
      <c r="M82" s="374" t="s">
        <v>22</v>
      </c>
    </row>
    <row r="83" spans="2:14" x14ac:dyDescent="0.35">
      <c r="B83" s="38" t="s">
        <v>224</v>
      </c>
      <c r="C83" s="38"/>
      <c r="D83" s="38"/>
      <c r="E83" s="38"/>
      <c r="F83" s="77">
        <v>0</v>
      </c>
      <c r="G83" s="77">
        <f>F86</f>
        <v>0</v>
      </c>
      <c r="H83" s="77">
        <f>G86</f>
        <v>2030.2401666944004</v>
      </c>
      <c r="I83" s="77">
        <f t="shared" ref="I83:K83" si="52">H86</f>
        <v>1691.866805578667</v>
      </c>
      <c r="J83" s="77">
        <f t="shared" si="52"/>
        <v>1353.4934444629337</v>
      </c>
      <c r="K83" s="77">
        <f t="shared" si="52"/>
        <v>1015.1200833472003</v>
      </c>
      <c r="L83" s="77">
        <f t="shared" ref="L83:M83" si="53">K86</f>
        <v>676.74672223146695</v>
      </c>
      <c r="M83" s="77">
        <f t="shared" si="53"/>
        <v>338.37336111573353</v>
      </c>
    </row>
    <row r="84" spans="2:14" x14ac:dyDescent="0.35">
      <c r="B84" t="s">
        <v>281</v>
      </c>
      <c r="G84" s="36">
        <f>$E$73</f>
        <v>2030.2401666944004</v>
      </c>
      <c r="M84" s="36"/>
    </row>
    <row r="85" spans="2:14" x14ac:dyDescent="0.35">
      <c r="B85" s="38" t="s">
        <v>282</v>
      </c>
      <c r="C85" s="38"/>
      <c r="D85" s="38"/>
      <c r="E85" s="38"/>
      <c r="F85" s="38"/>
      <c r="G85" s="38"/>
      <c r="H85" s="38">
        <f>(-$G$84/6)</f>
        <v>-338.37336111573342</v>
      </c>
      <c r="I85" s="38">
        <f t="shared" ref="I85:M85" si="54">(-$G$84/6)</f>
        <v>-338.37336111573342</v>
      </c>
      <c r="J85" s="38">
        <f t="shared" si="54"/>
        <v>-338.37336111573342</v>
      </c>
      <c r="K85" s="38">
        <f t="shared" si="54"/>
        <v>-338.37336111573342</v>
      </c>
      <c r="L85" s="38">
        <f t="shared" si="54"/>
        <v>-338.37336111573342</v>
      </c>
      <c r="M85" s="38">
        <f t="shared" si="54"/>
        <v>-338.37336111573342</v>
      </c>
    </row>
    <row r="86" spans="2:14" x14ac:dyDescent="0.35">
      <c r="B86" s="42" t="s">
        <v>226</v>
      </c>
      <c r="C86" s="42"/>
      <c r="D86" s="42"/>
      <c r="E86" s="42"/>
      <c r="F86" s="375">
        <v>0</v>
      </c>
      <c r="G86" s="375">
        <f>SUM(G83:G85)</f>
        <v>2030.2401666944004</v>
      </c>
      <c r="H86" s="375">
        <f t="shared" ref="H86" si="55">SUM(H83:H85)</f>
        <v>1691.866805578667</v>
      </c>
      <c r="I86" s="375">
        <f t="shared" ref="I86" si="56">SUM(I83:I85)</f>
        <v>1353.4934444629337</v>
      </c>
      <c r="J86" s="375">
        <f t="shared" ref="J86" si="57">SUM(J83:J85)</f>
        <v>1015.1200833472003</v>
      </c>
      <c r="K86" s="375">
        <f t="shared" ref="K86" si="58">SUM(K83:K85)</f>
        <v>676.74672223146695</v>
      </c>
      <c r="L86" s="375">
        <f t="shared" ref="L86" si="59">SUM(L83:L85)</f>
        <v>338.37336111573353</v>
      </c>
      <c r="M86" s="375">
        <f t="shared" ref="M86" si="60">SUM(M83:M85)</f>
        <v>0</v>
      </c>
    </row>
    <row r="87" spans="2:14" x14ac:dyDescent="0.35"/>
    <row r="88" spans="2:14" ht="15" thickBot="1" x14ac:dyDescent="0.4">
      <c r="B88" s="78" t="s">
        <v>283</v>
      </c>
      <c r="C88" s="134"/>
      <c r="D88" s="134"/>
      <c r="F88" s="374" t="s">
        <v>15</v>
      </c>
      <c r="G88" s="374" t="s">
        <v>16</v>
      </c>
      <c r="H88" s="374" t="s">
        <v>17</v>
      </c>
      <c r="I88" s="374" t="s">
        <v>18</v>
      </c>
      <c r="J88" s="374" t="s">
        <v>19</v>
      </c>
      <c r="K88" s="374" t="s">
        <v>20</v>
      </c>
      <c r="L88" s="374" t="s">
        <v>21</v>
      </c>
      <c r="M88" s="374" t="s">
        <v>22</v>
      </c>
    </row>
    <row r="89" spans="2:14" x14ac:dyDescent="0.35"/>
    <row r="90" spans="2:14" x14ac:dyDescent="0.35">
      <c r="B90" t="s">
        <v>284</v>
      </c>
      <c r="F90" s="49">
        <f>F10</f>
        <v>2.6800000000000001E-2</v>
      </c>
      <c r="G90" s="49">
        <f>$F$10</f>
        <v>2.6800000000000001E-2</v>
      </c>
      <c r="H90" s="49">
        <f t="shared" ref="H90:M90" si="61">$F$10</f>
        <v>2.6800000000000001E-2</v>
      </c>
      <c r="I90" s="49">
        <f t="shared" si="61"/>
        <v>2.6800000000000001E-2</v>
      </c>
      <c r="J90" s="49">
        <f t="shared" si="61"/>
        <v>2.6800000000000001E-2</v>
      </c>
      <c r="K90" s="49">
        <f t="shared" si="61"/>
        <v>2.6800000000000001E-2</v>
      </c>
      <c r="L90" s="49">
        <f t="shared" si="61"/>
        <v>2.6800000000000001E-2</v>
      </c>
      <c r="M90" s="49">
        <f t="shared" si="61"/>
        <v>2.6800000000000001E-2</v>
      </c>
    </row>
    <row r="91" spans="2:14" x14ac:dyDescent="0.35">
      <c r="B91" s="38" t="s">
        <v>277</v>
      </c>
      <c r="C91" s="38"/>
      <c r="D91" s="38"/>
      <c r="E91" s="38"/>
      <c r="F91" s="79">
        <f>$E$50</f>
        <v>3.2500000000000001E-2</v>
      </c>
      <c r="G91" s="79">
        <f t="shared" ref="G91:M91" si="62">$E$50</f>
        <v>3.2500000000000001E-2</v>
      </c>
      <c r="H91" s="79">
        <f t="shared" si="62"/>
        <v>3.2500000000000001E-2</v>
      </c>
      <c r="I91" s="79">
        <f t="shared" si="62"/>
        <v>3.2500000000000001E-2</v>
      </c>
      <c r="J91" s="79">
        <f t="shared" si="62"/>
        <v>3.2500000000000001E-2</v>
      </c>
      <c r="K91" s="79">
        <f t="shared" si="62"/>
        <v>3.2500000000000001E-2</v>
      </c>
      <c r="L91" s="79">
        <f t="shared" si="62"/>
        <v>3.2500000000000001E-2</v>
      </c>
      <c r="M91" s="79">
        <f t="shared" si="62"/>
        <v>3.2500000000000001E-2</v>
      </c>
    </row>
    <row r="92" spans="2:14" x14ac:dyDescent="0.35">
      <c r="B92" s="42" t="s">
        <v>285</v>
      </c>
      <c r="C92" s="42"/>
      <c r="D92" s="42"/>
      <c r="E92" s="42"/>
      <c r="F92" s="376">
        <f>SUM(F90:F91)</f>
        <v>5.9300000000000005E-2</v>
      </c>
      <c r="G92" s="376">
        <f t="shared" ref="G92" si="63">SUM(G90:G91)</f>
        <v>5.9300000000000005E-2</v>
      </c>
      <c r="H92" s="376">
        <f t="shared" ref="H92" si="64">SUM(H90:H91)</f>
        <v>5.9300000000000005E-2</v>
      </c>
      <c r="I92" s="376">
        <f t="shared" ref="I92" si="65">SUM(I90:I91)</f>
        <v>5.9300000000000005E-2</v>
      </c>
      <c r="J92" s="376">
        <f t="shared" ref="J92" si="66">SUM(J90:J91)</f>
        <v>5.9300000000000005E-2</v>
      </c>
      <c r="K92" s="376">
        <f t="shared" ref="K92" si="67">SUM(K90:K91)</f>
        <v>5.9300000000000005E-2</v>
      </c>
      <c r="L92" s="376">
        <f t="shared" ref="L92" si="68">SUM(L90:L91)</f>
        <v>5.9300000000000005E-2</v>
      </c>
      <c r="M92" s="376">
        <f t="shared" ref="M92" si="69">SUM(M90:M91)</f>
        <v>5.9300000000000005E-2</v>
      </c>
    </row>
    <row r="93" spans="2:14" x14ac:dyDescent="0.35">
      <c r="B93" s="55" t="s">
        <v>286</v>
      </c>
      <c r="G93" s="26">
        <f>$E$78*$E$79+F92*(1-$E$78)</f>
        <v>4.3859999999999996E-2</v>
      </c>
      <c r="H93" s="26">
        <f t="shared" ref="H93:M93" si="70">$E$78*$E$79+G92*(1-$E$78)</f>
        <v>4.3859999999999996E-2</v>
      </c>
      <c r="I93" s="26">
        <f t="shared" si="70"/>
        <v>4.3859999999999996E-2</v>
      </c>
      <c r="J93" s="26">
        <f t="shared" si="70"/>
        <v>4.3859999999999996E-2</v>
      </c>
      <c r="K93" s="26">
        <f t="shared" si="70"/>
        <v>4.3859999999999996E-2</v>
      </c>
      <c r="L93" s="26">
        <f t="shared" si="70"/>
        <v>4.3859999999999996E-2</v>
      </c>
      <c r="M93" s="26">
        <f t="shared" si="70"/>
        <v>4.3859999999999996E-2</v>
      </c>
    </row>
    <row r="94" spans="2:14" x14ac:dyDescent="0.35">
      <c r="B94" s="55" t="s">
        <v>287</v>
      </c>
      <c r="G94" s="36">
        <f>G83*G93</f>
        <v>0</v>
      </c>
      <c r="H94" s="36">
        <f t="shared" ref="H94" si="71">H83*H93</f>
        <v>89.046333711216391</v>
      </c>
      <c r="I94" s="36">
        <f t="shared" ref="I94" si="72">I83*I93</f>
        <v>74.205278092680331</v>
      </c>
      <c r="J94" s="36">
        <f t="shared" ref="J94" si="73">J83*J93</f>
        <v>59.364222474144263</v>
      </c>
      <c r="K94" s="36">
        <f t="shared" ref="K94" si="74">K83*K93</f>
        <v>44.523166855608203</v>
      </c>
      <c r="L94" s="36">
        <f t="shared" ref="L94" si="75">L83*L93</f>
        <v>29.682111237072139</v>
      </c>
      <c r="M94" s="36">
        <f t="shared" ref="M94" si="76">M83*M93</f>
        <v>14.841055618536071</v>
      </c>
      <c r="N94" s="36"/>
    </row>
    <row r="95" spans="2:14" x14ac:dyDescent="0.35">
      <c r="B95" s="55" t="s">
        <v>276</v>
      </c>
      <c r="G95" s="36">
        <f>G84*$E$76</f>
        <v>40.604803333888007</v>
      </c>
      <c r="H95" s="36">
        <f t="shared" ref="H95:K95" si="77">H84*$E$49</f>
        <v>0</v>
      </c>
      <c r="I95" s="36">
        <f t="shared" si="77"/>
        <v>0</v>
      </c>
      <c r="J95" s="36">
        <f t="shared" si="77"/>
        <v>0</v>
      </c>
      <c r="K95" s="36">
        <f t="shared" si="77"/>
        <v>0</v>
      </c>
      <c r="L95" s="36">
        <f t="shared" ref="L95:M95" si="78">L84*$E$49</f>
        <v>0</v>
      </c>
      <c r="M95" s="36">
        <f t="shared" si="78"/>
        <v>0</v>
      </c>
      <c r="N95" s="36"/>
    </row>
    <row r="96" spans="2:14" x14ac:dyDescent="0.35"/>
    <row r="97" x14ac:dyDescent="0.35"/>
  </sheetData>
  <mergeCells count="1">
    <mergeCell ref="N16:P17"/>
  </mergeCells>
  <phoneticPr fontId="17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1"/>
  <sheetViews>
    <sheetView showGridLines="0" topLeftCell="A13" zoomScale="85" zoomScaleNormal="85" workbookViewId="0">
      <pane xSplit="1" ySplit="5" topLeftCell="B171" activePane="bottomRight" state="frozen"/>
      <selection pane="topRight" activeCell="B13" sqref="B13"/>
      <selection pane="bottomLeft" activeCell="A18" sqref="A18"/>
      <selection pane="bottomRight" activeCell="F234" sqref="F234"/>
    </sheetView>
  </sheetViews>
  <sheetFormatPr defaultColWidth="8.81640625" defaultRowHeight="14.5" x14ac:dyDescent="0.35"/>
  <cols>
    <col min="1" max="1" width="59.1796875" customWidth="1"/>
    <col min="2" max="7" width="11.36328125" customWidth="1"/>
  </cols>
  <sheetData>
    <row r="1" spans="1:7" x14ac:dyDescent="0.35">
      <c r="A1" s="388" t="s">
        <v>289</v>
      </c>
      <c r="B1" s="389"/>
    </row>
    <row r="2" spans="1:7" x14ac:dyDescent="0.35">
      <c r="A2" s="390" t="s">
        <v>290</v>
      </c>
    </row>
    <row r="3" spans="1:7" x14ac:dyDescent="0.35">
      <c r="A3" s="390" t="s">
        <v>291</v>
      </c>
    </row>
    <row r="4" spans="1:7" x14ac:dyDescent="0.35">
      <c r="A4" s="390" t="s">
        <v>292</v>
      </c>
    </row>
    <row r="5" spans="1:7" x14ac:dyDescent="0.35">
      <c r="A5" s="390" t="s">
        <v>293</v>
      </c>
    </row>
    <row r="6" spans="1:7" x14ac:dyDescent="0.35">
      <c r="A6" s="390" t="s">
        <v>294</v>
      </c>
    </row>
    <row r="7" spans="1:7" x14ac:dyDescent="0.35">
      <c r="A7" s="390" t="s">
        <v>295</v>
      </c>
    </row>
    <row r="8" spans="1:7" x14ac:dyDescent="0.35">
      <c r="A8" s="390" t="s">
        <v>296</v>
      </c>
    </row>
    <row r="9" spans="1:7" x14ac:dyDescent="0.35">
      <c r="A9" s="390" t="s">
        <v>297</v>
      </c>
    </row>
    <row r="10" spans="1:7" x14ac:dyDescent="0.35">
      <c r="A10" s="390" t="s">
        <v>298</v>
      </c>
    </row>
    <row r="11" spans="1:7" x14ac:dyDescent="0.35">
      <c r="A11" s="389" t="s">
        <v>299</v>
      </c>
      <c r="B11" s="391" t="s">
        <v>300</v>
      </c>
    </row>
    <row r="12" spans="1:7" x14ac:dyDescent="0.35">
      <c r="A12" s="392" t="s">
        <v>301</v>
      </c>
      <c r="B12" s="393">
        <v>43008</v>
      </c>
    </row>
    <row r="13" spans="1:7" x14ac:dyDescent="0.35">
      <c r="A13" s="392" t="s">
        <v>302</v>
      </c>
      <c r="B13" s="393" t="s">
        <v>303</v>
      </c>
    </row>
    <row r="14" spans="1:7" x14ac:dyDescent="0.35">
      <c r="A14" s="408" t="s">
        <v>304</v>
      </c>
      <c r="B14" s="409" t="s">
        <v>305</v>
      </c>
      <c r="C14" s="409" t="s">
        <v>306</v>
      </c>
      <c r="D14" s="409" t="s">
        <v>307</v>
      </c>
      <c r="E14" s="409" t="s">
        <v>308</v>
      </c>
      <c r="F14" s="409" t="s">
        <v>309</v>
      </c>
      <c r="G14" s="409" t="s">
        <v>310</v>
      </c>
    </row>
    <row r="15" spans="1:7" hidden="1" x14ac:dyDescent="0.35">
      <c r="A15" s="394" t="s">
        <v>311</v>
      </c>
    </row>
    <row r="16" spans="1:7" x14ac:dyDescent="0.35">
      <c r="A16" s="377" t="s">
        <v>99</v>
      </c>
      <c r="B16" s="378"/>
      <c r="C16" s="378"/>
      <c r="D16" s="378"/>
      <c r="E16" s="378"/>
      <c r="F16" s="378"/>
      <c r="G16" s="378"/>
    </row>
    <row r="17" spans="1:7" x14ac:dyDescent="0.35">
      <c r="A17" s="387" t="s">
        <v>312</v>
      </c>
      <c r="B17" s="382">
        <v>8.32</v>
      </c>
      <c r="C17" s="382">
        <v>7.84</v>
      </c>
      <c r="D17" s="382">
        <v>22.64</v>
      </c>
      <c r="E17" s="382">
        <v>6.2</v>
      </c>
      <c r="F17" s="382">
        <v>7.44</v>
      </c>
      <c r="G17" s="382">
        <v>7.73</v>
      </c>
    </row>
    <row r="18" spans="1:7" x14ac:dyDescent="0.35">
      <c r="A18" s="380" t="s">
        <v>313</v>
      </c>
      <c r="B18" s="382">
        <v>3.93</v>
      </c>
      <c r="C18" s="382">
        <v>6.68</v>
      </c>
      <c r="D18" s="382">
        <v>22.64</v>
      </c>
      <c r="E18" s="382">
        <v>6.2</v>
      </c>
      <c r="F18" s="382">
        <v>7.44</v>
      </c>
      <c r="G18" s="382">
        <v>7.73</v>
      </c>
    </row>
    <row r="19" spans="1:7" x14ac:dyDescent="0.35">
      <c r="A19" s="380" t="s">
        <v>314</v>
      </c>
      <c r="B19" s="382">
        <v>4.3899999999999997</v>
      </c>
      <c r="C19" s="382">
        <v>1.17</v>
      </c>
      <c r="D19" s="383">
        <v>0</v>
      </c>
      <c r="E19" s="383"/>
      <c r="F19" s="383"/>
      <c r="G19" s="383"/>
    </row>
    <row r="20" spans="1:7" x14ac:dyDescent="0.35">
      <c r="A20" s="380" t="s">
        <v>315</v>
      </c>
      <c r="B20" s="382">
        <v>4.3899999999999997</v>
      </c>
      <c r="C20" s="382">
        <v>1.17</v>
      </c>
      <c r="D20" s="383">
        <v>0</v>
      </c>
      <c r="E20" s="383"/>
      <c r="F20" s="383"/>
      <c r="G20" s="383"/>
    </row>
    <row r="21" spans="1:7" x14ac:dyDescent="0.35">
      <c r="A21" s="387" t="s">
        <v>235</v>
      </c>
      <c r="B21" s="382">
        <v>19.38</v>
      </c>
      <c r="C21" s="382">
        <v>4.72</v>
      </c>
      <c r="D21" s="382">
        <v>2.27</v>
      </c>
      <c r="E21" s="382">
        <v>9.8699999999999992</v>
      </c>
      <c r="F21" s="382">
        <v>6.05</v>
      </c>
      <c r="G21" s="382">
        <v>20.7</v>
      </c>
    </row>
    <row r="22" spans="1:7" x14ac:dyDescent="0.35">
      <c r="A22" s="387" t="s">
        <v>236</v>
      </c>
      <c r="B22" s="385">
        <v>935.9</v>
      </c>
      <c r="C22" s="385">
        <v>981.05</v>
      </c>
      <c r="D22" s="385">
        <v>1000.34</v>
      </c>
      <c r="E22" s="385">
        <v>979.93</v>
      </c>
      <c r="F22" s="385">
        <v>1294.6500000000001</v>
      </c>
      <c r="G22" s="385">
        <v>1366.44</v>
      </c>
    </row>
    <row r="23" spans="1:7" x14ac:dyDescent="0.35">
      <c r="A23" s="380" t="s">
        <v>316</v>
      </c>
      <c r="B23" s="385">
        <v>195.26</v>
      </c>
      <c r="C23" s="385">
        <v>192.33</v>
      </c>
      <c r="D23" s="385">
        <v>205.79</v>
      </c>
      <c r="E23" s="385">
        <v>165.16</v>
      </c>
      <c r="F23" s="385">
        <v>320.81</v>
      </c>
      <c r="G23" s="385">
        <v>414.28</v>
      </c>
    </row>
    <row r="24" spans="1:7" x14ac:dyDescent="0.35">
      <c r="A24" s="380" t="s">
        <v>317</v>
      </c>
      <c r="B24" s="382">
        <v>0.05</v>
      </c>
      <c r="C24" s="383"/>
      <c r="D24" s="383"/>
      <c r="E24" s="382">
        <v>1.86</v>
      </c>
      <c r="F24" s="382">
        <v>2.71</v>
      </c>
      <c r="G24" s="382">
        <v>1.85</v>
      </c>
    </row>
    <row r="25" spans="1:7" x14ac:dyDescent="0.35">
      <c r="A25" s="380" t="s">
        <v>318</v>
      </c>
      <c r="B25" s="382">
        <v>2.81</v>
      </c>
      <c r="C25" s="382">
        <v>3.61</v>
      </c>
      <c r="D25" s="382">
        <v>4.72</v>
      </c>
      <c r="E25" s="382">
        <v>12.6</v>
      </c>
      <c r="F25" s="382">
        <v>19.82</v>
      </c>
      <c r="G25" s="382">
        <v>39.53</v>
      </c>
    </row>
    <row r="26" spans="1:7" x14ac:dyDescent="0.35">
      <c r="A26" s="380" t="s">
        <v>319</v>
      </c>
      <c r="B26" s="385">
        <v>737.79</v>
      </c>
      <c r="C26" s="385">
        <v>785.11</v>
      </c>
      <c r="D26" s="385">
        <v>789.84</v>
      </c>
      <c r="E26" s="385">
        <v>800.32</v>
      </c>
      <c r="F26" s="385">
        <v>951.32</v>
      </c>
      <c r="G26" s="385">
        <v>910.77</v>
      </c>
    </row>
    <row r="27" spans="1:7" x14ac:dyDescent="0.35">
      <c r="A27" s="387" t="s">
        <v>320</v>
      </c>
      <c r="B27" s="385">
        <v>234.3</v>
      </c>
      <c r="C27" s="385">
        <v>248.09</v>
      </c>
      <c r="D27" s="385">
        <v>268.32</v>
      </c>
      <c r="E27" s="385">
        <v>286.36</v>
      </c>
      <c r="F27" s="385">
        <v>286.38</v>
      </c>
      <c r="G27" s="385">
        <v>382.75</v>
      </c>
    </row>
    <row r="28" spans="1:7" x14ac:dyDescent="0.35">
      <c r="A28" s="380" t="s">
        <v>321</v>
      </c>
      <c r="B28" s="385">
        <v>105.47</v>
      </c>
      <c r="C28" s="385">
        <v>105.22</v>
      </c>
      <c r="D28" s="385">
        <v>119.18</v>
      </c>
      <c r="E28" s="385">
        <v>129.77000000000001</v>
      </c>
      <c r="F28" s="385">
        <v>127.56</v>
      </c>
      <c r="G28" s="385">
        <v>179.6</v>
      </c>
    </row>
    <row r="29" spans="1:7" x14ac:dyDescent="0.35">
      <c r="A29" s="380" t="s">
        <v>322</v>
      </c>
      <c r="B29" s="382">
        <v>33.14</v>
      </c>
      <c r="C29" s="382">
        <v>32.53</v>
      </c>
      <c r="D29" s="382">
        <v>41.51</v>
      </c>
      <c r="E29" s="382">
        <v>47.3</v>
      </c>
      <c r="F29" s="382">
        <v>37.380000000000003</v>
      </c>
      <c r="G29" s="382">
        <v>53.83</v>
      </c>
    </row>
    <row r="30" spans="1:7" x14ac:dyDescent="0.35">
      <c r="A30" s="380" t="s">
        <v>323</v>
      </c>
      <c r="B30" s="385">
        <v>128.38</v>
      </c>
      <c r="C30" s="385">
        <v>148.66</v>
      </c>
      <c r="D30" s="385">
        <v>153.81</v>
      </c>
      <c r="E30" s="385">
        <v>164.01</v>
      </c>
      <c r="F30" s="385">
        <v>166.46</v>
      </c>
      <c r="G30" s="385">
        <v>198.01</v>
      </c>
    </row>
    <row r="31" spans="1:7" x14ac:dyDescent="0.35">
      <c r="A31" s="380" t="s">
        <v>324</v>
      </c>
      <c r="B31" s="381">
        <v>-32.69</v>
      </c>
      <c r="C31" s="381">
        <v>-38.32</v>
      </c>
      <c r="D31" s="381">
        <v>-46.18</v>
      </c>
      <c r="E31" s="381">
        <v>-54.72</v>
      </c>
      <c r="F31" s="381">
        <v>-45.02</v>
      </c>
      <c r="G31" s="381">
        <v>-48.7</v>
      </c>
    </row>
    <row r="32" spans="1:7" x14ac:dyDescent="0.35">
      <c r="A32" s="387" t="s">
        <v>325</v>
      </c>
      <c r="B32" s="382">
        <v>9.99</v>
      </c>
      <c r="C32" s="382">
        <v>9.35</v>
      </c>
      <c r="D32" s="382">
        <v>10.76</v>
      </c>
      <c r="E32" s="382">
        <v>8.14</v>
      </c>
      <c r="F32" s="382">
        <v>9.5</v>
      </c>
      <c r="G32" s="382">
        <v>14.25</v>
      </c>
    </row>
    <row r="33" spans="1:7" x14ac:dyDescent="0.35">
      <c r="A33" s="387" t="s">
        <v>326</v>
      </c>
      <c r="B33" s="383"/>
      <c r="C33" s="383"/>
      <c r="D33" s="383"/>
      <c r="E33" s="383"/>
      <c r="F33" s="383"/>
      <c r="G33" s="383"/>
    </row>
    <row r="34" spans="1:7" x14ac:dyDescent="0.35">
      <c r="A34" s="380" t="s">
        <v>93</v>
      </c>
      <c r="B34" s="383"/>
      <c r="C34" s="383"/>
      <c r="D34" s="383"/>
      <c r="E34" s="383"/>
      <c r="F34" s="383"/>
      <c r="G34" s="383"/>
    </row>
    <row r="35" spans="1:7" x14ac:dyDescent="0.35">
      <c r="A35" s="379" t="s">
        <v>327</v>
      </c>
      <c r="B35" s="33">
        <v>1207.8900000000001</v>
      </c>
      <c r="C35" s="33">
        <v>1251.06</v>
      </c>
      <c r="D35" s="33">
        <v>1304.33</v>
      </c>
      <c r="E35" s="33">
        <v>1290.51</v>
      </c>
      <c r="F35" s="33">
        <v>1604.02</v>
      </c>
      <c r="G35" s="33">
        <v>1791.85</v>
      </c>
    </row>
    <row r="36" spans="1:7" x14ac:dyDescent="0.35">
      <c r="A36" s="377" t="s">
        <v>328</v>
      </c>
      <c r="B36" s="378"/>
      <c r="C36" s="378"/>
      <c r="D36" s="378"/>
      <c r="E36" s="378"/>
      <c r="F36" s="378"/>
      <c r="G36" s="378"/>
    </row>
    <row r="37" spans="1:7" x14ac:dyDescent="0.35">
      <c r="A37" s="396" t="s">
        <v>329</v>
      </c>
      <c r="B37" s="382">
        <v>0.12</v>
      </c>
      <c r="C37" s="382">
        <v>0.12</v>
      </c>
      <c r="D37" s="382">
        <v>5.17</v>
      </c>
      <c r="E37" s="382">
        <v>4.1100000000000003</v>
      </c>
      <c r="F37" s="382">
        <v>6.71</v>
      </c>
      <c r="G37" s="382">
        <v>10.83</v>
      </c>
    </row>
    <row r="38" spans="1:7" x14ac:dyDescent="0.35">
      <c r="A38" s="380" t="s">
        <v>330</v>
      </c>
      <c r="B38" s="382">
        <v>0.12</v>
      </c>
      <c r="C38" s="382">
        <v>0.12</v>
      </c>
      <c r="D38" s="382">
        <v>5.17</v>
      </c>
      <c r="E38" s="382">
        <v>4.1100000000000003</v>
      </c>
      <c r="F38" s="382">
        <v>6.71</v>
      </c>
      <c r="G38" s="382">
        <v>10.83</v>
      </c>
    </row>
    <row r="39" spans="1:7" x14ac:dyDescent="0.35">
      <c r="A39" s="387" t="s">
        <v>331</v>
      </c>
      <c r="B39" s="382">
        <v>19.18</v>
      </c>
      <c r="C39" s="383">
        <v>0</v>
      </c>
      <c r="D39" s="383"/>
      <c r="E39" s="383"/>
      <c r="F39" s="383"/>
      <c r="G39" s="383"/>
    </row>
    <row r="40" spans="1:7" x14ac:dyDescent="0.35">
      <c r="A40" s="387" t="s">
        <v>332</v>
      </c>
      <c r="B40" s="382">
        <v>14.57</v>
      </c>
      <c r="C40" s="382">
        <v>9.2899999999999991</v>
      </c>
      <c r="D40" s="382">
        <v>10.96</v>
      </c>
      <c r="E40" s="382">
        <v>9.23</v>
      </c>
      <c r="F40" s="382">
        <v>9.19</v>
      </c>
      <c r="G40" s="382">
        <v>8.6300000000000008</v>
      </c>
    </row>
    <row r="41" spans="1:7" x14ac:dyDescent="0.35">
      <c r="A41" s="380" t="s">
        <v>239</v>
      </c>
      <c r="B41" s="382">
        <v>12.74</v>
      </c>
      <c r="C41" s="382">
        <v>9.15</v>
      </c>
      <c r="D41" s="382">
        <v>10.8</v>
      </c>
      <c r="E41" s="382">
        <v>9.23</v>
      </c>
      <c r="F41" s="382">
        <v>9.19</v>
      </c>
      <c r="G41" s="382">
        <v>8.4700000000000006</v>
      </c>
    </row>
    <row r="42" spans="1:7" x14ac:dyDescent="0.35">
      <c r="A42" s="380" t="s">
        <v>333</v>
      </c>
      <c r="B42" s="382">
        <v>1.82</v>
      </c>
      <c r="C42" s="382">
        <v>0.14000000000000001</v>
      </c>
      <c r="D42" s="382">
        <v>0.17</v>
      </c>
      <c r="E42" s="383"/>
      <c r="F42" s="383"/>
      <c r="G42" s="382">
        <v>0.15</v>
      </c>
    </row>
    <row r="43" spans="1:7" x14ac:dyDescent="0.35">
      <c r="A43" s="387" t="s">
        <v>334</v>
      </c>
      <c r="B43" s="382">
        <v>58.7</v>
      </c>
      <c r="C43" s="382">
        <v>62.63</v>
      </c>
      <c r="D43" s="385">
        <v>116.75</v>
      </c>
      <c r="E43" s="385">
        <v>135.26</v>
      </c>
      <c r="F43" s="385">
        <v>199.56</v>
      </c>
      <c r="G43" s="385">
        <v>236.15</v>
      </c>
    </row>
    <row r="44" spans="1:7" x14ac:dyDescent="0.35">
      <c r="A44" s="380" t="s">
        <v>335</v>
      </c>
      <c r="B44" s="382">
        <v>58.7</v>
      </c>
      <c r="C44" s="382">
        <v>62.63</v>
      </c>
      <c r="D44" s="385">
        <v>116.75</v>
      </c>
      <c r="E44" s="385">
        <v>135.26</v>
      </c>
      <c r="F44" s="385">
        <v>199.56</v>
      </c>
      <c r="G44" s="385">
        <v>236.15</v>
      </c>
    </row>
    <row r="45" spans="1:7" x14ac:dyDescent="0.35">
      <c r="A45" s="384" t="s">
        <v>336</v>
      </c>
      <c r="B45" s="382">
        <v>15.07</v>
      </c>
      <c r="C45" s="382">
        <v>18.489999999999998</v>
      </c>
      <c r="D45" s="382">
        <v>60.41</v>
      </c>
      <c r="E45" s="382">
        <v>67.58</v>
      </c>
      <c r="F45" s="385">
        <v>115.18</v>
      </c>
      <c r="G45" s="385">
        <v>117.08</v>
      </c>
    </row>
    <row r="46" spans="1:7" x14ac:dyDescent="0.35">
      <c r="A46" s="384" t="s">
        <v>337</v>
      </c>
      <c r="B46" s="382">
        <v>14.12</v>
      </c>
      <c r="C46" s="382">
        <v>15.89</v>
      </c>
      <c r="D46" s="382">
        <v>18.13</v>
      </c>
      <c r="E46" s="382">
        <v>18.52</v>
      </c>
      <c r="F46" s="382">
        <v>20.13</v>
      </c>
      <c r="G46" s="382">
        <v>33.43</v>
      </c>
    </row>
    <row r="47" spans="1:7" x14ac:dyDescent="0.35">
      <c r="A47" s="384" t="s">
        <v>338</v>
      </c>
      <c r="B47" s="382">
        <v>2.25</v>
      </c>
      <c r="C47" s="382">
        <v>5.29</v>
      </c>
      <c r="D47" s="382">
        <v>5.62</v>
      </c>
      <c r="E47" s="382">
        <v>15.51</v>
      </c>
      <c r="F47" s="382">
        <v>22.17</v>
      </c>
      <c r="G47" s="382">
        <v>34.85</v>
      </c>
    </row>
    <row r="48" spans="1:7" x14ac:dyDescent="0.35">
      <c r="A48" s="384" t="s">
        <v>339</v>
      </c>
      <c r="B48" s="382">
        <v>27.26</v>
      </c>
      <c r="C48" s="382">
        <v>22.96</v>
      </c>
      <c r="D48" s="382">
        <v>32.6</v>
      </c>
      <c r="E48" s="382">
        <v>33.659999999999997</v>
      </c>
      <c r="F48" s="382">
        <v>42.08</v>
      </c>
      <c r="G48" s="382">
        <v>50.78</v>
      </c>
    </row>
    <row r="49" spans="1:7" x14ac:dyDescent="0.35">
      <c r="A49" s="380" t="s">
        <v>340</v>
      </c>
      <c r="B49" s="385">
        <v>174.35</v>
      </c>
      <c r="C49" s="385">
        <v>196.31</v>
      </c>
      <c r="D49" s="385">
        <v>280.47000000000003</v>
      </c>
      <c r="E49" s="385">
        <v>320.31</v>
      </c>
      <c r="F49" s="385">
        <v>379.88</v>
      </c>
      <c r="G49" s="385">
        <v>458.77</v>
      </c>
    </row>
    <row r="50" spans="1:7" x14ac:dyDescent="0.35">
      <c r="A50" s="384" t="s">
        <v>341</v>
      </c>
      <c r="B50" s="385">
        <v>174.35</v>
      </c>
      <c r="C50" s="385">
        <v>196.31</v>
      </c>
      <c r="D50" s="385">
        <v>280.47000000000003</v>
      </c>
      <c r="E50" s="385">
        <v>320.31</v>
      </c>
      <c r="F50" s="385">
        <v>379.88</v>
      </c>
      <c r="G50" s="385">
        <v>458.77</v>
      </c>
    </row>
    <row r="51" spans="1:7" x14ac:dyDescent="0.35">
      <c r="A51" s="386" t="s">
        <v>342</v>
      </c>
      <c r="B51" s="382">
        <v>48.67</v>
      </c>
      <c r="C51" s="382">
        <v>59.62</v>
      </c>
      <c r="D51" s="385">
        <v>115.02</v>
      </c>
      <c r="E51" s="385">
        <v>130.59</v>
      </c>
      <c r="F51" s="385">
        <v>161.13</v>
      </c>
      <c r="G51" s="385">
        <v>181.88</v>
      </c>
    </row>
    <row r="52" spans="1:7" x14ac:dyDescent="0.35">
      <c r="A52" s="386" t="s">
        <v>343</v>
      </c>
      <c r="B52" s="382">
        <v>41.08</v>
      </c>
      <c r="C52" s="382">
        <v>45.76</v>
      </c>
      <c r="D52" s="382">
        <v>51.84</v>
      </c>
      <c r="E52" s="382">
        <v>56.03</v>
      </c>
      <c r="F52" s="382">
        <v>60.94</v>
      </c>
      <c r="G52" s="382">
        <v>82.48</v>
      </c>
    </row>
    <row r="53" spans="1:7" x14ac:dyDescent="0.35">
      <c r="A53" s="386" t="s">
        <v>344</v>
      </c>
      <c r="B53" s="382">
        <v>2.25</v>
      </c>
      <c r="C53" s="382">
        <v>5.29</v>
      </c>
      <c r="D53" s="382">
        <v>5.62</v>
      </c>
      <c r="E53" s="382">
        <v>15.51</v>
      </c>
      <c r="F53" s="382">
        <v>22.17</v>
      </c>
      <c r="G53" s="382">
        <v>34.85</v>
      </c>
    </row>
    <row r="54" spans="1:7" x14ac:dyDescent="0.35">
      <c r="A54" s="386" t="s">
        <v>345</v>
      </c>
      <c r="B54" s="382">
        <v>82.34</v>
      </c>
      <c r="C54" s="382">
        <v>85.64</v>
      </c>
      <c r="D54" s="385">
        <v>107.99</v>
      </c>
      <c r="E54" s="385">
        <v>118.18</v>
      </c>
      <c r="F54" s="385">
        <v>135.65</v>
      </c>
      <c r="G54" s="385">
        <v>159.57</v>
      </c>
    </row>
    <row r="55" spans="1:7" ht="26" x14ac:dyDescent="0.35">
      <c r="A55" s="380" t="s">
        <v>346</v>
      </c>
      <c r="B55" s="385">
        <v>115.65</v>
      </c>
      <c r="C55" s="385">
        <v>133.66999999999999</v>
      </c>
      <c r="D55" s="385">
        <v>163.72</v>
      </c>
      <c r="E55" s="385">
        <v>185.04</v>
      </c>
      <c r="F55" s="385">
        <v>180.33</v>
      </c>
      <c r="G55" s="385">
        <v>222.63</v>
      </c>
    </row>
    <row r="56" spans="1:7" ht="26" x14ac:dyDescent="0.35">
      <c r="A56" s="384" t="s">
        <v>347</v>
      </c>
      <c r="B56" s="385">
        <v>115.65</v>
      </c>
      <c r="C56" s="385">
        <v>133.66999999999999</v>
      </c>
      <c r="D56" s="385">
        <v>163.72</v>
      </c>
      <c r="E56" s="385">
        <v>185.04</v>
      </c>
      <c r="F56" s="385">
        <v>180.33</v>
      </c>
      <c r="G56" s="385">
        <v>222.63</v>
      </c>
    </row>
    <row r="57" spans="1:7" x14ac:dyDescent="0.35">
      <c r="A57" s="386" t="s">
        <v>348</v>
      </c>
      <c r="B57" s="382">
        <v>33.6</v>
      </c>
      <c r="C57" s="382">
        <v>41.12</v>
      </c>
      <c r="D57" s="382">
        <v>54.62</v>
      </c>
      <c r="E57" s="382">
        <v>63.01</v>
      </c>
      <c r="F57" s="382">
        <v>45.95</v>
      </c>
      <c r="G57" s="382">
        <v>64.8</v>
      </c>
    </row>
    <row r="58" spans="1:7" ht="26" x14ac:dyDescent="0.35">
      <c r="A58" s="386" t="s">
        <v>349</v>
      </c>
      <c r="B58" s="382">
        <v>26.97</v>
      </c>
      <c r="C58" s="382">
        <v>29.87</v>
      </c>
      <c r="D58" s="382">
        <v>33.72</v>
      </c>
      <c r="E58" s="382">
        <v>37.51</v>
      </c>
      <c r="F58" s="382">
        <v>40.81</v>
      </c>
      <c r="G58" s="382">
        <v>49.04</v>
      </c>
    </row>
    <row r="59" spans="1:7" ht="26" x14ac:dyDescent="0.35">
      <c r="A59" s="386" t="s">
        <v>350</v>
      </c>
      <c r="B59" s="383">
        <v>0</v>
      </c>
      <c r="C59" s="383">
        <v>0</v>
      </c>
      <c r="D59" s="383">
        <v>0</v>
      </c>
      <c r="E59" s="383">
        <v>0</v>
      </c>
      <c r="F59" s="383">
        <v>0</v>
      </c>
      <c r="G59" s="383">
        <v>0</v>
      </c>
    </row>
    <row r="60" spans="1:7" ht="26" x14ac:dyDescent="0.35">
      <c r="A60" s="386" t="s">
        <v>351</v>
      </c>
      <c r="B60" s="382">
        <v>55.08</v>
      </c>
      <c r="C60" s="382">
        <v>62.68</v>
      </c>
      <c r="D60" s="382">
        <v>75.39</v>
      </c>
      <c r="E60" s="382">
        <v>84.52</v>
      </c>
      <c r="F60" s="382">
        <v>93.57</v>
      </c>
      <c r="G60" s="385">
        <v>108.78</v>
      </c>
    </row>
    <row r="61" spans="1:7" x14ac:dyDescent="0.35">
      <c r="A61" s="387" t="s">
        <v>352</v>
      </c>
      <c r="B61" s="383">
        <v>0</v>
      </c>
      <c r="C61" s="383"/>
      <c r="D61" s="383"/>
      <c r="E61" s="382">
        <v>3.25</v>
      </c>
      <c r="F61" s="383">
        <v>0</v>
      </c>
      <c r="G61" s="383"/>
    </row>
    <row r="62" spans="1:7" x14ac:dyDescent="0.35">
      <c r="A62" s="387" t="s">
        <v>353</v>
      </c>
      <c r="B62" s="382">
        <v>79.86</v>
      </c>
      <c r="C62" s="382">
        <v>79.23</v>
      </c>
      <c r="D62" s="385">
        <v>102.48</v>
      </c>
      <c r="E62" s="385">
        <v>100.77</v>
      </c>
      <c r="F62" s="382">
        <v>94.08</v>
      </c>
      <c r="G62" s="385">
        <v>105.29</v>
      </c>
    </row>
    <row r="63" spans="1:7" x14ac:dyDescent="0.35">
      <c r="A63" s="380" t="s">
        <v>354</v>
      </c>
      <c r="B63" s="382">
        <v>77.36</v>
      </c>
      <c r="C63" s="382">
        <v>74.25</v>
      </c>
      <c r="D63" s="382">
        <v>96.4</v>
      </c>
      <c r="E63" s="382">
        <v>94.57</v>
      </c>
      <c r="F63" s="382">
        <v>84.96</v>
      </c>
      <c r="G63" s="382">
        <v>71.75</v>
      </c>
    </row>
    <row r="64" spans="1:7" x14ac:dyDescent="0.35">
      <c r="A64" s="380" t="s">
        <v>355</v>
      </c>
      <c r="B64" s="382">
        <v>1.1100000000000001</v>
      </c>
      <c r="C64" s="382">
        <v>3.45</v>
      </c>
      <c r="D64" s="382">
        <v>4.6100000000000003</v>
      </c>
      <c r="E64" s="382">
        <v>5.61</v>
      </c>
      <c r="F64" s="382">
        <v>8.33</v>
      </c>
      <c r="G64" s="382">
        <v>32.35</v>
      </c>
    </row>
    <row r="65" spans="1:7" x14ac:dyDescent="0.35">
      <c r="A65" s="380" t="s">
        <v>356</v>
      </c>
      <c r="B65" s="382">
        <v>1.38</v>
      </c>
      <c r="C65" s="382">
        <v>1.53</v>
      </c>
      <c r="D65" s="382">
        <v>1.48</v>
      </c>
      <c r="E65" s="382">
        <v>0.59</v>
      </c>
      <c r="F65" s="382">
        <v>0.79</v>
      </c>
      <c r="G65" s="382">
        <v>1.19</v>
      </c>
    </row>
    <row r="66" spans="1:7" x14ac:dyDescent="0.35">
      <c r="A66" s="387" t="s">
        <v>357</v>
      </c>
      <c r="B66" s="385">
        <v>242.8</v>
      </c>
      <c r="C66" s="385">
        <v>259.73</v>
      </c>
      <c r="D66" s="385">
        <v>482.43</v>
      </c>
      <c r="E66" s="385">
        <v>471.73</v>
      </c>
      <c r="F66" s="385">
        <v>482.41</v>
      </c>
      <c r="G66" s="385">
        <v>670.08</v>
      </c>
    </row>
    <row r="67" spans="1:7" x14ac:dyDescent="0.35">
      <c r="A67" s="380" t="s">
        <v>358</v>
      </c>
      <c r="B67" s="385">
        <v>174.31</v>
      </c>
      <c r="C67" s="385">
        <v>185.64</v>
      </c>
      <c r="D67" s="385">
        <v>338.09</v>
      </c>
      <c r="E67" s="385">
        <v>326.51</v>
      </c>
      <c r="F67" s="385">
        <v>328.71</v>
      </c>
      <c r="G67" s="385">
        <v>429.65</v>
      </c>
    </row>
    <row r="68" spans="1:7" x14ac:dyDescent="0.35">
      <c r="A68" s="380" t="s">
        <v>359</v>
      </c>
      <c r="B68" s="382">
        <v>68.489999999999995</v>
      </c>
      <c r="C68" s="382">
        <v>74.09</v>
      </c>
      <c r="D68" s="385">
        <v>144.34</v>
      </c>
      <c r="E68" s="385">
        <v>145.22</v>
      </c>
      <c r="F68" s="385">
        <v>153.69999999999999</v>
      </c>
      <c r="G68" s="385">
        <v>240.43</v>
      </c>
    </row>
    <row r="69" spans="1:7" x14ac:dyDescent="0.35">
      <c r="A69" s="384" t="s">
        <v>360</v>
      </c>
      <c r="B69" s="382">
        <v>9.08</v>
      </c>
      <c r="C69" s="382">
        <v>12.15</v>
      </c>
      <c r="D69" s="382">
        <v>13.4</v>
      </c>
      <c r="E69" s="382">
        <v>9.9499999999999993</v>
      </c>
      <c r="F69" s="382">
        <v>6.94</v>
      </c>
      <c r="G69" s="382">
        <v>5.25</v>
      </c>
    </row>
    <row r="70" spans="1:7" x14ac:dyDescent="0.35">
      <c r="A70" s="384" t="s">
        <v>361</v>
      </c>
      <c r="B70" s="382">
        <v>37.659999999999997</v>
      </c>
      <c r="C70" s="382">
        <v>43.34</v>
      </c>
      <c r="D70" s="385">
        <v>116.36</v>
      </c>
      <c r="E70" s="385">
        <v>123.15</v>
      </c>
      <c r="F70" s="385">
        <v>137.12</v>
      </c>
      <c r="G70" s="385">
        <v>224.83</v>
      </c>
    </row>
    <row r="71" spans="1:7" x14ac:dyDescent="0.35">
      <c r="A71" s="384" t="s">
        <v>362</v>
      </c>
      <c r="B71" s="382">
        <v>5.79</v>
      </c>
      <c r="C71" s="382">
        <v>5.23</v>
      </c>
      <c r="D71" s="382">
        <v>5.26</v>
      </c>
      <c r="E71" s="382">
        <v>3.49</v>
      </c>
      <c r="F71" s="382">
        <v>2.88</v>
      </c>
      <c r="G71" s="382">
        <v>4.1100000000000003</v>
      </c>
    </row>
    <row r="72" spans="1:7" ht="26" x14ac:dyDescent="0.35">
      <c r="A72" s="384" t="s">
        <v>363</v>
      </c>
      <c r="B72" s="382">
        <v>6.16</v>
      </c>
      <c r="C72" s="382">
        <v>4.97</v>
      </c>
      <c r="D72" s="382">
        <v>3.77</v>
      </c>
      <c r="E72" s="382">
        <v>3.03</v>
      </c>
      <c r="F72" s="382">
        <v>2.4700000000000002</v>
      </c>
      <c r="G72" s="382">
        <v>1.91</v>
      </c>
    </row>
    <row r="73" spans="1:7" x14ac:dyDescent="0.35">
      <c r="A73" s="384" t="s">
        <v>364</v>
      </c>
      <c r="B73" s="382">
        <v>9.8000000000000007</v>
      </c>
      <c r="C73" s="382">
        <v>8.4</v>
      </c>
      <c r="D73" s="382">
        <v>5.55</v>
      </c>
      <c r="E73" s="382">
        <v>5.6</v>
      </c>
      <c r="F73" s="382">
        <v>4.29</v>
      </c>
      <c r="G73" s="382">
        <v>4.32</v>
      </c>
    </row>
    <row r="74" spans="1:7" x14ac:dyDescent="0.35">
      <c r="A74" s="379" t="s">
        <v>365</v>
      </c>
      <c r="B74" s="33">
        <v>415.22</v>
      </c>
      <c r="C74" s="33">
        <v>411</v>
      </c>
      <c r="D74" s="33">
        <v>717.8</v>
      </c>
      <c r="E74" s="33">
        <v>724.34</v>
      </c>
      <c r="F74" s="33">
        <v>791.95</v>
      </c>
      <c r="G74" s="33">
        <v>1030.96</v>
      </c>
    </row>
    <row r="75" spans="1:7" x14ac:dyDescent="0.35">
      <c r="A75" s="377" t="s">
        <v>102</v>
      </c>
      <c r="B75" s="378"/>
      <c r="C75" s="378"/>
      <c r="D75" s="378"/>
      <c r="E75" s="378"/>
      <c r="F75" s="378"/>
      <c r="G75" s="378"/>
    </row>
    <row r="76" spans="1:7" x14ac:dyDescent="0.35">
      <c r="A76" s="379" t="s">
        <v>102</v>
      </c>
      <c r="B76" s="33">
        <v>1623.11</v>
      </c>
      <c r="C76" s="33">
        <v>1662.05</v>
      </c>
      <c r="D76" s="33">
        <v>2022.13</v>
      </c>
      <c r="E76" s="33">
        <v>2014.85</v>
      </c>
      <c r="F76" s="33">
        <v>2395.9699999999998</v>
      </c>
      <c r="G76" s="33">
        <v>2822.82</v>
      </c>
    </row>
    <row r="77" spans="1:7" x14ac:dyDescent="0.35">
      <c r="A77" s="377" t="s">
        <v>113</v>
      </c>
      <c r="B77" s="378"/>
      <c r="C77" s="378"/>
      <c r="D77" s="378"/>
      <c r="E77" s="378"/>
      <c r="F77" s="378"/>
      <c r="G77" s="378"/>
    </row>
    <row r="78" spans="1:7" x14ac:dyDescent="0.35">
      <c r="A78" s="387" t="s">
        <v>366</v>
      </c>
      <c r="B78" s="385">
        <v>180.72</v>
      </c>
      <c r="C78" s="385">
        <v>199.62</v>
      </c>
      <c r="D78" s="385">
        <v>233.78</v>
      </c>
      <c r="E78" s="385">
        <v>200.97</v>
      </c>
      <c r="F78" s="385">
        <v>283.27999999999997</v>
      </c>
      <c r="G78" s="385">
        <v>342.82</v>
      </c>
    </row>
    <row r="79" spans="1:7" x14ac:dyDescent="0.35">
      <c r="A79" s="380" t="s">
        <v>367</v>
      </c>
      <c r="B79" s="385">
        <v>100.46</v>
      </c>
      <c r="C79" s="385">
        <v>101.44</v>
      </c>
      <c r="D79" s="385">
        <v>118.12</v>
      </c>
      <c r="E79" s="382">
        <v>91.68</v>
      </c>
      <c r="F79" s="385">
        <v>145.47</v>
      </c>
      <c r="G79" s="385">
        <v>189.19</v>
      </c>
    </row>
    <row r="80" spans="1:7" x14ac:dyDescent="0.35">
      <c r="A80" s="380" t="s">
        <v>368</v>
      </c>
      <c r="B80" s="382">
        <v>80.260000000000005</v>
      </c>
      <c r="C80" s="382">
        <v>98.18</v>
      </c>
      <c r="D80" s="385">
        <v>115.66</v>
      </c>
      <c r="E80" s="385">
        <v>109.29</v>
      </c>
      <c r="F80" s="385">
        <v>137.82</v>
      </c>
      <c r="G80" s="385">
        <v>153.63</v>
      </c>
    </row>
    <row r="81" spans="1:7" x14ac:dyDescent="0.35">
      <c r="A81" s="387" t="s">
        <v>369</v>
      </c>
      <c r="B81" s="382">
        <v>9.6300000000000008</v>
      </c>
      <c r="C81" s="382">
        <v>19.239999999999998</v>
      </c>
      <c r="D81" s="382">
        <v>14.85</v>
      </c>
      <c r="E81" s="382">
        <v>15.72</v>
      </c>
      <c r="F81" s="382">
        <v>19.989999999999998</v>
      </c>
      <c r="G81" s="382">
        <v>21.69</v>
      </c>
    </row>
    <row r="82" spans="1:7" x14ac:dyDescent="0.35">
      <c r="A82" s="380" t="s">
        <v>370</v>
      </c>
      <c r="B82" s="382">
        <v>5.73</v>
      </c>
      <c r="C82" s="382">
        <v>15.71</v>
      </c>
      <c r="D82" s="382">
        <v>0.19</v>
      </c>
      <c r="E82" s="382">
        <v>0.21</v>
      </c>
      <c r="F82" s="382">
        <v>0.65</v>
      </c>
      <c r="G82" s="382">
        <v>0.1</v>
      </c>
    </row>
    <row r="83" spans="1:7" x14ac:dyDescent="0.35">
      <c r="A83" s="380" t="s">
        <v>371</v>
      </c>
      <c r="B83" s="382">
        <v>3.89</v>
      </c>
      <c r="C83" s="382">
        <v>3.53</v>
      </c>
      <c r="D83" s="382">
        <v>14.66</v>
      </c>
      <c r="E83" s="382">
        <v>15.51</v>
      </c>
      <c r="F83" s="382">
        <v>19.34</v>
      </c>
      <c r="G83" s="382">
        <v>21.59</v>
      </c>
    </row>
    <row r="84" spans="1:7" x14ac:dyDescent="0.35">
      <c r="A84" s="384" t="s">
        <v>372</v>
      </c>
      <c r="B84" s="382">
        <v>1.08</v>
      </c>
      <c r="C84" s="383"/>
      <c r="D84" s="383"/>
      <c r="E84" s="383"/>
      <c r="F84" s="383"/>
      <c r="G84" s="383"/>
    </row>
    <row r="85" spans="1:7" x14ac:dyDescent="0.35">
      <c r="A85" s="384" t="s">
        <v>373</v>
      </c>
      <c r="B85" s="382">
        <v>2.82</v>
      </c>
      <c r="C85" s="382">
        <v>3.53</v>
      </c>
      <c r="D85" s="382">
        <v>14.66</v>
      </c>
      <c r="E85" s="382">
        <v>15.51</v>
      </c>
      <c r="F85" s="382">
        <v>19.34</v>
      </c>
      <c r="G85" s="382">
        <v>21.59</v>
      </c>
    </row>
    <row r="86" spans="1:7" x14ac:dyDescent="0.35">
      <c r="A86" s="387" t="s">
        <v>374</v>
      </c>
      <c r="B86" s="383"/>
      <c r="C86" s="383"/>
      <c r="D86" s="382">
        <v>18.64</v>
      </c>
      <c r="E86" s="383"/>
      <c r="F86" s="383"/>
      <c r="G86" s="383"/>
    </row>
    <row r="87" spans="1:7" x14ac:dyDescent="0.35">
      <c r="A87" s="387" t="s">
        <v>375</v>
      </c>
      <c r="B87" s="382">
        <v>8.3699999999999992</v>
      </c>
      <c r="C87" s="382">
        <v>12.91</v>
      </c>
      <c r="D87" s="382">
        <v>20.03</v>
      </c>
      <c r="E87" s="382">
        <v>17.260000000000002</v>
      </c>
      <c r="F87" s="382">
        <v>21.56</v>
      </c>
      <c r="G87" s="382">
        <v>16.440000000000001</v>
      </c>
    </row>
    <row r="88" spans="1:7" x14ac:dyDescent="0.35">
      <c r="A88" s="387" t="s">
        <v>376</v>
      </c>
      <c r="B88" s="385">
        <v>117.36</v>
      </c>
      <c r="C88" s="382">
        <v>48.41</v>
      </c>
      <c r="D88" s="382">
        <v>52.3</v>
      </c>
      <c r="E88" s="382">
        <v>63.63</v>
      </c>
      <c r="F88" s="385">
        <v>123.29</v>
      </c>
      <c r="G88" s="385">
        <v>158.38</v>
      </c>
    </row>
    <row r="89" spans="1:7" x14ac:dyDescent="0.35">
      <c r="A89" s="380" t="s">
        <v>377</v>
      </c>
      <c r="B89" s="382">
        <v>18.38</v>
      </c>
      <c r="C89" s="382">
        <v>18.3</v>
      </c>
      <c r="D89" s="383">
        <v>0</v>
      </c>
      <c r="E89" s="382">
        <v>24.04</v>
      </c>
      <c r="F89" s="382">
        <v>31.54</v>
      </c>
      <c r="G89" s="382">
        <v>39.909999999999997</v>
      </c>
    </row>
    <row r="90" spans="1:7" x14ac:dyDescent="0.35">
      <c r="A90" s="380" t="s">
        <v>378</v>
      </c>
      <c r="B90" s="382">
        <v>6.09</v>
      </c>
      <c r="C90" s="382">
        <v>6.4</v>
      </c>
      <c r="D90" s="383">
        <v>0</v>
      </c>
      <c r="E90" s="383"/>
      <c r="F90" s="383"/>
      <c r="G90" s="383"/>
    </row>
    <row r="91" spans="1:7" x14ac:dyDescent="0.35">
      <c r="A91" s="380" t="s">
        <v>379</v>
      </c>
      <c r="B91" s="382">
        <v>23.12</v>
      </c>
      <c r="C91" s="382">
        <v>21.05</v>
      </c>
      <c r="D91" s="382">
        <v>19.739999999999998</v>
      </c>
      <c r="E91" s="382">
        <v>17.760000000000002</v>
      </c>
      <c r="F91" s="382">
        <v>19.489999999999998</v>
      </c>
      <c r="G91" s="382">
        <v>20.41</v>
      </c>
    </row>
    <row r="92" spans="1:7" x14ac:dyDescent="0.35">
      <c r="A92" s="380" t="s">
        <v>380</v>
      </c>
      <c r="B92" s="382">
        <v>69.78</v>
      </c>
      <c r="C92" s="382">
        <v>2.67</v>
      </c>
      <c r="D92" s="382">
        <v>32.56</v>
      </c>
      <c r="E92" s="382">
        <v>21.84</v>
      </c>
      <c r="F92" s="382">
        <v>72.260000000000005</v>
      </c>
      <c r="G92" s="382">
        <v>98.06</v>
      </c>
    </row>
    <row r="93" spans="1:7" x14ac:dyDescent="0.35">
      <c r="A93" s="379" t="s">
        <v>381</v>
      </c>
      <c r="B93" s="33">
        <v>316.08</v>
      </c>
      <c r="C93" s="33">
        <v>280.18</v>
      </c>
      <c r="D93" s="33">
        <v>339.6</v>
      </c>
      <c r="E93" s="33">
        <v>297.58</v>
      </c>
      <c r="F93" s="33">
        <v>448.12</v>
      </c>
      <c r="G93" s="33">
        <v>539.32000000000005</v>
      </c>
    </row>
    <row r="94" spans="1:7" x14ac:dyDescent="0.35">
      <c r="A94" s="377" t="s">
        <v>382</v>
      </c>
      <c r="B94" s="378"/>
      <c r="C94" s="378"/>
      <c r="D94" s="378"/>
      <c r="E94" s="378"/>
      <c r="F94" s="378"/>
      <c r="G94" s="378"/>
    </row>
    <row r="95" spans="1:7" x14ac:dyDescent="0.35">
      <c r="A95" s="387" t="s">
        <v>383</v>
      </c>
      <c r="B95" s="382">
        <v>3.59</v>
      </c>
      <c r="C95" s="382">
        <v>7.32</v>
      </c>
      <c r="D95" s="385">
        <v>151.84</v>
      </c>
      <c r="E95" s="385">
        <v>140.63999999999999</v>
      </c>
      <c r="F95" s="385">
        <v>178.43</v>
      </c>
      <c r="G95" s="385">
        <v>198.09</v>
      </c>
    </row>
    <row r="96" spans="1:7" x14ac:dyDescent="0.35">
      <c r="A96" s="380" t="s">
        <v>384</v>
      </c>
      <c r="B96" s="382">
        <v>0.59</v>
      </c>
      <c r="C96" s="383">
        <v>0</v>
      </c>
      <c r="D96" s="385">
        <v>109.01</v>
      </c>
      <c r="E96" s="382">
        <v>87.54</v>
      </c>
      <c r="F96" s="382">
        <v>76.5</v>
      </c>
      <c r="G96" s="382">
        <v>91.77</v>
      </c>
    </row>
    <row r="97" spans="1:7" x14ac:dyDescent="0.35">
      <c r="A97" s="384" t="s">
        <v>385</v>
      </c>
      <c r="B97" s="382">
        <v>0.59</v>
      </c>
      <c r="C97" s="383">
        <v>0</v>
      </c>
      <c r="D97" s="385">
        <v>109.01</v>
      </c>
      <c r="E97" s="382">
        <v>87.54</v>
      </c>
      <c r="F97" s="382">
        <v>76.5</v>
      </c>
      <c r="G97" s="382">
        <v>91.77</v>
      </c>
    </row>
    <row r="98" spans="1:7" x14ac:dyDescent="0.35">
      <c r="A98" s="380" t="s">
        <v>386</v>
      </c>
      <c r="B98" s="382">
        <v>3</v>
      </c>
      <c r="C98" s="382">
        <v>7.32</v>
      </c>
      <c r="D98" s="382">
        <v>42.83</v>
      </c>
      <c r="E98" s="382">
        <v>53.09</v>
      </c>
      <c r="F98" s="385">
        <v>101.93</v>
      </c>
      <c r="G98" s="385">
        <v>106.32</v>
      </c>
    </row>
    <row r="99" spans="1:7" x14ac:dyDescent="0.35">
      <c r="A99" s="387" t="s">
        <v>387</v>
      </c>
      <c r="B99" s="382">
        <v>8.92</v>
      </c>
      <c r="C99" s="382">
        <v>5.23</v>
      </c>
      <c r="D99" s="382">
        <v>18.2</v>
      </c>
      <c r="E99" s="382">
        <v>17.170000000000002</v>
      </c>
      <c r="F99" s="382">
        <v>15.44</v>
      </c>
      <c r="G99" s="382">
        <v>22.38</v>
      </c>
    </row>
    <row r="100" spans="1:7" x14ac:dyDescent="0.35">
      <c r="A100" s="380" t="s">
        <v>388</v>
      </c>
      <c r="B100" s="382">
        <v>8.92</v>
      </c>
      <c r="C100" s="382">
        <v>5.23</v>
      </c>
      <c r="D100" s="382">
        <v>18.2</v>
      </c>
      <c r="E100" s="382">
        <v>17.170000000000002</v>
      </c>
      <c r="F100" s="382">
        <v>15.44</v>
      </c>
      <c r="G100" s="382">
        <v>22.38</v>
      </c>
    </row>
    <row r="101" spans="1:7" x14ac:dyDescent="0.35">
      <c r="A101" s="387" t="s">
        <v>389</v>
      </c>
      <c r="B101" s="382">
        <v>52.79</v>
      </c>
      <c r="C101" s="382">
        <v>54.68</v>
      </c>
      <c r="D101" s="382">
        <v>95.54</v>
      </c>
      <c r="E101" s="385">
        <v>108.91</v>
      </c>
      <c r="F101" s="382">
        <v>76.599999999999994</v>
      </c>
      <c r="G101" s="382">
        <v>32.94</v>
      </c>
    </row>
    <row r="102" spans="1:7" x14ac:dyDescent="0.35">
      <c r="A102" s="380" t="s">
        <v>390</v>
      </c>
      <c r="B102" s="382">
        <v>48.01</v>
      </c>
      <c r="C102" s="382">
        <v>48.93</v>
      </c>
      <c r="D102" s="382">
        <v>87</v>
      </c>
      <c r="E102" s="382">
        <v>98.25</v>
      </c>
      <c r="F102" s="382">
        <v>61.87</v>
      </c>
      <c r="G102" s="382">
        <v>15.5</v>
      </c>
    </row>
    <row r="103" spans="1:7" x14ac:dyDescent="0.35">
      <c r="A103" s="384" t="s">
        <v>391</v>
      </c>
      <c r="B103" s="382">
        <v>40.61</v>
      </c>
      <c r="C103" s="382">
        <v>44.74</v>
      </c>
      <c r="D103" s="382">
        <v>82.46</v>
      </c>
      <c r="E103" s="382">
        <v>89.38</v>
      </c>
      <c r="F103" s="382">
        <v>54.46</v>
      </c>
      <c r="G103" s="382">
        <v>8.48</v>
      </c>
    </row>
    <row r="104" spans="1:7" x14ac:dyDescent="0.35">
      <c r="A104" s="384" t="s">
        <v>392</v>
      </c>
      <c r="B104" s="382">
        <v>7.4</v>
      </c>
      <c r="C104" s="382">
        <v>4.18</v>
      </c>
      <c r="D104" s="382">
        <v>4.54</v>
      </c>
      <c r="E104" s="382">
        <v>8.8699999999999992</v>
      </c>
      <c r="F104" s="382">
        <v>7.41</v>
      </c>
      <c r="G104" s="382">
        <v>7.02</v>
      </c>
    </row>
    <row r="105" spans="1:7" x14ac:dyDescent="0.35">
      <c r="A105" s="380" t="s">
        <v>393</v>
      </c>
      <c r="B105" s="382">
        <v>4.78</v>
      </c>
      <c r="C105" s="382">
        <v>5.76</v>
      </c>
      <c r="D105" s="382">
        <v>8.5399999999999991</v>
      </c>
      <c r="E105" s="382">
        <v>10.66</v>
      </c>
      <c r="F105" s="382">
        <v>14.74</v>
      </c>
      <c r="G105" s="382">
        <v>17.45</v>
      </c>
    </row>
    <row r="106" spans="1:7" x14ac:dyDescent="0.35">
      <c r="A106" s="387" t="s">
        <v>394</v>
      </c>
      <c r="B106" s="382">
        <v>65.3</v>
      </c>
      <c r="C106" s="382">
        <v>67.239999999999995</v>
      </c>
      <c r="D106" s="385">
        <v>265.57</v>
      </c>
      <c r="E106" s="385">
        <v>266.70999999999998</v>
      </c>
      <c r="F106" s="385">
        <v>270.47000000000003</v>
      </c>
      <c r="G106" s="385">
        <v>253.41</v>
      </c>
    </row>
    <row r="107" spans="1:7" x14ac:dyDescent="0.35">
      <c r="A107" s="377" t="s">
        <v>395</v>
      </c>
      <c r="B107" s="378"/>
      <c r="C107" s="378"/>
      <c r="D107" s="378"/>
      <c r="E107" s="378"/>
      <c r="F107" s="378"/>
      <c r="G107" s="378"/>
    </row>
    <row r="108" spans="1:7" x14ac:dyDescent="0.35">
      <c r="A108" s="379" t="s">
        <v>395</v>
      </c>
      <c r="B108" s="33">
        <v>381.37</v>
      </c>
      <c r="C108" s="33">
        <v>347.42</v>
      </c>
      <c r="D108" s="33">
        <v>605.16999999999996</v>
      </c>
      <c r="E108" s="33">
        <v>564.29</v>
      </c>
      <c r="F108" s="33">
        <v>718.59</v>
      </c>
      <c r="G108" s="33">
        <v>792.73</v>
      </c>
    </row>
    <row r="109" spans="1:7" x14ac:dyDescent="0.35">
      <c r="A109" s="377" t="s">
        <v>396</v>
      </c>
      <c r="B109" s="378"/>
      <c r="C109" s="378"/>
      <c r="D109" s="378"/>
      <c r="E109" s="378"/>
      <c r="F109" s="378"/>
      <c r="G109" s="378"/>
    </row>
    <row r="110" spans="1:7" x14ac:dyDescent="0.35">
      <c r="A110" s="387" t="s">
        <v>397</v>
      </c>
      <c r="B110" s="385">
        <v>1215.3800000000001</v>
      </c>
      <c r="C110" s="385">
        <v>1293.46</v>
      </c>
      <c r="D110" s="385">
        <v>1398.44</v>
      </c>
      <c r="E110" s="385">
        <v>1431.72</v>
      </c>
      <c r="F110" s="385">
        <v>1659.33</v>
      </c>
      <c r="G110" s="385">
        <v>2015.1</v>
      </c>
    </row>
    <row r="111" spans="1:7" x14ac:dyDescent="0.35">
      <c r="A111" s="380" t="s">
        <v>398</v>
      </c>
      <c r="B111" s="385">
        <v>1215.3800000000001</v>
      </c>
      <c r="C111" s="385">
        <v>1293.46</v>
      </c>
      <c r="D111" s="385">
        <v>1398.44</v>
      </c>
      <c r="E111" s="385">
        <v>1431.72</v>
      </c>
      <c r="F111" s="385">
        <v>1659.33</v>
      </c>
      <c r="G111" s="385">
        <v>2015.1</v>
      </c>
    </row>
    <row r="112" spans="1:7" x14ac:dyDescent="0.35">
      <c r="A112" s="384" t="s">
        <v>399</v>
      </c>
      <c r="B112" s="385">
        <v>709.58</v>
      </c>
      <c r="C112" s="385">
        <v>709.58</v>
      </c>
      <c r="D112" s="385">
        <v>709.58</v>
      </c>
      <c r="E112" s="385">
        <v>709.58</v>
      </c>
      <c r="F112" s="385">
        <v>709.58</v>
      </c>
      <c r="G112" s="385">
        <v>709.58</v>
      </c>
    </row>
    <row r="113" spans="1:7" x14ac:dyDescent="0.35">
      <c r="A113" s="386" t="s">
        <v>400</v>
      </c>
      <c r="B113" s="382">
        <v>89.44</v>
      </c>
      <c r="C113" s="382">
        <v>89.44</v>
      </c>
      <c r="D113" s="382">
        <v>89.44</v>
      </c>
      <c r="E113" s="382">
        <v>89.44</v>
      </c>
      <c r="F113" s="382">
        <v>89.44</v>
      </c>
      <c r="G113" s="382">
        <v>89.44</v>
      </c>
    </row>
    <row r="114" spans="1:7" ht="26" x14ac:dyDescent="0.35">
      <c r="A114" s="386" t="s">
        <v>401</v>
      </c>
      <c r="B114" s="385">
        <v>620.14</v>
      </c>
      <c r="C114" s="385">
        <v>620.14</v>
      </c>
      <c r="D114" s="385">
        <v>620.14</v>
      </c>
      <c r="E114" s="385">
        <v>620.14</v>
      </c>
      <c r="F114" s="385">
        <v>620.14</v>
      </c>
      <c r="G114" s="385">
        <v>620.14</v>
      </c>
    </row>
    <row r="115" spans="1:7" x14ac:dyDescent="0.35">
      <c r="A115" s="384" t="s">
        <v>402</v>
      </c>
      <c r="B115" s="385">
        <v>505.8</v>
      </c>
      <c r="C115" s="385">
        <v>583.89</v>
      </c>
      <c r="D115" s="385">
        <v>688.86</v>
      </c>
      <c r="E115" s="385">
        <v>722.14</v>
      </c>
      <c r="F115" s="385">
        <v>949.75</v>
      </c>
      <c r="G115" s="385">
        <v>1305.52</v>
      </c>
    </row>
    <row r="116" spans="1:7" x14ac:dyDescent="0.35">
      <c r="A116" s="386" t="s">
        <v>403</v>
      </c>
      <c r="B116" s="385">
        <v>555.22</v>
      </c>
      <c r="C116" s="385">
        <v>632.49</v>
      </c>
      <c r="D116" s="385">
        <v>744.67</v>
      </c>
      <c r="E116" s="385">
        <v>808.92</v>
      </c>
      <c r="F116" s="385">
        <v>1000.48</v>
      </c>
      <c r="G116" s="385">
        <v>1213.8900000000001</v>
      </c>
    </row>
    <row r="117" spans="1:7" x14ac:dyDescent="0.35">
      <c r="A117" s="386" t="s">
        <v>404</v>
      </c>
      <c r="B117" s="381">
        <v>-49.42</v>
      </c>
      <c r="C117" s="381">
        <v>-48.6</v>
      </c>
      <c r="D117" s="381">
        <v>-55.81</v>
      </c>
      <c r="E117" s="381">
        <v>-86.78</v>
      </c>
      <c r="F117" s="381">
        <v>-50.73</v>
      </c>
      <c r="G117" s="382">
        <v>91.63</v>
      </c>
    </row>
    <row r="118" spans="1:7" x14ac:dyDescent="0.35">
      <c r="A118" s="395" t="s">
        <v>405</v>
      </c>
      <c r="B118" s="381">
        <v>-49.42</v>
      </c>
      <c r="C118" s="381">
        <v>-48.6</v>
      </c>
      <c r="D118" s="381">
        <v>-55.81</v>
      </c>
      <c r="E118" s="381">
        <v>-86.78</v>
      </c>
      <c r="F118" s="381">
        <v>-50.73</v>
      </c>
      <c r="G118" s="382">
        <v>91.63</v>
      </c>
    </row>
    <row r="119" spans="1:7" x14ac:dyDescent="0.35">
      <c r="A119" s="380" t="s">
        <v>406</v>
      </c>
      <c r="B119" s="385">
        <v>1215.3800000000001</v>
      </c>
      <c r="C119" s="385">
        <v>1293.46</v>
      </c>
      <c r="D119" s="385">
        <v>1398.44</v>
      </c>
      <c r="E119" s="385">
        <v>1431.72</v>
      </c>
      <c r="F119" s="385">
        <v>1659.33</v>
      </c>
      <c r="G119" s="385">
        <v>2015.1</v>
      </c>
    </row>
    <row r="120" spans="1:7" x14ac:dyDescent="0.35">
      <c r="A120" s="387" t="s">
        <v>407</v>
      </c>
      <c r="B120" s="382">
        <v>26.36</v>
      </c>
      <c r="C120" s="382">
        <v>21.17</v>
      </c>
      <c r="D120" s="382">
        <v>18.52</v>
      </c>
      <c r="E120" s="382">
        <v>18.84</v>
      </c>
      <c r="F120" s="382">
        <v>18.059999999999999</v>
      </c>
      <c r="G120" s="382">
        <v>14.99</v>
      </c>
    </row>
    <row r="121" spans="1:7" x14ac:dyDescent="0.35">
      <c r="A121" s="377" t="s">
        <v>408</v>
      </c>
      <c r="B121" s="378"/>
      <c r="C121" s="378"/>
      <c r="D121" s="378"/>
      <c r="E121" s="378"/>
      <c r="F121" s="378"/>
      <c r="G121" s="378"/>
    </row>
    <row r="122" spans="1:7" x14ac:dyDescent="0.35">
      <c r="A122" s="379" t="s">
        <v>409</v>
      </c>
      <c r="B122" s="33">
        <v>1241.73</v>
      </c>
      <c r="C122" s="33">
        <v>1314.63</v>
      </c>
      <c r="D122" s="33">
        <v>1416.96</v>
      </c>
      <c r="E122" s="33">
        <v>1450.56</v>
      </c>
      <c r="F122" s="33">
        <v>1677.38</v>
      </c>
      <c r="G122" s="33">
        <v>2030.09</v>
      </c>
    </row>
    <row r="123" spans="1:7" x14ac:dyDescent="0.35">
      <c r="A123" s="377" t="s">
        <v>410</v>
      </c>
      <c r="B123" s="378"/>
      <c r="C123" s="378"/>
      <c r="D123" s="378"/>
      <c r="E123" s="378"/>
      <c r="F123" s="378"/>
      <c r="G123" s="378"/>
    </row>
    <row r="124" spans="1:7" x14ac:dyDescent="0.35">
      <c r="A124" s="379" t="s">
        <v>411</v>
      </c>
      <c r="B124" s="33">
        <v>1623.11</v>
      </c>
      <c r="C124" s="33">
        <v>1662.05</v>
      </c>
      <c r="D124" s="33">
        <v>2022.13</v>
      </c>
      <c r="E124" s="33">
        <v>2014.85</v>
      </c>
      <c r="F124" s="33">
        <v>2395.9699999999998</v>
      </c>
      <c r="G124" s="33">
        <v>2822.82</v>
      </c>
    </row>
    <row r="125" spans="1:7" x14ac:dyDescent="0.35">
      <c r="A125" s="377" t="s">
        <v>412</v>
      </c>
      <c r="B125" s="378"/>
      <c r="C125" s="378"/>
      <c r="D125" s="378"/>
      <c r="E125" s="378"/>
      <c r="F125" s="378"/>
      <c r="G125" s="378"/>
    </row>
    <row r="126" spans="1:7" x14ac:dyDescent="0.35">
      <c r="A126" s="387" t="s">
        <v>413</v>
      </c>
      <c r="B126" s="382">
        <v>89.44</v>
      </c>
      <c r="C126" s="382">
        <v>89.44</v>
      </c>
      <c r="D126" s="382">
        <v>89.44</v>
      </c>
      <c r="E126" s="382">
        <v>89.44</v>
      </c>
      <c r="F126" s="382">
        <v>89.44</v>
      </c>
      <c r="G126" s="382">
        <v>89.44</v>
      </c>
    </row>
    <row r="127" spans="1:7" x14ac:dyDescent="0.35">
      <c r="A127" s="380" t="s">
        <v>414</v>
      </c>
      <c r="B127" s="382">
        <v>89.44</v>
      </c>
      <c r="C127" s="382">
        <v>89.44</v>
      </c>
      <c r="D127" s="382">
        <v>89.44</v>
      </c>
      <c r="E127" s="382">
        <v>89.44</v>
      </c>
      <c r="F127" s="382">
        <v>89.44</v>
      </c>
      <c r="G127" s="382">
        <v>89.44</v>
      </c>
    </row>
    <row r="128" spans="1:7" x14ac:dyDescent="0.35">
      <c r="A128" s="380" t="s">
        <v>415</v>
      </c>
      <c r="B128" s="383">
        <v>0</v>
      </c>
      <c r="C128" s="383">
        <v>0</v>
      </c>
      <c r="D128" s="383">
        <v>0</v>
      </c>
      <c r="E128" s="383">
        <v>0</v>
      </c>
      <c r="F128" s="383">
        <v>0</v>
      </c>
      <c r="G128" s="383">
        <v>0</v>
      </c>
    </row>
    <row r="129" spans="1:7" x14ac:dyDescent="0.35">
      <c r="A129" s="387" t="s">
        <v>416</v>
      </c>
      <c r="B129" s="382">
        <v>89.44</v>
      </c>
      <c r="C129" s="382">
        <v>89.44</v>
      </c>
      <c r="D129" s="382">
        <v>89.44</v>
      </c>
      <c r="E129" s="382">
        <v>89.44</v>
      </c>
      <c r="F129" s="382">
        <v>89.44</v>
      </c>
      <c r="G129" s="382">
        <v>89.44</v>
      </c>
    </row>
    <row r="130" spans="1:7" x14ac:dyDescent="0.35">
      <c r="A130" s="380" t="s">
        <v>417</v>
      </c>
      <c r="B130" s="382">
        <v>89.44</v>
      </c>
      <c r="C130" s="382">
        <v>89.44</v>
      </c>
      <c r="D130" s="382">
        <v>89.44</v>
      </c>
      <c r="E130" s="382">
        <v>89.44</v>
      </c>
      <c r="F130" s="382">
        <v>89.44</v>
      </c>
      <c r="G130" s="382">
        <v>89.44</v>
      </c>
    </row>
    <row r="131" spans="1:7" x14ac:dyDescent="0.35">
      <c r="A131" s="380" t="s">
        <v>418</v>
      </c>
      <c r="B131" s="383">
        <v>0</v>
      </c>
      <c r="C131" s="383">
        <v>0</v>
      </c>
      <c r="D131" s="383">
        <v>0</v>
      </c>
      <c r="E131" s="383">
        <v>0</v>
      </c>
      <c r="F131" s="383">
        <v>0</v>
      </c>
      <c r="G131" s="383">
        <v>0</v>
      </c>
    </row>
    <row r="132" spans="1:7" x14ac:dyDescent="0.35">
      <c r="A132" s="377" t="s">
        <v>419</v>
      </c>
      <c r="B132" s="378"/>
      <c r="C132" s="378"/>
      <c r="D132" s="378"/>
      <c r="E132" s="378"/>
      <c r="F132" s="378"/>
      <c r="G132" s="378"/>
    </row>
    <row r="133" spans="1:7" x14ac:dyDescent="0.35">
      <c r="A133" s="387" t="s">
        <v>420</v>
      </c>
      <c r="B133" s="382">
        <v>1</v>
      </c>
      <c r="C133" s="382">
        <v>1</v>
      </c>
      <c r="D133" s="382">
        <v>1</v>
      </c>
      <c r="E133" s="382">
        <v>1</v>
      </c>
      <c r="F133" s="382">
        <v>1</v>
      </c>
      <c r="G133" s="382">
        <v>1</v>
      </c>
    </row>
    <row r="134" spans="1:7" x14ac:dyDescent="0.35">
      <c r="A134" s="377" t="s">
        <v>421</v>
      </c>
      <c r="B134" s="378"/>
      <c r="C134" s="378"/>
      <c r="D134" s="378"/>
      <c r="E134" s="378"/>
      <c r="F134" s="378"/>
      <c r="G134" s="378"/>
    </row>
    <row r="135" spans="1:7" x14ac:dyDescent="0.35">
      <c r="A135" s="387" t="s">
        <v>422</v>
      </c>
      <c r="B135" s="383"/>
      <c r="C135" s="383"/>
      <c r="D135" s="383"/>
      <c r="E135" s="382">
        <v>65.569999999999993</v>
      </c>
      <c r="F135" s="385">
        <v>114.87</v>
      </c>
      <c r="G135" s="385">
        <v>121.21</v>
      </c>
    </row>
    <row r="136" spans="1:7" ht="26" x14ac:dyDescent="0.35">
      <c r="A136" s="380" t="s">
        <v>423</v>
      </c>
      <c r="B136" s="383"/>
      <c r="C136" s="383"/>
      <c r="D136" s="383"/>
      <c r="E136" s="382">
        <v>65.569999999999993</v>
      </c>
      <c r="F136" s="385">
        <v>114.87</v>
      </c>
      <c r="G136" s="385">
        <v>121.21</v>
      </c>
    </row>
    <row r="137" spans="1:7" ht="26" x14ac:dyDescent="0.35">
      <c r="A137" s="387" t="s">
        <v>424</v>
      </c>
      <c r="B137" s="383"/>
      <c r="C137" s="383"/>
      <c r="D137" s="383"/>
      <c r="E137" s="382">
        <v>69.7</v>
      </c>
      <c r="F137" s="382">
        <v>84.68</v>
      </c>
      <c r="G137" s="385">
        <v>114.94</v>
      </c>
    </row>
    <row r="138" spans="1:7" x14ac:dyDescent="0.35">
      <c r="A138" s="377" t="s">
        <v>425</v>
      </c>
      <c r="B138" s="378"/>
      <c r="C138" s="378"/>
      <c r="D138" s="378"/>
      <c r="E138" s="378"/>
      <c r="F138" s="378"/>
      <c r="G138" s="378"/>
    </row>
    <row r="139" spans="1:7" x14ac:dyDescent="0.35">
      <c r="A139" s="387" t="s">
        <v>426</v>
      </c>
      <c r="B139" s="382">
        <v>5.81</v>
      </c>
      <c r="C139" s="382">
        <v>10.85</v>
      </c>
      <c r="D139" s="382">
        <v>57.49</v>
      </c>
      <c r="E139" s="382">
        <v>68.61</v>
      </c>
      <c r="F139" s="385">
        <v>121.27</v>
      </c>
      <c r="G139" s="385">
        <v>127.9</v>
      </c>
    </row>
    <row r="140" spans="1:7" x14ac:dyDescent="0.35">
      <c r="A140" s="387" t="s">
        <v>427</v>
      </c>
      <c r="B140" s="382">
        <v>13.22</v>
      </c>
      <c r="C140" s="382">
        <v>26.56</v>
      </c>
      <c r="D140" s="385">
        <v>166.69</v>
      </c>
      <c r="E140" s="385">
        <v>156.36000000000001</v>
      </c>
      <c r="F140" s="385">
        <v>198.41</v>
      </c>
      <c r="G140" s="385">
        <v>219.77</v>
      </c>
    </row>
    <row r="141" spans="1:7" x14ac:dyDescent="0.35">
      <c r="A141" s="377" t="s">
        <v>428</v>
      </c>
      <c r="B141" s="378"/>
      <c r="C141" s="378"/>
      <c r="D141" s="378"/>
      <c r="E141" s="378"/>
      <c r="F141" s="378"/>
      <c r="G141" s="378"/>
    </row>
    <row r="142" spans="1:7" x14ac:dyDescent="0.35">
      <c r="A142" s="387" t="s">
        <v>429</v>
      </c>
      <c r="B142" s="382">
        <v>19.38</v>
      </c>
      <c r="C142" s="382">
        <v>4.72</v>
      </c>
      <c r="D142" s="382">
        <v>2.27</v>
      </c>
      <c r="E142" s="382">
        <v>9.8699999999999992</v>
      </c>
      <c r="F142" s="382">
        <v>6.05</v>
      </c>
      <c r="G142" s="382">
        <v>20.7</v>
      </c>
    </row>
    <row r="143" spans="1:7" x14ac:dyDescent="0.35">
      <c r="A143" s="387" t="s">
        <v>430</v>
      </c>
      <c r="B143" s="382">
        <v>4.51</v>
      </c>
      <c r="C143" s="382">
        <v>1.29</v>
      </c>
      <c r="D143" s="382">
        <v>5.17</v>
      </c>
      <c r="E143" s="382">
        <v>4.1100000000000003</v>
      </c>
      <c r="F143" s="382">
        <v>6.71</v>
      </c>
      <c r="G143" s="382">
        <v>10.83</v>
      </c>
    </row>
    <row r="144" spans="1:7" x14ac:dyDescent="0.35">
      <c r="A144" s="387" t="s">
        <v>431</v>
      </c>
      <c r="B144" s="385">
        <v>950.47</v>
      </c>
      <c r="C144" s="385">
        <v>990.34</v>
      </c>
      <c r="D144" s="385">
        <v>1011.3</v>
      </c>
      <c r="E144" s="385">
        <v>989.16</v>
      </c>
      <c r="F144" s="385">
        <v>1303.8399999999999</v>
      </c>
      <c r="G144" s="385">
        <v>1375.06</v>
      </c>
    </row>
    <row r="145" spans="1:7" x14ac:dyDescent="0.35">
      <c r="A145" s="387" t="s">
        <v>432</v>
      </c>
      <c r="B145" s="383">
        <v>0</v>
      </c>
      <c r="C145" s="383"/>
      <c r="D145" s="383"/>
      <c r="E145" s="382">
        <v>3.25</v>
      </c>
      <c r="F145" s="383">
        <v>0</v>
      </c>
      <c r="G145" s="383"/>
    </row>
    <row r="146" spans="1:7" x14ac:dyDescent="0.35">
      <c r="A146" s="387" t="s">
        <v>433</v>
      </c>
      <c r="B146" s="382">
        <v>79.86</v>
      </c>
      <c r="C146" s="382">
        <v>79.23</v>
      </c>
      <c r="D146" s="385">
        <v>102.48</v>
      </c>
      <c r="E146" s="385">
        <v>100.77</v>
      </c>
      <c r="F146" s="382">
        <v>94.08</v>
      </c>
      <c r="G146" s="385">
        <v>105.29</v>
      </c>
    </row>
    <row r="147" spans="1:7" x14ac:dyDescent="0.35">
      <c r="A147" s="387" t="s">
        <v>434</v>
      </c>
      <c r="B147" s="382">
        <v>8.3699999999999992</v>
      </c>
      <c r="C147" s="382">
        <v>12.91</v>
      </c>
      <c r="D147" s="382">
        <v>20.03</v>
      </c>
      <c r="E147" s="382">
        <v>17.260000000000002</v>
      </c>
      <c r="F147" s="382">
        <v>21.56</v>
      </c>
      <c r="G147" s="382">
        <v>16.440000000000001</v>
      </c>
    </row>
    <row r="148" spans="1:7" x14ac:dyDescent="0.35">
      <c r="A148" s="387" t="s">
        <v>435</v>
      </c>
      <c r="B148" s="385">
        <v>180.72</v>
      </c>
      <c r="C148" s="385">
        <v>199.62</v>
      </c>
      <c r="D148" s="385">
        <v>233.78</v>
      </c>
      <c r="E148" s="385">
        <v>200.97</v>
      </c>
      <c r="F148" s="385">
        <v>283.27999999999997</v>
      </c>
      <c r="G148" s="385">
        <v>342.82</v>
      </c>
    </row>
    <row r="149" spans="1:7" x14ac:dyDescent="0.35">
      <c r="A149" s="380" t="s">
        <v>436</v>
      </c>
      <c r="B149" s="385">
        <v>100.46</v>
      </c>
      <c r="C149" s="385">
        <v>101.44</v>
      </c>
      <c r="D149" s="385">
        <v>118.12</v>
      </c>
      <c r="E149" s="382">
        <v>91.68</v>
      </c>
      <c r="F149" s="385">
        <v>145.47</v>
      </c>
      <c r="G149" s="385">
        <v>189.19</v>
      </c>
    </row>
    <row r="150" spans="1:7" x14ac:dyDescent="0.35">
      <c r="A150" s="380" t="s">
        <v>108</v>
      </c>
      <c r="B150" s="382">
        <v>80.260000000000005</v>
      </c>
      <c r="C150" s="382">
        <v>98.18</v>
      </c>
      <c r="D150" s="385">
        <v>115.66</v>
      </c>
      <c r="E150" s="385">
        <v>109.29</v>
      </c>
      <c r="F150" s="385">
        <v>137.82</v>
      </c>
      <c r="G150" s="385">
        <v>153.63</v>
      </c>
    </row>
    <row r="151" spans="1:7" x14ac:dyDescent="0.35">
      <c r="A151" s="387" t="s">
        <v>437</v>
      </c>
      <c r="B151" s="383"/>
      <c r="C151" s="383"/>
      <c r="D151" s="382">
        <v>18.64</v>
      </c>
      <c r="E151" s="383"/>
      <c r="F151" s="383"/>
      <c r="G151" s="383"/>
    </row>
    <row r="152" spans="1:7" x14ac:dyDescent="0.35">
      <c r="A152" s="377" t="s">
        <v>438</v>
      </c>
      <c r="B152" s="378"/>
      <c r="C152" s="378"/>
      <c r="D152" s="378"/>
      <c r="E152" s="378"/>
      <c r="F152" s="378"/>
      <c r="G152" s="378"/>
    </row>
    <row r="153" spans="1:7" x14ac:dyDescent="0.35">
      <c r="A153" s="387" t="s">
        <v>439</v>
      </c>
      <c r="B153" s="382">
        <v>4.9000000000000004</v>
      </c>
      <c r="C153" s="382">
        <v>18.72</v>
      </c>
      <c r="D153" s="385">
        <v>144.05000000000001</v>
      </c>
      <c r="E153" s="385">
        <v>150.16</v>
      </c>
      <c r="F153" s="385">
        <v>190.97</v>
      </c>
      <c r="G153" s="385">
        <v>212.04</v>
      </c>
    </row>
    <row r="154" spans="1:7" x14ac:dyDescent="0.35">
      <c r="A154" s="387" t="s">
        <v>440</v>
      </c>
      <c r="B154" s="382">
        <v>13.22</v>
      </c>
      <c r="C154" s="382">
        <v>26.56</v>
      </c>
      <c r="D154" s="385">
        <v>166.69</v>
      </c>
      <c r="E154" s="385">
        <v>156.36000000000001</v>
      </c>
      <c r="F154" s="385">
        <v>198.41</v>
      </c>
      <c r="G154" s="385">
        <v>219.77</v>
      </c>
    </row>
    <row r="155" spans="1:7" x14ac:dyDescent="0.35">
      <c r="A155" s="377" t="s">
        <v>441</v>
      </c>
      <c r="B155" s="378"/>
      <c r="C155" s="378"/>
      <c r="D155" s="378"/>
      <c r="E155" s="378"/>
      <c r="F155" s="378"/>
      <c r="G155" s="378"/>
    </row>
    <row r="156" spans="1:7" x14ac:dyDescent="0.35">
      <c r="A156" s="387" t="s">
        <v>442</v>
      </c>
      <c r="B156" s="382">
        <v>1.67</v>
      </c>
      <c r="C156" s="383"/>
      <c r="D156" s="383"/>
      <c r="E156" s="383"/>
      <c r="F156" s="383"/>
      <c r="G156" s="383"/>
    </row>
    <row r="157" spans="1:7" x14ac:dyDescent="0.35">
      <c r="A157" s="380" t="s">
        <v>443</v>
      </c>
      <c r="B157" s="382">
        <v>1.08</v>
      </c>
      <c r="C157" s="383"/>
      <c r="D157" s="383"/>
      <c r="E157" s="383"/>
      <c r="F157" s="383"/>
      <c r="G157" s="383"/>
    </row>
    <row r="158" spans="1:7" x14ac:dyDescent="0.35">
      <c r="A158" s="380" t="s">
        <v>444</v>
      </c>
      <c r="B158" s="382">
        <v>0.59</v>
      </c>
      <c r="C158" s="383"/>
      <c r="D158" s="383"/>
      <c r="E158" s="383"/>
      <c r="F158" s="383"/>
      <c r="G158" s="383"/>
    </row>
    <row r="159" spans="1:7" x14ac:dyDescent="0.35">
      <c r="A159" s="380" t="s">
        <v>445</v>
      </c>
      <c r="B159" s="383">
        <v>0</v>
      </c>
      <c r="C159" s="383"/>
      <c r="D159" s="383"/>
      <c r="E159" s="383"/>
      <c r="F159" s="383"/>
      <c r="G159" s="383"/>
    </row>
    <row r="160" spans="1:7" x14ac:dyDescent="0.35">
      <c r="A160" s="380" t="s">
        <v>446</v>
      </c>
      <c r="B160" s="383"/>
      <c r="C160" s="383"/>
      <c r="D160" s="383"/>
      <c r="E160" s="383"/>
      <c r="F160" s="383"/>
      <c r="G160" s="383"/>
    </row>
    <row r="161" spans="1:7" x14ac:dyDescent="0.35">
      <c r="A161" s="380" t="s">
        <v>447</v>
      </c>
      <c r="B161" s="383"/>
      <c r="C161" s="383"/>
      <c r="D161" s="383"/>
      <c r="E161" s="383"/>
      <c r="F161" s="383"/>
      <c r="G161" s="383"/>
    </row>
    <row r="162" spans="1:7" x14ac:dyDescent="0.35">
      <c r="A162" s="380" t="s">
        <v>448</v>
      </c>
      <c r="B162" s="383"/>
      <c r="C162" s="383"/>
      <c r="D162" s="383"/>
      <c r="E162" s="383"/>
      <c r="F162" s="383"/>
      <c r="G162" s="383"/>
    </row>
    <row r="163" spans="1:7" x14ac:dyDescent="0.35">
      <c r="A163" s="387" t="s">
        <v>449</v>
      </c>
      <c r="B163" s="382">
        <v>0.59</v>
      </c>
      <c r="C163" s="383"/>
      <c r="D163" s="383"/>
      <c r="E163" s="383"/>
      <c r="F163" s="383"/>
      <c r="G163" s="383"/>
    </row>
    <row r="164" spans="1:7" x14ac:dyDescent="0.35">
      <c r="A164" s="387" t="s">
        <v>450</v>
      </c>
      <c r="B164" s="383"/>
      <c r="C164" s="383"/>
      <c r="D164" s="383"/>
      <c r="E164" s="383"/>
      <c r="F164" s="383"/>
      <c r="G164" s="383"/>
    </row>
    <row r="165" spans="1:7" x14ac:dyDescent="0.35">
      <c r="A165" s="387" t="s">
        <v>451</v>
      </c>
      <c r="B165" s="383"/>
      <c r="C165" s="383"/>
      <c r="D165" s="383"/>
      <c r="E165" s="383"/>
      <c r="F165" s="383"/>
      <c r="G165" s="383"/>
    </row>
    <row r="166" spans="1:7" x14ac:dyDescent="0.35">
      <c r="A166" s="377" t="s">
        <v>452</v>
      </c>
      <c r="B166" s="378"/>
      <c r="C166" s="378"/>
      <c r="D166" s="378"/>
      <c r="E166" s="378"/>
      <c r="F166" s="378"/>
      <c r="G166" s="378"/>
    </row>
    <row r="167" spans="1:7" x14ac:dyDescent="0.35">
      <c r="A167" s="387" t="s">
        <v>453</v>
      </c>
      <c r="B167" s="382">
        <v>5.81</v>
      </c>
      <c r="C167" s="382">
        <v>10.85</v>
      </c>
      <c r="D167" s="382">
        <v>64.98</v>
      </c>
      <c r="E167" s="382">
        <v>72.88</v>
      </c>
      <c r="F167" s="385">
        <v>129.19999999999999</v>
      </c>
      <c r="G167" s="385">
        <v>134.13</v>
      </c>
    </row>
    <row r="168" spans="1:7" x14ac:dyDescent="0.35">
      <c r="A168" s="380" t="s">
        <v>454</v>
      </c>
      <c r="B168" s="382">
        <v>2.82</v>
      </c>
      <c r="C168" s="382">
        <v>3.53</v>
      </c>
      <c r="D168" s="382">
        <v>15.98</v>
      </c>
      <c r="E168" s="382">
        <v>15.56</v>
      </c>
      <c r="F168" s="382">
        <v>20.36</v>
      </c>
      <c r="G168" s="382">
        <v>22.69</v>
      </c>
    </row>
    <row r="169" spans="1:7" x14ac:dyDescent="0.35">
      <c r="A169" s="380" t="s">
        <v>455</v>
      </c>
      <c r="B169" s="382">
        <v>3</v>
      </c>
      <c r="C169" s="382">
        <v>7.32</v>
      </c>
      <c r="D169" s="382">
        <v>31.07</v>
      </c>
      <c r="E169" s="382">
        <v>28.6</v>
      </c>
      <c r="F169" s="382">
        <v>55.06</v>
      </c>
      <c r="G169" s="382">
        <v>61.47</v>
      </c>
    </row>
    <row r="170" spans="1:7" x14ac:dyDescent="0.35">
      <c r="A170" s="380" t="s">
        <v>456</v>
      </c>
      <c r="B170" s="383">
        <v>0</v>
      </c>
      <c r="C170" s="383">
        <v>0</v>
      </c>
      <c r="D170" s="382">
        <v>17.93</v>
      </c>
      <c r="E170" s="382">
        <v>28.72</v>
      </c>
      <c r="F170" s="382">
        <v>53.78</v>
      </c>
      <c r="G170" s="382">
        <v>49.97</v>
      </c>
    </row>
    <row r="171" spans="1:7" x14ac:dyDescent="0.35">
      <c r="A171" s="387" t="s">
        <v>457</v>
      </c>
      <c r="B171" s="382">
        <v>3</v>
      </c>
      <c r="C171" s="382">
        <v>7.32</v>
      </c>
      <c r="D171" s="382">
        <v>31.07</v>
      </c>
      <c r="E171" s="382">
        <v>28.6</v>
      </c>
      <c r="F171" s="382">
        <v>55.06</v>
      </c>
      <c r="G171" s="382">
        <v>61.47</v>
      </c>
    </row>
    <row r="172" spans="1:7" x14ac:dyDescent="0.35">
      <c r="A172" s="387" t="s">
        <v>458</v>
      </c>
      <c r="B172" s="383">
        <v>0</v>
      </c>
      <c r="C172" s="383">
        <v>0</v>
      </c>
      <c r="D172" s="382">
        <v>17.93</v>
      </c>
      <c r="E172" s="382">
        <v>28.72</v>
      </c>
      <c r="F172" s="382">
        <v>53.78</v>
      </c>
      <c r="G172" s="382">
        <v>49.97</v>
      </c>
    </row>
    <row r="173" spans="1:7" x14ac:dyDescent="0.35">
      <c r="A173" s="377" t="s">
        <v>459</v>
      </c>
      <c r="B173" s="378"/>
      <c r="C173" s="378"/>
      <c r="D173" s="378"/>
      <c r="E173" s="378"/>
      <c r="F173" s="378"/>
      <c r="G173" s="378"/>
    </row>
    <row r="174" spans="1:7" ht="26" x14ac:dyDescent="0.35">
      <c r="A174" s="387" t="s">
        <v>460</v>
      </c>
      <c r="B174" s="383"/>
      <c r="C174" s="383"/>
      <c r="D174" s="383"/>
      <c r="E174" s="382">
        <v>24.04</v>
      </c>
      <c r="F174" s="382">
        <v>31.54</v>
      </c>
      <c r="G174" s="382">
        <v>39.909999999999997</v>
      </c>
    </row>
    <row r="175" spans="1:7" x14ac:dyDescent="0.35">
      <c r="A175" s="387" t="s">
        <v>461</v>
      </c>
      <c r="B175" s="382">
        <v>26.36</v>
      </c>
      <c r="C175" s="382">
        <v>21.17</v>
      </c>
      <c r="D175" s="382">
        <v>18.52</v>
      </c>
      <c r="E175" s="382">
        <v>18.84</v>
      </c>
      <c r="F175" s="382">
        <v>18.059999999999999</v>
      </c>
      <c r="G175" s="382">
        <v>14.99</v>
      </c>
    </row>
    <row r="176" spans="1:7" x14ac:dyDescent="0.35">
      <c r="A176" s="387" t="s">
        <v>462</v>
      </c>
      <c r="B176" s="385">
        <v>887.89</v>
      </c>
      <c r="C176" s="385">
        <v>964.2</v>
      </c>
      <c r="D176" s="385">
        <v>942.09</v>
      </c>
      <c r="E176" s="385">
        <v>986.72</v>
      </c>
      <c r="F176" s="385">
        <v>1148.46</v>
      </c>
      <c r="G176" s="385">
        <v>1244.81</v>
      </c>
    </row>
    <row r="177" spans="1:7" x14ac:dyDescent="0.35">
      <c r="A177" s="387" t="s">
        <v>463</v>
      </c>
      <c r="B177" s="385">
        <v>1430.31</v>
      </c>
      <c r="C177" s="385">
        <v>1460.45</v>
      </c>
      <c r="D177" s="385">
        <v>1650.44</v>
      </c>
      <c r="E177" s="385">
        <v>1672.91</v>
      </c>
      <c r="F177" s="385">
        <v>2050.62</v>
      </c>
      <c r="G177" s="385">
        <v>2376.81</v>
      </c>
    </row>
    <row r="178" spans="1:7" x14ac:dyDescent="0.35">
      <c r="A178" s="387" t="s">
        <v>464</v>
      </c>
      <c r="B178" s="382">
        <v>3.93</v>
      </c>
      <c r="C178" s="382">
        <v>6.68</v>
      </c>
      <c r="D178" s="382">
        <v>22.64</v>
      </c>
      <c r="E178" s="382">
        <v>6.2</v>
      </c>
      <c r="F178" s="382">
        <v>7.44</v>
      </c>
      <c r="G178" s="382">
        <v>7.73</v>
      </c>
    </row>
    <row r="179" spans="1:7" x14ac:dyDescent="0.35">
      <c r="A179" s="387" t="s">
        <v>465</v>
      </c>
      <c r="B179" s="382">
        <v>8.32</v>
      </c>
      <c r="C179" s="382">
        <v>7.84</v>
      </c>
      <c r="D179" s="382">
        <v>22.64</v>
      </c>
      <c r="E179" s="382">
        <v>6.2</v>
      </c>
      <c r="F179" s="382">
        <v>7.44</v>
      </c>
      <c r="G179" s="382">
        <v>7.73</v>
      </c>
    </row>
    <row r="180" spans="1:7" x14ac:dyDescent="0.35">
      <c r="A180" s="387" t="s">
        <v>466</v>
      </c>
      <c r="B180" s="382">
        <v>39.57</v>
      </c>
      <c r="C180" s="382">
        <v>47.73</v>
      </c>
      <c r="D180" s="385">
        <v>185.21</v>
      </c>
      <c r="E180" s="385">
        <v>175.2</v>
      </c>
      <c r="F180" s="385">
        <v>216.47</v>
      </c>
      <c r="G180" s="385">
        <v>234.76</v>
      </c>
    </row>
    <row r="181" spans="1:7" x14ac:dyDescent="0.35">
      <c r="A181" s="387" t="s">
        <v>467</v>
      </c>
      <c r="B181" s="382">
        <v>19.3</v>
      </c>
      <c r="C181" s="382">
        <v>0.12</v>
      </c>
      <c r="D181" s="382">
        <v>5.17</v>
      </c>
      <c r="E181" s="382">
        <v>4.1100000000000003</v>
      </c>
      <c r="F181" s="382">
        <v>6.71</v>
      </c>
      <c r="G181" s="382">
        <v>10.83</v>
      </c>
    </row>
    <row r="182" spans="1:7" x14ac:dyDescent="0.35">
      <c r="A182" s="387" t="s">
        <v>468</v>
      </c>
      <c r="B182" s="385">
        <v>1246.6400000000001</v>
      </c>
      <c r="C182" s="385">
        <v>1333.35</v>
      </c>
      <c r="D182" s="385">
        <v>1561.01</v>
      </c>
      <c r="E182" s="385">
        <v>1600.71</v>
      </c>
      <c r="F182" s="385">
        <v>1868.36</v>
      </c>
      <c r="G182" s="385">
        <v>2242.14</v>
      </c>
    </row>
    <row r="183" spans="1:7" x14ac:dyDescent="0.35">
      <c r="A183" s="387" t="s">
        <v>469</v>
      </c>
      <c r="B183" s="385">
        <v>1246.6400000000001</v>
      </c>
      <c r="C183" s="385">
        <v>1333.35</v>
      </c>
      <c r="D183" s="385">
        <v>1561.01</v>
      </c>
      <c r="E183" s="385">
        <v>1600.71</v>
      </c>
      <c r="F183" s="385">
        <v>1868.36</v>
      </c>
      <c r="G183" s="385">
        <v>2242.14</v>
      </c>
    </row>
    <row r="184" spans="1:7" x14ac:dyDescent="0.35">
      <c r="A184" s="387" t="s">
        <v>470</v>
      </c>
      <c r="B184" s="382">
        <v>80.040000000000006</v>
      </c>
      <c r="C184" s="382">
        <v>75.209999999999994</v>
      </c>
      <c r="D184" s="385">
        <v>124.94</v>
      </c>
      <c r="E184" s="385">
        <v>133.16999999999999</v>
      </c>
      <c r="F184" s="382">
        <v>96.8</v>
      </c>
      <c r="G184" s="382">
        <v>58.29</v>
      </c>
    </row>
    <row r="185" spans="1:7" x14ac:dyDescent="0.35">
      <c r="A185" s="387" t="s">
        <v>471</v>
      </c>
      <c r="B185" s="385">
        <v>1215.3800000000001</v>
      </c>
      <c r="C185" s="385">
        <v>1293.46</v>
      </c>
      <c r="D185" s="385">
        <v>1398.44</v>
      </c>
      <c r="E185" s="385">
        <v>1431.72</v>
      </c>
      <c r="F185" s="385">
        <v>1659.33</v>
      </c>
      <c r="G185" s="385">
        <v>2015.1</v>
      </c>
    </row>
    <row r="186" spans="1:7" x14ac:dyDescent="0.35">
      <c r="A186" s="387" t="s">
        <v>472</v>
      </c>
      <c r="B186" s="385">
        <v>998.93</v>
      </c>
      <c r="C186" s="385">
        <v>1054.9100000000001</v>
      </c>
      <c r="D186" s="385">
        <v>934.53</v>
      </c>
      <c r="E186" s="385">
        <v>978.83</v>
      </c>
      <c r="F186" s="385">
        <v>1194.97</v>
      </c>
      <c r="G186" s="385">
        <v>1360.02</v>
      </c>
    </row>
    <row r="187" spans="1:7" x14ac:dyDescent="0.35">
      <c r="A187" s="387" t="s">
        <v>473</v>
      </c>
      <c r="B187" s="385">
        <v>972.57</v>
      </c>
      <c r="C187" s="385">
        <v>1033.74</v>
      </c>
      <c r="D187" s="385">
        <v>916.01</v>
      </c>
      <c r="E187" s="385">
        <v>959.99</v>
      </c>
      <c r="F187" s="385">
        <v>1176.92</v>
      </c>
      <c r="G187" s="385">
        <v>1345.03</v>
      </c>
    </row>
    <row r="188" spans="1:7" x14ac:dyDescent="0.35">
      <c r="A188" s="387" t="s">
        <v>474</v>
      </c>
      <c r="B188" s="385">
        <v>1228.5899999999999</v>
      </c>
      <c r="C188" s="385">
        <v>1320.02</v>
      </c>
      <c r="D188" s="385">
        <v>1565.13</v>
      </c>
      <c r="E188" s="385">
        <v>1588.07</v>
      </c>
      <c r="F188" s="385">
        <v>1857.74</v>
      </c>
      <c r="G188" s="385">
        <v>2234.87</v>
      </c>
    </row>
    <row r="189" spans="1:7" x14ac:dyDescent="0.35">
      <c r="A189" s="387" t="s">
        <v>475</v>
      </c>
      <c r="B189" s="385">
        <v>1254.95</v>
      </c>
      <c r="C189" s="385">
        <v>1341.19</v>
      </c>
      <c r="D189" s="385">
        <v>1583.65</v>
      </c>
      <c r="E189" s="385">
        <v>1606.92</v>
      </c>
      <c r="F189" s="385">
        <v>1875.79</v>
      </c>
      <c r="G189" s="385">
        <v>2249.86</v>
      </c>
    </row>
    <row r="190" spans="1:7" x14ac:dyDescent="0.35">
      <c r="A190" s="387" t="s">
        <v>476</v>
      </c>
      <c r="B190" s="385">
        <v>1307.03</v>
      </c>
      <c r="C190" s="385">
        <v>1381.87</v>
      </c>
      <c r="D190" s="385">
        <v>1682.53</v>
      </c>
      <c r="E190" s="385">
        <v>1717.27</v>
      </c>
      <c r="F190" s="385">
        <v>1947.85</v>
      </c>
      <c r="G190" s="385">
        <v>2283.5</v>
      </c>
    </row>
    <row r="191" spans="1:7" x14ac:dyDescent="0.35">
      <c r="A191" s="387" t="s">
        <v>477</v>
      </c>
      <c r="B191" s="385">
        <v>226.34</v>
      </c>
      <c r="C191" s="385">
        <v>216.07</v>
      </c>
      <c r="D191" s="385">
        <v>368.75</v>
      </c>
      <c r="E191" s="385">
        <v>388.61</v>
      </c>
      <c r="F191" s="385">
        <v>454.05</v>
      </c>
      <c r="G191" s="385">
        <v>592.69000000000005</v>
      </c>
    </row>
    <row r="192" spans="1:7" x14ac:dyDescent="0.35">
      <c r="A192" s="387" t="s">
        <v>478</v>
      </c>
      <c r="B192" s="382">
        <v>24.47</v>
      </c>
      <c r="C192" s="382">
        <v>24.7</v>
      </c>
      <c r="D192" s="383">
        <v>0</v>
      </c>
      <c r="E192" s="382">
        <v>24.04</v>
      </c>
      <c r="F192" s="382">
        <v>31.54</v>
      </c>
      <c r="G192" s="382">
        <v>39.909999999999997</v>
      </c>
    </row>
    <row r="193" spans="1:7" x14ac:dyDescent="0.35">
      <c r="A193" s="387" t="s">
        <v>192</v>
      </c>
      <c r="B193" s="385">
        <v>891.81</v>
      </c>
      <c r="C193" s="385">
        <v>970.88</v>
      </c>
      <c r="D193" s="385">
        <v>964.73</v>
      </c>
      <c r="E193" s="385">
        <v>992.92</v>
      </c>
      <c r="F193" s="385">
        <v>1155.9000000000001</v>
      </c>
      <c r="G193" s="385">
        <v>1252.54</v>
      </c>
    </row>
    <row r="194" spans="1:7" x14ac:dyDescent="0.35">
      <c r="A194" s="387" t="s">
        <v>479</v>
      </c>
      <c r="B194" s="385">
        <v>883.5</v>
      </c>
      <c r="C194" s="385">
        <v>963.03</v>
      </c>
      <c r="D194" s="385">
        <v>942.09</v>
      </c>
      <c r="E194" s="385">
        <v>986.72</v>
      </c>
      <c r="F194" s="385">
        <v>1148.46</v>
      </c>
      <c r="G194" s="385">
        <v>1244.81</v>
      </c>
    </row>
    <row r="195" spans="1:7" x14ac:dyDescent="0.35">
      <c r="A195" s="387" t="s">
        <v>480</v>
      </c>
      <c r="B195" s="385">
        <v>1009.17</v>
      </c>
      <c r="C195" s="385">
        <v>1019.29</v>
      </c>
      <c r="D195" s="385">
        <v>1017.03</v>
      </c>
      <c r="E195" s="385">
        <v>1056.56</v>
      </c>
      <c r="F195" s="385">
        <v>1279.19</v>
      </c>
      <c r="G195" s="385">
        <v>1410.91</v>
      </c>
    </row>
    <row r="196" spans="1:7" x14ac:dyDescent="0.35">
      <c r="A196" s="387" t="s">
        <v>481</v>
      </c>
      <c r="B196" s="385">
        <v>1215.3800000000001</v>
      </c>
      <c r="C196" s="385">
        <v>1293.46</v>
      </c>
      <c r="D196" s="385">
        <v>1398.44</v>
      </c>
      <c r="E196" s="385">
        <v>1431.72</v>
      </c>
      <c r="F196" s="385">
        <v>1659.33</v>
      </c>
      <c r="G196" s="385">
        <v>2015.1</v>
      </c>
    </row>
    <row r="197" spans="1:7" x14ac:dyDescent="0.35">
      <c r="A197" s="387" t="s">
        <v>482</v>
      </c>
      <c r="B197" s="385">
        <v>165.3</v>
      </c>
      <c r="C197" s="385">
        <v>152.9</v>
      </c>
      <c r="D197" s="385">
        <v>151.9</v>
      </c>
      <c r="E197" s="385">
        <v>186.2</v>
      </c>
      <c r="F197" s="385">
        <v>273.89999999999998</v>
      </c>
      <c r="G197" s="385">
        <v>662.9</v>
      </c>
    </row>
    <row r="198" spans="1:7" x14ac:dyDescent="0.35">
      <c r="A198" s="377" t="s">
        <v>483</v>
      </c>
      <c r="B198" s="378"/>
      <c r="C198" s="378"/>
      <c r="D198" s="378"/>
      <c r="E198" s="378"/>
      <c r="F198" s="378"/>
      <c r="G198" s="378"/>
    </row>
    <row r="199" spans="1:7" x14ac:dyDescent="0.35">
      <c r="A199" s="387" t="s">
        <v>484</v>
      </c>
      <c r="B199" s="382">
        <v>51.27</v>
      </c>
      <c r="C199" s="382">
        <v>44.21</v>
      </c>
      <c r="D199" s="383"/>
      <c r="E199" s="383"/>
      <c r="F199" s="382">
        <v>2.29</v>
      </c>
      <c r="G199" s="382">
        <v>1.95</v>
      </c>
    </row>
    <row r="200" spans="1:7" x14ac:dyDescent="0.35">
      <c r="A200" s="380" t="s">
        <v>485</v>
      </c>
      <c r="B200" s="382">
        <v>12.14</v>
      </c>
      <c r="C200" s="382">
        <v>12.28</v>
      </c>
      <c r="D200" s="383"/>
      <c r="E200" s="383"/>
      <c r="F200" s="382">
        <v>1.41</v>
      </c>
      <c r="G200" s="382">
        <v>1.04</v>
      </c>
    </row>
    <row r="201" spans="1:7" x14ac:dyDescent="0.35">
      <c r="A201" s="380" t="s">
        <v>486</v>
      </c>
      <c r="B201" s="383"/>
      <c r="C201" s="383"/>
      <c r="D201" s="383"/>
      <c r="E201" s="383"/>
      <c r="F201" s="382">
        <v>0.36</v>
      </c>
      <c r="G201" s="382">
        <v>0.33</v>
      </c>
    </row>
    <row r="202" spans="1:7" x14ac:dyDescent="0.35">
      <c r="A202" s="380" t="s">
        <v>487</v>
      </c>
      <c r="B202" s="383"/>
      <c r="C202" s="383"/>
      <c r="D202" s="383"/>
      <c r="E202" s="383"/>
      <c r="F202" s="382">
        <v>0.24</v>
      </c>
      <c r="G202" s="382">
        <v>0.26</v>
      </c>
    </row>
    <row r="203" spans="1:7" x14ac:dyDescent="0.35">
      <c r="A203" s="380" t="s">
        <v>488</v>
      </c>
      <c r="B203" s="383"/>
      <c r="C203" s="383"/>
      <c r="D203" s="383"/>
      <c r="E203" s="383"/>
      <c r="F203" s="382">
        <v>0.14000000000000001</v>
      </c>
      <c r="G203" s="382">
        <v>0.21</v>
      </c>
    </row>
    <row r="204" spans="1:7" x14ac:dyDescent="0.35">
      <c r="A204" s="380" t="s">
        <v>489</v>
      </c>
      <c r="B204" s="382">
        <v>29.05</v>
      </c>
      <c r="C204" s="382">
        <v>26.36</v>
      </c>
      <c r="D204" s="383"/>
      <c r="E204" s="383"/>
      <c r="F204" s="382">
        <v>0.09</v>
      </c>
      <c r="G204" s="382">
        <v>0.08</v>
      </c>
    </row>
    <row r="205" spans="1:7" x14ac:dyDescent="0.35">
      <c r="A205" s="380" t="s">
        <v>490</v>
      </c>
      <c r="B205" s="382">
        <v>10.08</v>
      </c>
      <c r="C205" s="382">
        <v>5.56</v>
      </c>
      <c r="D205" s="383"/>
      <c r="E205" s="383"/>
      <c r="F205" s="382">
        <v>0.04</v>
      </c>
      <c r="G205" s="382">
        <v>0.03</v>
      </c>
    </row>
    <row r="206" spans="1:7" x14ac:dyDescent="0.35">
      <c r="A206" s="387" t="s">
        <v>491</v>
      </c>
      <c r="B206" s="383"/>
      <c r="C206" s="383"/>
      <c r="D206" s="383"/>
      <c r="E206" s="383"/>
      <c r="F206" s="382">
        <v>0.61</v>
      </c>
      <c r="G206" s="382">
        <v>0.59</v>
      </c>
    </row>
    <row r="207" spans="1:7" x14ac:dyDescent="0.35">
      <c r="A207" s="387" t="s">
        <v>492</v>
      </c>
      <c r="B207" s="383"/>
      <c r="C207" s="383"/>
      <c r="D207" s="383"/>
      <c r="E207" s="383"/>
      <c r="F207" s="382">
        <v>0.23</v>
      </c>
      <c r="G207" s="382">
        <v>0.28999999999999998</v>
      </c>
    </row>
    <row r="208" spans="1:7" x14ac:dyDescent="0.35">
      <c r="A208" s="387" t="s">
        <v>493</v>
      </c>
      <c r="B208" s="382">
        <v>10.08</v>
      </c>
      <c r="C208" s="382">
        <v>5.56</v>
      </c>
      <c r="D208" s="383"/>
      <c r="E208" s="383"/>
      <c r="F208" s="382">
        <v>0.04</v>
      </c>
      <c r="G208" s="382">
        <v>0.03</v>
      </c>
    </row>
    <row r="209" spans="1:7" x14ac:dyDescent="0.35">
      <c r="A209" s="377" t="s">
        <v>494</v>
      </c>
      <c r="B209" s="378"/>
      <c r="C209" s="378"/>
      <c r="D209" s="378"/>
      <c r="E209" s="378"/>
      <c r="F209" s="378"/>
      <c r="G209" s="378"/>
    </row>
    <row r="210" spans="1:7" x14ac:dyDescent="0.35">
      <c r="A210" s="387" t="s">
        <v>495</v>
      </c>
      <c r="B210" s="385">
        <v>2958</v>
      </c>
      <c r="C210" s="385">
        <v>3048</v>
      </c>
      <c r="D210" s="385">
        <v>3232</v>
      </c>
      <c r="E210" s="385">
        <v>3290</v>
      </c>
      <c r="F210" s="385">
        <v>3531</v>
      </c>
      <c r="G210" s="385">
        <v>4224</v>
      </c>
    </row>
    <row r="211" spans="1:7" x14ac:dyDescent="0.35">
      <c r="A211" s="387" t="s">
        <v>496</v>
      </c>
      <c r="B211" s="385">
        <v>2958</v>
      </c>
      <c r="C211" s="385">
        <v>3048</v>
      </c>
      <c r="D211" s="385">
        <v>3232</v>
      </c>
      <c r="E211" s="385">
        <v>3290</v>
      </c>
      <c r="F211" s="385">
        <v>3531</v>
      </c>
      <c r="G211" s="385">
        <v>4224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61"/>
  <sheetViews>
    <sheetView showGridLines="0" zoomScale="85" zoomScaleNormal="85" workbookViewId="0">
      <selection activeCell="B3" sqref="B3"/>
    </sheetView>
  </sheetViews>
  <sheetFormatPr defaultColWidth="0" defaultRowHeight="14.5" x14ac:dyDescent="0.35"/>
  <cols>
    <col min="1" max="1" width="35.6328125" customWidth="1"/>
    <col min="2" max="7" width="8.1796875" customWidth="1"/>
    <col min="8" max="8" width="8" hidden="1" customWidth="1"/>
    <col min="9" max="9" width="19.81640625" hidden="1" customWidth="1"/>
    <col min="10" max="10" width="12.453125" hidden="1" customWidth="1"/>
    <col min="11" max="15" width="6.81640625" hidden="1" customWidth="1"/>
    <col min="16" max="16384" width="8.6328125" hidden="1"/>
  </cols>
  <sheetData>
    <row r="2" spans="1:15" x14ac:dyDescent="0.35">
      <c r="A2" s="408" t="s">
        <v>497</v>
      </c>
      <c r="B2" s="410">
        <v>2017</v>
      </c>
      <c r="C2" s="411">
        <v>2018</v>
      </c>
      <c r="D2" s="410">
        <v>2019</v>
      </c>
      <c r="E2" s="411">
        <v>2020</v>
      </c>
      <c r="F2" s="410">
        <v>2021</v>
      </c>
      <c r="G2" s="411">
        <v>2022</v>
      </c>
      <c r="J2" s="33">
        <v>2017</v>
      </c>
      <c r="K2" s="33">
        <v>2018</v>
      </c>
      <c r="L2" s="33">
        <v>2019</v>
      </c>
      <c r="M2" s="33">
        <v>2020</v>
      </c>
      <c r="N2" s="33">
        <v>2021</v>
      </c>
      <c r="O2" s="33">
        <v>2022</v>
      </c>
    </row>
    <row r="3" spans="1:15" x14ac:dyDescent="0.35">
      <c r="A3" s="379" t="s">
        <v>498</v>
      </c>
      <c r="B3" s="397">
        <v>135.78</v>
      </c>
      <c r="C3" s="397">
        <v>126.23</v>
      </c>
      <c r="D3" s="397">
        <v>160.58000000000001</v>
      </c>
      <c r="E3" s="397">
        <v>123.42</v>
      </c>
      <c r="F3" s="397">
        <v>237.52</v>
      </c>
      <c r="G3" s="397">
        <v>295.91000000000003</v>
      </c>
      <c r="H3" s="23">
        <f>B3+B4+B12+B13+B14+B15+B17+B25+B32+B35+B40+B39+B43+B45+B49+B56</f>
        <v>671.64</v>
      </c>
      <c r="I3" s="9" t="s">
        <v>85</v>
      </c>
      <c r="J3" s="9">
        <f t="shared" ref="J3:O3" si="0">B3</f>
        <v>135.78</v>
      </c>
      <c r="K3" s="9">
        <f t="shared" si="0"/>
        <v>126.23</v>
      </c>
      <c r="L3" s="9">
        <f t="shared" si="0"/>
        <v>160.58000000000001</v>
      </c>
      <c r="M3" s="9">
        <f t="shared" si="0"/>
        <v>123.42</v>
      </c>
      <c r="N3" s="9">
        <f t="shared" si="0"/>
        <v>237.52</v>
      </c>
      <c r="O3" s="9">
        <f t="shared" si="0"/>
        <v>295.91000000000003</v>
      </c>
    </row>
    <row r="4" spans="1:15" ht="26" x14ac:dyDescent="0.35">
      <c r="A4" s="379" t="s">
        <v>499</v>
      </c>
      <c r="B4" s="398">
        <v>71.5</v>
      </c>
      <c r="C4" s="398">
        <v>85.81</v>
      </c>
      <c r="D4" s="397">
        <v>124.74</v>
      </c>
      <c r="E4" s="397">
        <v>119.12</v>
      </c>
      <c r="F4" s="397">
        <v>171.66</v>
      </c>
      <c r="G4" s="397">
        <v>122.03</v>
      </c>
      <c r="I4" s="31" t="s">
        <v>122</v>
      </c>
      <c r="J4" s="3">
        <f t="shared" ref="J4:O4" si="1">B9</f>
        <v>24.24</v>
      </c>
      <c r="K4" s="3">
        <f t="shared" si="1"/>
        <v>31.28</v>
      </c>
      <c r="L4" s="3">
        <f t="shared" si="1"/>
        <v>48.37</v>
      </c>
      <c r="M4" s="3">
        <f t="shared" si="1"/>
        <v>60.43</v>
      </c>
      <c r="N4" s="3">
        <f t="shared" si="1"/>
        <v>61.58</v>
      </c>
      <c r="O4" s="3">
        <f t="shared" si="1"/>
        <v>69.77</v>
      </c>
    </row>
    <row r="5" spans="1:15" ht="26" x14ac:dyDescent="0.35">
      <c r="A5" s="380" t="s">
        <v>500</v>
      </c>
      <c r="B5" s="399">
        <v>-0.04</v>
      </c>
      <c r="C5" s="399">
        <v>-0.03</v>
      </c>
      <c r="D5" s="399">
        <v>-0.03</v>
      </c>
      <c r="E5" s="399">
        <v>-23.13</v>
      </c>
      <c r="F5" s="399">
        <v>1.75</v>
      </c>
      <c r="G5" s="399">
        <v>-53.83</v>
      </c>
      <c r="I5" s="31" t="s">
        <v>123</v>
      </c>
      <c r="J5" s="3">
        <f t="shared" ref="J5:O5" si="2">B19</f>
        <v>-33.380000000000003</v>
      </c>
      <c r="K5" s="3">
        <f t="shared" si="2"/>
        <v>-11.76</v>
      </c>
      <c r="L5" s="3">
        <f t="shared" si="2"/>
        <v>-11.35</v>
      </c>
      <c r="M5" s="3">
        <f t="shared" si="2"/>
        <v>-28.42</v>
      </c>
      <c r="N5" s="3">
        <f t="shared" si="2"/>
        <v>0.02</v>
      </c>
      <c r="O5" s="3">
        <f t="shared" si="2"/>
        <v>-74.63</v>
      </c>
    </row>
    <row r="6" spans="1:15" ht="26" x14ac:dyDescent="0.35">
      <c r="A6" s="380" t="s">
        <v>501</v>
      </c>
      <c r="B6" s="399">
        <v>52.78</v>
      </c>
      <c r="C6" s="399">
        <v>52.95</v>
      </c>
      <c r="D6" s="399">
        <v>69.28</v>
      </c>
      <c r="E6" s="399">
        <v>55.3</v>
      </c>
      <c r="F6" s="400">
        <v>101.53</v>
      </c>
      <c r="G6" s="400">
        <v>107.58</v>
      </c>
      <c r="I6" s="31" t="s">
        <v>124</v>
      </c>
      <c r="J6" s="3">
        <f t="shared" ref="J6:O6" si="3">B18</f>
        <v>-48.98</v>
      </c>
      <c r="K6" s="3">
        <f t="shared" si="3"/>
        <v>-0.11</v>
      </c>
      <c r="L6" s="3">
        <f t="shared" si="3"/>
        <v>-20.61</v>
      </c>
      <c r="M6" s="3">
        <f t="shared" si="3"/>
        <v>54.18</v>
      </c>
      <c r="N6" s="3">
        <f t="shared" si="3"/>
        <v>-62.1</v>
      </c>
      <c r="O6" s="3">
        <f t="shared" si="3"/>
        <v>-74.37</v>
      </c>
    </row>
    <row r="7" spans="1:15" ht="26" x14ac:dyDescent="0.35">
      <c r="A7" s="380" t="s">
        <v>502</v>
      </c>
      <c r="B7" s="399">
        <v>1.76</v>
      </c>
      <c r="C7" s="399">
        <v>1.68</v>
      </c>
      <c r="D7" s="399">
        <v>6.41</v>
      </c>
      <c r="E7" s="399">
        <v>26.43</v>
      </c>
      <c r="F7" s="399">
        <v>7.8</v>
      </c>
      <c r="G7" s="399">
        <v>-3.66</v>
      </c>
      <c r="I7" s="31" t="s">
        <v>125</v>
      </c>
      <c r="J7" s="3">
        <f t="shared" ref="J7:O7" si="4">B21</f>
        <v>15.27</v>
      </c>
      <c r="K7" s="3">
        <f t="shared" si="4"/>
        <v>0.92</v>
      </c>
      <c r="L7" s="3">
        <f t="shared" si="4"/>
        <v>14.7</v>
      </c>
      <c r="M7" s="3">
        <f t="shared" si="4"/>
        <v>-25.17</v>
      </c>
      <c r="N7" s="3">
        <f t="shared" si="4"/>
        <v>52.69</v>
      </c>
      <c r="O7" s="3">
        <f t="shared" si="4"/>
        <v>33.729999999999997</v>
      </c>
    </row>
    <row r="8" spans="1:15" ht="26" x14ac:dyDescent="0.35">
      <c r="A8" s="380" t="s">
        <v>503</v>
      </c>
      <c r="B8" s="401"/>
      <c r="C8" s="401"/>
      <c r="D8" s="401"/>
      <c r="E8" s="401"/>
      <c r="F8" s="401"/>
      <c r="G8" s="399">
        <v>1.91</v>
      </c>
      <c r="I8" s="32" t="s">
        <v>126</v>
      </c>
      <c r="J8" s="32">
        <f>SUM(J5:J7)</f>
        <v>-67.09</v>
      </c>
      <c r="K8" s="32">
        <f t="shared" ref="K8:O8" si="5">SUM(K5:K7)</f>
        <v>-10.95</v>
      </c>
      <c r="L8" s="32">
        <f t="shared" si="5"/>
        <v>-17.260000000000002</v>
      </c>
      <c r="M8" s="32">
        <f t="shared" si="5"/>
        <v>0.58999999999999631</v>
      </c>
      <c r="N8" s="32">
        <f t="shared" si="5"/>
        <v>-9.39</v>
      </c>
      <c r="O8" s="32">
        <f t="shared" si="5"/>
        <v>-115.27000000000001</v>
      </c>
    </row>
    <row r="9" spans="1:15" ht="39" x14ac:dyDescent="0.35">
      <c r="A9" s="380" t="s">
        <v>504</v>
      </c>
      <c r="B9" s="399">
        <v>24.24</v>
      </c>
      <c r="C9" s="399">
        <v>31.28</v>
      </c>
      <c r="D9" s="399">
        <v>48.37</v>
      </c>
      <c r="E9" s="399">
        <v>60.43</v>
      </c>
      <c r="F9" s="399">
        <v>61.58</v>
      </c>
      <c r="G9" s="399">
        <v>69.77</v>
      </c>
      <c r="I9" s="9"/>
      <c r="J9" s="9"/>
      <c r="K9" s="9"/>
      <c r="L9" s="9"/>
      <c r="M9" s="9"/>
      <c r="N9" s="9"/>
      <c r="O9" s="9"/>
    </row>
    <row r="10" spans="1:15" ht="39" x14ac:dyDescent="0.35">
      <c r="A10" s="384" t="s">
        <v>505</v>
      </c>
      <c r="B10" s="401"/>
      <c r="C10" s="401"/>
      <c r="D10" s="401"/>
      <c r="E10" s="401"/>
      <c r="F10" s="401"/>
      <c r="G10" s="399">
        <v>69.77</v>
      </c>
      <c r="I10" s="31" t="s">
        <v>127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26" x14ac:dyDescent="0.35">
      <c r="A11" s="380" t="s">
        <v>506</v>
      </c>
      <c r="B11" s="399">
        <v>-7.23</v>
      </c>
      <c r="C11" s="399">
        <v>-7.0000000000000007E-2</v>
      </c>
      <c r="D11" s="399">
        <v>0.72</v>
      </c>
      <c r="E11" s="399">
        <v>0.09</v>
      </c>
      <c r="F11" s="399">
        <v>-1</v>
      </c>
      <c r="G11" s="399">
        <v>0.26</v>
      </c>
      <c r="I11" s="31" t="s">
        <v>128</v>
      </c>
      <c r="J11" s="34"/>
      <c r="K11" s="34"/>
      <c r="L11" s="34"/>
      <c r="M11" s="34"/>
      <c r="N11" s="34"/>
      <c r="O11" s="34"/>
    </row>
    <row r="12" spans="1:15" ht="26" x14ac:dyDescent="0.35">
      <c r="A12" s="379" t="s">
        <v>507</v>
      </c>
      <c r="B12" s="398">
        <v>54.73</v>
      </c>
      <c r="C12" s="398">
        <v>48.36</v>
      </c>
      <c r="D12" s="398">
        <v>65.069999999999993</v>
      </c>
      <c r="E12" s="398">
        <v>58.96</v>
      </c>
      <c r="F12" s="398">
        <v>97.91</v>
      </c>
      <c r="G12" s="397">
        <v>120.44</v>
      </c>
      <c r="I12" s="31" t="s">
        <v>129</v>
      </c>
      <c r="J12" s="3">
        <f t="shared" ref="J12:O12" si="6">B6</f>
        <v>52.78</v>
      </c>
      <c r="K12" s="3">
        <f t="shared" si="6"/>
        <v>52.95</v>
      </c>
      <c r="L12" s="3">
        <f t="shared" si="6"/>
        <v>69.28</v>
      </c>
      <c r="M12" s="3">
        <f t="shared" si="6"/>
        <v>55.3</v>
      </c>
      <c r="N12" s="3">
        <f t="shared" si="6"/>
        <v>101.53</v>
      </c>
      <c r="O12" s="3">
        <f t="shared" si="6"/>
        <v>107.58</v>
      </c>
    </row>
    <row r="13" spans="1:15" x14ac:dyDescent="0.35">
      <c r="A13" s="379" t="s">
        <v>508</v>
      </c>
      <c r="B13" s="398">
        <v>1.56</v>
      </c>
      <c r="C13" s="398">
        <v>1.94</v>
      </c>
      <c r="D13" s="398">
        <v>1.9</v>
      </c>
      <c r="E13" s="398">
        <v>1.37</v>
      </c>
      <c r="F13" s="398">
        <v>1.63</v>
      </c>
      <c r="G13" s="398">
        <v>1.52</v>
      </c>
      <c r="I13" s="31" t="s">
        <v>130</v>
      </c>
      <c r="J13" s="3">
        <f t="shared" ref="J13:O13" si="7">SUM(B5,B7,B11,-B12,-B13,B14,B20,B22)</f>
        <v>-107.96000000000001</v>
      </c>
      <c r="K13" s="3">
        <f t="shared" si="7"/>
        <v>-12.29</v>
      </c>
      <c r="L13" s="3">
        <f t="shared" si="7"/>
        <v>-41.319999999999993</v>
      </c>
      <c r="M13" s="3">
        <f t="shared" si="7"/>
        <v>-61.21</v>
      </c>
      <c r="N13" s="3">
        <f t="shared" si="7"/>
        <v>-28.570000000000007</v>
      </c>
      <c r="O13" s="3">
        <f t="shared" si="7"/>
        <v>-171.69000000000003</v>
      </c>
    </row>
    <row r="14" spans="1:15" ht="26" x14ac:dyDescent="0.35">
      <c r="A14" s="379" t="s">
        <v>509</v>
      </c>
      <c r="B14" s="398">
        <v>0.8</v>
      </c>
      <c r="C14" s="398">
        <v>0.98</v>
      </c>
      <c r="D14" s="398">
        <v>1.81</v>
      </c>
      <c r="E14" s="398">
        <v>1.43</v>
      </c>
      <c r="F14" s="398">
        <v>1.38</v>
      </c>
      <c r="G14" s="398">
        <v>1.73</v>
      </c>
      <c r="I14" s="32" t="s">
        <v>131</v>
      </c>
      <c r="J14" s="32">
        <f>SUM(J10:J13)</f>
        <v>-55.180000000000007</v>
      </c>
      <c r="K14" s="32">
        <f t="shared" ref="K14:O14" si="8">SUM(K10:K13)</f>
        <v>40.660000000000004</v>
      </c>
      <c r="L14" s="32">
        <f t="shared" si="8"/>
        <v>27.960000000000008</v>
      </c>
      <c r="M14" s="32">
        <f t="shared" si="8"/>
        <v>-5.9100000000000037</v>
      </c>
      <c r="N14" s="32">
        <f t="shared" si="8"/>
        <v>72.959999999999994</v>
      </c>
      <c r="O14" s="32">
        <f t="shared" si="8"/>
        <v>-64.110000000000028</v>
      </c>
    </row>
    <row r="15" spans="1:15" ht="26" x14ac:dyDescent="0.35">
      <c r="A15" s="379" t="s">
        <v>510</v>
      </c>
      <c r="B15" s="398">
        <v>151.79</v>
      </c>
      <c r="C15" s="397">
        <v>162.71</v>
      </c>
      <c r="D15" s="397">
        <v>220.16</v>
      </c>
      <c r="E15" s="397">
        <v>183.64</v>
      </c>
      <c r="F15" s="397">
        <v>311.02</v>
      </c>
      <c r="G15" s="397">
        <v>297.70999999999998</v>
      </c>
      <c r="H15" s="23">
        <f>B3+B4-B12-B13+B14</f>
        <v>151.79000000000002</v>
      </c>
      <c r="I15" s="14" t="s">
        <v>132</v>
      </c>
      <c r="J15" s="35">
        <f>J3+J4+J8+J14</f>
        <v>37.75</v>
      </c>
      <c r="K15" s="35">
        <f t="shared" ref="K15:O15" si="9">K3+K4+K8+K14</f>
        <v>187.22</v>
      </c>
      <c r="L15" s="35">
        <f t="shared" si="9"/>
        <v>219.65000000000003</v>
      </c>
      <c r="M15" s="35">
        <f t="shared" si="9"/>
        <v>178.53</v>
      </c>
      <c r="N15" s="35">
        <f t="shared" si="9"/>
        <v>362.67</v>
      </c>
      <c r="O15" s="35">
        <f t="shared" si="9"/>
        <v>186.29999999999995</v>
      </c>
    </row>
    <row r="16" spans="1:15" x14ac:dyDescent="0.35">
      <c r="J16" s="36">
        <f>J15-B23</f>
        <v>2.0000000000003126E-2</v>
      </c>
      <c r="K16" s="36">
        <f t="shared" ref="K16:O16" si="10">K15-C23</f>
        <v>9.9999999999909051E-3</v>
      </c>
      <c r="L16" s="36">
        <f t="shared" si="10"/>
        <v>2.0000000000038654E-2</v>
      </c>
      <c r="M16" s="36">
        <f t="shared" si="10"/>
        <v>0</v>
      </c>
      <c r="N16" s="36">
        <f>N15-F23</f>
        <v>9.9999999999909051E-3</v>
      </c>
      <c r="O16" s="36">
        <f t="shared" si="10"/>
        <v>-1.9000000000000341</v>
      </c>
    </row>
    <row r="17" spans="1:15" ht="26" x14ac:dyDescent="0.35">
      <c r="A17" s="379" t="s">
        <v>511</v>
      </c>
      <c r="B17" s="398">
        <v>-114.06</v>
      </c>
      <c r="C17" s="398">
        <v>24.49</v>
      </c>
      <c r="D17" s="398">
        <v>-0.52</v>
      </c>
      <c r="E17" s="398">
        <v>-5.1100000000000003</v>
      </c>
      <c r="F17" s="398">
        <v>51.65</v>
      </c>
      <c r="G17" s="397">
        <v>-109.51</v>
      </c>
    </row>
    <row r="18" spans="1:15" ht="26" x14ac:dyDescent="0.35">
      <c r="A18" s="380" t="s">
        <v>512</v>
      </c>
      <c r="B18" s="399">
        <v>-48.98</v>
      </c>
      <c r="C18" s="399">
        <v>-0.11</v>
      </c>
      <c r="D18" s="399">
        <v>-20.61</v>
      </c>
      <c r="E18" s="399">
        <v>54.18</v>
      </c>
      <c r="F18" s="399">
        <v>-62.1</v>
      </c>
      <c r="G18" s="399">
        <v>-74.37</v>
      </c>
    </row>
    <row r="19" spans="1:15" ht="26" x14ac:dyDescent="0.35">
      <c r="A19" s="380" t="s">
        <v>513</v>
      </c>
      <c r="B19" s="399">
        <v>-33.380000000000003</v>
      </c>
      <c r="C19" s="399">
        <v>-11.76</v>
      </c>
      <c r="D19" s="399">
        <v>-11.35</v>
      </c>
      <c r="E19" s="399">
        <v>-28.42</v>
      </c>
      <c r="F19" s="399">
        <v>0.02</v>
      </c>
      <c r="G19" s="399">
        <v>-74.63</v>
      </c>
    </row>
    <row r="20" spans="1:15" ht="26" x14ac:dyDescent="0.35">
      <c r="A20" s="380" t="s">
        <v>514</v>
      </c>
      <c r="B20" s="399">
        <v>-18.87</v>
      </c>
      <c r="C20" s="399">
        <v>6.52</v>
      </c>
      <c r="D20" s="399">
        <v>6.54</v>
      </c>
      <c r="E20" s="399">
        <v>-2.5299999999999998</v>
      </c>
      <c r="F20" s="399">
        <v>-5.53</v>
      </c>
      <c r="G20" s="399">
        <v>-38.270000000000003</v>
      </c>
    </row>
    <row r="21" spans="1:15" ht="26" x14ac:dyDescent="0.35">
      <c r="A21" s="380" t="s">
        <v>515</v>
      </c>
      <c r="B21" s="399">
        <v>15.27</v>
      </c>
      <c r="C21" s="399">
        <v>0.92</v>
      </c>
      <c r="D21" s="399">
        <v>14.7</v>
      </c>
      <c r="E21" s="399">
        <v>-25.17</v>
      </c>
      <c r="F21" s="399">
        <v>52.69</v>
      </c>
      <c r="G21" s="399">
        <v>33.729999999999997</v>
      </c>
    </row>
    <row r="22" spans="1:15" ht="26" x14ac:dyDescent="0.35">
      <c r="A22" s="380" t="s">
        <v>516</v>
      </c>
      <c r="B22" s="399">
        <v>-28.09</v>
      </c>
      <c r="C22" s="399">
        <v>28.93</v>
      </c>
      <c r="D22" s="399">
        <v>10.199999999999999</v>
      </c>
      <c r="E22" s="399">
        <v>-3.17</v>
      </c>
      <c r="F22" s="399">
        <v>66.569999999999993</v>
      </c>
      <c r="G22" s="399">
        <v>44.04</v>
      </c>
    </row>
    <row r="23" spans="1:15" x14ac:dyDescent="0.35">
      <c r="A23" s="379" t="s">
        <v>517</v>
      </c>
      <c r="B23" s="398">
        <v>37.729999999999997</v>
      </c>
      <c r="C23" s="397">
        <v>187.21</v>
      </c>
      <c r="D23" s="397">
        <v>219.63</v>
      </c>
      <c r="E23" s="397">
        <v>178.53</v>
      </c>
      <c r="F23" s="397">
        <v>362.66</v>
      </c>
      <c r="G23" s="397">
        <v>188.2</v>
      </c>
    </row>
    <row r="24" spans="1:15" x14ac:dyDescent="0.35">
      <c r="A24" s="377" t="s">
        <v>518</v>
      </c>
      <c r="B24" s="378"/>
      <c r="C24" s="378"/>
      <c r="D24" s="378"/>
      <c r="E24" s="378"/>
      <c r="F24" s="378"/>
      <c r="G24" s="378"/>
    </row>
    <row r="25" spans="1:15" x14ac:dyDescent="0.35">
      <c r="A25" s="379" t="s">
        <v>519</v>
      </c>
      <c r="B25" s="398">
        <v>38.53</v>
      </c>
      <c r="C25" s="398">
        <v>34.29</v>
      </c>
      <c r="D25" s="398">
        <v>45.82</v>
      </c>
      <c r="E25" s="398">
        <v>44.86</v>
      </c>
      <c r="F25" s="398">
        <v>61.28</v>
      </c>
      <c r="G25" s="398">
        <v>81.75</v>
      </c>
    </row>
    <row r="26" spans="1:15" ht="26" x14ac:dyDescent="0.35">
      <c r="A26" s="380" t="s">
        <v>520</v>
      </c>
      <c r="B26" s="399">
        <v>13.17</v>
      </c>
      <c r="C26" s="399">
        <v>16.07</v>
      </c>
      <c r="D26" s="399">
        <v>19.46</v>
      </c>
      <c r="E26" s="399">
        <v>29.2</v>
      </c>
      <c r="F26" s="399">
        <v>25.3</v>
      </c>
      <c r="G26" s="399">
        <v>42.59</v>
      </c>
      <c r="I26" s="31" t="s">
        <v>133</v>
      </c>
      <c r="J26" s="23">
        <f>-B27</f>
        <v>-13.66</v>
      </c>
      <c r="K26" s="23">
        <f t="shared" ref="K26:O26" si="11">-C27</f>
        <v>-16.54</v>
      </c>
      <c r="L26" s="23">
        <f t="shared" si="11"/>
        <v>-20.350000000000001</v>
      </c>
      <c r="M26" s="23">
        <f t="shared" si="11"/>
        <v>-29.33</v>
      </c>
      <c r="N26" s="23">
        <f t="shared" si="11"/>
        <v>-30.12</v>
      </c>
      <c r="O26" s="23">
        <f t="shared" si="11"/>
        <v>-42.8</v>
      </c>
    </row>
    <row r="27" spans="1:15" ht="26" x14ac:dyDescent="0.35">
      <c r="A27" s="384" t="s">
        <v>521</v>
      </c>
      <c r="B27" s="399">
        <v>13.66</v>
      </c>
      <c r="C27" s="399">
        <v>16.54</v>
      </c>
      <c r="D27" s="399">
        <v>20.350000000000001</v>
      </c>
      <c r="E27" s="399">
        <v>29.33</v>
      </c>
      <c r="F27" s="399">
        <v>30.12</v>
      </c>
      <c r="G27" s="399">
        <v>42.8</v>
      </c>
      <c r="I27" s="31" t="s">
        <v>134</v>
      </c>
      <c r="J27" s="23">
        <f>B28</f>
        <v>0.49</v>
      </c>
      <c r="K27" s="23">
        <f t="shared" ref="K27:O27" si="12">C28</f>
        <v>0.47</v>
      </c>
      <c r="L27" s="23">
        <f t="shared" si="12"/>
        <v>0.89</v>
      </c>
      <c r="M27" s="23">
        <f t="shared" si="12"/>
        <v>0.13</v>
      </c>
      <c r="N27" s="23">
        <f t="shared" si="12"/>
        <v>4.83</v>
      </c>
      <c r="O27" s="23">
        <f t="shared" si="12"/>
        <v>0.22</v>
      </c>
    </row>
    <row r="28" spans="1:15" ht="26" x14ac:dyDescent="0.35">
      <c r="A28" s="384" t="s">
        <v>522</v>
      </c>
      <c r="B28" s="399">
        <v>0.49</v>
      </c>
      <c r="C28" s="399">
        <v>0.47</v>
      </c>
      <c r="D28" s="399">
        <v>0.89</v>
      </c>
      <c r="E28" s="399">
        <v>0.13</v>
      </c>
      <c r="F28" s="399">
        <v>4.83</v>
      </c>
      <c r="G28" s="399">
        <v>0.22</v>
      </c>
      <c r="H28" s="23">
        <f>B31-B28</f>
        <v>38.53</v>
      </c>
      <c r="I28" s="31" t="s">
        <v>135</v>
      </c>
      <c r="J28" s="23">
        <f>B32</f>
        <v>3.25</v>
      </c>
      <c r="K28" s="23">
        <f t="shared" ref="K28:O28" si="13">C32</f>
        <v>2.19</v>
      </c>
      <c r="L28" s="23">
        <f t="shared" si="13"/>
        <v>-96.33</v>
      </c>
      <c r="M28" s="23">
        <f t="shared" si="13"/>
        <v>-26.23</v>
      </c>
      <c r="N28" s="23">
        <f t="shared" si="13"/>
        <v>-11.51</v>
      </c>
      <c r="O28" s="23">
        <f t="shared" si="13"/>
        <v>-61.29</v>
      </c>
    </row>
    <row r="29" spans="1:15" ht="26" x14ac:dyDescent="0.35">
      <c r="A29" s="380" t="s">
        <v>523</v>
      </c>
      <c r="B29" s="399">
        <v>25.37</v>
      </c>
      <c r="C29" s="399">
        <v>18.22</v>
      </c>
      <c r="D29" s="399">
        <v>26.36</v>
      </c>
      <c r="E29" s="399">
        <v>15.66</v>
      </c>
      <c r="F29" s="399">
        <v>35.979999999999997</v>
      </c>
      <c r="G29" s="399">
        <v>39.17</v>
      </c>
      <c r="I29" s="31" t="s">
        <v>136</v>
      </c>
    </row>
    <row r="30" spans="1:15" ht="26" x14ac:dyDescent="0.35">
      <c r="A30" s="384" t="s">
        <v>524</v>
      </c>
      <c r="B30" s="399">
        <v>25.37</v>
      </c>
      <c r="C30" s="399">
        <v>18.22</v>
      </c>
      <c r="D30" s="399">
        <v>26.36</v>
      </c>
      <c r="E30" s="399">
        <v>15.66</v>
      </c>
      <c r="F30" s="399">
        <v>35.979999999999997</v>
      </c>
      <c r="G30" s="399">
        <v>39.17</v>
      </c>
      <c r="I30" s="31" t="s">
        <v>137</v>
      </c>
      <c r="J30" s="23">
        <f>-B29</f>
        <v>-25.37</v>
      </c>
      <c r="K30" s="23">
        <f t="shared" ref="K30:O30" si="14">-C29</f>
        <v>-18.22</v>
      </c>
      <c r="L30" s="23">
        <f t="shared" si="14"/>
        <v>-26.36</v>
      </c>
      <c r="M30" s="23">
        <f t="shared" si="14"/>
        <v>-15.66</v>
      </c>
      <c r="N30" s="23">
        <f t="shared" si="14"/>
        <v>-35.979999999999997</v>
      </c>
      <c r="O30" s="23">
        <f t="shared" si="14"/>
        <v>-39.17</v>
      </c>
    </row>
    <row r="31" spans="1:15" x14ac:dyDescent="0.35">
      <c r="A31" s="380" t="s">
        <v>525</v>
      </c>
      <c r="B31" s="399">
        <v>39.020000000000003</v>
      </c>
      <c r="C31" s="399">
        <v>34.76</v>
      </c>
      <c r="D31" s="399">
        <v>46.71</v>
      </c>
      <c r="E31" s="399">
        <v>44.99</v>
      </c>
      <c r="F31" s="399">
        <v>66.099999999999994</v>
      </c>
      <c r="G31" s="399">
        <v>81.97</v>
      </c>
      <c r="I31" s="31" t="s">
        <v>138</v>
      </c>
      <c r="J31" s="37">
        <f>B35</f>
        <v>-16.579999999999998</v>
      </c>
      <c r="K31" s="37">
        <f t="shared" ref="K31:O31" si="15">C35</f>
        <v>3.22</v>
      </c>
      <c r="L31" s="37">
        <f t="shared" si="15"/>
        <v>-3.66</v>
      </c>
      <c r="M31" s="37">
        <f t="shared" si="15"/>
        <v>-0.02</v>
      </c>
      <c r="N31" s="37">
        <f t="shared" si="15"/>
        <v>-2.42</v>
      </c>
      <c r="O31" s="37">
        <f t="shared" si="15"/>
        <v>-5.85</v>
      </c>
    </row>
    <row r="32" spans="1:15" ht="26" x14ac:dyDescent="0.35">
      <c r="A32" s="379" t="s">
        <v>526</v>
      </c>
      <c r="B32" s="398">
        <v>3.25</v>
      </c>
      <c r="C32" s="398">
        <v>2.19</v>
      </c>
      <c r="D32" s="398">
        <v>-96.33</v>
      </c>
      <c r="E32" s="398">
        <v>-26.23</v>
      </c>
      <c r="F32" s="398">
        <v>-11.51</v>
      </c>
      <c r="G32" s="398">
        <v>-61.29</v>
      </c>
      <c r="H32" s="23">
        <f>-B25+B32+B35+B40</f>
        <v>-55.93</v>
      </c>
      <c r="I32" s="31" t="s">
        <v>139</v>
      </c>
    </row>
    <row r="33" spans="1:15" x14ac:dyDescent="0.35">
      <c r="A33" s="380" t="s">
        <v>527</v>
      </c>
      <c r="B33" s="399">
        <v>6.04</v>
      </c>
      <c r="C33" s="399">
        <v>0.35</v>
      </c>
      <c r="D33" s="399">
        <v>96.33</v>
      </c>
      <c r="E33" s="399">
        <v>26.23</v>
      </c>
      <c r="F33" s="399">
        <v>11.51</v>
      </c>
      <c r="G33" s="399">
        <v>61.29</v>
      </c>
      <c r="I33" s="31" t="s">
        <v>140</v>
      </c>
      <c r="J33" s="23">
        <f>B40</f>
        <v>-4.07</v>
      </c>
      <c r="K33" s="23">
        <f t="shared" ref="K33:O33" si="16">C40</f>
        <v>0</v>
      </c>
      <c r="L33" s="23">
        <f t="shared" si="16"/>
        <v>-0.03</v>
      </c>
      <c r="M33" s="23">
        <f t="shared" si="16"/>
        <v>0.16</v>
      </c>
      <c r="N33" s="23">
        <f t="shared" si="16"/>
        <v>0</v>
      </c>
      <c r="O33" s="23">
        <f t="shared" si="16"/>
        <v>0</v>
      </c>
    </row>
    <row r="34" spans="1:15" x14ac:dyDescent="0.35">
      <c r="A34" s="380" t="s">
        <v>528</v>
      </c>
      <c r="B34" s="399">
        <v>9.2899999999999991</v>
      </c>
      <c r="C34" s="399">
        <v>2.5499999999999998</v>
      </c>
      <c r="D34" s="401">
        <v>0</v>
      </c>
      <c r="E34" s="401"/>
      <c r="F34" s="401"/>
      <c r="G34" s="401"/>
      <c r="I34" s="14" t="s">
        <v>141</v>
      </c>
      <c r="J34" s="23">
        <f>SUM(J26:J33)</f>
        <v>-55.94</v>
      </c>
      <c r="K34" s="23">
        <f t="shared" ref="K34:O34" si="17">SUM(K26:K33)</f>
        <v>-28.880000000000003</v>
      </c>
      <c r="L34" s="23">
        <f t="shared" si="17"/>
        <v>-145.83999999999997</v>
      </c>
      <c r="M34" s="23">
        <f t="shared" si="17"/>
        <v>-70.95</v>
      </c>
      <c r="N34" s="23">
        <f t="shared" si="17"/>
        <v>-75.2</v>
      </c>
      <c r="O34" s="23">
        <f t="shared" si="17"/>
        <v>-148.89000000000001</v>
      </c>
    </row>
    <row r="35" spans="1:15" ht="26.5" thickBot="1" x14ac:dyDescent="0.4">
      <c r="A35" s="379" t="s">
        <v>529</v>
      </c>
      <c r="B35" s="398">
        <v>-16.579999999999998</v>
      </c>
      <c r="C35" s="398">
        <v>3.22</v>
      </c>
      <c r="D35" s="398">
        <v>-3.66</v>
      </c>
      <c r="E35" s="398">
        <v>-0.02</v>
      </c>
      <c r="F35" s="398">
        <v>-2.42</v>
      </c>
      <c r="G35" s="398">
        <v>-5.85</v>
      </c>
      <c r="I35" s="17" t="s">
        <v>142</v>
      </c>
    </row>
    <row r="36" spans="1:15" ht="26" x14ac:dyDescent="0.35">
      <c r="A36" s="380" t="s">
        <v>530</v>
      </c>
      <c r="B36" s="399">
        <v>-16.579999999999998</v>
      </c>
      <c r="C36" s="399">
        <v>3.22</v>
      </c>
      <c r="D36" s="399">
        <v>-3.66</v>
      </c>
      <c r="E36" s="399">
        <v>-0.02</v>
      </c>
      <c r="F36" s="399">
        <v>-2.42</v>
      </c>
      <c r="G36" s="399">
        <v>-5.85</v>
      </c>
    </row>
    <row r="37" spans="1:15" ht="26" x14ac:dyDescent="0.35">
      <c r="A37" s="384" t="s">
        <v>531</v>
      </c>
      <c r="B37" s="399">
        <v>0.02</v>
      </c>
      <c r="C37" s="399">
        <v>3.22</v>
      </c>
      <c r="D37" s="399">
        <v>1.2</v>
      </c>
      <c r="E37" s="401"/>
      <c r="F37" s="401"/>
      <c r="G37" s="401"/>
      <c r="H37" s="23"/>
    </row>
    <row r="38" spans="1:15" ht="26" x14ac:dyDescent="0.35">
      <c r="A38" s="384" t="s">
        <v>532</v>
      </c>
      <c r="B38" s="399">
        <v>16.59</v>
      </c>
      <c r="C38" s="401">
        <v>0</v>
      </c>
      <c r="D38" s="399">
        <v>4.8600000000000003</v>
      </c>
      <c r="E38" s="399">
        <v>0.03</v>
      </c>
      <c r="F38" s="399">
        <v>2.42</v>
      </c>
      <c r="G38" s="399">
        <v>5.85</v>
      </c>
    </row>
    <row r="39" spans="1:15" ht="26" x14ac:dyDescent="0.35">
      <c r="A39" s="379" t="s">
        <v>533</v>
      </c>
      <c r="B39" s="402">
        <v>0</v>
      </c>
      <c r="C39" s="402"/>
      <c r="D39" s="402"/>
      <c r="E39" s="402"/>
      <c r="F39" s="402"/>
      <c r="G39" s="402"/>
    </row>
    <row r="40" spans="1:15" ht="26" x14ac:dyDescent="0.35">
      <c r="A40" s="379" t="s">
        <v>534</v>
      </c>
      <c r="B40" s="398">
        <v>-4.07</v>
      </c>
      <c r="C40" s="402">
        <v>0</v>
      </c>
      <c r="D40" s="398">
        <v>-0.03</v>
      </c>
      <c r="E40" s="398">
        <v>0.16</v>
      </c>
      <c r="F40" s="402">
        <v>0</v>
      </c>
      <c r="G40" s="402"/>
    </row>
    <row r="41" spans="1:15" x14ac:dyDescent="0.35">
      <c r="A41" s="379" t="s">
        <v>535</v>
      </c>
      <c r="B41" s="398">
        <v>-55.93</v>
      </c>
      <c r="C41" s="398">
        <v>-28.87</v>
      </c>
      <c r="D41" s="397">
        <v>-145.85</v>
      </c>
      <c r="E41" s="398">
        <v>-70.95</v>
      </c>
      <c r="F41" s="398">
        <v>-75.2</v>
      </c>
      <c r="G41" s="397">
        <v>-148.88999999999999</v>
      </c>
    </row>
    <row r="42" spans="1:15" x14ac:dyDescent="0.35">
      <c r="A42" s="377" t="s">
        <v>536</v>
      </c>
      <c r="B42" s="378"/>
      <c r="C42" s="378"/>
      <c r="D42" s="378"/>
      <c r="E42" s="378"/>
      <c r="F42" s="378"/>
      <c r="G42" s="378"/>
    </row>
    <row r="43" spans="1:15" x14ac:dyDescent="0.35">
      <c r="A43" s="379" t="s">
        <v>537</v>
      </c>
      <c r="B43" s="398">
        <v>37.57</v>
      </c>
      <c r="C43" s="398">
        <v>49.19</v>
      </c>
      <c r="D43" s="398">
        <v>49.19</v>
      </c>
      <c r="E43" s="398">
        <v>58.14</v>
      </c>
      <c r="F43" s="398">
        <v>44.72</v>
      </c>
      <c r="G43" s="398">
        <v>80.5</v>
      </c>
      <c r="I43" s="31" t="s">
        <v>143</v>
      </c>
    </row>
    <row r="44" spans="1:15" x14ac:dyDescent="0.35">
      <c r="A44" s="380" t="s">
        <v>538</v>
      </c>
      <c r="B44" s="399">
        <v>37.57</v>
      </c>
      <c r="C44" s="399">
        <v>49.19</v>
      </c>
      <c r="D44" s="399">
        <v>49.19</v>
      </c>
      <c r="E44" s="399">
        <v>58.14</v>
      </c>
      <c r="F44" s="399">
        <v>44.72</v>
      </c>
      <c r="G44" s="399">
        <v>80.5</v>
      </c>
      <c r="H44" s="23">
        <f>-B43+B45+B49+B53</f>
        <v>14.5</v>
      </c>
      <c r="I44" s="31" t="s">
        <v>144</v>
      </c>
      <c r="J44" s="23">
        <f>B51</f>
        <v>-3.34</v>
      </c>
      <c r="K44" s="23">
        <f t="shared" ref="K44:O44" si="18">C51</f>
        <v>-3.41</v>
      </c>
      <c r="L44" s="23">
        <f t="shared" si="18"/>
        <v>-13.66</v>
      </c>
      <c r="M44" s="23">
        <f t="shared" si="18"/>
        <v>-16.079999999999998</v>
      </c>
      <c r="N44" s="23">
        <f t="shared" si="18"/>
        <v>-17.73</v>
      </c>
      <c r="O44" s="23">
        <f t="shared" si="18"/>
        <v>-19.899999999999999</v>
      </c>
    </row>
    <row r="45" spans="1:15" ht="26" x14ac:dyDescent="0.35">
      <c r="A45" s="379" t="s">
        <v>539</v>
      </c>
      <c r="B45" s="397">
        <v>315.04000000000002</v>
      </c>
      <c r="C45" s="402">
        <v>0</v>
      </c>
      <c r="D45" s="402"/>
      <c r="E45" s="402"/>
      <c r="F45" s="402"/>
      <c r="G45" s="402"/>
      <c r="I45" s="31" t="s">
        <v>145</v>
      </c>
      <c r="J45" s="22">
        <f>B45</f>
        <v>315.04000000000002</v>
      </c>
      <c r="K45" s="22">
        <f t="shared" ref="K45:O45" si="19">C45</f>
        <v>0</v>
      </c>
      <c r="L45" s="22">
        <f t="shared" si="19"/>
        <v>0</v>
      </c>
      <c r="M45" s="22">
        <f t="shared" si="19"/>
        <v>0</v>
      </c>
      <c r="N45" s="22">
        <f t="shared" si="19"/>
        <v>0</v>
      </c>
      <c r="O45" s="22">
        <f t="shared" si="19"/>
        <v>0</v>
      </c>
    </row>
    <row r="46" spans="1:15" ht="26" x14ac:dyDescent="0.35">
      <c r="A46" s="380" t="s">
        <v>540</v>
      </c>
      <c r="B46" s="400">
        <v>315.04000000000002</v>
      </c>
      <c r="C46" s="401">
        <v>0</v>
      </c>
      <c r="D46" s="401"/>
      <c r="E46" s="401"/>
      <c r="F46" s="401"/>
      <c r="G46" s="401"/>
      <c r="I46" s="31" t="s">
        <v>146</v>
      </c>
    </row>
    <row r="47" spans="1:15" ht="39" x14ac:dyDescent="0.35">
      <c r="A47" s="384" t="s">
        <v>541</v>
      </c>
      <c r="B47" s="400">
        <v>315.04000000000002</v>
      </c>
      <c r="C47" s="401">
        <v>0</v>
      </c>
      <c r="D47" s="401"/>
      <c r="E47" s="401"/>
      <c r="F47" s="401"/>
      <c r="G47" s="401"/>
      <c r="I47" s="31" t="s">
        <v>147</v>
      </c>
      <c r="J47" s="23">
        <f>-B43</f>
        <v>-37.57</v>
      </c>
      <c r="K47" s="23">
        <f t="shared" ref="K47:O47" si="20">-C43</f>
        <v>-49.19</v>
      </c>
      <c r="L47" s="23">
        <f t="shared" si="20"/>
        <v>-49.19</v>
      </c>
      <c r="M47" s="23">
        <f t="shared" si="20"/>
        <v>-58.14</v>
      </c>
      <c r="N47" s="23">
        <f t="shared" si="20"/>
        <v>-44.72</v>
      </c>
      <c r="O47" s="23">
        <f t="shared" si="20"/>
        <v>-80.5</v>
      </c>
    </row>
    <row r="48" spans="1:15" ht="26" x14ac:dyDescent="0.35">
      <c r="A48" s="386" t="s">
        <v>542</v>
      </c>
      <c r="B48" s="400">
        <v>315.04000000000002</v>
      </c>
      <c r="C48" s="401">
        <v>0</v>
      </c>
      <c r="D48" s="401"/>
      <c r="E48" s="401"/>
      <c r="F48" s="401"/>
      <c r="G48" s="401"/>
      <c r="I48" s="31" t="s">
        <v>148</v>
      </c>
      <c r="J48" s="22">
        <f>B53+B50</f>
        <v>-259.63</v>
      </c>
      <c r="K48" s="22">
        <f t="shared" ref="K48:O48" si="21">C53+C50</f>
        <v>-104.63</v>
      </c>
      <c r="L48" s="22">
        <f t="shared" si="21"/>
        <v>4.2200000000000006</v>
      </c>
      <c r="M48" s="22">
        <f t="shared" si="21"/>
        <v>-48.74</v>
      </c>
      <c r="N48" s="22">
        <f t="shared" si="21"/>
        <v>-223.44000000000003</v>
      </c>
      <c r="O48" s="22">
        <f t="shared" si="21"/>
        <v>62.17</v>
      </c>
    </row>
    <row r="49" spans="1:15" ht="26" x14ac:dyDescent="0.35">
      <c r="A49" s="379" t="s">
        <v>543</v>
      </c>
      <c r="B49" s="398">
        <v>-3.12</v>
      </c>
      <c r="C49" s="398">
        <v>-3.52</v>
      </c>
      <c r="D49" s="398">
        <v>-13.77</v>
      </c>
      <c r="E49" s="398">
        <v>-16.05</v>
      </c>
      <c r="F49" s="398">
        <v>-17.309999999999999</v>
      </c>
      <c r="G49" s="398">
        <v>-21.96</v>
      </c>
      <c r="I49" s="31" t="s">
        <v>149</v>
      </c>
    </row>
    <row r="50" spans="1:15" ht="26" x14ac:dyDescent="0.35">
      <c r="A50" s="380" t="s">
        <v>544</v>
      </c>
      <c r="B50" s="399">
        <v>0.22</v>
      </c>
      <c r="C50" s="399">
        <v>-0.1</v>
      </c>
      <c r="D50" s="399">
        <v>-0.1</v>
      </c>
      <c r="E50" s="399">
        <v>0.03</v>
      </c>
      <c r="F50" s="399">
        <v>0.42</v>
      </c>
      <c r="G50" s="399">
        <v>-2.0499999999999998</v>
      </c>
      <c r="I50" s="14" t="s">
        <v>150</v>
      </c>
      <c r="J50">
        <f>SUM(J43:J49)</f>
        <v>14.500000000000057</v>
      </c>
      <c r="K50">
        <f t="shared" ref="K50:O50" si="22">SUM(K43:K49)</f>
        <v>-157.22999999999999</v>
      </c>
      <c r="L50">
        <f t="shared" si="22"/>
        <v>-58.629999999999995</v>
      </c>
      <c r="M50">
        <f t="shared" si="22"/>
        <v>-122.96000000000001</v>
      </c>
      <c r="N50">
        <f t="shared" si="22"/>
        <v>-285.89000000000004</v>
      </c>
      <c r="O50">
        <f t="shared" si="22"/>
        <v>-38.230000000000004</v>
      </c>
    </row>
    <row r="51" spans="1:15" ht="26.5" thickBot="1" x14ac:dyDescent="0.4">
      <c r="A51" s="380" t="s">
        <v>545</v>
      </c>
      <c r="B51" s="399">
        <v>-3.34</v>
      </c>
      <c r="C51" s="399">
        <v>-3.41</v>
      </c>
      <c r="D51" s="399">
        <v>-13.66</v>
      </c>
      <c r="E51" s="399">
        <v>-16.079999999999998</v>
      </c>
      <c r="F51" s="399">
        <v>-17.73</v>
      </c>
      <c r="G51" s="399">
        <v>-19.899999999999999</v>
      </c>
      <c r="I51" s="17" t="s">
        <v>152</v>
      </c>
    </row>
    <row r="52" spans="1:15" ht="26" x14ac:dyDescent="0.35">
      <c r="A52" s="384" t="s">
        <v>546</v>
      </c>
      <c r="B52" s="399">
        <v>3.34</v>
      </c>
      <c r="C52" s="399">
        <v>3.41</v>
      </c>
      <c r="D52" s="399">
        <v>13.66</v>
      </c>
      <c r="E52" s="399">
        <v>16.079999999999998</v>
      </c>
      <c r="F52" s="399">
        <v>17.73</v>
      </c>
      <c r="G52" s="399">
        <v>19.899999999999999</v>
      </c>
    </row>
    <row r="53" spans="1:15" ht="26" x14ac:dyDescent="0.35">
      <c r="A53" s="387" t="s">
        <v>547</v>
      </c>
      <c r="B53" s="400">
        <v>-259.85000000000002</v>
      </c>
      <c r="C53" s="400">
        <v>-104.53</v>
      </c>
      <c r="D53" s="399">
        <v>4.32</v>
      </c>
      <c r="E53" s="399">
        <v>-48.77</v>
      </c>
      <c r="F53" s="400">
        <v>-223.86</v>
      </c>
      <c r="G53" s="399">
        <v>64.22</v>
      </c>
    </row>
    <row r="54" spans="1:15" x14ac:dyDescent="0.35">
      <c r="A54" s="379" t="s">
        <v>548</v>
      </c>
      <c r="B54" s="398">
        <v>14.49</v>
      </c>
      <c r="C54" s="397">
        <v>-157.24</v>
      </c>
      <c r="D54" s="398">
        <v>-58.64</v>
      </c>
      <c r="E54" s="397">
        <v>-122.96</v>
      </c>
      <c r="F54" s="397">
        <v>-285.89</v>
      </c>
      <c r="G54" s="398">
        <v>-38.24</v>
      </c>
    </row>
    <row r="55" spans="1:15" x14ac:dyDescent="0.35">
      <c r="A55" s="377" t="s">
        <v>549</v>
      </c>
      <c r="B55" s="378"/>
      <c r="C55" s="378"/>
      <c r="D55" s="378"/>
      <c r="E55" s="378"/>
      <c r="F55" s="378"/>
      <c r="G55" s="378"/>
    </row>
    <row r="56" spans="1:15" x14ac:dyDescent="0.35">
      <c r="A56" s="387" t="s">
        <v>151</v>
      </c>
      <c r="B56" s="399">
        <v>-1.08</v>
      </c>
      <c r="C56" s="399">
        <v>1.66</v>
      </c>
      <c r="D56" s="399">
        <v>0.81</v>
      </c>
      <c r="E56" s="399">
        <v>-1.06</v>
      </c>
      <c r="F56" s="399">
        <v>-0.34</v>
      </c>
      <c r="G56" s="399">
        <v>-0.78</v>
      </c>
    </row>
    <row r="57" spans="1:15" x14ac:dyDescent="0.35">
      <c r="A57" s="377" t="s">
        <v>550</v>
      </c>
      <c r="B57" s="378"/>
      <c r="C57" s="378"/>
      <c r="D57" s="378"/>
      <c r="E57" s="378"/>
      <c r="F57" s="378"/>
      <c r="G57" s="378"/>
    </row>
    <row r="58" spans="1:15" x14ac:dyDescent="0.35">
      <c r="A58" s="379" t="s">
        <v>551</v>
      </c>
      <c r="B58" s="398">
        <v>-4.78</v>
      </c>
      <c r="C58" s="398">
        <v>2.75</v>
      </c>
      <c r="D58" s="398">
        <v>15.96</v>
      </c>
      <c r="E58" s="398">
        <v>-16.440000000000001</v>
      </c>
      <c r="F58" s="398">
        <v>1.24</v>
      </c>
      <c r="G58" s="398">
        <v>0.28999999999999998</v>
      </c>
    </row>
    <row r="59" spans="1:15" x14ac:dyDescent="0.35">
      <c r="A59" s="380" t="s">
        <v>552</v>
      </c>
      <c r="B59" s="399">
        <v>-4.78</v>
      </c>
      <c r="C59" s="399">
        <v>2.75</v>
      </c>
      <c r="D59" s="399">
        <v>15.96</v>
      </c>
      <c r="E59" s="399">
        <v>-16.440000000000001</v>
      </c>
      <c r="F59" s="399">
        <v>1.24</v>
      </c>
      <c r="G59" s="399">
        <v>0.28999999999999998</v>
      </c>
    </row>
    <row r="60" spans="1:15" x14ac:dyDescent="0.35">
      <c r="A60" s="387" t="s">
        <v>553</v>
      </c>
      <c r="B60" s="399">
        <v>8.7100000000000009</v>
      </c>
      <c r="C60" s="399">
        <v>3.93</v>
      </c>
      <c r="D60" s="399">
        <v>6.68</v>
      </c>
      <c r="E60" s="399">
        <v>22.64</v>
      </c>
      <c r="F60" s="399">
        <v>6.2</v>
      </c>
      <c r="G60" s="399">
        <v>7.44</v>
      </c>
    </row>
    <row r="61" spans="1:15" x14ac:dyDescent="0.35">
      <c r="A61" s="387" t="s">
        <v>554</v>
      </c>
      <c r="B61" s="399">
        <v>3.93</v>
      </c>
      <c r="C61" s="399">
        <v>6.68</v>
      </c>
      <c r="D61" s="399">
        <v>22.64</v>
      </c>
      <c r="E61" s="399">
        <v>6.2</v>
      </c>
      <c r="F61" s="399">
        <v>7.44</v>
      </c>
      <c r="G61" s="399">
        <v>7.73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Exit Valuation  Base Case</vt:lpstr>
      <vt:lpstr>Exit Valuation Bull Case</vt:lpstr>
      <vt:lpstr>Exit Valuation Bear Case</vt:lpstr>
      <vt:lpstr>Forecast</vt:lpstr>
      <vt:lpstr>Assupmtions</vt:lpstr>
      <vt:lpstr>Net Working Capital</vt:lpstr>
      <vt:lpstr>New Debt</vt:lpstr>
      <vt:lpstr>Historical-BS</vt:lpstr>
      <vt:lpstr>Historical-CF</vt:lpstr>
      <vt:lpstr>Historical-IS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stella may</dc:creator>
  <cp:keywords/>
  <dc:description/>
  <cp:lastModifiedBy>stella may</cp:lastModifiedBy>
  <cp:revision/>
  <dcterms:created xsi:type="dcterms:W3CDTF">2023-10-08T20:02:56Z</dcterms:created>
  <dcterms:modified xsi:type="dcterms:W3CDTF">2023-10-25T15:49:17Z</dcterms:modified>
  <cp:category/>
  <cp:contentStatus/>
</cp:coreProperties>
</file>