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DT" sheetId="2" r:id="rId5"/>
    <sheet state="visible" name="PT" sheetId="3" r:id="rId6"/>
    <sheet state="visible" name="CR" sheetId="4" r:id="rId7"/>
    <sheet state="visible" name="CT" sheetId="5" r:id="rId8"/>
    <sheet state="visible" name="OB" sheetId="6" r:id="rId9"/>
    <sheet state="visible" name="SW" sheetId="7" r:id="rId10"/>
    <sheet state="visible" name="FG" sheetId="8" r:id="rId11"/>
    <sheet state="visible" name="DBG" sheetId="9" r:id="rId12"/>
  </sheets>
  <definedNames>
    <definedName hidden="1" localSheetId="0" name="_xlnm._FilterDatabase">'Form Responses 1'!$A$1:$AI$97</definedName>
  </definedNames>
  <calcPr/>
</workbook>
</file>

<file path=xl/sharedStrings.xml><?xml version="1.0" encoding="utf-8"?>
<sst xmlns="http://schemas.openxmlformats.org/spreadsheetml/2006/main" count="2829" uniqueCount="1181">
  <si>
    <t>Timestamp</t>
  </si>
  <si>
    <t>Site (optional)</t>
  </si>
  <si>
    <t>Student Name (Optional)</t>
  </si>
  <si>
    <t>What keeps you coming back to each session?</t>
  </si>
  <si>
    <t>What is your favorite memory from mentoring this year?</t>
  </si>
  <si>
    <t>What incentives would make you want to attend every single session?</t>
  </si>
  <si>
    <t>What would help you focus during your session?</t>
  </si>
  <si>
    <t>What is your favorite book or favorite kind of book to read?</t>
  </si>
  <si>
    <t>What is something that made you smile or laugh this year during mentoring?</t>
  </si>
  <si>
    <t>What is your favorite part of the mentoring program?</t>
  </si>
  <si>
    <t>What makes you feel safe or happy?  (Could be during mentoring, at home, at school, anywhere)</t>
  </si>
  <si>
    <t>What could Center for Success do to improve the mentoring program?</t>
  </si>
  <si>
    <t>Is there anything about mentoring you don't like?  If so, how could we make it better?</t>
  </si>
  <si>
    <t>Besides reading, what literacy game or activity do you enjoy the most during mentoring?</t>
  </si>
  <si>
    <t>What suggestions do you have for Center for Success?</t>
  </si>
  <si>
    <t>How do you think you've grown this school year?</t>
  </si>
  <si>
    <t>Using the 1-5 scale above, please mark how you feel about these sentences after being a part of this mentoring program: [I have improved my reading skills.]</t>
  </si>
  <si>
    <t>Using the 1-5 scale above, please mark how you feel about these sentences after being a part of this mentoring program: [I feel more confident in my reading.]</t>
  </si>
  <si>
    <t>Using the 1-5 scale above, please mark how you feel about these sentences after being a part of this mentoring program: [I like learning and reading more than I did before.]</t>
  </si>
  <si>
    <t>Using the 1-5 scale above, please mark how you feel about these sentences after being a part of this mentoring program: [I know how to figure out new words.]</t>
  </si>
  <si>
    <t>Using the 1-5 scale above, please mark how you feel about these sentences after being a part of this mentoring program: [I enjoy my mentoring sessions.]</t>
  </si>
  <si>
    <t>Using the 1-5 scale above, please mark how you feel about these sentences after being a part of this mentoring program: [I feel safe and supported during mentoring.]</t>
  </si>
  <si>
    <t>Using the 1-5 scale above, please mark how you feel about these sentences after being a part of this mentoring program: [During mentoring, I feel understood and that my voice is important.]</t>
  </si>
  <si>
    <t>Using the 1-5 scale above, please mark how you feel about these sentences after being a part of this mentoring program: [I would tell my friends to come to Center for Success.]</t>
  </si>
  <si>
    <t>Using the 1-5 scale above, please mark how you feel about these sentences after being a part of this mentoring program: [I feel a sense of belonging in this program.]</t>
  </si>
  <si>
    <t>Using the 1-5 scale above, please mark how you feel about these sentences after being a part of this mentoring program: [I have at least one close friend in this program.]</t>
  </si>
  <si>
    <t>Using the 1-5 scale above, please mark how you feel about these sentences after being a part of this mentoring program: [I feel I make a positive contribution to the experiences of others in this program.]</t>
  </si>
  <si>
    <t>Using the 1-5 scale above, please mark how you feel about these sentences after being a part of this mentoring program: [There is at least one adult in this program that I trust and can safely talk with about challenges.]</t>
  </si>
  <si>
    <t>Additional comments or questions:</t>
  </si>
  <si>
    <t>Dallis</t>
  </si>
  <si>
    <t>When i have cfs i have to keep coming back</t>
  </si>
  <si>
    <t>My mentor let me have cookies and candy.</t>
  </si>
  <si>
    <t>Playing games.</t>
  </si>
  <si>
    <t>Food.</t>
  </si>
  <si>
    <t>I love hair</t>
  </si>
  <si>
    <t>Watching a funny book.</t>
  </si>
  <si>
    <t>Eating cookies</t>
  </si>
  <si>
    <t>DBG</t>
  </si>
  <si>
    <t>More games.</t>
  </si>
  <si>
    <t>Reading.</t>
  </si>
  <si>
    <t>Smash Karts.</t>
  </si>
  <si>
    <t>Yes,</t>
  </si>
  <si>
    <t>3 - Neutral</t>
  </si>
  <si>
    <t>4 - Agree</t>
  </si>
  <si>
    <t>5 - Strongly Agree</t>
  </si>
  <si>
    <t>Amy - CFSN at Downtown Boxing Gym</t>
  </si>
  <si>
    <t>Martez Mullen</t>
  </si>
  <si>
    <t>I like it here, I like answering questions at CFS</t>
  </si>
  <si>
    <t>I liked answering questions with my mentor</t>
  </si>
  <si>
    <t>I am treated with respect</t>
  </si>
  <si>
    <t>when its quiet so i can focus</t>
  </si>
  <si>
    <t>A diary of a wimpy  kid</t>
  </si>
  <si>
    <t>nothing</t>
  </si>
  <si>
    <t>when i get to read stories</t>
  </si>
  <si>
    <t>playing fortnite</t>
  </si>
  <si>
    <t>The length of time it takes to finish a book</t>
  </si>
  <si>
    <t>answering questions</t>
  </si>
  <si>
    <t>I feel like my reading has improved</t>
  </si>
  <si>
    <t>2 - Disagree</t>
  </si>
  <si>
    <t>im good thanks</t>
  </si>
  <si>
    <t>Maddison</t>
  </si>
  <si>
    <t>The fun games and reading.</t>
  </si>
  <si>
    <t xml:space="preserve">Reading fun books, and games, and tic tac toe. </t>
  </si>
  <si>
    <t>If we got to have one day no reading and just playing games</t>
  </si>
  <si>
    <t>Peace and quiet</t>
  </si>
  <si>
    <t>I like to read Judy Mood</t>
  </si>
  <si>
    <t>When my mentor let me accidently let me win in tic tac toe</t>
  </si>
  <si>
    <t>You get to be with nice mentors</t>
  </si>
  <si>
    <t>Peace and quiet and friends and tic tac toe</t>
  </si>
  <si>
    <t xml:space="preserve">It could improve by if you have two days of CFS one day it could be in person and one day could be in person and if you have one day like me on Tuesday one Tuesday can be in person and one Tuesday can be on the computer. </t>
  </si>
  <si>
    <t xml:space="preserve">No nothing </t>
  </si>
  <si>
    <t xml:space="preserve">Context clues </t>
  </si>
  <si>
    <t xml:space="preserve">Having more fun everyday </t>
  </si>
  <si>
    <t xml:space="preserve">I've grown by learning a lot of context clues and reading a lot. </t>
  </si>
  <si>
    <t>Emory</t>
  </si>
  <si>
    <t>I don't really know.</t>
  </si>
  <si>
    <t>I should just be able to do the sessions.</t>
  </si>
  <si>
    <t>Nothing really. I focus.</t>
  </si>
  <si>
    <t>Science books</t>
  </si>
  <si>
    <t>Ms. Abria telling me funny jokes.</t>
  </si>
  <si>
    <t>Being able to spend time with Coach Abria.</t>
  </si>
  <si>
    <t>Going to Urban Air, a trampoline park.</t>
  </si>
  <si>
    <t>Nothing really.  It's already really good.</t>
  </si>
  <si>
    <t>No, there isn't anything I didn't like about mentoring.</t>
  </si>
  <si>
    <t>I enjoyed the jokes.</t>
  </si>
  <si>
    <t>No suggestions</t>
  </si>
  <si>
    <t>Not really that much.</t>
  </si>
  <si>
    <t>1 - Strongly Disagree</t>
  </si>
  <si>
    <t>None</t>
  </si>
  <si>
    <t>Ean Wade</t>
  </si>
  <si>
    <t>"I have to and I like playing games and sometimes I like to read."</t>
  </si>
  <si>
    <t xml:space="preserve">Reading about sports and animals. </t>
  </si>
  <si>
    <t xml:space="preserve">So he can get better at reading! </t>
  </si>
  <si>
    <t>Reading something more scary and playing different games.</t>
  </si>
  <si>
    <t xml:space="preserve">A Chapter book or a comic book. </t>
  </si>
  <si>
    <t xml:space="preserve">Hangman! </t>
  </si>
  <si>
    <t xml:space="preserve">Getting better at reading and playing games. </t>
  </si>
  <si>
    <t>His doggy! (a pitbull!)</t>
  </si>
  <si>
    <t xml:space="preserve">Having more games and playing roblox. </t>
  </si>
  <si>
    <t xml:space="preserve">Hearing everyone screaming in the background when he is trying to listen. Asking the other kids to be more quiet. </t>
  </si>
  <si>
    <t xml:space="preserve">Hangman (helps with spelling). We should play more roblox in the future. </t>
  </si>
  <si>
    <t xml:space="preserve">They should get a dog. </t>
  </si>
  <si>
    <t xml:space="preserve">80% in math. He learned how to do fractions. 90% in reading. He got better in spelling. </t>
  </si>
  <si>
    <t>no</t>
  </si>
  <si>
    <t>Malachi</t>
  </si>
  <si>
    <t>I love learning things and I like reading.</t>
  </si>
  <si>
    <t>I enjoyed getting to meet my mentor and playing some fun games.</t>
  </si>
  <si>
    <t>Time to play video games, food.</t>
  </si>
  <si>
    <t>My mom keeps me focused.</t>
  </si>
  <si>
    <t>Dr. Seuss' "Green Eggs and Ham"</t>
  </si>
  <si>
    <t>My mom</t>
  </si>
  <si>
    <t>My mentor helping me learn new stuff.</t>
  </si>
  <si>
    <t>Video games and mom</t>
  </si>
  <si>
    <t>Make more games!</t>
  </si>
  <si>
    <t>I have to pay attention; make mentoring more entertaining</t>
  </si>
  <si>
    <t>Chatting and having fun</t>
  </si>
  <si>
    <t>none</t>
  </si>
  <si>
    <t>I got a lot smarter and made many new friends!</t>
  </si>
  <si>
    <t>Kendra + Maggie - CFSN Pontiac</t>
  </si>
  <si>
    <t xml:space="preserve">samarii    </t>
  </si>
  <si>
    <t>to read more</t>
  </si>
  <si>
    <t>Spending time with miss Brook</t>
  </si>
  <si>
    <t>Spend time with Ms. Maggie and Ms Kendra</t>
  </si>
  <si>
    <t>reading</t>
  </si>
  <si>
    <t>harry potter</t>
  </si>
  <si>
    <t>having</t>
  </si>
  <si>
    <t>reading goal for school</t>
  </si>
  <si>
    <t>bingo game with mentor</t>
  </si>
  <si>
    <t>to get everything set up before I get here</t>
  </si>
  <si>
    <t>reading and writing has gotten better</t>
  </si>
  <si>
    <t>Wants to get better to move on to 3rd grade</t>
  </si>
  <si>
    <t>mila</t>
  </si>
  <si>
    <t>play with my mentor</t>
  </si>
  <si>
    <t xml:space="preserve">playing </t>
  </si>
  <si>
    <t>legos and reading and homework</t>
  </si>
  <si>
    <t>homework and water</t>
  </si>
  <si>
    <t>frozen books</t>
  </si>
  <si>
    <t>being happy to be here</t>
  </si>
  <si>
    <t>reading and playing</t>
  </si>
  <si>
    <t>i feel safe with my mom and dad at home</t>
  </si>
  <si>
    <t>reading and math and homework</t>
  </si>
  <si>
    <t>being yelled at</t>
  </si>
  <si>
    <t>reading frozen books</t>
  </si>
  <si>
    <t>reading to teachers</t>
  </si>
  <si>
    <t>sometimes but i try my best</t>
  </si>
  <si>
    <t>Nyla Stimage</t>
  </si>
  <si>
    <t>Have fun with mentor</t>
  </si>
  <si>
    <t>Being downstairs and spending time with Mentor</t>
  </si>
  <si>
    <t>Playing Leggos and going outside</t>
  </si>
  <si>
    <t xml:space="preserve">calming and reading </t>
  </si>
  <si>
    <t xml:space="preserve">may Jamison </t>
  </si>
  <si>
    <t>Dance and funny Jokes</t>
  </si>
  <si>
    <t xml:space="preserve">Playing games and reading </t>
  </si>
  <si>
    <t>joking and spending time with other kids</t>
  </si>
  <si>
    <t>Have a mentor by myself</t>
  </si>
  <si>
    <t>play more Games</t>
  </si>
  <si>
    <t>swaps</t>
  </si>
  <si>
    <t>have more food</t>
  </si>
  <si>
    <t>feel more better about my reading</t>
  </si>
  <si>
    <t>miss kendra &amp; miss maggie</t>
  </si>
  <si>
    <t xml:space="preserve">going swimming </t>
  </si>
  <si>
    <t>mentor</t>
  </si>
  <si>
    <t>Babysitters club</t>
  </si>
  <si>
    <t>the kids</t>
  </si>
  <si>
    <t>that it helps me learn</t>
  </si>
  <si>
    <t>home</t>
  </si>
  <si>
    <t>better snacks</t>
  </si>
  <si>
    <t>the summer food</t>
  </si>
  <si>
    <t>stuff with miss kendra and miss maggie</t>
  </si>
  <si>
    <t>to get better tables and chairs</t>
  </si>
  <si>
    <t>Make better questions and the questions are weird</t>
  </si>
  <si>
    <t>D'Mariyel</t>
  </si>
  <si>
    <t>learning and having miss maggie and miss kendra</t>
  </si>
  <si>
    <t xml:space="preserve">  all the party we had</t>
  </si>
  <si>
    <t>when i got to read this funny book called mr sunny is funny</t>
  </si>
  <si>
    <t>going out on a warm day  having a snack while learning</t>
  </si>
  <si>
    <t>diary of a wimpy kid</t>
  </si>
  <si>
    <t>while reading mr sunny is funny because it had some really funny parts in it</t>
  </si>
  <si>
    <t>when i get to play fun games</t>
  </si>
  <si>
    <t>being with an adult so that they could make sure im ok</t>
  </si>
  <si>
    <t>teach me lanuage arts</t>
  </si>
  <si>
    <t>i could make it better by asking my mentor to play a few games</t>
  </si>
  <si>
    <t>i enjoy this game bingo</t>
  </si>
  <si>
    <t>that miss maggie and miss kendra work with uss</t>
  </si>
  <si>
    <t>by reaing and learning a lot of fun stuff</t>
  </si>
  <si>
    <t>Diamond</t>
  </si>
  <si>
    <t>helps me read</t>
  </si>
  <si>
    <t>read books</t>
  </si>
  <si>
    <t>candy</t>
  </si>
  <si>
    <t>comic books</t>
  </si>
  <si>
    <t>miss kendra and miss maggie</t>
  </si>
  <si>
    <t>I get stuff</t>
  </si>
  <si>
    <t>the boys playing every morning</t>
  </si>
  <si>
    <t>games with mentor</t>
  </si>
  <si>
    <t>better food</t>
  </si>
  <si>
    <t>math has gotten better</t>
  </si>
  <si>
    <t>I love programming</t>
  </si>
  <si>
    <t>Noah Lanehart</t>
  </si>
  <si>
    <t>i like it</t>
  </si>
  <si>
    <t>having a mentor</t>
  </si>
  <si>
    <t>having a ball to play</t>
  </si>
  <si>
    <t>my cousin</t>
  </si>
  <si>
    <t>mentors</t>
  </si>
  <si>
    <t>school</t>
  </si>
  <si>
    <t>i dont know</t>
  </si>
  <si>
    <t>playing games</t>
  </si>
  <si>
    <t>playing games downstar</t>
  </si>
  <si>
    <t>a 10000 tall</t>
  </si>
  <si>
    <t>CHRISON.ROEHM.</t>
  </si>
  <si>
    <t>MY mom</t>
  </si>
  <si>
    <t>don't have one</t>
  </si>
  <si>
    <t>movie time before lerning time</t>
  </si>
  <si>
    <t>A figit to play with</t>
  </si>
  <si>
    <t>fgteev books</t>
  </si>
  <si>
    <t>My friends</t>
  </si>
  <si>
    <t>The people</t>
  </si>
  <si>
    <t>I don't know</t>
  </si>
  <si>
    <t>more activedes</t>
  </si>
  <si>
    <t>gaming done stiars</t>
  </si>
  <si>
    <t xml:space="preserve">TO add more things outside </t>
  </si>
  <si>
    <t>BY reading a lot more and faster</t>
  </si>
  <si>
    <t>Connor</t>
  </si>
  <si>
    <t>Nothing.</t>
  </si>
  <si>
    <t>Guessing animals outside.</t>
  </si>
  <si>
    <t>Nothing</t>
  </si>
  <si>
    <t>Music</t>
  </si>
  <si>
    <t>The blue dot.</t>
  </si>
  <si>
    <t>When me and my mentor play guessing games.</t>
  </si>
  <si>
    <t>No.</t>
  </si>
  <si>
    <t>Chicken game.</t>
  </si>
  <si>
    <t>I dont know.</t>
  </si>
  <si>
    <t>Amir Hunt</t>
  </si>
  <si>
    <t>Because my Mentor helps me a lot</t>
  </si>
  <si>
    <t>Reading the book The cat in the hat</t>
  </si>
  <si>
    <t>No</t>
  </si>
  <si>
    <t>it being quiter</t>
  </si>
  <si>
    <t xml:space="preserve">Adventure books, Ninja books or Pirate </t>
  </si>
  <si>
    <t>Multiplication Duck</t>
  </si>
  <si>
    <t>When my mentor helps me with words I don't know</t>
  </si>
  <si>
    <t>Being at DBG</t>
  </si>
  <si>
    <t>Having it quieter during the session</t>
  </si>
  <si>
    <t>I liked my Mentoring sessions</t>
  </si>
  <si>
    <t>I think it's good the way it is</t>
  </si>
  <si>
    <t>My math and reading has gotten better</t>
  </si>
  <si>
    <t xml:space="preserve">Taraji </t>
  </si>
  <si>
    <t>Cause I'm forced to</t>
  </si>
  <si>
    <t>Talking and reading and writing</t>
  </si>
  <si>
    <t>I don't want to attend every session</t>
  </si>
  <si>
    <t>Writing and reading helps me feel focused</t>
  </si>
  <si>
    <t>Babysitters club, dork diaries, Long way down, mysteries</t>
  </si>
  <si>
    <t>Tic tac toe games</t>
  </si>
  <si>
    <t>games</t>
  </si>
  <si>
    <t>Happy at the gym because I get to see my friends</t>
  </si>
  <si>
    <t>Play more games</t>
  </si>
  <si>
    <t xml:space="preserve">I don't like reading or math. Maybe playing games to split up time would help. </t>
  </si>
  <si>
    <t>Writing stories</t>
  </si>
  <si>
    <t>I like hanging out with friends, playing games outside/sports, talking to the coaches</t>
  </si>
  <si>
    <t>I grew a lot. I improved in reading and math and am understanding stuff better.</t>
  </si>
  <si>
    <t xml:space="preserve">Samiya Harvey </t>
  </si>
  <si>
    <t xml:space="preserve">Forced to come back, can't refuse to come back </t>
  </si>
  <si>
    <t xml:space="preserve">our sea drawing </t>
  </si>
  <si>
    <t xml:space="preserve">help with work </t>
  </si>
  <si>
    <t xml:space="preserve">if mentor comes in person </t>
  </si>
  <si>
    <t>mo willems</t>
  </si>
  <si>
    <t xml:space="preserve">origami </t>
  </si>
  <si>
    <t xml:space="preserve">to interact with mentor and log off </t>
  </si>
  <si>
    <t xml:space="preserve">cooking makes samiya feel happy </t>
  </si>
  <si>
    <t xml:space="preserve">let us choose which days to do CFS </t>
  </si>
  <si>
    <t xml:space="preserve">don't like logging on or mentoring; make it better by not having to do it </t>
  </si>
  <si>
    <t>playing PBS games</t>
  </si>
  <si>
    <t xml:space="preserve">lets us choose which days for mentoring and choose the mentor </t>
  </si>
  <si>
    <t xml:space="preserve">grown overall </t>
  </si>
  <si>
    <t>Marko A.</t>
  </si>
  <si>
    <t>CFS helps me learn my best.</t>
  </si>
  <si>
    <t>When i came to learn my hardest.</t>
  </si>
  <si>
    <t>So i can read better.</t>
  </si>
  <si>
    <t>When my mentor teaches me.</t>
  </si>
  <si>
    <t xml:space="preserve">I dont remember. </t>
  </si>
  <si>
    <t xml:space="preserve">nothing. </t>
  </si>
  <si>
    <t>My mentor.</t>
  </si>
  <si>
    <t>Myself</t>
  </si>
  <si>
    <t>ISpy.</t>
  </si>
  <si>
    <t>Good.</t>
  </si>
  <si>
    <t>Isabella - CFSN at Brilliant Detroit Cody Rouge</t>
  </si>
  <si>
    <t>Josselyn Contreras</t>
  </si>
  <si>
    <t>To read a book.</t>
  </si>
  <si>
    <t>The Christmas book story we created together and they made a funny fill-in out of it.</t>
  </si>
  <si>
    <t>Dogman books.</t>
  </si>
  <si>
    <t>Probably reading my favorite book.</t>
  </si>
  <si>
    <t>I have two: Dogman and Junie B. Jones</t>
  </si>
  <si>
    <t>Playing games and reading my favorite book.</t>
  </si>
  <si>
    <t>The games and the books.</t>
  </si>
  <si>
    <t>What makes me happy at home is when my dogs are next to me and they protect me.</t>
  </si>
  <si>
    <t>Maybe read a Dogman book everyday and play a game.</t>
  </si>
  <si>
    <t>That sometimes I have long day at school and I am tired and I try to stay awake. Maybe I could take a nap in the car so I have more energy.</t>
  </si>
  <si>
    <t>The Funny Fill-In game.</t>
  </si>
  <si>
    <t>Probably have more kids in the group.</t>
  </si>
  <si>
    <t>I improved a lot in reading the books.</t>
  </si>
  <si>
    <t>Khiana R.</t>
  </si>
  <si>
    <t>It's fun</t>
  </si>
  <si>
    <t>The games</t>
  </si>
  <si>
    <t>Practicing reading</t>
  </si>
  <si>
    <t>If it was quieter where I had my meetings</t>
  </si>
  <si>
    <t>Right now: The Wild Robot</t>
  </si>
  <si>
    <t>When I knew I could beat the Uno computer</t>
  </si>
  <si>
    <t>It makes learning stuff more fun, it's kind of like a game</t>
  </si>
  <si>
    <t>At school: Fluency Friday (we win prizes for doing math)</t>
  </si>
  <si>
    <t>nope</t>
  </si>
  <si>
    <t>word search</t>
  </si>
  <si>
    <t>Using the word (like around) to figure out what it means</t>
  </si>
  <si>
    <t>Kayla Anderson</t>
  </si>
  <si>
    <t>Reading</t>
  </si>
  <si>
    <t>Playing word search</t>
  </si>
  <si>
    <t>Takis or candy</t>
  </si>
  <si>
    <t>Im always focused</t>
  </si>
  <si>
    <t>Adventures</t>
  </si>
  <si>
    <t>Reading funny books</t>
  </si>
  <si>
    <t>Everything</t>
  </si>
  <si>
    <t>My Dog sueeze</t>
  </si>
  <si>
    <t>give chips and candy out after session</t>
  </si>
  <si>
    <t>i like everything</t>
  </si>
  <si>
    <t>i don't have any</t>
  </si>
  <si>
    <t>reading more and liking it</t>
  </si>
  <si>
    <t>Seth</t>
  </si>
  <si>
    <t>To keep reading</t>
  </si>
  <si>
    <t>The "What's Next" mini-book and playing Catchphrase</t>
  </si>
  <si>
    <t>The blue box where you can get supplies</t>
  </si>
  <si>
    <t>Reading, the stories I read have to be interesting</t>
  </si>
  <si>
    <t>The Hope Chest, mystery stories</t>
  </si>
  <si>
    <t>Don't know</t>
  </si>
  <si>
    <t>Put it in ads</t>
  </si>
  <si>
    <t>Math, math is stressful. I don't know.</t>
  </si>
  <si>
    <t>Catchphrase, Radley the Readbot</t>
  </si>
  <si>
    <t>Not a lot</t>
  </si>
  <si>
    <t>He comes back to each session because he is required to.</t>
  </si>
  <si>
    <t>He does not have a favorite memory from mentoring this year.</t>
  </si>
  <si>
    <t>Playing games during mentoring incentivises him to attend every single session.</t>
  </si>
  <si>
    <t>Playing computer games for brain breaks would help him focus during his session.</t>
  </si>
  <si>
    <t>The Elephant and the Pig</t>
  </si>
  <si>
    <t>He could not think of anything that made him smile or laugh this year during mentoring.</t>
  </si>
  <si>
    <t>Soccer is his favorite part of the mentoring program.</t>
  </si>
  <si>
    <t>Going to home makes him feel safe or happy.</t>
  </si>
  <si>
    <t>He could not think of anything Center for Success could do to improve the mentoring program.</t>
  </si>
  <si>
    <t>Playing video games could make mentoring better.</t>
  </si>
  <si>
    <t>He could not think of any literacy games or activities he enjoyed the most during mentoring.</t>
  </si>
  <si>
    <t>He does not have any suggestions for Center for Success.</t>
  </si>
  <si>
    <t>He feels like he has grown a "medium" amount.</t>
  </si>
  <si>
    <t>Samira Farria</t>
  </si>
  <si>
    <t>Because my mom wants me to do it</t>
  </si>
  <si>
    <t>Playing games together</t>
  </si>
  <si>
    <t>Fun</t>
  </si>
  <si>
    <t>Being by myself</t>
  </si>
  <si>
    <t>Animals, Princesses</t>
  </si>
  <si>
    <t>Being with my mentors</t>
  </si>
  <si>
    <t>We all get to see each other online</t>
  </si>
  <si>
    <t>Mentoring at home</t>
  </si>
  <si>
    <t>Nope</t>
  </si>
  <si>
    <t xml:space="preserve">drawing, guess the animals or rhyming games </t>
  </si>
  <si>
    <t>Reading is mostly it</t>
  </si>
  <si>
    <t>Rilee</t>
  </si>
  <si>
    <t>Playing</t>
  </si>
  <si>
    <t>different food</t>
  </si>
  <si>
    <t>Brown Bear Brown Bear</t>
  </si>
  <si>
    <t>Ms. Maggie</t>
  </si>
  <si>
    <t>Being here with Ms Kendra and Ms. Maggie</t>
  </si>
  <si>
    <t>Staying here</t>
  </si>
  <si>
    <t>better mentoring</t>
  </si>
  <si>
    <t>Sitting by myself</t>
  </si>
  <si>
    <t>playing downstairs</t>
  </si>
  <si>
    <t>let us have ice creams</t>
  </si>
  <si>
    <t>good</t>
  </si>
  <si>
    <t>Ms. Kendra and Ms. Maggie are the best</t>
  </si>
  <si>
    <t>Bryson Caldwell</t>
  </si>
  <si>
    <t xml:space="preserve">Because I get to see my friends, Ms. Alena and Ms. Isabella. </t>
  </si>
  <si>
    <t xml:space="preserve">My old tutor Liam, he was the best! He helped me read books and play games. I missed him so badly! My dream was to have Liam back. </t>
  </si>
  <si>
    <t>My mom telling me to. My tutor Ms. Alena and Ms. Isabella make me want to come to tutoring.</t>
  </si>
  <si>
    <t xml:space="preserve">Having food before my session. </t>
  </si>
  <si>
    <t xml:space="preserve">Curious George books, PBS Kids </t>
  </si>
  <si>
    <t>Getting to play games with my mentor</t>
  </si>
  <si>
    <t xml:space="preserve">Everything is good, I like playing reading games the most. But I also like reading books. </t>
  </si>
  <si>
    <t xml:space="preserve">Home makes me feel safe because my mom lets me play my PS5. </t>
  </si>
  <si>
    <t>My mentor could quiz me about reading</t>
  </si>
  <si>
    <t xml:space="preserve">No, I like everything! </t>
  </si>
  <si>
    <t>Martha Speaks &amp; Super Why</t>
  </si>
  <si>
    <t>I've gotten better at reading and math</t>
  </si>
  <si>
    <t>Levyn</t>
  </si>
  <si>
    <t>Miss Maggie</t>
  </si>
  <si>
    <t>Miss Kendra and Miss Maggie</t>
  </si>
  <si>
    <t>roblox</t>
  </si>
  <si>
    <t>Ms. Kendra and Ms. Maggie</t>
  </si>
  <si>
    <t xml:space="preserve">Reading </t>
  </si>
  <si>
    <t>Ms Kendra and Ms. Maggie</t>
  </si>
  <si>
    <t>people calling each other names</t>
  </si>
  <si>
    <t xml:space="preserve">games with mentor </t>
  </si>
  <si>
    <t>making snowflakes</t>
  </si>
  <si>
    <t>reading got better</t>
  </si>
  <si>
    <t>I always read and always be nice and I always grow well</t>
  </si>
  <si>
    <t>Kaniyah</t>
  </si>
  <si>
    <t>coming to learn</t>
  </si>
  <si>
    <t>playing with sister</t>
  </si>
  <si>
    <t>more mentoring</t>
  </si>
  <si>
    <t>homework</t>
  </si>
  <si>
    <t>curious george</t>
  </si>
  <si>
    <t>Janiyah</t>
  </si>
  <si>
    <t>by learning</t>
  </si>
  <si>
    <t>learning</t>
  </si>
  <si>
    <t>fun games with Rosemarie</t>
  </si>
  <si>
    <t>playing</t>
  </si>
  <si>
    <t>to learn</t>
  </si>
  <si>
    <t>center</t>
  </si>
  <si>
    <t>my sister</t>
  </si>
  <si>
    <t>books</t>
  </si>
  <si>
    <t>better books</t>
  </si>
  <si>
    <t>no learning</t>
  </si>
  <si>
    <t>games with Rosemarie</t>
  </si>
  <si>
    <t xml:space="preserve">reading </t>
  </si>
  <si>
    <t>Jace</t>
  </si>
  <si>
    <t xml:space="preserve">To read - and get treats ! </t>
  </si>
  <si>
    <t>Playing outside with friends</t>
  </si>
  <si>
    <t xml:space="preserve">Chips - Takis &amp; Candy - sour patch </t>
  </si>
  <si>
    <t xml:space="preserve">Good sleep and not feeling hungry </t>
  </si>
  <si>
    <t>Dogmann series</t>
  </si>
  <si>
    <t>Nothing specific</t>
  </si>
  <si>
    <t>You can read any book you want.</t>
  </si>
  <si>
    <t>Being around friends &amp; family.</t>
  </si>
  <si>
    <t>Playing games - tic tac toe or hang man</t>
  </si>
  <si>
    <t>Learned a lot in Math and improved reading skills.</t>
  </si>
  <si>
    <t>Thank you for doing this.</t>
  </si>
  <si>
    <t>Messiah Taylor</t>
  </si>
  <si>
    <t>The ELA</t>
  </si>
  <si>
    <t>The Ixl's</t>
  </si>
  <si>
    <t xml:space="preserve">Calming down </t>
  </si>
  <si>
    <t>Diary of a wimpy kid</t>
  </si>
  <si>
    <t>The ixl's</t>
  </si>
  <si>
    <t>When im in my room</t>
  </si>
  <si>
    <t xml:space="preserve">The games </t>
  </si>
  <si>
    <t xml:space="preserve">nothing </t>
  </si>
  <si>
    <t>To add more games</t>
  </si>
  <si>
    <t xml:space="preserve">i think ive grown alot </t>
  </si>
  <si>
    <t>nothing at all</t>
  </si>
  <si>
    <t>Roman Kyan Alexander</t>
  </si>
  <si>
    <t>Ever since I started CFS at DBG, I have been reading way better. So that is why I want to keep doing it</t>
  </si>
  <si>
    <t>My favorite memory is reading the Fly Guy story with the picnic!</t>
  </si>
  <si>
    <t>It has been helping with spelling (the main incentive is that I get better at reading!)</t>
  </si>
  <si>
    <t>I like the quiet; it helps me focus on reading</t>
  </si>
  <si>
    <t>FLY GUY!</t>
  </si>
  <si>
    <t>That this program cares about me :)</t>
  </si>
  <si>
    <t>I don't really see any way it could be better</t>
  </si>
  <si>
    <t>No; I like everything about this program!</t>
  </si>
  <si>
    <t>I just like reading Fly Guy</t>
  </si>
  <si>
    <t>Not at this time</t>
  </si>
  <si>
    <t>10/10 I have been reading way better ever since DBG</t>
  </si>
  <si>
    <t>FLY GUY</t>
  </si>
  <si>
    <t>Braelyn</t>
  </si>
  <si>
    <t>Home</t>
  </si>
  <si>
    <t>mentoring</t>
  </si>
  <si>
    <t>elephant and the pig</t>
  </si>
  <si>
    <t>Kaniyah and Janiyah</t>
  </si>
  <si>
    <t xml:space="preserve">going outside </t>
  </si>
  <si>
    <t>doing computers</t>
  </si>
  <si>
    <t>stage</t>
  </si>
  <si>
    <t xml:space="preserve">playing games </t>
  </si>
  <si>
    <t>getting snack</t>
  </si>
  <si>
    <t>writing</t>
  </si>
  <si>
    <t>I like some books and every day we go outside and everyone wants to play with me and wants to be my friend and my mentor</t>
  </si>
  <si>
    <t>His parents</t>
  </si>
  <si>
    <t>Games</t>
  </si>
  <si>
    <t>Questions</t>
  </si>
  <si>
    <t>Books about animals</t>
  </si>
  <si>
    <t>Books</t>
  </si>
  <si>
    <t>Make the questions trickier</t>
  </si>
  <si>
    <t>Joining at this time is something he does not like. He would like to join mentoring at a different time</t>
  </si>
  <si>
    <t>He does not have one.</t>
  </si>
  <si>
    <t>None.</t>
  </si>
  <si>
    <t>He has been able to improve his reading</t>
  </si>
  <si>
    <t>Chase</t>
  </si>
  <si>
    <t>I love it here</t>
  </si>
  <si>
    <t>Pajama party for Christmas</t>
  </si>
  <si>
    <t>seeing your mentor</t>
  </si>
  <si>
    <t>learning more and having parties</t>
  </si>
  <si>
    <t>A Letter To Amy</t>
  </si>
  <si>
    <t>The take root performance</t>
  </si>
  <si>
    <t>playing games and reading</t>
  </si>
  <si>
    <t>pictures of the students on the wall</t>
  </si>
  <si>
    <t>not reading too much</t>
  </si>
  <si>
    <t>60 second word games</t>
  </si>
  <si>
    <t>food</t>
  </si>
  <si>
    <t>I feel good here and I love all the people here</t>
  </si>
  <si>
    <t>Ayris</t>
  </si>
  <si>
    <t>friends</t>
  </si>
  <si>
    <t>ms.lily</t>
  </si>
  <si>
    <t>lunch</t>
  </si>
  <si>
    <t>figits</t>
  </si>
  <si>
    <t>chicka chicka boom boom</t>
  </si>
  <si>
    <t>my brothers</t>
  </si>
  <si>
    <t>working with ms lilly</t>
  </si>
  <si>
    <t xml:space="preserve">Staying inside </t>
  </si>
  <si>
    <t xml:space="preserve">More mentors </t>
  </si>
  <si>
    <t>I dont like when its cold</t>
  </si>
  <si>
    <t>dancing and playing with toys</t>
  </si>
  <si>
    <t>more reading more books we like</t>
  </si>
  <si>
    <t>A lot my reading way better</t>
  </si>
  <si>
    <t>Menosha</t>
  </si>
  <si>
    <t>HHOME WORK I LOVE IT</t>
  </si>
  <si>
    <t>I WONT MS.RAVEN BAKE</t>
  </si>
  <si>
    <t>BETER   LUNCH MORE</t>
  </si>
  <si>
    <t>FIGHTS</t>
  </si>
  <si>
    <t>GUST</t>
  </si>
  <si>
    <t>THE FUN GAMES WE  PLAY</t>
  </si>
  <si>
    <t>READING</t>
  </si>
  <si>
    <t>KENDEAR AND MAGGIE</t>
  </si>
  <si>
    <t>MORE  MENTORING</t>
  </si>
  <si>
    <t>THERE NOTING I DONT NOW</t>
  </si>
  <si>
    <t>BOARD  GAMES</t>
  </si>
  <si>
    <t>MATH</t>
  </si>
  <si>
    <t>ALOT BETER</t>
  </si>
  <si>
    <t>makayla deanes</t>
  </si>
  <si>
    <t>the food</t>
  </si>
  <si>
    <t>Ms. Kendra</t>
  </si>
  <si>
    <t>one on one with my own mentor</t>
  </si>
  <si>
    <t>reading books i like</t>
  </si>
  <si>
    <t>no David</t>
  </si>
  <si>
    <t>cfsn and my friends</t>
  </si>
  <si>
    <t xml:space="preserve">read more, more painting activity </t>
  </si>
  <si>
    <t>more food and games</t>
  </si>
  <si>
    <t>Lydia - CFSN at Brilliant Detroit Central</t>
  </si>
  <si>
    <t>Dayton</t>
  </si>
  <si>
    <t xml:space="preserve">To get better at reading. </t>
  </si>
  <si>
    <t xml:space="preserve">Playing the story maker game. </t>
  </si>
  <si>
    <t xml:space="preserve">Not sure. </t>
  </si>
  <si>
    <t xml:space="preserve">In a more quiet setting. </t>
  </si>
  <si>
    <t>Best Day Ever</t>
  </si>
  <si>
    <t xml:space="preserve">"I do not remember" </t>
  </si>
  <si>
    <t xml:space="preserve">Reading books. </t>
  </si>
  <si>
    <t xml:space="preserve">Having his parents around. </t>
  </si>
  <si>
    <t xml:space="preserve">"I don't know" </t>
  </si>
  <si>
    <t xml:space="preserve">"No" </t>
  </si>
  <si>
    <t xml:space="preserve">Being able to do homework. </t>
  </si>
  <si>
    <t xml:space="preserve">None. </t>
  </si>
  <si>
    <t xml:space="preserve">Yes - Feels like a slightly stronger reader. </t>
  </si>
  <si>
    <t xml:space="preserve">My friends are good readers and don't need the extra help. </t>
  </si>
  <si>
    <t>Heaven Coulter</t>
  </si>
  <si>
    <t>Coloring and drawing</t>
  </si>
  <si>
    <t>Learn learn learn</t>
  </si>
  <si>
    <t>Dan's eyes</t>
  </si>
  <si>
    <t>Dino-mite</t>
  </si>
  <si>
    <t>Dan's funny faces</t>
  </si>
  <si>
    <t>Playing with friends</t>
  </si>
  <si>
    <t>Play with toys</t>
  </si>
  <si>
    <t>Playing with a dinosaur</t>
  </si>
  <si>
    <t>Sight word smash</t>
  </si>
  <si>
    <t>Yes</t>
  </si>
  <si>
    <t>Brooklyn</t>
  </si>
  <si>
    <t>To bring reading skills to a higher level</t>
  </si>
  <si>
    <t>Reading a book and talking at the same time with Coach Joe</t>
  </si>
  <si>
    <t>Already focused</t>
  </si>
  <si>
    <t>Dr. Seuss / books about art</t>
  </si>
  <si>
    <t>Having a mentor</t>
  </si>
  <si>
    <t>Reading new books</t>
  </si>
  <si>
    <t>Being at home</t>
  </si>
  <si>
    <t>More physical/game activities</t>
  </si>
  <si>
    <t>playing checkers</t>
  </si>
  <si>
    <t>Improved at reading</t>
  </si>
  <si>
    <t>Mentor</t>
  </si>
  <si>
    <t>mentor gave you gum</t>
  </si>
  <si>
    <t>Charlotte's Web</t>
  </si>
  <si>
    <t>rhyming</t>
  </si>
  <si>
    <t>better reading</t>
  </si>
  <si>
    <t>Georgette</t>
  </si>
  <si>
    <t>I love it</t>
  </si>
  <si>
    <t>Pajama Party</t>
  </si>
  <si>
    <t>more game</t>
  </si>
  <si>
    <t>babysitters club</t>
  </si>
  <si>
    <t>my friends</t>
  </si>
  <si>
    <t>parties</t>
  </si>
  <si>
    <t>tables</t>
  </si>
  <si>
    <t>fish games</t>
  </si>
  <si>
    <t>It's nice in here</t>
  </si>
  <si>
    <t>denver</t>
  </si>
  <si>
    <t>idk</t>
  </si>
  <si>
    <t>by being quiet</t>
  </si>
  <si>
    <t>baby sitters club and dork</t>
  </si>
  <si>
    <t>being able to play games</t>
  </si>
  <si>
    <t>be quiet</t>
  </si>
  <si>
    <t>i do not like we yall are loud</t>
  </si>
  <si>
    <t>to read</t>
  </si>
  <si>
    <t>by reading and lising</t>
  </si>
  <si>
    <t>Adam</t>
  </si>
  <si>
    <t>Playing outside</t>
  </si>
  <si>
    <t>N/A</t>
  </si>
  <si>
    <t>more games</t>
  </si>
  <si>
    <t>fly guy</t>
  </si>
  <si>
    <t>my friend</t>
  </si>
  <si>
    <t>questions</t>
  </si>
  <si>
    <t>more outside</t>
  </si>
  <si>
    <t>games on computer</t>
  </si>
  <si>
    <t>fruit snacks</t>
  </si>
  <si>
    <t>ryann</t>
  </si>
  <si>
    <t>my mom</t>
  </si>
  <si>
    <t>seeing my cousin</t>
  </si>
  <si>
    <t>dog man</t>
  </si>
  <si>
    <t>seeing my mentor</t>
  </si>
  <si>
    <t>seeing Ms. Kendra and Ms Maggie</t>
  </si>
  <si>
    <t>coloring</t>
  </si>
  <si>
    <t>reading and writing</t>
  </si>
  <si>
    <t>kayden</t>
  </si>
  <si>
    <t>My fun mentor</t>
  </si>
  <si>
    <t xml:space="preserve">playing on my mentor tablet </t>
  </si>
  <si>
    <t xml:space="preserve">reading and playing games </t>
  </si>
  <si>
    <t xml:space="preserve">my mentor funny storyes </t>
  </si>
  <si>
    <t>DIARY of a Wimpy kid</t>
  </si>
  <si>
    <t xml:space="preserve">my mentor and I playing a game </t>
  </si>
  <si>
    <t>game</t>
  </si>
  <si>
    <t xml:space="preserve">I feel safe in center for success </t>
  </si>
  <si>
    <t>more time</t>
  </si>
  <si>
    <t>I like playing maddnen</t>
  </si>
  <si>
    <t xml:space="preserve">more time </t>
  </si>
  <si>
    <t>I have grown my reading level to a R</t>
  </si>
  <si>
    <t>justice</t>
  </si>
  <si>
    <t>so i can read better</t>
  </si>
  <si>
    <t>when we was playing ouutside</t>
  </si>
  <si>
    <t>do play and read better</t>
  </si>
  <si>
    <t>wimpy kids</t>
  </si>
  <si>
    <t>playing with my friend in the summer</t>
  </si>
  <si>
    <t>in the summer</t>
  </si>
  <si>
    <t xml:space="preserve">home becuse my mom and dad is there to help </t>
  </si>
  <si>
    <t>having more fun like we did in the summer</t>
  </si>
  <si>
    <t>i dont like nothing</t>
  </si>
  <si>
    <t>doing tik tok</t>
  </si>
  <si>
    <t>having more fun then going outside</t>
  </si>
  <si>
    <t>yes</t>
  </si>
  <si>
    <t>Lamar Taylor</t>
  </si>
  <si>
    <t>To learn</t>
  </si>
  <si>
    <t>Meeting different people</t>
  </si>
  <si>
    <t>Candy</t>
  </si>
  <si>
    <t>Listening</t>
  </si>
  <si>
    <t>I survive</t>
  </si>
  <si>
    <t>Jokes</t>
  </si>
  <si>
    <t>Learning different things</t>
  </si>
  <si>
    <t>going to the carnival</t>
  </si>
  <si>
    <t>Helping people</t>
  </si>
  <si>
    <t>I like everything</t>
  </si>
  <si>
    <t>Chess</t>
  </si>
  <si>
    <t>Longer sessions</t>
  </si>
  <si>
    <t>Kyndal</t>
  </si>
  <si>
    <t>Learning</t>
  </si>
  <si>
    <t>Making silly stories with my mentor</t>
  </si>
  <si>
    <t>Reading a book</t>
  </si>
  <si>
    <t>Headphones</t>
  </si>
  <si>
    <t>The Creepy Crayon</t>
  </si>
  <si>
    <t>A funny story</t>
  </si>
  <si>
    <t>Seeing my mentor and Ms. Isabella</t>
  </si>
  <si>
    <t>At Home</t>
  </si>
  <si>
    <t>Nothing- it's already perfect</t>
  </si>
  <si>
    <t>Playing Hangman</t>
  </si>
  <si>
    <t>I feel safe in the program</t>
  </si>
  <si>
    <t>Zara</t>
  </si>
  <si>
    <t>Because I want to read better</t>
  </si>
  <si>
    <t>If it was in person, I would come to every session because I like going to places. But I still come to the virtual sessions.</t>
  </si>
  <si>
    <t>Nothing I can think of</t>
  </si>
  <si>
    <t>Help Mom Work from Home</t>
  </si>
  <si>
    <t>My mentor</t>
  </si>
  <si>
    <t>With your parents or somebody I know</t>
  </si>
  <si>
    <t>In person sessions</t>
  </si>
  <si>
    <t>I want the sessions to be in-person</t>
  </si>
  <si>
    <t>Toy Theater site games</t>
  </si>
  <si>
    <t>I think I have gotten better at reading</t>
  </si>
  <si>
    <t>Please be in-person!</t>
  </si>
  <si>
    <t>Milan</t>
  </si>
  <si>
    <t>It's fun!</t>
  </si>
  <si>
    <t>One of the days of summer camp, I had bacon and waffles for breakfast and it was really good. I loved their apple sauce too!</t>
  </si>
  <si>
    <t>Slime or toys</t>
  </si>
  <si>
    <t>I think i am focused during my session already.</t>
  </si>
  <si>
    <t>Books like "Dog Man"</t>
  </si>
  <si>
    <t>My mentor, Angela :)</t>
  </si>
  <si>
    <t>When we discuss the book after reading it</t>
  </si>
  <si>
    <t>The arcade and AirTime makes me feel happy</t>
  </si>
  <si>
    <t>I would rather read books in person with my mentor.</t>
  </si>
  <si>
    <t>I don't like how we do our program online - creating a space in person to read books would be more enjoyable for me</t>
  </si>
  <si>
    <t>Games like 20 questions and Tic Tac Toe</t>
  </si>
  <si>
    <t>I don't have any suggestions right now</t>
  </si>
  <si>
    <t>I think my math and reading skills has improved this school year.</t>
  </si>
  <si>
    <t>Cassidy</t>
  </si>
  <si>
    <t>playing online games</t>
  </si>
  <si>
    <t>Word searches</t>
  </si>
  <si>
    <t>How fun my mentor was</t>
  </si>
  <si>
    <t>Squishy toy</t>
  </si>
  <si>
    <t>The Chocolate Factory</t>
  </si>
  <si>
    <t>The mouse and the cheese game</t>
  </si>
  <si>
    <t>When my mentor encourages me to do word searches</t>
  </si>
  <si>
    <t>Let us play more games</t>
  </si>
  <si>
    <t xml:space="preserve">Word searches </t>
  </si>
  <si>
    <t xml:space="preserve">Improved in math and reading skills </t>
  </si>
  <si>
    <t>MJ</t>
  </si>
  <si>
    <t>Like reading fun books such as sports books.</t>
  </si>
  <si>
    <t>Reading a book about football.</t>
  </si>
  <si>
    <t>More stickers for prizes and ice cream.</t>
  </si>
  <si>
    <t>Better headphones</t>
  </si>
  <si>
    <t>Sports books</t>
  </si>
  <si>
    <t>Playing Turkey Touchdown on brain break.</t>
  </si>
  <si>
    <t>Reading about sports is fun and brain breaks are cool.</t>
  </si>
  <si>
    <t>Playing on Playstation 5</t>
  </si>
  <si>
    <t>Playing any game during brain breaks to relax.</t>
  </si>
  <si>
    <t>Turkey Touchdown during breaks</t>
  </si>
  <si>
    <t>Bigger laptop and better mouse</t>
  </si>
  <si>
    <t>Better at listening and raised reading level.</t>
  </si>
  <si>
    <t>CJ</t>
  </si>
  <si>
    <t>CJ enjoys playing educational games with me and spending time learning math and about new topics in our books.</t>
  </si>
  <si>
    <t>We enjoyed playing hangman together!</t>
  </si>
  <si>
    <t>CJ would like to do the first 20 minutes to do work/school and the last 10 minutes for playing a new game.</t>
  </si>
  <si>
    <t>Having a quieter place to work.</t>
  </si>
  <si>
    <t>Any type of LEGO books, also, The Case of Stripes!</t>
  </si>
  <si>
    <t>CJ smiles at every session!</t>
  </si>
  <si>
    <t>Reading!</t>
  </si>
  <si>
    <t>At home, CJ enjoys playing Fortnite!</t>
  </si>
  <si>
    <t>Add more math time.</t>
  </si>
  <si>
    <t>Allow students to choose which subject to work on.</t>
  </si>
  <si>
    <t>Hangman!</t>
  </si>
  <si>
    <t>Kourtney</t>
  </si>
  <si>
    <t>Her favorite memory was her birthday!</t>
  </si>
  <si>
    <t>Glazed donuts and milky ways (candy).</t>
  </si>
  <si>
    <t>She likes the The Day the Crayons Left and books by that author.</t>
  </si>
  <si>
    <t>Reading a joke from the Grumpy Cat book.</t>
  </si>
  <si>
    <t>When she gets to pick a book from home or DBG.</t>
  </si>
  <si>
    <t>Being at DBG and doing CFS.</t>
  </si>
  <si>
    <t>Every kid should have a shelf with their favorite books or books they should read that are at their level.</t>
  </si>
  <si>
    <t>Nothing wrong with it.</t>
  </si>
  <si>
    <t>Getting help with homework.</t>
  </si>
  <si>
    <t>Have a device that would be able to tell a mentor what the student would want to do before they meet for their session.</t>
  </si>
  <si>
    <t>Yes, she thinks she has grown in reading more fluently.</t>
  </si>
  <si>
    <t>Kourtney recommends that every kid that feels bored after they go to school to join here.</t>
  </si>
  <si>
    <t>MaSallah</t>
  </si>
  <si>
    <t>You have to learn before you do anything. And I want to go to college.</t>
  </si>
  <si>
    <t>Being able to accomplish the stuff that I need to work on</t>
  </si>
  <si>
    <t>Comics and anime</t>
  </si>
  <si>
    <t>Seeing my old teacher.</t>
  </si>
  <si>
    <t>Playing the games</t>
  </si>
  <si>
    <t>My hands(for defense) Going out with friends makes me happy.</t>
  </si>
  <si>
    <t>The chicken game from ABCya</t>
  </si>
  <si>
    <t xml:space="preserve">I'm pretty big, pretty thick. </t>
  </si>
  <si>
    <t>Mori/Hawra/Tina - CFSN Detroit</t>
  </si>
  <si>
    <t>kayliezell</t>
  </si>
  <si>
    <t>love</t>
  </si>
  <si>
    <t>listening</t>
  </si>
  <si>
    <t>david not david</t>
  </si>
  <si>
    <t>me</t>
  </si>
  <si>
    <t>heidi</t>
  </si>
  <si>
    <t>job</t>
  </si>
  <si>
    <t>tic tac toe</t>
  </si>
  <si>
    <t>more food</t>
  </si>
  <si>
    <t>a lot smarter</t>
  </si>
  <si>
    <t>Marquise</t>
  </si>
  <si>
    <t>fun with mentors</t>
  </si>
  <si>
    <t>more pizza</t>
  </si>
  <si>
    <t>when everyone is quiet</t>
  </si>
  <si>
    <t>transformers</t>
  </si>
  <si>
    <t>funny dance moves</t>
  </si>
  <si>
    <t>outside</t>
  </si>
  <si>
    <t>led lights</t>
  </si>
  <si>
    <t>moving right</t>
  </si>
  <si>
    <t>make snacks good</t>
  </si>
  <si>
    <t>Zoie</t>
  </si>
  <si>
    <t>meeting my friends and miss Kendra and Maggie</t>
  </si>
  <si>
    <t>the movies and games and fun things we do</t>
  </si>
  <si>
    <t>candy and toys</t>
  </si>
  <si>
    <t>not a lot of loud noise and people listening to the adults</t>
  </si>
  <si>
    <t>my favorite book is 17 things I'm not alowed to do anymore</t>
  </si>
  <si>
    <t>the jokes people make</t>
  </si>
  <si>
    <t>the beginning and the end</t>
  </si>
  <si>
    <t>at basketball and dance and home</t>
  </si>
  <si>
    <t>more gifts and fun</t>
  </si>
  <si>
    <t>watching movies and playing games</t>
  </si>
  <si>
    <t>everyone be nice</t>
  </si>
  <si>
    <t>kinda a lot because i am even higher than a level Z</t>
  </si>
  <si>
    <t xml:space="preserve">Maryam </t>
  </si>
  <si>
    <t xml:space="preserve">Its so fun and important to me </t>
  </si>
  <si>
    <t xml:space="preserve">i like to read books and play games </t>
  </si>
  <si>
    <t xml:space="preserve">its really important for me </t>
  </si>
  <si>
    <t xml:space="preserve">i love you because you are you </t>
  </si>
  <si>
    <t xml:space="preserve">when i be funny </t>
  </si>
  <si>
    <t xml:space="preserve">drawings </t>
  </si>
  <si>
    <t xml:space="preserve">seeing my mommy smile </t>
  </si>
  <si>
    <t xml:space="preserve">no </t>
  </si>
  <si>
    <t xml:space="preserve">i like playing the games </t>
  </si>
  <si>
    <t xml:space="preserve">i am reading a little bit better </t>
  </si>
  <si>
    <t>Gedore Jones-Hester</t>
  </si>
  <si>
    <t>books and friends</t>
  </si>
  <si>
    <t>going outside</t>
  </si>
  <si>
    <t>music with my own headphones</t>
  </si>
  <si>
    <t>fiction and manga</t>
  </si>
  <si>
    <t>the mentors greeting me when I come in.</t>
  </si>
  <si>
    <t>I don't really have anything I don't like</t>
  </si>
  <si>
    <t>jenga</t>
  </si>
  <si>
    <t>let us listen to music</t>
  </si>
  <si>
    <t>stop stuttering while reading</t>
  </si>
  <si>
    <t>Hawra/Shanelle/Lydia - CFSN at Brilliant Detroit Fitzgerald</t>
  </si>
  <si>
    <t xml:space="preserve">Xavier </t>
  </si>
  <si>
    <t xml:space="preserve">because i  have a session </t>
  </si>
  <si>
    <t xml:space="preserve">dont know </t>
  </si>
  <si>
    <t xml:space="preserve">the teacher </t>
  </si>
  <si>
    <t>cars</t>
  </si>
  <si>
    <t xml:space="preserve">reading books </t>
  </si>
  <si>
    <t xml:space="preserve">don't know </t>
  </si>
  <si>
    <t xml:space="preserve">read better </t>
  </si>
  <si>
    <t>Chloe Hodo</t>
  </si>
  <si>
    <t>I do not know.</t>
  </si>
  <si>
    <t>I remember you and doing the games and books</t>
  </si>
  <si>
    <t>Getting good at writing</t>
  </si>
  <si>
    <t>Paying attention</t>
  </si>
  <si>
    <t>The book we read today - Mermaid in a Teacup. I like books about people.</t>
  </si>
  <si>
    <t>Laughed about the book with the mouse and grabbing the clouds</t>
  </si>
  <si>
    <t>When we do the games</t>
  </si>
  <si>
    <t>When at school</t>
  </si>
  <si>
    <t>Once we read the books it makes us better at reading.</t>
  </si>
  <si>
    <t>Nothing, I like all the books</t>
  </si>
  <si>
    <t>Drawing or playing tic-tac-toe</t>
  </si>
  <si>
    <t>I've gotten better at writing</t>
  </si>
  <si>
    <t>I like to be safe and I like to be kind and nice.</t>
  </si>
  <si>
    <t>Khloe McGaffie</t>
  </si>
  <si>
    <t>Because I love it here because I see my friends and Ms. Tina, Ms. Heidi, Ms. Maddie, and Ms. Shanelle</t>
  </si>
  <si>
    <t>When Ms. Tina read a story about cats then we colored and named our own cats.</t>
  </si>
  <si>
    <t>More activities and hanging out with everyone.</t>
  </si>
  <si>
    <t>My mentor she's a teenager.</t>
  </si>
  <si>
    <t>No David by David Shannon</t>
  </si>
  <si>
    <t>When Ms. Heidi and Ms. Tina had a Dance Battle</t>
  </si>
  <si>
    <t>We get to get on our computers with our mentors.</t>
  </si>
  <si>
    <t>When we color it makes me happy. When my friends are upset because that makes me feel sad too.</t>
  </si>
  <si>
    <t>If we could eat outside food.</t>
  </si>
  <si>
    <t>Tic Tac Toe</t>
  </si>
  <si>
    <t>Yes a lot!</t>
  </si>
  <si>
    <t>Madison Wright</t>
  </si>
  <si>
    <t>The teachers</t>
  </si>
  <si>
    <t>The Dance Battles with Ms. Heidi and Ms. Tina</t>
  </si>
  <si>
    <t>To be able to have our phones with us.</t>
  </si>
  <si>
    <t>Somebody working with me by myself.</t>
  </si>
  <si>
    <t>I like Dr. Suess books the best</t>
  </si>
  <si>
    <t>Ms. Tina and Ms. Heidi dancing</t>
  </si>
  <si>
    <t>Seeing my friends</t>
  </si>
  <si>
    <t>Being here at Center for Success</t>
  </si>
  <si>
    <t>have a whole meal instead of a snack</t>
  </si>
  <si>
    <t>A lot better than the rest of the kids in my class at reading</t>
  </si>
  <si>
    <t>Kennedy Edwards</t>
  </si>
  <si>
    <t>the learning things that we do and art sometimes too</t>
  </si>
  <si>
    <t>my friends and the teachers at here</t>
  </si>
  <si>
    <t>Harry Potter</t>
  </si>
  <si>
    <t>the adults</t>
  </si>
  <si>
    <t>when I get to read with McKenzie</t>
  </si>
  <si>
    <t>That there's no loud noises like fire drills or break in drills</t>
  </si>
  <si>
    <t>If I get to bring my Ipad</t>
  </si>
  <si>
    <t>tag</t>
  </si>
  <si>
    <t>kaiyah collins</t>
  </si>
  <si>
    <t>my parents</t>
  </si>
  <si>
    <t>finding Easter eggs outside</t>
  </si>
  <si>
    <t>fun</t>
  </si>
  <si>
    <t>ms.carolyn</t>
  </si>
  <si>
    <t>princess story</t>
  </si>
  <si>
    <t>when my friends make silly faces</t>
  </si>
  <si>
    <t>reading with everyone</t>
  </si>
  <si>
    <t>my family</t>
  </si>
  <si>
    <t>bananagrams</t>
  </si>
  <si>
    <t>Nariah</t>
  </si>
  <si>
    <t>my friends i dont know</t>
  </si>
  <si>
    <t>dont have one</t>
  </si>
  <si>
    <t>NOTHINGGGGGGGGGGGGGGG:[</t>
  </si>
  <si>
    <t>NOTHINGGGGGGGGGGGGGGGG :[</t>
  </si>
  <si>
    <t>comic like books</t>
  </si>
  <si>
    <t>NOTHINGGGGGGGGGGGGGGGG:[</t>
  </si>
  <si>
    <t>NOTHINGGGGGGGGGGGGGG:[</t>
  </si>
  <si>
    <t>SLEEEEEEEEEEPPPPPPPPPPPPPPP</t>
  </si>
  <si>
    <t>i would like to DRAWWWW</t>
  </si>
  <si>
    <t>READING I WANT TO DRAWWWWWWWW:[[[[[[[[[[[[[[[[[[[[[[[[[[[[[[[[[[[[[[[[[[[[[[[[[[[[[[[[[[[[[[[[[[[[[[[[[</t>
  </si>
  <si>
    <t>ANYTHING THATS NOT READING</t>
  </si>
  <si>
    <t>ARTTTT DRAWWWW</t>
  </si>
  <si>
    <t xml:space="preserve">I HATE IT BUT YES </t>
  </si>
  <si>
    <t>LET ME DRAWW IF I TELL THESE PEOPLE THINGS THEY MAKE IT WORSEEEEEEEEEEEEEEEEEEEEEEEEEEEEEEEEEEEEEEEEEEEEEEEEEEEEEEEEEEEEEEEEEEEEEEEEEEEEEEEEEEEEEEEEEEEEEEEEEEEEEEEEEEEEEEEEEEEEEEEEEEEEEEEEEEEEEEEEEEEEEEEEEEEEEEEEEEEEEEEEEEEEEEEEEEE</t>
  </si>
  <si>
    <t>Braylon Taylor</t>
  </si>
  <si>
    <t>my first day. my first day was great.</t>
  </si>
  <si>
    <t>if my mom doesn't ever forget to bring me</t>
  </si>
  <si>
    <t>an adult</t>
  </si>
  <si>
    <t>Divided Loyalties about the American Revolution</t>
  </si>
  <si>
    <t>playing with my friends</t>
  </si>
  <si>
    <t>learning to be a good reader</t>
  </si>
  <si>
    <t>being with my family and at Center for Success Network and at school</t>
  </si>
  <si>
    <t>not sure</t>
  </si>
  <si>
    <t>the strongest battlegrounds</t>
  </si>
  <si>
    <t>yep</t>
  </si>
  <si>
    <t>Keith Edwards</t>
  </si>
  <si>
    <t>meeting my friends here</t>
  </si>
  <si>
    <t>when we watch a read aloud video</t>
  </si>
  <si>
    <t>im not sure</t>
  </si>
  <si>
    <t>people keep their voices down to an inside voice</t>
  </si>
  <si>
    <t>Jabari Tries</t>
  </si>
  <si>
    <t>when we did word games</t>
  </si>
  <si>
    <t>word games</t>
  </si>
  <si>
    <t>yes, I have</t>
  </si>
  <si>
    <t>Lydia  - CFSN at Brilliant Detroit Osborn</t>
  </si>
  <si>
    <t xml:space="preserve">Keiah </t>
  </si>
  <si>
    <t xml:space="preserve">learning </t>
  </si>
  <si>
    <t xml:space="preserve">drawing about baby sisters and big sisters </t>
  </si>
  <si>
    <t xml:space="preserve">because i want to get my education </t>
  </si>
  <si>
    <t xml:space="preserve">a piece of gum </t>
  </si>
  <si>
    <t xml:space="preserve">cat in the hat </t>
  </si>
  <si>
    <t xml:space="preserve">my family </t>
  </si>
  <si>
    <t xml:space="preserve">doing stories </t>
  </si>
  <si>
    <t xml:space="preserve">reading games </t>
  </si>
  <si>
    <t xml:space="preserve">became a better reader </t>
  </si>
  <si>
    <t>Jaslena Holland</t>
  </si>
  <si>
    <t>the people</t>
  </si>
  <si>
    <t>laughing with my friends</t>
  </si>
  <si>
    <t>getting to go to the arcade for good behavioe</t>
  </si>
  <si>
    <t>getting rewards</t>
  </si>
  <si>
    <t>Cat in the hat</t>
  </si>
  <si>
    <t>being able to learn to read better</t>
  </si>
  <si>
    <t>some places</t>
  </si>
  <si>
    <t>If my mom could get us there but she doesn't have a car</t>
  </si>
  <si>
    <t>I like the giant game with four in a row</t>
  </si>
  <si>
    <t>a little when my mom could get us there</t>
  </si>
  <si>
    <t>Jason Holland</t>
  </si>
  <si>
    <t>I like Mr. Micheal he is funny</t>
  </si>
  <si>
    <t>working with Mr. Rosoe and Mr. Mcichel</t>
  </si>
  <si>
    <t>if i can work with the granddad</t>
  </si>
  <si>
    <t>the granddad</t>
  </si>
  <si>
    <t>books about animals</t>
  </si>
  <si>
    <t>question of the day</t>
  </si>
  <si>
    <t>the grandads</t>
  </si>
  <si>
    <t>grandads</t>
  </si>
  <si>
    <t>get more grandddads for me</t>
  </si>
  <si>
    <t>Can think of</t>
  </si>
  <si>
    <t>uno cards</t>
  </si>
  <si>
    <t>sortof</t>
  </si>
  <si>
    <t xml:space="preserve">Khairi </t>
  </si>
  <si>
    <t xml:space="preserve">Teachers </t>
  </si>
  <si>
    <t xml:space="preserve">i like reading </t>
  </si>
  <si>
    <t xml:space="preserve">if i was in the corner </t>
  </si>
  <si>
    <t xml:space="preserve">i like to read Dog man books </t>
  </si>
  <si>
    <t xml:space="preserve">when the book says something funny </t>
  </si>
  <si>
    <t xml:space="preserve">i feel safe with my mom </t>
  </si>
  <si>
    <t xml:space="preserve">i dont know </t>
  </si>
  <si>
    <t xml:space="preserve">no i get frustrated when i get the word wrong </t>
  </si>
  <si>
    <t xml:space="preserve">i enjoy playing marco polo </t>
  </si>
  <si>
    <t xml:space="preserve">i think it is good </t>
  </si>
  <si>
    <t xml:space="preserve">a little bit </t>
  </si>
  <si>
    <t>Reese</t>
  </si>
  <si>
    <t>my mother</t>
  </si>
  <si>
    <t>the games</t>
  </si>
  <si>
    <t>more teching</t>
  </si>
  <si>
    <t>fgteev</t>
  </si>
  <si>
    <t>mrs  magge</t>
  </si>
  <si>
    <t>rules</t>
  </si>
  <si>
    <t>Madonna- CFSN at Brilliant Detroit Southwest</t>
  </si>
  <si>
    <t xml:space="preserve">Gregorio  B. </t>
  </si>
  <si>
    <t xml:space="preserve">To learn more. </t>
  </si>
  <si>
    <t xml:space="preserve">"Last week, when I saw you, we had a lot of fun.  </t>
  </si>
  <si>
    <t xml:space="preserve">More free time. </t>
  </si>
  <si>
    <t xml:space="preserve">split screens. </t>
  </si>
  <si>
    <t xml:space="preserve">Dog Man series/graphic novels. </t>
  </si>
  <si>
    <t>The principal in the book, Our Principal is a Frog and Our Principal Breaks a Spell</t>
  </si>
  <si>
    <t>The games     nel.fun</t>
  </si>
  <si>
    <t xml:space="preserve">MOM </t>
  </si>
  <si>
    <t xml:space="preserve">More time so that we had more free time. </t>
  </si>
  <si>
    <t xml:space="preserve">When we finish books we usually don't have much time, so more free time. </t>
  </si>
  <si>
    <t xml:space="preserve">Infinite craft.   and hangman </t>
  </si>
  <si>
    <t xml:space="preserve">More time and more free time. </t>
  </si>
  <si>
    <t>good.   I have grown a lot in reading.</t>
  </si>
  <si>
    <t>Ethan Vital</t>
  </si>
  <si>
    <t>Reading Hilo</t>
  </si>
  <si>
    <t>When we did hang mouse.</t>
  </si>
  <si>
    <t>a free book at end of year or free money</t>
  </si>
  <si>
    <t>If the words are too hard, it is difficult to focus.</t>
  </si>
  <si>
    <t>Hilo</t>
  </si>
  <si>
    <t>Your brother</t>
  </si>
  <si>
    <t>Doing word searches</t>
  </si>
  <si>
    <t xml:space="preserve">At home </t>
  </si>
  <si>
    <t>Word Search</t>
  </si>
  <si>
    <t>A lot, reading skills have grown.</t>
  </si>
  <si>
    <t>Mhyanna Smith-Tait</t>
  </si>
  <si>
    <t xml:space="preserve">getting help with homework and getting better at reading </t>
  </si>
  <si>
    <t>Valentine's Day</t>
  </si>
  <si>
    <t>If we played more learning games every session, like ChessKid</t>
  </si>
  <si>
    <t>No sounds and no people walking around or banging on the door!</t>
  </si>
  <si>
    <t>Hair Love!</t>
  </si>
  <si>
    <t>I was reading "The Sour Grape" and I said something that made me laugh</t>
  </si>
  <si>
    <t>Picking out the books</t>
  </si>
  <si>
    <t>My house</t>
  </si>
  <si>
    <t>More hours</t>
  </si>
  <si>
    <t>I wish there were more books at my reading level that were more fun to read</t>
  </si>
  <si>
    <t>Crossword</t>
  </si>
  <si>
    <t>More surveys - as long as they are short!</t>
  </si>
  <si>
    <t>I have gotten better at reading - I am on chapter books</t>
  </si>
  <si>
    <t>She likes to get in the lessons</t>
  </si>
  <si>
    <t>she likes the cat one!</t>
  </si>
  <si>
    <t>Her mom keeps her safe</t>
  </si>
  <si>
    <t>Build a monster game</t>
  </si>
  <si>
    <t>Joel</t>
  </si>
  <si>
    <t>hangman warm up game</t>
  </si>
  <si>
    <t>hangman</t>
  </si>
  <si>
    <t>more learning (maybe not just reading)</t>
  </si>
  <si>
    <t>tic-tac-toe</t>
  </si>
  <si>
    <t>its good</t>
  </si>
  <si>
    <t>very big</t>
  </si>
  <si>
    <t>Cali Scott</t>
  </si>
  <si>
    <t>getting better at reading</t>
  </si>
  <si>
    <t>Working together with my brother Cadin sometimes during sessions</t>
  </si>
  <si>
    <t>When my mentor and I played fun games</t>
  </si>
  <si>
    <t>If my wifi connection is working good</t>
  </si>
  <si>
    <t>Cat in the Hat</t>
  </si>
  <si>
    <t>Seeing my mentor and Isabella</t>
  </si>
  <si>
    <t xml:space="preserve">drawing </t>
  </si>
  <si>
    <t>By having more fun with reading</t>
  </si>
  <si>
    <t xml:space="preserve">Fuzz Bugs Farm </t>
  </si>
  <si>
    <t>everything, always learning</t>
  </si>
  <si>
    <t>Lydia - Online</t>
  </si>
  <si>
    <t>Ava</t>
  </si>
  <si>
    <t>That we read books and sometimes play games!</t>
  </si>
  <si>
    <t>Reading about animals</t>
  </si>
  <si>
    <t>Mostly the games and the animal books but it's fun to learn with the books too!</t>
  </si>
  <si>
    <t>Always being to get help and also reading on my own helps me focus!</t>
  </si>
  <si>
    <t>Books about animals!</t>
  </si>
  <si>
    <t>Playing games with points and finding things in games made Ava laugh a lot!</t>
  </si>
  <si>
    <t>Ava really liked reading about specific topics (like animals or applesauce) and playing literacy games!</t>
  </si>
  <si>
    <t>Ava's mom makes her feel safe.</t>
  </si>
  <si>
    <t>Ava really liked playing HangMouse especially because of it's point system!</t>
  </si>
  <si>
    <t>Ava thinks she's improved in reading especially since she's turned 6!</t>
  </si>
  <si>
    <t>Most of these comments were written from Ava's words! The last multiple choice question was a little tricky for Ava because her answer was me, but I'm not an adult!</t>
  </si>
  <si>
    <t>Jesus Campos-Orea</t>
  </si>
  <si>
    <t>Wanting to learn</t>
  </si>
  <si>
    <t>Reading books with my mentor</t>
  </si>
  <si>
    <t>Reading with my mentor</t>
  </si>
  <si>
    <t>Seeing the story on the screen</t>
  </si>
  <si>
    <t>The Fish book</t>
  </si>
  <si>
    <t>When Dylan would repeat after me and make me laugh</t>
  </si>
  <si>
    <t>Reading all of the many books</t>
  </si>
  <si>
    <t>I feel safe when the teachers close the doors at school</t>
  </si>
  <si>
    <t>I want more books to read</t>
  </si>
  <si>
    <t>Tic tac toe</t>
  </si>
  <si>
    <t>More reading</t>
  </si>
  <si>
    <t>I know how to read now</t>
  </si>
  <si>
    <t>Eric</t>
  </si>
  <si>
    <t>Doing all the activties.</t>
  </si>
  <si>
    <t>playing all the games and having fun.</t>
  </si>
  <si>
    <t>to have fun and play games.</t>
  </si>
  <si>
    <t>taking little breaks</t>
  </si>
  <si>
    <t>rickky roiccta</t>
  </si>
  <si>
    <t>reading silly books</t>
  </si>
  <si>
    <t>doing all the activites, such as drawing, free drawing, play games, and reading</t>
  </si>
  <si>
    <t xml:space="preserve">during mentoring </t>
  </si>
  <si>
    <t>more fun game options</t>
  </si>
  <si>
    <t>no!</t>
  </si>
  <si>
    <t>math games, and learning game.</t>
  </si>
  <si>
    <t>understanding how to say words, and saying things properly.</t>
  </si>
  <si>
    <t xml:space="preserve">Gustavo Campos </t>
  </si>
  <si>
    <t>Reading Percy Jackson</t>
  </si>
  <si>
    <t xml:space="preserve">Books about sharks </t>
  </si>
  <si>
    <t xml:space="preserve">The books </t>
  </si>
  <si>
    <t xml:space="preserve">No feedback from Gustavo </t>
  </si>
  <si>
    <t>Nothing! Everything is good</t>
  </si>
  <si>
    <t xml:space="preserve">End of session Tic Tac Toe games </t>
  </si>
  <si>
    <t xml:space="preserve">nope </t>
  </si>
  <si>
    <t xml:space="preserve">I've grown a lot because of reading a lot </t>
  </si>
  <si>
    <t>Mario Alberto Martinez</t>
  </si>
  <si>
    <t xml:space="preserve">"I love you Jazzman", "Mucho Mucho" </t>
  </si>
  <si>
    <t>Playing literacy games and reading books, learning tic tac toe and drawing cars</t>
  </si>
  <si>
    <t xml:space="preserve">mentoring is more advanced with the words, letters, Mario has a positive attitude with language, music </t>
  </si>
  <si>
    <t xml:space="preserve">Music, More toys and trucks, </t>
  </si>
  <si>
    <t>Lightning McQueen (Cars), Dinosaurs, Airplanes, Cartoons, Smurfs</t>
  </si>
  <si>
    <t>Jazzman is very nice, like family. She is patient and pays attention to Mario</t>
  </si>
  <si>
    <t>Mario can comprehend the books, Jazzman works with him well</t>
  </si>
  <si>
    <t>Home, Mentoring, Mom</t>
  </si>
  <si>
    <t xml:space="preserve">Going from 2 days a week to 3 days would be perfect. </t>
  </si>
  <si>
    <t>Nada! Jazzman and Madonna is very nice!</t>
  </si>
  <si>
    <t xml:space="preserve">Drawing a picture on whiteboard and guessing what letter the word starts with </t>
  </si>
  <si>
    <t xml:space="preserve">One day more a week. 3 days a week mentoring. </t>
  </si>
  <si>
    <t xml:space="preserve">Very much!! Better in comprehension. </t>
  </si>
  <si>
    <t>Thank you for everything!!!! The program is great!</t>
  </si>
  <si>
    <t>Adan Campos</t>
  </si>
  <si>
    <t>Playing a game in the beginning and reading after</t>
  </si>
  <si>
    <t>Doing something after school</t>
  </si>
  <si>
    <t>The games in the beginning helped me focus</t>
  </si>
  <si>
    <t>How Chocolate's Made</t>
  </si>
  <si>
    <t>The games at the end of the session.</t>
  </si>
  <si>
    <t>Actually doing something after school</t>
  </si>
  <si>
    <t>I feel safe on the computer</t>
  </si>
  <si>
    <t>Nothing, it's good the way it is</t>
  </si>
  <si>
    <t>Nouns and adjective story making game</t>
  </si>
  <si>
    <t>A lot... My reading has gotten better</t>
  </si>
  <si>
    <t>Michael</t>
  </si>
  <si>
    <t>It's helping me learn to read and spell.</t>
  </si>
  <si>
    <t>Read fairy tale stories with me, quizzes</t>
  </si>
  <si>
    <t xml:space="preserve">Pretty satisfied in general with the books, games, and quizzes. </t>
  </si>
  <si>
    <t>Encourage brother to learn how to read</t>
  </si>
  <si>
    <t>Fairy Tales, imagination, ninja</t>
  </si>
  <si>
    <t>When we have fun, when there is a funny moment (generally)</t>
  </si>
  <si>
    <t xml:space="preserve">The stories and games - everything </t>
  </si>
  <si>
    <t xml:space="preserve">at home </t>
  </si>
  <si>
    <t>Read one extra book after the first book we read like a small story, games that are about learning and fun (balance between fun and learning)</t>
  </si>
  <si>
    <t>When the internet goes bad</t>
  </si>
  <si>
    <t>quizzes, favorite game is the slimezilla versus compound words</t>
  </si>
  <si>
    <t xml:space="preserve">no suggestions </t>
  </si>
  <si>
    <t>doing better in reading, starting to read big books/chapter books</t>
  </si>
  <si>
    <t xml:space="preserve">Very good, very like the program. Like the games we play. </t>
  </si>
  <si>
    <t>Frida</t>
  </si>
  <si>
    <t>It makes me happy!</t>
  </si>
  <si>
    <t xml:space="preserve">Coloring together </t>
  </si>
  <si>
    <t xml:space="preserve">She just said "Happy" </t>
  </si>
  <si>
    <t>"When we read books and play games"</t>
  </si>
  <si>
    <t xml:space="preserve">The egg and color book </t>
  </si>
  <si>
    <t xml:space="preserve">Playing games </t>
  </si>
  <si>
    <t>When I go to this class</t>
  </si>
  <si>
    <t xml:space="preserve">The ice cream game </t>
  </si>
  <si>
    <t xml:space="preserve">It has helped me read </t>
  </si>
  <si>
    <t>Nayeli Torres</t>
  </si>
  <si>
    <t>Because I get to learn and play games</t>
  </si>
  <si>
    <t>Playing games</t>
  </si>
  <si>
    <t>Play</t>
  </si>
  <si>
    <t>Any kind of book</t>
  </si>
  <si>
    <t>When Imani laughs</t>
  </si>
  <si>
    <t>Got to play games</t>
  </si>
  <si>
    <t>I feel safe when I play</t>
  </si>
  <si>
    <t>Add more play time</t>
  </si>
  <si>
    <t>I don't like reading that much</t>
  </si>
  <si>
    <t>Real life sessions</t>
  </si>
  <si>
    <t>Monroe Allen</t>
  </si>
  <si>
    <t>Cause I love it!</t>
  </si>
  <si>
    <t>The monster game</t>
  </si>
  <si>
    <t>Have a pizza party</t>
  </si>
  <si>
    <t xml:space="preserve">notebook, this helps me spell words </t>
  </si>
  <si>
    <t>candy book or pizza book</t>
  </si>
  <si>
    <t>funny drawings</t>
  </si>
  <si>
    <t>when my mom calls my friends over my house on the weekend</t>
  </si>
  <si>
    <t>we could join the other kids or our friends and talk to together (virtual)</t>
  </si>
  <si>
    <t>This one story made me mad but I don't remember what it was called</t>
  </si>
  <si>
    <t>Roland</t>
  </si>
  <si>
    <t>To get better at reading and have fun</t>
  </si>
  <si>
    <t>Readin</t>
  </si>
  <si>
    <t>Mom reminds you to get on these sessions</t>
  </si>
  <si>
    <t>brain advice keeps me focused</t>
  </si>
  <si>
    <t>Silly books</t>
  </si>
  <si>
    <t>Getting compliments saying you are doing a good job</t>
  </si>
  <si>
    <t>Getting compliments makes me happy</t>
  </si>
  <si>
    <t>NA</t>
  </si>
  <si>
    <t>Math</t>
  </si>
  <si>
    <t>Knows how to read bigger words</t>
  </si>
  <si>
    <t>Evolet Rojo Avila</t>
  </si>
  <si>
    <t xml:space="preserve">Evolet loves reading books and watching videos/read along. </t>
  </si>
  <si>
    <t xml:space="preserve">Evolet's favorite memory is reading the book "Carla's Sandwich" and discussing her favorite crazy sandwich recipes. </t>
  </si>
  <si>
    <t xml:space="preserve">Evolet loves reading books and talking to her mentors about their common interests. </t>
  </si>
  <si>
    <t xml:space="preserve">Evolet states that background music will help her focus during our sessions. </t>
  </si>
  <si>
    <t>"Carla's Sandwich" and "The Creepy Crayon"</t>
  </si>
  <si>
    <t xml:space="preserve">Reading the book "Zombies Don't Eat Veggies" </t>
  </si>
  <si>
    <t xml:space="preserve">Evolet's favorite part of the program is reading. </t>
  </si>
  <si>
    <t xml:space="preserve">Evolet feels safe and happy when she is with her cousins. </t>
  </si>
  <si>
    <t xml:space="preserve">Incorporate more videos and games. Have more discussions about school. </t>
  </si>
  <si>
    <t xml:space="preserve">Evolet enjoys all parts of the program. </t>
  </si>
  <si>
    <t xml:space="preserve">Evolet enjoys watching read along videos. </t>
  </si>
  <si>
    <t xml:space="preserve">Evolet believes she has grown in her reading skills. </t>
  </si>
  <si>
    <t>:)</t>
  </si>
  <si>
    <t xml:space="preserve">Camila </t>
  </si>
  <si>
    <t xml:space="preserve">Camila said she keeps coming back to each session because she likes to draw on the whiteboard on Zoom, reading books, and writing. </t>
  </si>
  <si>
    <t xml:space="preserve">Camila said her favorite memory from mentoring this year was playing hangman with her mentor. </t>
  </si>
  <si>
    <t xml:space="preserve">Camila is unsure. </t>
  </si>
  <si>
    <t xml:space="preserve">Camila feels math would help her focus during her sessions. </t>
  </si>
  <si>
    <t xml:space="preserve">Her favorite book is "Dog Man a Tale of Two Kitties." </t>
  </si>
  <si>
    <t xml:space="preserve">Her mentor made her laugh this year during mentoring. </t>
  </si>
  <si>
    <t xml:space="preserve">Her favorite part of the mentoring program is laughing together with her mentor during reading time. </t>
  </si>
  <si>
    <t xml:space="preserve">Camila feels happy when she gives a hug to her mom or her dad. </t>
  </si>
  <si>
    <t xml:space="preserve">Camila said playing more hangman could improve the mentoring program and allotting more time for games. </t>
  </si>
  <si>
    <t xml:space="preserve">No </t>
  </si>
  <si>
    <t xml:space="preserve">Camila likes hangman and drawing on the Zoom whiteboard. </t>
  </si>
  <si>
    <t xml:space="preserve">Yes by reading more. </t>
  </si>
  <si>
    <t xml:space="preserve"> [I have improved my reading skills.]</t>
  </si>
  <si>
    <t>[I feel more confident in my reading.]</t>
  </si>
  <si>
    <t xml:space="preserve"> [I like learning and reading more than I did before.]</t>
  </si>
  <si>
    <t xml:space="preserve"> [I know how to figure out new words.]</t>
  </si>
  <si>
    <t>: [I enjoy my mentoring sessions.]</t>
  </si>
  <si>
    <t xml:space="preserve"> [I feel safe and supported during mentoring.]</t>
  </si>
  <si>
    <t xml:space="preserve"> [During mentoring, I feel understood and that my voice is important.]</t>
  </si>
  <si>
    <t xml:space="preserve"> [I would tell my friends to come to Center for Success.]</t>
  </si>
  <si>
    <t>: [I feel a sense of belonging in this program.]</t>
  </si>
  <si>
    <t xml:space="preserve"> [I have at least one close friend in this program.]</t>
  </si>
  <si>
    <t xml:space="preserve"> [I feel I make a positive contribution to the experiences of others in this program.]</t>
  </si>
  <si>
    <t>[There is at least one adult in this program that I trust and can safely talk with about challenges.]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</si>
</sst>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sz val="6.0"/>
      <color theme="1"/>
      <name val="Arial"/>
      <scheme val="minor"/>
    </font>
    <font>
      <color theme="1"/>
      <name val="Arial"/>
      <scheme val="minor"/>
    </font>
    <font>
      <b/>
      <sz val="6.0"/>
      <color theme="1"/>
      <name val="Arial"/>
      <scheme val="minor"/>
    </font>
  </fonts>
  <fills count="3">
    <fill>
      <patternFill patternType="none"/>
    </fill>
    <fill>
      <patternFill patternType="lightGray"/>
    </fill>
    <fill>
      <patternFill patternType="solid">
        <fgColor rgb="FFCFE2F3"/>
        <bgColor rgb="FFCFE2F3"/>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readingOrder="0" shrinkToFit="0" wrapText="1"/>
    </xf>
    <xf borderId="0" fillId="0" fontId="1" numFmtId="0" xfId="0" applyAlignment="1" applyFont="1">
      <alignment shrinkToFit="0" wrapText="1"/>
    </xf>
    <xf borderId="0" fillId="0" fontId="2" numFmtId="164" xfId="0" applyAlignment="1" applyFont="1" applyNumberFormat="1">
      <alignment readingOrder="0" shrinkToFit="0" wrapText="1"/>
    </xf>
    <xf borderId="0" fillId="0" fontId="2" numFmtId="0" xfId="0" applyAlignment="1" applyFont="1">
      <alignment shrinkToFit="0" wrapText="1"/>
    </xf>
    <xf borderId="0" fillId="0" fontId="2" numFmtId="0" xfId="0" applyAlignment="1" applyFont="1">
      <alignment readingOrder="0" shrinkToFit="0" wrapText="1"/>
    </xf>
    <xf borderId="0" fillId="0" fontId="2" numFmtId="164" xfId="0" applyAlignment="1" applyFont="1" applyNumberFormat="1">
      <alignment readingOrder="0"/>
    </xf>
    <xf borderId="0" fillId="0" fontId="2" numFmtId="0" xfId="0" applyAlignment="1" applyFont="1">
      <alignment readingOrder="0"/>
    </xf>
    <xf borderId="0" fillId="0" fontId="2" numFmtId="9" xfId="0" applyAlignment="1" applyFont="1" applyNumberFormat="1">
      <alignment readingOrder="0"/>
    </xf>
    <xf borderId="0" fillId="2" fontId="3" numFmtId="0" xfId="0" applyAlignment="1" applyFill="1" applyFont="1">
      <alignment shrinkToFit="0" vertical="center" wrapText="1"/>
    </xf>
    <xf borderId="0" fillId="2" fontId="3" numFmtId="0" xfId="0" applyAlignment="1" applyFont="1">
      <alignment readingOrder="0" shrinkToFit="0" vertical="center" wrapText="1"/>
    </xf>
    <xf borderId="0" fillId="2" fontId="3" numFmtId="0" xfId="0" applyAlignment="1" applyFont="1">
      <alignment shrinkToFit="0" vertical="center" wrapText="1"/>
    </xf>
    <xf borderId="0" fillId="0" fontId="2" numFmtId="164" xfId="0" applyFont="1" applyNumberFormat="1"/>
    <xf borderId="0" fillId="0" fontId="2" numFmtId="0" xfId="0" applyFont="1"/>
    <xf borderId="0" fillId="0" fontId="2" numFmtId="164"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88"/>
    <col customWidth="1" min="2" max="4" width="18.88"/>
    <col customWidth="1" min="5" max="5" width="25.25"/>
    <col customWidth="1" min="6" max="35"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2" t="s">
        <v>17</v>
      </c>
      <c r="S1" s="2" t="s">
        <v>18</v>
      </c>
      <c r="T1" s="2" t="s">
        <v>19</v>
      </c>
      <c r="U1" s="2" t="s">
        <v>20</v>
      </c>
      <c r="V1" s="2" t="s">
        <v>21</v>
      </c>
      <c r="W1" s="2" t="s">
        <v>22</v>
      </c>
      <c r="X1" s="2" t="s">
        <v>23</v>
      </c>
      <c r="Y1" s="2" t="s">
        <v>24</v>
      </c>
      <c r="Z1" s="2" t="s">
        <v>25</v>
      </c>
      <c r="AA1" s="2" t="s">
        <v>26</v>
      </c>
      <c r="AB1" s="2" t="s">
        <v>27</v>
      </c>
      <c r="AC1" s="1" t="s">
        <v>28</v>
      </c>
      <c r="AD1" s="3"/>
      <c r="AE1" s="3"/>
      <c r="AF1" s="3"/>
      <c r="AG1" s="3"/>
      <c r="AH1" s="3"/>
      <c r="AI1" s="3"/>
    </row>
    <row r="2">
      <c r="A2" s="4">
        <v>45419.701448067135</v>
      </c>
      <c r="B2" s="5"/>
      <c r="C2" s="6" t="s">
        <v>29</v>
      </c>
      <c r="D2" s="6" t="s">
        <v>30</v>
      </c>
      <c r="E2" s="6" t="s">
        <v>31</v>
      </c>
      <c r="F2" s="6" t="s">
        <v>32</v>
      </c>
      <c r="G2" s="6" t="s">
        <v>33</v>
      </c>
      <c r="H2" s="6" t="s">
        <v>34</v>
      </c>
      <c r="I2" s="6" t="s">
        <v>35</v>
      </c>
      <c r="J2" s="6" t="s">
        <v>36</v>
      </c>
      <c r="K2" s="6" t="s">
        <v>37</v>
      </c>
      <c r="L2" s="6" t="s">
        <v>38</v>
      </c>
      <c r="M2" s="6" t="s">
        <v>39</v>
      </c>
      <c r="N2" s="6" t="s">
        <v>40</v>
      </c>
      <c r="O2" s="6" t="s">
        <v>38</v>
      </c>
      <c r="P2" s="6" t="s">
        <v>41</v>
      </c>
      <c r="Q2" s="6" t="s">
        <v>42</v>
      </c>
      <c r="R2" s="6" t="s">
        <v>43</v>
      </c>
      <c r="S2" s="6" t="s">
        <v>42</v>
      </c>
      <c r="T2" s="6" t="s">
        <v>44</v>
      </c>
      <c r="U2" s="6" t="s">
        <v>44</v>
      </c>
      <c r="V2" s="6" t="s">
        <v>44</v>
      </c>
      <c r="W2" s="6" t="s">
        <v>44</v>
      </c>
      <c r="X2" s="6" t="s">
        <v>44</v>
      </c>
      <c r="Y2" s="6" t="s">
        <v>44</v>
      </c>
      <c r="Z2" s="6" t="s">
        <v>43</v>
      </c>
      <c r="AA2" s="6" t="s">
        <v>44</v>
      </c>
      <c r="AB2" s="6" t="s">
        <v>44</v>
      </c>
      <c r="AC2" s="5"/>
      <c r="AD2" s="5"/>
      <c r="AE2" s="5"/>
      <c r="AF2" s="5"/>
      <c r="AG2" s="5"/>
      <c r="AH2" s="5"/>
      <c r="AI2" s="5"/>
    </row>
    <row r="3">
      <c r="A3" s="4">
        <v>45419.70209289352</v>
      </c>
      <c r="B3" s="6" t="s">
        <v>45</v>
      </c>
      <c r="C3" s="6" t="s">
        <v>46</v>
      </c>
      <c r="D3" s="6" t="s">
        <v>47</v>
      </c>
      <c r="E3" s="6" t="s">
        <v>48</v>
      </c>
      <c r="F3" s="6" t="s">
        <v>49</v>
      </c>
      <c r="G3" s="6" t="s">
        <v>50</v>
      </c>
      <c r="H3" s="6" t="s">
        <v>51</v>
      </c>
      <c r="I3" s="6" t="s">
        <v>52</v>
      </c>
      <c r="J3" s="6" t="s">
        <v>53</v>
      </c>
      <c r="K3" s="6" t="s">
        <v>54</v>
      </c>
      <c r="L3" s="6" t="s">
        <v>52</v>
      </c>
      <c r="M3" s="6" t="s">
        <v>55</v>
      </c>
      <c r="N3" s="6" t="s">
        <v>56</v>
      </c>
      <c r="O3" s="6" t="s">
        <v>52</v>
      </c>
      <c r="P3" s="6" t="s">
        <v>57</v>
      </c>
      <c r="Q3" s="6" t="s">
        <v>43</v>
      </c>
      <c r="R3" s="6" t="s">
        <v>43</v>
      </c>
      <c r="S3" s="6" t="s">
        <v>42</v>
      </c>
      <c r="T3" s="6" t="s">
        <v>44</v>
      </c>
      <c r="U3" s="6" t="s">
        <v>42</v>
      </c>
      <c r="V3" s="6" t="s">
        <v>43</v>
      </c>
      <c r="W3" s="6" t="s">
        <v>42</v>
      </c>
      <c r="X3" s="6" t="s">
        <v>58</v>
      </c>
      <c r="Y3" s="6" t="s">
        <v>43</v>
      </c>
      <c r="Z3" s="6" t="s">
        <v>44</v>
      </c>
      <c r="AA3" s="6" t="s">
        <v>44</v>
      </c>
      <c r="AB3" s="6" t="s">
        <v>43</v>
      </c>
      <c r="AC3" s="6" t="s">
        <v>59</v>
      </c>
      <c r="AD3" s="5"/>
      <c r="AE3" s="5"/>
      <c r="AF3" s="5"/>
      <c r="AG3" s="5"/>
      <c r="AH3" s="5"/>
      <c r="AI3" s="5"/>
    </row>
    <row r="4">
      <c r="A4" s="4">
        <v>45419.7072078125</v>
      </c>
      <c r="B4" s="6" t="s">
        <v>45</v>
      </c>
      <c r="C4" s="6" t="s">
        <v>60</v>
      </c>
      <c r="D4" s="6" t="s">
        <v>61</v>
      </c>
      <c r="E4" s="6" t="s">
        <v>62</v>
      </c>
      <c r="F4" s="6" t="s">
        <v>63</v>
      </c>
      <c r="G4" s="6" t="s">
        <v>64</v>
      </c>
      <c r="H4" s="6" t="s">
        <v>65</v>
      </c>
      <c r="I4" s="6" t="s">
        <v>66</v>
      </c>
      <c r="J4" s="6" t="s">
        <v>67</v>
      </c>
      <c r="K4" s="6" t="s">
        <v>68</v>
      </c>
      <c r="L4" s="6" t="s">
        <v>69</v>
      </c>
      <c r="M4" s="6" t="s">
        <v>70</v>
      </c>
      <c r="N4" s="6" t="s">
        <v>71</v>
      </c>
      <c r="O4" s="6" t="s">
        <v>72</v>
      </c>
      <c r="P4" s="6" t="s">
        <v>73</v>
      </c>
      <c r="Q4" s="6" t="s">
        <v>44</v>
      </c>
      <c r="R4" s="6" t="s">
        <v>44</v>
      </c>
      <c r="S4" s="6" t="s">
        <v>44</v>
      </c>
      <c r="T4" s="6" t="s">
        <v>44</v>
      </c>
      <c r="U4" s="6" t="s">
        <v>44</v>
      </c>
      <c r="V4" s="6" t="s">
        <v>44</v>
      </c>
      <c r="W4" s="6" t="s">
        <v>44</v>
      </c>
      <c r="X4" s="6" t="s">
        <v>44</v>
      </c>
      <c r="Y4" s="6" t="s">
        <v>44</v>
      </c>
      <c r="Z4" s="6" t="s">
        <v>44</v>
      </c>
      <c r="AA4" s="6" t="s">
        <v>44</v>
      </c>
      <c r="AB4" s="6" t="s">
        <v>44</v>
      </c>
      <c r="AC4" s="5"/>
      <c r="AD4" s="5"/>
      <c r="AE4" s="5"/>
      <c r="AF4" s="5"/>
      <c r="AG4" s="5"/>
      <c r="AH4" s="5"/>
      <c r="AI4" s="5"/>
    </row>
    <row r="5">
      <c r="A5" s="4">
        <v>45419.71076233796</v>
      </c>
      <c r="B5" s="6" t="s">
        <v>45</v>
      </c>
      <c r="C5" s="6" t="s">
        <v>74</v>
      </c>
      <c r="D5" s="6" t="s">
        <v>75</v>
      </c>
      <c r="E5" s="6" t="s">
        <v>32</v>
      </c>
      <c r="F5" s="6" t="s">
        <v>76</v>
      </c>
      <c r="G5" s="6" t="s">
        <v>77</v>
      </c>
      <c r="H5" s="6" t="s">
        <v>78</v>
      </c>
      <c r="I5" s="6" t="s">
        <v>79</v>
      </c>
      <c r="J5" s="6" t="s">
        <v>80</v>
      </c>
      <c r="K5" s="6" t="s">
        <v>81</v>
      </c>
      <c r="L5" s="6" t="s">
        <v>82</v>
      </c>
      <c r="M5" s="6" t="s">
        <v>83</v>
      </c>
      <c r="N5" s="6" t="s">
        <v>84</v>
      </c>
      <c r="O5" s="6" t="s">
        <v>85</v>
      </c>
      <c r="P5" s="6" t="s">
        <v>86</v>
      </c>
      <c r="Q5" s="6" t="s">
        <v>43</v>
      </c>
      <c r="R5" s="6" t="s">
        <v>44</v>
      </c>
      <c r="S5" s="6" t="s">
        <v>44</v>
      </c>
      <c r="T5" s="6" t="s">
        <v>44</v>
      </c>
      <c r="U5" s="6" t="s">
        <v>44</v>
      </c>
      <c r="V5" s="6" t="s">
        <v>44</v>
      </c>
      <c r="W5" s="6" t="s">
        <v>44</v>
      </c>
      <c r="X5" s="6" t="s">
        <v>43</v>
      </c>
      <c r="Y5" s="6" t="s">
        <v>44</v>
      </c>
      <c r="Z5" s="6" t="s">
        <v>87</v>
      </c>
      <c r="AA5" s="6" t="s">
        <v>43</v>
      </c>
      <c r="AB5" s="6" t="s">
        <v>44</v>
      </c>
      <c r="AC5" s="6" t="s">
        <v>88</v>
      </c>
      <c r="AD5" s="5"/>
      <c r="AE5" s="5"/>
      <c r="AF5" s="5"/>
      <c r="AG5" s="5"/>
      <c r="AH5" s="5"/>
      <c r="AI5" s="5"/>
    </row>
    <row r="6">
      <c r="A6" s="4">
        <v>45419.713926076394</v>
      </c>
      <c r="B6" s="6" t="s">
        <v>45</v>
      </c>
      <c r="C6" s="6" t="s">
        <v>89</v>
      </c>
      <c r="D6" s="6" t="s">
        <v>90</v>
      </c>
      <c r="E6" s="6" t="s">
        <v>91</v>
      </c>
      <c r="F6" s="6" t="s">
        <v>92</v>
      </c>
      <c r="G6" s="6" t="s">
        <v>93</v>
      </c>
      <c r="H6" s="6" t="s">
        <v>94</v>
      </c>
      <c r="I6" s="6" t="s">
        <v>95</v>
      </c>
      <c r="J6" s="6" t="s">
        <v>96</v>
      </c>
      <c r="K6" s="6" t="s">
        <v>97</v>
      </c>
      <c r="L6" s="6" t="s">
        <v>98</v>
      </c>
      <c r="M6" s="6" t="s">
        <v>99</v>
      </c>
      <c r="N6" s="6" t="s">
        <v>100</v>
      </c>
      <c r="O6" s="6" t="s">
        <v>101</v>
      </c>
      <c r="P6" s="6" t="s">
        <v>102</v>
      </c>
      <c r="Q6" s="6" t="s">
        <v>44</v>
      </c>
      <c r="R6" s="6" t="s">
        <v>43</v>
      </c>
      <c r="S6" s="6" t="s">
        <v>44</v>
      </c>
      <c r="T6" s="6" t="s">
        <v>43</v>
      </c>
      <c r="U6" s="6" t="s">
        <v>43</v>
      </c>
      <c r="V6" s="6" t="s">
        <v>44</v>
      </c>
      <c r="W6" s="6" t="s">
        <v>43</v>
      </c>
      <c r="X6" s="6" t="s">
        <v>42</v>
      </c>
      <c r="Y6" s="6" t="s">
        <v>43</v>
      </c>
      <c r="Z6" s="6" t="s">
        <v>44</v>
      </c>
      <c r="AA6" s="6" t="s">
        <v>42</v>
      </c>
      <c r="AB6" s="6" t="s">
        <v>43</v>
      </c>
      <c r="AC6" s="6" t="s">
        <v>103</v>
      </c>
      <c r="AD6" s="5"/>
      <c r="AE6" s="5"/>
      <c r="AF6" s="5"/>
      <c r="AG6" s="5"/>
      <c r="AH6" s="5"/>
      <c r="AI6" s="5"/>
    </row>
    <row r="7">
      <c r="A7" s="4">
        <v>45419.71598231481</v>
      </c>
      <c r="B7" s="6" t="s">
        <v>45</v>
      </c>
      <c r="C7" s="6" t="s">
        <v>104</v>
      </c>
      <c r="D7" s="6" t="s">
        <v>105</v>
      </c>
      <c r="E7" s="6" t="s">
        <v>106</v>
      </c>
      <c r="F7" s="6" t="s">
        <v>107</v>
      </c>
      <c r="G7" s="6" t="s">
        <v>108</v>
      </c>
      <c r="H7" s="6" t="s">
        <v>109</v>
      </c>
      <c r="I7" s="6" t="s">
        <v>110</v>
      </c>
      <c r="J7" s="6" t="s">
        <v>111</v>
      </c>
      <c r="K7" s="6" t="s">
        <v>112</v>
      </c>
      <c r="L7" s="6" t="s">
        <v>113</v>
      </c>
      <c r="M7" s="6" t="s">
        <v>114</v>
      </c>
      <c r="N7" s="6" t="s">
        <v>115</v>
      </c>
      <c r="O7" s="6" t="s">
        <v>116</v>
      </c>
      <c r="P7" s="6" t="s">
        <v>117</v>
      </c>
      <c r="Q7" s="6" t="s">
        <v>42</v>
      </c>
      <c r="R7" s="6" t="s">
        <v>44</v>
      </c>
      <c r="S7" s="6" t="s">
        <v>43</v>
      </c>
      <c r="T7" s="6" t="s">
        <v>43</v>
      </c>
      <c r="U7" s="6" t="s">
        <v>43</v>
      </c>
      <c r="V7" s="6" t="s">
        <v>44</v>
      </c>
      <c r="W7" s="6" t="s">
        <v>44</v>
      </c>
      <c r="X7" s="6" t="s">
        <v>44</v>
      </c>
      <c r="Y7" s="6" t="s">
        <v>43</v>
      </c>
      <c r="Z7" s="6" t="s">
        <v>44</v>
      </c>
      <c r="AA7" s="6" t="s">
        <v>43</v>
      </c>
      <c r="AB7" s="6" t="s">
        <v>43</v>
      </c>
      <c r="AC7" s="5"/>
      <c r="AD7" s="5"/>
      <c r="AE7" s="5"/>
      <c r="AF7" s="5"/>
      <c r="AG7" s="5"/>
      <c r="AH7" s="5"/>
      <c r="AI7" s="5"/>
    </row>
    <row r="8">
      <c r="A8" s="4">
        <v>45419.716913807875</v>
      </c>
      <c r="B8" s="6" t="s">
        <v>118</v>
      </c>
      <c r="C8" s="6" t="s">
        <v>119</v>
      </c>
      <c r="D8" s="6" t="s">
        <v>120</v>
      </c>
      <c r="E8" s="6" t="s">
        <v>121</v>
      </c>
      <c r="F8" s="6" t="s">
        <v>122</v>
      </c>
      <c r="G8" s="6" t="s">
        <v>123</v>
      </c>
      <c r="H8" s="6" t="s">
        <v>124</v>
      </c>
      <c r="I8" s="5"/>
      <c r="J8" s="6" t="s">
        <v>125</v>
      </c>
      <c r="K8" s="5"/>
      <c r="L8" s="6" t="s">
        <v>126</v>
      </c>
      <c r="M8" s="6" t="s">
        <v>103</v>
      </c>
      <c r="N8" s="6" t="s">
        <v>127</v>
      </c>
      <c r="O8" s="6" t="s">
        <v>128</v>
      </c>
      <c r="P8" s="6" t="s">
        <v>129</v>
      </c>
      <c r="Q8" s="6" t="s">
        <v>44</v>
      </c>
      <c r="R8" s="6" t="s">
        <v>44</v>
      </c>
      <c r="S8" s="6" t="s">
        <v>44</v>
      </c>
      <c r="T8" s="6" t="s">
        <v>44</v>
      </c>
      <c r="U8" s="6" t="s">
        <v>44</v>
      </c>
      <c r="V8" s="6" t="s">
        <v>44</v>
      </c>
      <c r="W8" s="6" t="s">
        <v>44</v>
      </c>
      <c r="X8" s="6" t="s">
        <v>44</v>
      </c>
      <c r="Y8" s="6" t="s">
        <v>44</v>
      </c>
      <c r="Z8" s="6" t="s">
        <v>44</v>
      </c>
      <c r="AA8" s="6" t="s">
        <v>44</v>
      </c>
      <c r="AB8" s="6" t="s">
        <v>44</v>
      </c>
      <c r="AC8" s="6" t="s">
        <v>130</v>
      </c>
      <c r="AD8" s="5"/>
      <c r="AE8" s="5"/>
      <c r="AF8" s="5"/>
      <c r="AG8" s="5"/>
      <c r="AH8" s="5"/>
      <c r="AI8" s="5"/>
    </row>
    <row r="9">
      <c r="A9" s="4">
        <v>45419.71834619213</v>
      </c>
      <c r="B9" s="6" t="s">
        <v>118</v>
      </c>
      <c r="C9" s="6" t="s">
        <v>131</v>
      </c>
      <c r="D9" s="6" t="s">
        <v>132</v>
      </c>
      <c r="E9" s="6" t="s">
        <v>133</v>
      </c>
      <c r="F9" s="6" t="s">
        <v>134</v>
      </c>
      <c r="G9" s="6" t="s">
        <v>135</v>
      </c>
      <c r="H9" s="6" t="s">
        <v>136</v>
      </c>
      <c r="I9" s="6" t="s">
        <v>137</v>
      </c>
      <c r="J9" s="6" t="s">
        <v>138</v>
      </c>
      <c r="K9" s="6" t="s">
        <v>139</v>
      </c>
      <c r="L9" s="6" t="s">
        <v>140</v>
      </c>
      <c r="M9" s="6" t="s">
        <v>141</v>
      </c>
      <c r="N9" s="6" t="s">
        <v>142</v>
      </c>
      <c r="O9" s="6" t="s">
        <v>143</v>
      </c>
      <c r="P9" s="6" t="s">
        <v>144</v>
      </c>
      <c r="Q9" s="6" t="s">
        <v>44</v>
      </c>
      <c r="R9" s="6" t="s">
        <v>43</v>
      </c>
      <c r="S9" s="6" t="s">
        <v>44</v>
      </c>
      <c r="T9" s="6" t="s">
        <v>42</v>
      </c>
      <c r="U9" s="6" t="s">
        <v>43</v>
      </c>
      <c r="V9" s="6" t="s">
        <v>42</v>
      </c>
      <c r="W9" s="6" t="s">
        <v>43</v>
      </c>
      <c r="X9" s="6" t="s">
        <v>43</v>
      </c>
      <c r="Y9" s="6" t="s">
        <v>44</v>
      </c>
      <c r="Z9" s="6" t="s">
        <v>43</v>
      </c>
      <c r="AA9" s="6" t="s">
        <v>44</v>
      </c>
      <c r="AB9" s="6" t="s">
        <v>43</v>
      </c>
      <c r="AC9" s="5"/>
      <c r="AD9" s="5"/>
      <c r="AE9" s="5"/>
      <c r="AF9" s="5"/>
      <c r="AG9" s="5"/>
      <c r="AH9" s="5"/>
      <c r="AI9" s="5"/>
    </row>
    <row r="10">
      <c r="A10" s="4">
        <v>45419.721473136575</v>
      </c>
      <c r="B10" s="6" t="s">
        <v>118</v>
      </c>
      <c r="C10" s="6" t="s">
        <v>145</v>
      </c>
      <c r="D10" s="6" t="s">
        <v>146</v>
      </c>
      <c r="E10" s="6" t="s">
        <v>147</v>
      </c>
      <c r="F10" s="6" t="s">
        <v>148</v>
      </c>
      <c r="G10" s="6" t="s">
        <v>149</v>
      </c>
      <c r="H10" s="6" t="s">
        <v>150</v>
      </c>
      <c r="I10" s="6" t="s">
        <v>151</v>
      </c>
      <c r="J10" s="6" t="s">
        <v>152</v>
      </c>
      <c r="K10" s="6" t="s">
        <v>153</v>
      </c>
      <c r="L10" s="6" t="s">
        <v>154</v>
      </c>
      <c r="M10" s="6" t="s">
        <v>155</v>
      </c>
      <c r="N10" s="6" t="s">
        <v>156</v>
      </c>
      <c r="O10" s="6" t="s">
        <v>157</v>
      </c>
      <c r="P10" s="6" t="s">
        <v>158</v>
      </c>
      <c r="Q10" s="6" t="s">
        <v>43</v>
      </c>
      <c r="R10" s="6" t="s">
        <v>43</v>
      </c>
      <c r="S10" s="6" t="s">
        <v>43</v>
      </c>
      <c r="T10" s="6" t="s">
        <v>42</v>
      </c>
      <c r="U10" s="6" t="s">
        <v>43</v>
      </c>
      <c r="V10" s="6" t="s">
        <v>43</v>
      </c>
      <c r="W10" s="6" t="s">
        <v>43</v>
      </c>
      <c r="X10" s="6" t="s">
        <v>43</v>
      </c>
      <c r="Y10" s="6" t="s">
        <v>43</v>
      </c>
      <c r="Z10" s="6" t="s">
        <v>43</v>
      </c>
      <c r="AA10" s="6" t="s">
        <v>43</v>
      </c>
      <c r="AB10" s="6" t="s">
        <v>43</v>
      </c>
      <c r="AC10" s="5"/>
      <c r="AD10" s="5"/>
      <c r="AE10" s="5"/>
      <c r="AF10" s="5"/>
      <c r="AG10" s="5"/>
      <c r="AH10" s="5"/>
      <c r="AI10" s="5"/>
    </row>
    <row r="11">
      <c r="A11" s="4">
        <v>45419.723845243054</v>
      </c>
      <c r="B11" s="6" t="s">
        <v>118</v>
      </c>
      <c r="C11" s="5"/>
      <c r="D11" s="6" t="s">
        <v>159</v>
      </c>
      <c r="E11" s="6" t="s">
        <v>160</v>
      </c>
      <c r="F11" s="6" t="s">
        <v>161</v>
      </c>
      <c r="G11" s="6" t="s">
        <v>161</v>
      </c>
      <c r="H11" s="6" t="s">
        <v>162</v>
      </c>
      <c r="I11" s="6" t="s">
        <v>163</v>
      </c>
      <c r="J11" s="6" t="s">
        <v>164</v>
      </c>
      <c r="K11" s="6" t="s">
        <v>165</v>
      </c>
      <c r="L11" s="6" t="s">
        <v>166</v>
      </c>
      <c r="M11" s="6" t="s">
        <v>167</v>
      </c>
      <c r="N11" s="6" t="s">
        <v>168</v>
      </c>
      <c r="O11" s="6" t="s">
        <v>169</v>
      </c>
      <c r="P11" s="6" t="s">
        <v>123</v>
      </c>
      <c r="Q11" s="6" t="s">
        <v>44</v>
      </c>
      <c r="R11" s="6" t="s">
        <v>42</v>
      </c>
      <c r="S11" s="6" t="s">
        <v>44</v>
      </c>
      <c r="T11" s="6" t="s">
        <v>44</v>
      </c>
      <c r="U11" s="6" t="s">
        <v>44</v>
      </c>
      <c r="V11" s="6" t="s">
        <v>43</v>
      </c>
      <c r="W11" s="6" t="s">
        <v>42</v>
      </c>
      <c r="X11" s="6" t="s">
        <v>44</v>
      </c>
      <c r="Y11" s="6" t="s">
        <v>42</v>
      </c>
      <c r="Z11" s="6" t="s">
        <v>44</v>
      </c>
      <c r="AA11" s="6" t="s">
        <v>44</v>
      </c>
      <c r="AB11" s="6" t="s">
        <v>44</v>
      </c>
      <c r="AC11" s="6" t="s">
        <v>170</v>
      </c>
      <c r="AD11" s="5"/>
      <c r="AE11" s="5"/>
      <c r="AF11" s="5"/>
      <c r="AG11" s="5"/>
      <c r="AH11" s="5"/>
      <c r="AI11" s="5"/>
    </row>
    <row r="12">
      <c r="A12" s="4">
        <v>45419.72424898148</v>
      </c>
      <c r="B12" s="6" t="s">
        <v>118</v>
      </c>
      <c r="C12" s="6" t="s">
        <v>171</v>
      </c>
      <c r="D12" s="6" t="s">
        <v>172</v>
      </c>
      <c r="E12" s="6" t="s">
        <v>173</v>
      </c>
      <c r="F12" s="6" t="s">
        <v>174</v>
      </c>
      <c r="G12" s="6" t="s">
        <v>175</v>
      </c>
      <c r="H12" s="6" t="s">
        <v>176</v>
      </c>
      <c r="I12" s="6" t="s">
        <v>177</v>
      </c>
      <c r="J12" s="6" t="s">
        <v>178</v>
      </c>
      <c r="K12" s="6" t="s">
        <v>179</v>
      </c>
      <c r="L12" s="6" t="s">
        <v>180</v>
      </c>
      <c r="M12" s="6" t="s">
        <v>181</v>
      </c>
      <c r="N12" s="6" t="s">
        <v>182</v>
      </c>
      <c r="O12" s="6" t="s">
        <v>183</v>
      </c>
      <c r="P12" s="6" t="s">
        <v>184</v>
      </c>
      <c r="Q12" s="6" t="s">
        <v>44</v>
      </c>
      <c r="R12" s="6" t="s">
        <v>44</v>
      </c>
      <c r="S12" s="5"/>
      <c r="T12" s="6" t="s">
        <v>43</v>
      </c>
      <c r="U12" s="6" t="s">
        <v>44</v>
      </c>
      <c r="V12" s="6" t="s">
        <v>42</v>
      </c>
      <c r="W12" s="6" t="s">
        <v>44</v>
      </c>
      <c r="X12" s="6" t="s">
        <v>44</v>
      </c>
      <c r="Y12" s="6" t="s">
        <v>42</v>
      </c>
      <c r="Z12" s="6" t="s">
        <v>44</v>
      </c>
      <c r="AA12" s="6" t="s">
        <v>42</v>
      </c>
      <c r="AB12" s="6" t="s">
        <v>44</v>
      </c>
      <c r="AC12" s="5"/>
      <c r="AD12" s="5"/>
      <c r="AE12" s="5"/>
      <c r="AF12" s="5"/>
      <c r="AG12" s="5"/>
      <c r="AH12" s="5"/>
      <c r="AI12" s="5"/>
    </row>
    <row r="13">
      <c r="A13" s="4">
        <v>45419.72974260416</v>
      </c>
      <c r="B13" s="6" t="s">
        <v>118</v>
      </c>
      <c r="C13" s="6" t="s">
        <v>185</v>
      </c>
      <c r="D13" s="6" t="s">
        <v>186</v>
      </c>
      <c r="E13" s="6" t="s">
        <v>187</v>
      </c>
      <c r="F13" s="6" t="s">
        <v>188</v>
      </c>
      <c r="G13" s="6" t="s">
        <v>161</v>
      </c>
      <c r="H13" s="6" t="s">
        <v>189</v>
      </c>
      <c r="I13" s="6" t="s">
        <v>190</v>
      </c>
      <c r="J13" s="6" t="s">
        <v>191</v>
      </c>
      <c r="K13" s="6" t="s">
        <v>165</v>
      </c>
      <c r="L13" s="5"/>
      <c r="M13" s="6" t="s">
        <v>192</v>
      </c>
      <c r="N13" s="6" t="s">
        <v>193</v>
      </c>
      <c r="O13" s="6" t="s">
        <v>194</v>
      </c>
      <c r="P13" s="6" t="s">
        <v>195</v>
      </c>
      <c r="Q13" s="6" t="s">
        <v>42</v>
      </c>
      <c r="R13" s="6" t="s">
        <v>58</v>
      </c>
      <c r="S13" s="6" t="s">
        <v>44</v>
      </c>
      <c r="T13" s="6" t="s">
        <v>44</v>
      </c>
      <c r="U13" s="6" t="s">
        <v>44</v>
      </c>
      <c r="V13" s="6" t="s">
        <v>44</v>
      </c>
      <c r="W13" s="6" t="s">
        <v>58</v>
      </c>
      <c r="X13" s="6" t="s">
        <v>44</v>
      </c>
      <c r="Y13" s="6" t="s">
        <v>44</v>
      </c>
      <c r="Z13" s="6" t="s">
        <v>44</v>
      </c>
      <c r="AA13" s="6" t="s">
        <v>44</v>
      </c>
      <c r="AB13" s="6" t="s">
        <v>44</v>
      </c>
      <c r="AC13" s="6" t="s">
        <v>196</v>
      </c>
      <c r="AD13" s="5"/>
      <c r="AE13" s="5"/>
      <c r="AF13" s="5"/>
      <c r="AG13" s="5"/>
      <c r="AH13" s="5"/>
      <c r="AI13" s="5"/>
    </row>
    <row r="14">
      <c r="A14" s="4">
        <v>45419.73350642361</v>
      </c>
      <c r="B14" s="6" t="s">
        <v>118</v>
      </c>
      <c r="C14" s="6" t="s">
        <v>197</v>
      </c>
      <c r="D14" s="6" t="s">
        <v>198</v>
      </c>
      <c r="E14" s="6" t="s">
        <v>52</v>
      </c>
      <c r="F14" s="6" t="s">
        <v>199</v>
      </c>
      <c r="G14" s="6" t="s">
        <v>200</v>
      </c>
      <c r="H14" s="5"/>
      <c r="I14" s="6" t="s">
        <v>201</v>
      </c>
      <c r="J14" s="6" t="s">
        <v>202</v>
      </c>
      <c r="K14" s="6" t="s">
        <v>203</v>
      </c>
      <c r="L14" s="6" t="s">
        <v>202</v>
      </c>
      <c r="M14" s="6" t="s">
        <v>204</v>
      </c>
      <c r="N14" s="6" t="s">
        <v>205</v>
      </c>
      <c r="O14" s="6" t="s">
        <v>206</v>
      </c>
      <c r="P14" s="6" t="s">
        <v>207</v>
      </c>
      <c r="Q14" s="6" t="s">
        <v>44</v>
      </c>
      <c r="R14" s="6" t="s">
        <v>44</v>
      </c>
      <c r="S14" s="6" t="s">
        <v>44</v>
      </c>
      <c r="T14" s="6" t="s">
        <v>44</v>
      </c>
      <c r="U14" s="6" t="s">
        <v>44</v>
      </c>
      <c r="V14" s="6" t="s">
        <v>44</v>
      </c>
      <c r="W14" s="6" t="s">
        <v>44</v>
      </c>
      <c r="X14" s="6" t="s">
        <v>44</v>
      </c>
      <c r="Y14" s="6" t="s">
        <v>44</v>
      </c>
      <c r="Z14" s="6" t="s">
        <v>44</v>
      </c>
      <c r="AA14" s="6" t="s">
        <v>44</v>
      </c>
      <c r="AB14" s="6" t="s">
        <v>44</v>
      </c>
      <c r="AC14" s="5"/>
      <c r="AD14" s="5"/>
      <c r="AE14" s="5"/>
      <c r="AF14" s="5"/>
      <c r="AG14" s="5"/>
      <c r="AH14" s="5"/>
      <c r="AI14" s="5"/>
    </row>
    <row r="15" hidden="1">
      <c r="A15" s="4">
        <v>45419.7359547338</v>
      </c>
      <c r="B15" s="6" t="s">
        <v>118</v>
      </c>
      <c r="C15" s="6" t="s">
        <v>208</v>
      </c>
      <c r="D15" s="6" t="s">
        <v>209</v>
      </c>
      <c r="E15" s="6" t="s">
        <v>210</v>
      </c>
      <c r="F15" s="6" t="s">
        <v>211</v>
      </c>
      <c r="G15" s="6" t="s">
        <v>212</v>
      </c>
      <c r="H15" s="6" t="s">
        <v>213</v>
      </c>
      <c r="I15" s="6" t="s">
        <v>214</v>
      </c>
      <c r="J15" s="6" t="s">
        <v>215</v>
      </c>
      <c r="K15" s="6" t="s">
        <v>216</v>
      </c>
      <c r="L15" s="6" t="s">
        <v>217</v>
      </c>
      <c r="M15" s="6" t="s">
        <v>103</v>
      </c>
      <c r="N15" s="6" t="s">
        <v>218</v>
      </c>
      <c r="O15" s="6" t="s">
        <v>219</v>
      </c>
      <c r="P15" s="6" t="s">
        <v>220</v>
      </c>
      <c r="Q15" s="6" t="s">
        <v>44</v>
      </c>
      <c r="R15" s="6" t="s">
        <v>44</v>
      </c>
      <c r="S15" s="6" t="s">
        <v>43</v>
      </c>
      <c r="T15" s="6" t="s">
        <v>43</v>
      </c>
      <c r="U15" s="6" t="s">
        <v>43</v>
      </c>
      <c r="V15" s="6" t="s">
        <v>44</v>
      </c>
      <c r="W15" s="6" t="s">
        <v>43</v>
      </c>
      <c r="X15" s="6" t="s">
        <v>42</v>
      </c>
      <c r="Y15" s="6" t="s">
        <v>58</v>
      </c>
      <c r="Z15" s="6" t="s">
        <v>44</v>
      </c>
      <c r="AA15" s="6" t="s">
        <v>42</v>
      </c>
      <c r="AB15" s="6" t="s">
        <v>58</v>
      </c>
      <c r="AC15" s="5"/>
      <c r="AD15" s="5"/>
      <c r="AE15" s="5"/>
      <c r="AF15" s="5"/>
      <c r="AG15" s="5"/>
      <c r="AH15" s="5"/>
      <c r="AI15" s="5"/>
    </row>
    <row r="16">
      <c r="A16" s="4">
        <v>45419.73876057871</v>
      </c>
      <c r="B16" s="6" t="s">
        <v>45</v>
      </c>
      <c r="C16" s="6" t="s">
        <v>221</v>
      </c>
      <c r="D16" s="6" t="s">
        <v>222</v>
      </c>
      <c r="E16" s="6" t="s">
        <v>223</v>
      </c>
      <c r="F16" s="6" t="s">
        <v>224</v>
      </c>
      <c r="G16" s="6" t="s">
        <v>225</v>
      </c>
      <c r="H16" s="6" t="s">
        <v>226</v>
      </c>
      <c r="I16" s="6" t="s">
        <v>227</v>
      </c>
      <c r="J16" s="6" t="s">
        <v>32</v>
      </c>
      <c r="K16" s="6" t="s">
        <v>37</v>
      </c>
      <c r="L16" s="6" t="s">
        <v>224</v>
      </c>
      <c r="M16" s="6" t="s">
        <v>228</v>
      </c>
      <c r="N16" s="6" t="s">
        <v>229</v>
      </c>
      <c r="O16" s="6" t="s">
        <v>228</v>
      </c>
      <c r="P16" s="6" t="s">
        <v>230</v>
      </c>
      <c r="Q16" s="6" t="s">
        <v>42</v>
      </c>
      <c r="R16" s="6" t="s">
        <v>43</v>
      </c>
      <c r="S16" s="6" t="s">
        <v>44</v>
      </c>
      <c r="T16" s="6" t="s">
        <v>44</v>
      </c>
      <c r="U16" s="6" t="s">
        <v>43</v>
      </c>
      <c r="V16" s="6" t="s">
        <v>44</v>
      </c>
      <c r="W16" s="6" t="s">
        <v>58</v>
      </c>
      <c r="X16" s="6" t="s">
        <v>44</v>
      </c>
      <c r="Y16" s="6" t="s">
        <v>44</v>
      </c>
      <c r="Z16" s="6" t="s">
        <v>44</v>
      </c>
      <c r="AA16" s="6" t="s">
        <v>43</v>
      </c>
      <c r="AB16" s="6" t="s">
        <v>44</v>
      </c>
      <c r="AC16" s="5"/>
      <c r="AD16" s="5"/>
      <c r="AE16" s="5"/>
      <c r="AF16" s="5"/>
      <c r="AG16" s="5"/>
      <c r="AH16" s="5"/>
      <c r="AI16" s="5"/>
    </row>
    <row r="17">
      <c r="A17" s="4">
        <v>45419.74890381945</v>
      </c>
      <c r="B17" s="6" t="s">
        <v>45</v>
      </c>
      <c r="C17" s="6" t="s">
        <v>231</v>
      </c>
      <c r="D17" s="6" t="s">
        <v>232</v>
      </c>
      <c r="E17" s="6" t="s">
        <v>233</v>
      </c>
      <c r="F17" s="6" t="s">
        <v>234</v>
      </c>
      <c r="G17" s="6" t="s">
        <v>235</v>
      </c>
      <c r="H17" s="6" t="s">
        <v>236</v>
      </c>
      <c r="I17" s="6" t="s">
        <v>237</v>
      </c>
      <c r="J17" s="6" t="s">
        <v>238</v>
      </c>
      <c r="K17" s="6" t="s">
        <v>239</v>
      </c>
      <c r="L17" s="6" t="s">
        <v>240</v>
      </c>
      <c r="M17" s="6" t="s">
        <v>241</v>
      </c>
      <c r="N17" s="6" t="s">
        <v>205</v>
      </c>
      <c r="O17" s="6" t="s">
        <v>242</v>
      </c>
      <c r="P17" s="6" t="s">
        <v>243</v>
      </c>
      <c r="Q17" s="6" t="s">
        <v>43</v>
      </c>
      <c r="R17" s="6" t="s">
        <v>43</v>
      </c>
      <c r="S17" s="6" t="s">
        <v>42</v>
      </c>
      <c r="T17" s="6" t="s">
        <v>43</v>
      </c>
      <c r="U17" s="6" t="s">
        <v>43</v>
      </c>
      <c r="V17" s="6" t="s">
        <v>43</v>
      </c>
      <c r="W17" s="6" t="s">
        <v>44</v>
      </c>
      <c r="X17" s="6" t="s">
        <v>43</v>
      </c>
      <c r="Y17" s="6" t="s">
        <v>43</v>
      </c>
      <c r="Z17" s="6" t="s">
        <v>44</v>
      </c>
      <c r="AA17" s="6" t="s">
        <v>43</v>
      </c>
      <c r="AB17" s="6" t="s">
        <v>44</v>
      </c>
      <c r="AC17" s="5"/>
      <c r="AD17" s="5"/>
      <c r="AE17" s="5"/>
      <c r="AF17" s="5"/>
      <c r="AG17" s="5"/>
      <c r="AH17" s="5"/>
      <c r="AI17" s="5"/>
    </row>
    <row r="18">
      <c r="A18" s="4">
        <v>45419.75028944445</v>
      </c>
      <c r="B18" s="6" t="s">
        <v>45</v>
      </c>
      <c r="C18" s="6" t="s">
        <v>244</v>
      </c>
      <c r="D18" s="6" t="s">
        <v>245</v>
      </c>
      <c r="E18" s="6" t="s">
        <v>246</v>
      </c>
      <c r="F18" s="6" t="s">
        <v>247</v>
      </c>
      <c r="G18" s="6" t="s">
        <v>248</v>
      </c>
      <c r="H18" s="6" t="s">
        <v>249</v>
      </c>
      <c r="I18" s="6" t="s">
        <v>250</v>
      </c>
      <c r="J18" s="6" t="s">
        <v>251</v>
      </c>
      <c r="K18" s="6" t="s">
        <v>252</v>
      </c>
      <c r="L18" s="6" t="s">
        <v>253</v>
      </c>
      <c r="M18" s="6" t="s">
        <v>254</v>
      </c>
      <c r="N18" s="6" t="s">
        <v>255</v>
      </c>
      <c r="O18" s="6" t="s">
        <v>256</v>
      </c>
      <c r="P18" s="6" t="s">
        <v>257</v>
      </c>
      <c r="Q18" s="6" t="s">
        <v>43</v>
      </c>
      <c r="R18" s="6" t="s">
        <v>43</v>
      </c>
      <c r="S18" s="6" t="s">
        <v>43</v>
      </c>
      <c r="T18" s="6" t="s">
        <v>42</v>
      </c>
      <c r="U18" s="6" t="s">
        <v>42</v>
      </c>
      <c r="V18" s="6" t="s">
        <v>44</v>
      </c>
      <c r="W18" s="6" t="s">
        <v>43</v>
      </c>
      <c r="X18" s="6" t="s">
        <v>43</v>
      </c>
      <c r="Y18" s="6" t="s">
        <v>43</v>
      </c>
      <c r="Z18" s="6" t="s">
        <v>44</v>
      </c>
      <c r="AA18" s="6" t="s">
        <v>43</v>
      </c>
      <c r="AB18" s="6" t="s">
        <v>44</v>
      </c>
      <c r="AC18" s="5"/>
      <c r="AD18" s="5"/>
      <c r="AE18" s="5"/>
      <c r="AF18" s="5"/>
      <c r="AG18" s="5"/>
      <c r="AH18" s="5"/>
      <c r="AI18" s="5"/>
    </row>
    <row r="19">
      <c r="A19" s="4">
        <v>45419.75179805556</v>
      </c>
      <c r="B19" s="6" t="s">
        <v>45</v>
      </c>
      <c r="C19" s="6" t="s">
        <v>258</v>
      </c>
      <c r="D19" s="6" t="s">
        <v>259</v>
      </c>
      <c r="E19" s="6" t="s">
        <v>260</v>
      </c>
      <c r="F19" s="6" t="s">
        <v>261</v>
      </c>
      <c r="G19" s="6" t="s">
        <v>262</v>
      </c>
      <c r="H19" s="6" t="s">
        <v>263</v>
      </c>
      <c r="I19" s="6" t="s">
        <v>264</v>
      </c>
      <c r="J19" s="6" t="s">
        <v>265</v>
      </c>
      <c r="K19" s="6" t="s">
        <v>266</v>
      </c>
      <c r="L19" s="6" t="s">
        <v>267</v>
      </c>
      <c r="M19" s="6" t="s">
        <v>268</v>
      </c>
      <c r="N19" s="6" t="s">
        <v>269</v>
      </c>
      <c r="O19" s="6" t="s">
        <v>270</v>
      </c>
      <c r="P19" s="6" t="s">
        <v>271</v>
      </c>
      <c r="Q19" s="6" t="s">
        <v>43</v>
      </c>
      <c r="R19" s="6" t="s">
        <v>42</v>
      </c>
      <c r="S19" s="6" t="s">
        <v>58</v>
      </c>
      <c r="T19" s="6" t="s">
        <v>42</v>
      </c>
      <c r="U19" s="6" t="s">
        <v>42</v>
      </c>
      <c r="V19" s="6" t="s">
        <v>43</v>
      </c>
      <c r="W19" s="6" t="s">
        <v>44</v>
      </c>
      <c r="X19" s="6" t="s">
        <v>43</v>
      </c>
      <c r="Y19" s="6" t="s">
        <v>43</v>
      </c>
      <c r="Z19" s="6" t="s">
        <v>44</v>
      </c>
      <c r="AA19" s="6" t="s">
        <v>43</v>
      </c>
      <c r="AB19" s="6" t="s">
        <v>44</v>
      </c>
      <c r="AC19" s="5"/>
      <c r="AD19" s="5"/>
      <c r="AE19" s="5"/>
      <c r="AF19" s="5"/>
      <c r="AG19" s="5"/>
      <c r="AH19" s="5"/>
      <c r="AI19" s="5"/>
    </row>
    <row r="20">
      <c r="A20" s="4">
        <v>45420.70020961805</v>
      </c>
      <c r="B20" s="6" t="s">
        <v>45</v>
      </c>
      <c r="C20" s="6" t="s">
        <v>272</v>
      </c>
      <c r="D20" s="6" t="s">
        <v>273</v>
      </c>
      <c r="E20" s="6" t="s">
        <v>274</v>
      </c>
      <c r="F20" s="6" t="s">
        <v>275</v>
      </c>
      <c r="G20" s="6" t="s">
        <v>276</v>
      </c>
      <c r="H20" s="6" t="s">
        <v>277</v>
      </c>
      <c r="I20" s="6" t="s">
        <v>278</v>
      </c>
      <c r="J20" s="6" t="s">
        <v>39</v>
      </c>
      <c r="K20" s="6" t="s">
        <v>279</v>
      </c>
      <c r="L20" s="6" t="s">
        <v>280</v>
      </c>
      <c r="M20" s="6" t="s">
        <v>222</v>
      </c>
      <c r="N20" s="6" t="s">
        <v>281</v>
      </c>
      <c r="O20" s="6" t="s">
        <v>228</v>
      </c>
      <c r="P20" s="6" t="s">
        <v>282</v>
      </c>
      <c r="Q20" s="6" t="s">
        <v>44</v>
      </c>
      <c r="R20" s="6" t="s">
        <v>44</v>
      </c>
      <c r="S20" s="6" t="s">
        <v>44</v>
      </c>
      <c r="T20" s="6" t="s">
        <v>44</v>
      </c>
      <c r="U20" s="6" t="s">
        <v>44</v>
      </c>
      <c r="V20" s="6" t="s">
        <v>44</v>
      </c>
      <c r="W20" s="6" t="s">
        <v>44</v>
      </c>
      <c r="X20" s="6" t="s">
        <v>44</v>
      </c>
      <c r="Y20" s="6" t="s">
        <v>44</v>
      </c>
      <c r="Z20" s="6" t="s">
        <v>58</v>
      </c>
      <c r="AA20" s="6" t="s">
        <v>44</v>
      </c>
      <c r="AB20" s="6" t="s">
        <v>44</v>
      </c>
      <c r="AC20" s="5"/>
      <c r="AD20" s="5"/>
      <c r="AE20" s="5"/>
      <c r="AF20" s="5"/>
      <c r="AG20" s="5"/>
      <c r="AH20" s="5"/>
      <c r="AI20" s="5"/>
    </row>
    <row r="21">
      <c r="A21" s="4">
        <v>45420.701743935184</v>
      </c>
      <c r="B21" s="6" t="s">
        <v>283</v>
      </c>
      <c r="C21" s="6" t="s">
        <v>284</v>
      </c>
      <c r="D21" s="6" t="s">
        <v>285</v>
      </c>
      <c r="E21" s="6" t="s">
        <v>286</v>
      </c>
      <c r="F21" s="6" t="s">
        <v>287</v>
      </c>
      <c r="G21" s="6" t="s">
        <v>288</v>
      </c>
      <c r="H21" s="6" t="s">
        <v>289</v>
      </c>
      <c r="I21" s="6" t="s">
        <v>290</v>
      </c>
      <c r="J21" s="6" t="s">
        <v>291</v>
      </c>
      <c r="K21" s="6" t="s">
        <v>292</v>
      </c>
      <c r="L21" s="6" t="s">
        <v>293</v>
      </c>
      <c r="M21" s="6" t="s">
        <v>294</v>
      </c>
      <c r="N21" s="6" t="s">
        <v>295</v>
      </c>
      <c r="O21" s="6" t="s">
        <v>296</v>
      </c>
      <c r="P21" s="6" t="s">
        <v>297</v>
      </c>
      <c r="Q21" s="6" t="s">
        <v>44</v>
      </c>
      <c r="R21" s="6" t="s">
        <v>44</v>
      </c>
      <c r="S21" s="6" t="s">
        <v>43</v>
      </c>
      <c r="T21" s="6" t="s">
        <v>43</v>
      </c>
      <c r="U21" s="6" t="s">
        <v>44</v>
      </c>
      <c r="V21" s="6" t="s">
        <v>44</v>
      </c>
      <c r="W21" s="6" t="s">
        <v>43</v>
      </c>
      <c r="X21" s="6" t="s">
        <v>42</v>
      </c>
      <c r="Y21" s="6" t="s">
        <v>44</v>
      </c>
      <c r="Z21" s="6" t="s">
        <v>44</v>
      </c>
      <c r="AA21" s="6" t="s">
        <v>43</v>
      </c>
      <c r="AB21" s="6" t="s">
        <v>44</v>
      </c>
      <c r="AC21" s="5"/>
      <c r="AD21" s="5"/>
      <c r="AE21" s="5"/>
      <c r="AF21" s="5"/>
      <c r="AG21" s="5"/>
      <c r="AH21" s="5"/>
      <c r="AI21" s="5"/>
    </row>
    <row r="22">
      <c r="A22" s="4">
        <v>45420.7044833449</v>
      </c>
      <c r="B22" s="6" t="s">
        <v>45</v>
      </c>
      <c r="C22" s="6" t="s">
        <v>298</v>
      </c>
      <c r="D22" s="6" t="s">
        <v>299</v>
      </c>
      <c r="E22" s="6" t="s">
        <v>300</v>
      </c>
      <c r="F22" s="6" t="s">
        <v>301</v>
      </c>
      <c r="G22" s="6" t="s">
        <v>302</v>
      </c>
      <c r="H22" s="6" t="s">
        <v>303</v>
      </c>
      <c r="I22" s="6" t="s">
        <v>304</v>
      </c>
      <c r="J22" s="6" t="s">
        <v>305</v>
      </c>
      <c r="K22" s="6" t="s">
        <v>306</v>
      </c>
      <c r="L22" s="6" t="s">
        <v>307</v>
      </c>
      <c r="M22" s="6" t="s">
        <v>307</v>
      </c>
      <c r="N22" s="6" t="s">
        <v>308</v>
      </c>
      <c r="O22" s="6" t="s">
        <v>307</v>
      </c>
      <c r="P22" s="6" t="s">
        <v>309</v>
      </c>
      <c r="Q22" s="6" t="s">
        <v>43</v>
      </c>
      <c r="R22" s="6" t="s">
        <v>43</v>
      </c>
      <c r="S22" s="6" t="s">
        <v>43</v>
      </c>
      <c r="T22" s="6" t="s">
        <v>43</v>
      </c>
      <c r="U22" s="6" t="s">
        <v>43</v>
      </c>
      <c r="V22" s="6" t="s">
        <v>44</v>
      </c>
      <c r="W22" s="6" t="s">
        <v>44</v>
      </c>
      <c r="X22" s="6" t="s">
        <v>44</v>
      </c>
      <c r="Y22" s="6" t="s">
        <v>44</v>
      </c>
      <c r="Z22" s="6" t="s">
        <v>44</v>
      </c>
      <c r="AA22" s="6" t="s">
        <v>43</v>
      </c>
      <c r="AB22" s="6" t="s">
        <v>44</v>
      </c>
      <c r="AC22" s="6" t="s">
        <v>307</v>
      </c>
      <c r="AD22" s="5"/>
      <c r="AE22" s="5"/>
      <c r="AF22" s="5"/>
      <c r="AG22" s="5"/>
      <c r="AH22" s="5"/>
      <c r="AI22" s="5"/>
    </row>
    <row r="23">
      <c r="A23" s="4">
        <v>45420.707031990736</v>
      </c>
      <c r="B23" s="6" t="s">
        <v>45</v>
      </c>
      <c r="C23" s="6" t="s">
        <v>310</v>
      </c>
      <c r="D23" s="6" t="s">
        <v>311</v>
      </c>
      <c r="E23" s="6" t="s">
        <v>312</v>
      </c>
      <c r="F23" s="6" t="s">
        <v>313</v>
      </c>
      <c r="G23" s="6" t="s">
        <v>314</v>
      </c>
      <c r="H23" s="6" t="s">
        <v>315</v>
      </c>
      <c r="I23" s="6" t="s">
        <v>316</v>
      </c>
      <c r="J23" s="6" t="s">
        <v>317</v>
      </c>
      <c r="K23" s="6" t="s">
        <v>318</v>
      </c>
      <c r="L23" s="6" t="s">
        <v>319</v>
      </c>
      <c r="M23" s="6" t="s">
        <v>320</v>
      </c>
      <c r="N23" s="6" t="s">
        <v>308</v>
      </c>
      <c r="O23" s="6" t="s">
        <v>321</v>
      </c>
      <c r="P23" s="6" t="s">
        <v>322</v>
      </c>
      <c r="Q23" s="6" t="s">
        <v>44</v>
      </c>
      <c r="R23" s="6" t="s">
        <v>44</v>
      </c>
      <c r="S23" s="6" t="s">
        <v>44</v>
      </c>
      <c r="T23" s="6" t="s">
        <v>42</v>
      </c>
      <c r="U23" s="6" t="s">
        <v>44</v>
      </c>
      <c r="V23" s="6" t="s">
        <v>44</v>
      </c>
      <c r="W23" s="6" t="s">
        <v>44</v>
      </c>
      <c r="X23" s="6" t="s">
        <v>43</v>
      </c>
      <c r="Y23" s="6" t="s">
        <v>43</v>
      </c>
      <c r="Z23" s="6" t="s">
        <v>44</v>
      </c>
      <c r="AA23" s="6" t="s">
        <v>44</v>
      </c>
      <c r="AB23" s="6" t="s">
        <v>43</v>
      </c>
      <c r="AC23" s="5"/>
      <c r="AD23" s="5"/>
      <c r="AE23" s="5"/>
      <c r="AF23" s="5"/>
      <c r="AG23" s="5"/>
      <c r="AH23" s="5"/>
      <c r="AI23" s="5"/>
    </row>
    <row r="24">
      <c r="A24" s="4">
        <v>45420.70749631945</v>
      </c>
      <c r="B24" s="6" t="s">
        <v>45</v>
      </c>
      <c r="C24" s="6" t="s">
        <v>323</v>
      </c>
      <c r="D24" s="6" t="s">
        <v>324</v>
      </c>
      <c r="E24" s="6" t="s">
        <v>325</v>
      </c>
      <c r="F24" s="6" t="s">
        <v>326</v>
      </c>
      <c r="G24" s="6" t="s">
        <v>327</v>
      </c>
      <c r="H24" s="6" t="s">
        <v>328</v>
      </c>
      <c r="I24" s="6" t="s">
        <v>329</v>
      </c>
      <c r="J24" s="6" t="s">
        <v>311</v>
      </c>
      <c r="K24" s="6" t="s">
        <v>110</v>
      </c>
      <c r="L24" s="6" t="s">
        <v>330</v>
      </c>
      <c r="M24" s="6" t="s">
        <v>331</v>
      </c>
      <c r="N24" s="6" t="s">
        <v>332</v>
      </c>
      <c r="O24" s="6" t="s">
        <v>234</v>
      </c>
      <c r="P24" s="6" t="s">
        <v>333</v>
      </c>
      <c r="Q24" s="6" t="s">
        <v>42</v>
      </c>
      <c r="R24" s="6" t="s">
        <v>44</v>
      </c>
      <c r="S24" s="6" t="s">
        <v>44</v>
      </c>
      <c r="T24" s="6" t="s">
        <v>42</v>
      </c>
      <c r="U24" s="6" t="s">
        <v>44</v>
      </c>
      <c r="V24" s="6" t="s">
        <v>43</v>
      </c>
      <c r="W24" s="6" t="s">
        <v>44</v>
      </c>
      <c r="X24" s="6" t="s">
        <v>42</v>
      </c>
      <c r="Y24" s="6" t="s">
        <v>44</v>
      </c>
      <c r="Z24" s="6" t="s">
        <v>44</v>
      </c>
      <c r="AA24" s="6" t="s">
        <v>44</v>
      </c>
      <c r="AB24" s="6" t="s">
        <v>44</v>
      </c>
      <c r="AC24" s="6" t="s">
        <v>234</v>
      </c>
      <c r="AD24" s="5"/>
      <c r="AE24" s="5"/>
      <c r="AF24" s="5"/>
      <c r="AG24" s="5"/>
      <c r="AH24" s="5"/>
      <c r="AI24" s="5"/>
    </row>
    <row r="25">
      <c r="A25" s="4">
        <v>45420.71491953704</v>
      </c>
      <c r="B25" s="5"/>
      <c r="C25" s="5"/>
      <c r="D25" s="6" t="s">
        <v>334</v>
      </c>
      <c r="E25" s="6" t="s">
        <v>335</v>
      </c>
      <c r="F25" s="6" t="s">
        <v>336</v>
      </c>
      <c r="G25" s="6" t="s">
        <v>337</v>
      </c>
      <c r="H25" s="6" t="s">
        <v>338</v>
      </c>
      <c r="I25" s="6" t="s">
        <v>339</v>
      </c>
      <c r="J25" s="6" t="s">
        <v>340</v>
      </c>
      <c r="K25" s="6" t="s">
        <v>341</v>
      </c>
      <c r="L25" s="6" t="s">
        <v>342</v>
      </c>
      <c r="M25" s="6" t="s">
        <v>343</v>
      </c>
      <c r="N25" s="6" t="s">
        <v>344</v>
      </c>
      <c r="O25" s="6" t="s">
        <v>345</v>
      </c>
      <c r="P25" s="6" t="s">
        <v>346</v>
      </c>
      <c r="Q25" s="6" t="s">
        <v>58</v>
      </c>
      <c r="R25" s="6" t="s">
        <v>43</v>
      </c>
      <c r="S25" s="6" t="s">
        <v>43</v>
      </c>
      <c r="T25" s="6" t="s">
        <v>43</v>
      </c>
      <c r="U25" s="6" t="s">
        <v>43</v>
      </c>
      <c r="V25" s="6" t="s">
        <v>58</v>
      </c>
      <c r="W25" s="6" t="s">
        <v>43</v>
      </c>
      <c r="X25" s="6" t="s">
        <v>58</v>
      </c>
      <c r="Y25" s="6" t="s">
        <v>43</v>
      </c>
      <c r="Z25" s="6" t="s">
        <v>43</v>
      </c>
      <c r="AA25" s="6" t="s">
        <v>43</v>
      </c>
      <c r="AB25" s="6" t="s">
        <v>43</v>
      </c>
      <c r="AC25" s="5"/>
      <c r="AD25" s="5"/>
      <c r="AE25" s="5"/>
      <c r="AF25" s="5"/>
      <c r="AG25" s="5"/>
      <c r="AH25" s="5"/>
      <c r="AI25" s="5"/>
    </row>
    <row r="26">
      <c r="A26" s="4">
        <v>45420.7173637963</v>
      </c>
      <c r="B26" s="6" t="s">
        <v>283</v>
      </c>
      <c r="C26" s="6" t="s">
        <v>347</v>
      </c>
      <c r="D26" s="6" t="s">
        <v>348</v>
      </c>
      <c r="E26" s="6" t="s">
        <v>349</v>
      </c>
      <c r="F26" s="6" t="s">
        <v>350</v>
      </c>
      <c r="G26" s="6" t="s">
        <v>351</v>
      </c>
      <c r="H26" s="6" t="s">
        <v>352</v>
      </c>
      <c r="I26" s="6" t="s">
        <v>353</v>
      </c>
      <c r="J26" s="6" t="s">
        <v>354</v>
      </c>
      <c r="K26" s="6" t="s">
        <v>355</v>
      </c>
      <c r="L26" s="6" t="s">
        <v>216</v>
      </c>
      <c r="M26" s="6" t="s">
        <v>356</v>
      </c>
      <c r="N26" s="6" t="s">
        <v>357</v>
      </c>
      <c r="O26" s="6" t="s">
        <v>356</v>
      </c>
      <c r="P26" s="6" t="s">
        <v>358</v>
      </c>
      <c r="Q26" s="6" t="s">
        <v>44</v>
      </c>
      <c r="R26" s="6" t="s">
        <v>44</v>
      </c>
      <c r="S26" s="6" t="s">
        <v>44</v>
      </c>
      <c r="T26" s="6" t="s">
        <v>44</v>
      </c>
      <c r="U26" s="6" t="s">
        <v>44</v>
      </c>
      <c r="V26" s="6" t="s">
        <v>44</v>
      </c>
      <c r="W26" s="6" t="s">
        <v>44</v>
      </c>
      <c r="X26" s="6" t="s">
        <v>44</v>
      </c>
      <c r="Y26" s="6" t="s">
        <v>44</v>
      </c>
      <c r="Z26" s="6" t="s">
        <v>44</v>
      </c>
      <c r="AA26" s="6" t="s">
        <v>44</v>
      </c>
      <c r="AB26" s="6" t="s">
        <v>44</v>
      </c>
      <c r="AC26" s="5"/>
      <c r="AD26" s="5"/>
      <c r="AE26" s="5"/>
      <c r="AF26" s="5"/>
      <c r="AG26" s="5"/>
      <c r="AH26" s="5"/>
      <c r="AI26" s="5"/>
    </row>
    <row r="27">
      <c r="A27" s="4">
        <v>45420.736109143516</v>
      </c>
      <c r="B27" s="6" t="s">
        <v>118</v>
      </c>
      <c r="C27" s="6" t="s">
        <v>359</v>
      </c>
      <c r="D27" s="6" t="s">
        <v>311</v>
      </c>
      <c r="E27" s="6" t="s">
        <v>360</v>
      </c>
      <c r="F27" s="6" t="s">
        <v>361</v>
      </c>
      <c r="G27" s="6" t="s">
        <v>311</v>
      </c>
      <c r="H27" s="6" t="s">
        <v>362</v>
      </c>
      <c r="I27" s="6" t="s">
        <v>363</v>
      </c>
      <c r="J27" s="6" t="s">
        <v>364</v>
      </c>
      <c r="K27" s="6" t="s">
        <v>365</v>
      </c>
      <c r="L27" s="6" t="s">
        <v>366</v>
      </c>
      <c r="M27" s="6" t="s">
        <v>367</v>
      </c>
      <c r="N27" s="6" t="s">
        <v>368</v>
      </c>
      <c r="O27" s="6" t="s">
        <v>369</v>
      </c>
      <c r="P27" s="6" t="s">
        <v>370</v>
      </c>
      <c r="Q27" s="6" t="s">
        <v>44</v>
      </c>
      <c r="R27" s="6" t="s">
        <v>44</v>
      </c>
      <c r="S27" s="6" t="s">
        <v>44</v>
      </c>
      <c r="T27" s="6" t="s">
        <v>44</v>
      </c>
      <c r="U27" s="6" t="s">
        <v>44</v>
      </c>
      <c r="V27" s="6" t="s">
        <v>44</v>
      </c>
      <c r="W27" s="6" t="s">
        <v>44</v>
      </c>
      <c r="X27" s="6" t="s">
        <v>44</v>
      </c>
      <c r="Y27" s="6" t="s">
        <v>44</v>
      </c>
      <c r="Z27" s="6" t="s">
        <v>44</v>
      </c>
      <c r="AA27" s="6" t="s">
        <v>44</v>
      </c>
      <c r="AB27" s="6" t="s">
        <v>44</v>
      </c>
      <c r="AC27" s="6" t="s">
        <v>371</v>
      </c>
      <c r="AD27" s="5"/>
      <c r="AE27" s="5"/>
      <c r="AF27" s="5"/>
      <c r="AG27" s="5"/>
      <c r="AH27" s="5"/>
      <c r="AI27" s="5"/>
    </row>
    <row r="28">
      <c r="A28" s="4">
        <v>45420.73638265046</v>
      </c>
      <c r="B28" s="6" t="s">
        <v>283</v>
      </c>
      <c r="C28" s="6" t="s">
        <v>372</v>
      </c>
      <c r="D28" s="6" t="s">
        <v>373</v>
      </c>
      <c r="E28" s="6" t="s">
        <v>374</v>
      </c>
      <c r="F28" s="6" t="s">
        <v>375</v>
      </c>
      <c r="G28" s="6" t="s">
        <v>376</v>
      </c>
      <c r="H28" s="6" t="s">
        <v>377</v>
      </c>
      <c r="I28" s="6" t="s">
        <v>378</v>
      </c>
      <c r="J28" s="6" t="s">
        <v>379</v>
      </c>
      <c r="K28" s="6" t="s">
        <v>380</v>
      </c>
      <c r="L28" s="6" t="s">
        <v>381</v>
      </c>
      <c r="M28" s="6" t="s">
        <v>382</v>
      </c>
      <c r="N28" s="6" t="s">
        <v>383</v>
      </c>
      <c r="O28" s="6" t="s">
        <v>234</v>
      </c>
      <c r="P28" s="6" t="s">
        <v>384</v>
      </c>
      <c r="Q28" s="6" t="s">
        <v>43</v>
      </c>
      <c r="R28" s="6" t="s">
        <v>44</v>
      </c>
      <c r="S28" s="6" t="s">
        <v>44</v>
      </c>
      <c r="T28" s="6" t="s">
        <v>44</v>
      </c>
      <c r="U28" s="6" t="s">
        <v>44</v>
      </c>
      <c r="V28" s="6" t="s">
        <v>44</v>
      </c>
      <c r="W28" s="6" t="s">
        <v>44</v>
      </c>
      <c r="X28" s="6" t="s">
        <v>44</v>
      </c>
      <c r="Y28" s="6" t="s">
        <v>44</v>
      </c>
      <c r="Z28" s="6" t="s">
        <v>43</v>
      </c>
      <c r="AA28" s="6" t="s">
        <v>42</v>
      </c>
      <c r="AB28" s="6" t="s">
        <v>44</v>
      </c>
      <c r="AC28" s="5"/>
      <c r="AD28" s="5"/>
      <c r="AE28" s="5"/>
      <c r="AF28" s="5"/>
      <c r="AG28" s="5"/>
      <c r="AH28" s="5"/>
      <c r="AI28" s="5"/>
    </row>
    <row r="29">
      <c r="A29" s="4">
        <v>45420.74121608796</v>
      </c>
      <c r="B29" s="6" t="s">
        <v>118</v>
      </c>
      <c r="C29" s="6" t="s">
        <v>385</v>
      </c>
      <c r="D29" s="6" t="s">
        <v>386</v>
      </c>
      <c r="E29" s="6" t="s">
        <v>311</v>
      </c>
      <c r="F29" s="6" t="s">
        <v>387</v>
      </c>
      <c r="G29" s="6" t="s">
        <v>123</v>
      </c>
      <c r="H29" s="6" t="s">
        <v>388</v>
      </c>
      <c r="I29" s="6" t="s">
        <v>389</v>
      </c>
      <c r="J29" s="6" t="s">
        <v>390</v>
      </c>
      <c r="K29" s="6" t="s">
        <v>391</v>
      </c>
      <c r="L29" s="6" t="s">
        <v>194</v>
      </c>
      <c r="M29" s="6" t="s">
        <v>392</v>
      </c>
      <c r="N29" s="6" t="s">
        <v>393</v>
      </c>
      <c r="O29" s="6" t="s">
        <v>394</v>
      </c>
      <c r="P29" s="6" t="s">
        <v>395</v>
      </c>
      <c r="Q29" s="6" t="s">
        <v>44</v>
      </c>
      <c r="R29" s="6" t="s">
        <v>44</v>
      </c>
      <c r="S29" s="6" t="s">
        <v>44</v>
      </c>
      <c r="T29" s="6" t="s">
        <v>44</v>
      </c>
      <c r="U29" s="6" t="s">
        <v>44</v>
      </c>
      <c r="V29" s="6" t="s">
        <v>44</v>
      </c>
      <c r="W29" s="6" t="s">
        <v>44</v>
      </c>
      <c r="X29" s="6" t="s">
        <v>44</v>
      </c>
      <c r="Y29" s="6" t="s">
        <v>44</v>
      </c>
      <c r="Z29" s="6" t="s">
        <v>44</v>
      </c>
      <c r="AA29" s="6" t="s">
        <v>44</v>
      </c>
      <c r="AB29" s="6" t="s">
        <v>44</v>
      </c>
      <c r="AC29" s="6" t="s">
        <v>396</v>
      </c>
      <c r="AD29" s="5"/>
      <c r="AE29" s="5"/>
      <c r="AF29" s="5"/>
      <c r="AG29" s="5"/>
      <c r="AH29" s="5"/>
      <c r="AI29" s="5"/>
    </row>
    <row r="30">
      <c r="A30" s="4">
        <v>45420.74539119213</v>
      </c>
      <c r="B30" s="6" t="s">
        <v>118</v>
      </c>
      <c r="C30" s="6" t="s">
        <v>397</v>
      </c>
      <c r="D30" s="6" t="s">
        <v>398</v>
      </c>
      <c r="E30" s="6" t="s">
        <v>399</v>
      </c>
      <c r="F30" s="6" t="s">
        <v>400</v>
      </c>
      <c r="G30" s="6" t="s">
        <v>401</v>
      </c>
      <c r="H30" s="6" t="s">
        <v>402</v>
      </c>
      <c r="I30" s="6" t="s">
        <v>403</v>
      </c>
      <c r="J30" s="6" t="s">
        <v>404</v>
      </c>
      <c r="K30" s="6" t="s">
        <v>203</v>
      </c>
      <c r="L30" s="6" t="s">
        <v>194</v>
      </c>
      <c r="M30" s="6" t="s">
        <v>405</v>
      </c>
      <c r="N30" s="6" t="s">
        <v>406</v>
      </c>
      <c r="O30" s="6" t="s">
        <v>407</v>
      </c>
      <c r="P30" s="6" t="s">
        <v>401</v>
      </c>
      <c r="Q30" s="6" t="s">
        <v>44</v>
      </c>
      <c r="R30" s="6" t="s">
        <v>44</v>
      </c>
      <c r="S30" s="6" t="s">
        <v>44</v>
      </c>
      <c r="T30" s="6" t="s">
        <v>44</v>
      </c>
      <c r="U30" s="6" t="s">
        <v>44</v>
      </c>
      <c r="V30" s="6" t="s">
        <v>44</v>
      </c>
      <c r="W30" s="6" t="s">
        <v>44</v>
      </c>
      <c r="X30" s="6" t="s">
        <v>44</v>
      </c>
      <c r="Y30" s="6" t="s">
        <v>44</v>
      </c>
      <c r="Z30" s="6" t="s">
        <v>44</v>
      </c>
      <c r="AA30" s="6" t="s">
        <v>44</v>
      </c>
      <c r="AB30" s="6" t="s">
        <v>44</v>
      </c>
      <c r="AC30" s="5"/>
      <c r="AD30" s="5"/>
      <c r="AE30" s="5"/>
      <c r="AF30" s="5"/>
      <c r="AG30" s="5"/>
      <c r="AH30" s="5"/>
      <c r="AI30" s="5"/>
    </row>
    <row r="31">
      <c r="A31" s="4">
        <v>45420.74916365741</v>
      </c>
      <c r="B31" s="6" t="s">
        <v>118</v>
      </c>
      <c r="C31" s="6" t="s">
        <v>403</v>
      </c>
      <c r="D31" s="6" t="s">
        <v>408</v>
      </c>
      <c r="E31" s="6" t="s">
        <v>399</v>
      </c>
      <c r="F31" s="6" t="s">
        <v>400</v>
      </c>
      <c r="G31" s="6" t="s">
        <v>401</v>
      </c>
      <c r="H31" s="6" t="s">
        <v>409</v>
      </c>
      <c r="I31" s="6" t="s">
        <v>410</v>
      </c>
      <c r="J31" s="6" t="s">
        <v>411</v>
      </c>
      <c r="K31" s="6" t="s">
        <v>165</v>
      </c>
      <c r="L31" s="6" t="s">
        <v>412</v>
      </c>
      <c r="M31" s="6" t="s">
        <v>413</v>
      </c>
      <c r="N31" s="6" t="s">
        <v>414</v>
      </c>
      <c r="O31" s="6" t="s">
        <v>412</v>
      </c>
      <c r="P31" s="6" t="s">
        <v>415</v>
      </c>
      <c r="Q31" s="6" t="s">
        <v>44</v>
      </c>
      <c r="R31" s="6" t="s">
        <v>44</v>
      </c>
      <c r="S31" s="6" t="s">
        <v>44</v>
      </c>
      <c r="T31" s="6" t="s">
        <v>44</v>
      </c>
      <c r="U31" s="6" t="s">
        <v>44</v>
      </c>
      <c r="V31" s="6" t="s">
        <v>44</v>
      </c>
      <c r="W31" s="6" t="s">
        <v>44</v>
      </c>
      <c r="X31" s="6" t="s">
        <v>44</v>
      </c>
      <c r="Y31" s="6" t="s">
        <v>44</v>
      </c>
      <c r="Z31" s="6" t="s">
        <v>44</v>
      </c>
      <c r="AA31" s="6" t="s">
        <v>44</v>
      </c>
      <c r="AB31" s="6" t="s">
        <v>44</v>
      </c>
      <c r="AC31" s="5"/>
      <c r="AD31" s="5"/>
      <c r="AE31" s="5"/>
      <c r="AF31" s="5"/>
      <c r="AG31" s="5"/>
      <c r="AH31" s="5"/>
      <c r="AI31" s="5"/>
    </row>
    <row r="32">
      <c r="A32" s="4">
        <v>45420.749688807875</v>
      </c>
      <c r="B32" s="6" t="s">
        <v>45</v>
      </c>
      <c r="C32" s="6" t="s">
        <v>416</v>
      </c>
      <c r="D32" s="6" t="s">
        <v>417</v>
      </c>
      <c r="E32" s="6" t="s">
        <v>418</v>
      </c>
      <c r="F32" s="6" t="s">
        <v>419</v>
      </c>
      <c r="G32" s="6" t="s">
        <v>420</v>
      </c>
      <c r="H32" s="6" t="s">
        <v>421</v>
      </c>
      <c r="I32" s="6" t="s">
        <v>422</v>
      </c>
      <c r="J32" s="6" t="s">
        <v>423</v>
      </c>
      <c r="K32" s="6" t="s">
        <v>424</v>
      </c>
      <c r="L32" s="6" t="s">
        <v>88</v>
      </c>
      <c r="M32" s="6" t="s">
        <v>88</v>
      </c>
      <c r="N32" s="6" t="s">
        <v>425</v>
      </c>
      <c r="O32" s="6" t="s">
        <v>88</v>
      </c>
      <c r="P32" s="6" t="s">
        <v>426</v>
      </c>
      <c r="Q32" s="6" t="s">
        <v>43</v>
      </c>
      <c r="R32" s="6" t="s">
        <v>43</v>
      </c>
      <c r="S32" s="6" t="s">
        <v>42</v>
      </c>
      <c r="T32" s="6" t="s">
        <v>42</v>
      </c>
      <c r="U32" s="6" t="s">
        <v>43</v>
      </c>
      <c r="V32" s="6" t="s">
        <v>44</v>
      </c>
      <c r="W32" s="6" t="s">
        <v>44</v>
      </c>
      <c r="X32" s="6" t="s">
        <v>44</v>
      </c>
      <c r="Y32" s="6" t="s">
        <v>43</v>
      </c>
      <c r="Z32" s="6" t="s">
        <v>44</v>
      </c>
      <c r="AA32" s="6" t="s">
        <v>43</v>
      </c>
      <c r="AB32" s="6" t="s">
        <v>44</v>
      </c>
      <c r="AC32" s="6" t="s">
        <v>427</v>
      </c>
      <c r="AD32" s="5"/>
      <c r="AE32" s="5"/>
      <c r="AF32" s="5"/>
      <c r="AG32" s="5"/>
      <c r="AH32" s="5"/>
      <c r="AI32" s="5"/>
    </row>
    <row r="33" hidden="1">
      <c r="A33" s="4">
        <v>45420.75090185185</v>
      </c>
      <c r="B33" s="6" t="s">
        <v>45</v>
      </c>
      <c r="C33" s="6" t="s">
        <v>428</v>
      </c>
      <c r="D33" s="6" t="s">
        <v>429</v>
      </c>
      <c r="E33" s="6" t="s">
        <v>430</v>
      </c>
      <c r="F33" s="6" t="s">
        <v>300</v>
      </c>
      <c r="G33" s="6" t="s">
        <v>431</v>
      </c>
      <c r="H33" s="6" t="s">
        <v>432</v>
      </c>
      <c r="I33" s="6" t="s">
        <v>300</v>
      </c>
      <c r="J33" s="6" t="s">
        <v>433</v>
      </c>
      <c r="K33" s="6" t="s">
        <v>434</v>
      </c>
      <c r="L33" s="6" t="s">
        <v>435</v>
      </c>
      <c r="M33" s="6" t="s">
        <v>436</v>
      </c>
      <c r="N33" s="6" t="s">
        <v>433</v>
      </c>
      <c r="O33" s="6" t="s">
        <v>437</v>
      </c>
      <c r="P33" s="6" t="s">
        <v>438</v>
      </c>
      <c r="Q33" s="6" t="s">
        <v>42</v>
      </c>
      <c r="R33" s="6" t="s">
        <v>42</v>
      </c>
      <c r="S33" s="6" t="s">
        <v>43</v>
      </c>
      <c r="T33" s="6" t="s">
        <v>42</v>
      </c>
      <c r="U33" s="6" t="s">
        <v>42</v>
      </c>
      <c r="V33" s="6" t="s">
        <v>43</v>
      </c>
      <c r="W33" s="6" t="s">
        <v>43</v>
      </c>
      <c r="X33" s="6" t="s">
        <v>42</v>
      </c>
      <c r="Y33" s="6" t="s">
        <v>42</v>
      </c>
      <c r="Z33" s="6" t="s">
        <v>42</v>
      </c>
      <c r="AA33" s="6" t="s">
        <v>42</v>
      </c>
      <c r="AB33" s="6" t="s">
        <v>42</v>
      </c>
      <c r="AC33" s="6" t="s">
        <v>439</v>
      </c>
      <c r="AD33" s="5"/>
      <c r="AE33" s="5"/>
      <c r="AF33" s="5"/>
      <c r="AG33" s="5"/>
      <c r="AH33" s="5"/>
      <c r="AI33" s="5"/>
    </row>
    <row r="34">
      <c r="A34" s="4">
        <v>45420.751390289355</v>
      </c>
      <c r="B34" s="6" t="s">
        <v>45</v>
      </c>
      <c r="C34" s="6" t="s">
        <v>440</v>
      </c>
      <c r="D34" s="6" t="s">
        <v>441</v>
      </c>
      <c r="E34" s="6" t="s">
        <v>442</v>
      </c>
      <c r="F34" s="6" t="s">
        <v>443</v>
      </c>
      <c r="G34" s="6" t="s">
        <v>444</v>
      </c>
      <c r="H34" s="6" t="s">
        <v>445</v>
      </c>
      <c r="I34" s="6" t="s">
        <v>445</v>
      </c>
      <c r="J34" s="6" t="s">
        <v>445</v>
      </c>
      <c r="K34" s="6" t="s">
        <v>446</v>
      </c>
      <c r="L34" s="6" t="s">
        <v>447</v>
      </c>
      <c r="M34" s="6" t="s">
        <v>448</v>
      </c>
      <c r="N34" s="6" t="s">
        <v>449</v>
      </c>
      <c r="O34" s="6" t="s">
        <v>450</v>
      </c>
      <c r="P34" s="6" t="s">
        <v>451</v>
      </c>
      <c r="Q34" s="6" t="s">
        <v>44</v>
      </c>
      <c r="R34" s="6" t="s">
        <v>44</v>
      </c>
      <c r="S34" s="6" t="s">
        <v>44</v>
      </c>
      <c r="T34" s="6" t="s">
        <v>43</v>
      </c>
      <c r="U34" s="6" t="s">
        <v>44</v>
      </c>
      <c r="V34" s="6" t="s">
        <v>44</v>
      </c>
      <c r="W34" s="6" t="s">
        <v>44</v>
      </c>
      <c r="X34" s="6" t="s">
        <v>44</v>
      </c>
      <c r="Y34" s="6" t="s">
        <v>44</v>
      </c>
      <c r="Z34" s="6" t="s">
        <v>44</v>
      </c>
      <c r="AA34" s="6" t="s">
        <v>44</v>
      </c>
      <c r="AB34" s="6" t="s">
        <v>44</v>
      </c>
      <c r="AC34" s="6" t="s">
        <v>452</v>
      </c>
      <c r="AD34" s="5"/>
      <c r="AE34" s="5"/>
      <c r="AF34" s="5"/>
      <c r="AG34" s="5"/>
      <c r="AH34" s="5"/>
      <c r="AI34" s="5"/>
    </row>
    <row r="35">
      <c r="A35" s="4">
        <v>45420.752728287036</v>
      </c>
      <c r="B35" s="6" t="s">
        <v>118</v>
      </c>
      <c r="C35" s="6" t="s">
        <v>453</v>
      </c>
      <c r="D35" s="6" t="s">
        <v>454</v>
      </c>
      <c r="E35" s="6" t="s">
        <v>123</v>
      </c>
      <c r="F35" s="6" t="s">
        <v>411</v>
      </c>
      <c r="G35" s="6" t="s">
        <v>455</v>
      </c>
      <c r="H35" s="6" t="s">
        <v>456</v>
      </c>
      <c r="I35" s="6" t="s">
        <v>457</v>
      </c>
      <c r="J35" s="6" t="s">
        <v>458</v>
      </c>
      <c r="K35" s="6" t="s">
        <v>455</v>
      </c>
      <c r="L35" s="6" t="s">
        <v>459</v>
      </c>
      <c r="M35" s="6" t="s">
        <v>460</v>
      </c>
      <c r="N35" s="6" t="s">
        <v>461</v>
      </c>
      <c r="O35" s="6" t="s">
        <v>462</v>
      </c>
      <c r="P35" s="6" t="s">
        <v>463</v>
      </c>
      <c r="Q35" s="6" t="s">
        <v>44</v>
      </c>
      <c r="R35" s="6" t="s">
        <v>44</v>
      </c>
      <c r="S35" s="6" t="s">
        <v>44</v>
      </c>
      <c r="T35" s="6" t="s">
        <v>44</v>
      </c>
      <c r="U35" s="6" t="s">
        <v>44</v>
      </c>
      <c r="V35" s="6" t="s">
        <v>44</v>
      </c>
      <c r="W35" s="6" t="s">
        <v>44</v>
      </c>
      <c r="X35" s="6" t="s">
        <v>44</v>
      </c>
      <c r="Y35" s="6" t="s">
        <v>44</v>
      </c>
      <c r="Z35" s="6" t="s">
        <v>44</v>
      </c>
      <c r="AA35" s="6" t="s">
        <v>44</v>
      </c>
      <c r="AB35" s="6" t="s">
        <v>44</v>
      </c>
      <c r="AC35" s="6" t="s">
        <v>464</v>
      </c>
      <c r="AD35" s="5"/>
      <c r="AE35" s="5"/>
      <c r="AF35" s="5"/>
      <c r="AG35" s="5"/>
      <c r="AH35" s="5"/>
      <c r="AI35" s="5"/>
    </row>
    <row r="36" hidden="1">
      <c r="A36" s="4">
        <v>45420.7582439699</v>
      </c>
      <c r="B36" s="5"/>
      <c r="C36" s="5"/>
      <c r="D36" s="6" t="s">
        <v>465</v>
      </c>
      <c r="E36" s="6" t="s">
        <v>311</v>
      </c>
      <c r="F36" s="6" t="s">
        <v>466</v>
      </c>
      <c r="G36" s="6" t="s">
        <v>467</v>
      </c>
      <c r="H36" s="6" t="s">
        <v>468</v>
      </c>
      <c r="I36" s="6" t="s">
        <v>469</v>
      </c>
      <c r="J36" s="6" t="s">
        <v>466</v>
      </c>
      <c r="K36" s="6" t="s">
        <v>465</v>
      </c>
      <c r="L36" s="6" t="s">
        <v>470</v>
      </c>
      <c r="M36" s="6" t="s">
        <v>471</v>
      </c>
      <c r="N36" s="6" t="s">
        <v>472</v>
      </c>
      <c r="O36" s="6" t="s">
        <v>473</v>
      </c>
      <c r="P36" s="6" t="s">
        <v>474</v>
      </c>
      <c r="Q36" s="6" t="s">
        <v>43</v>
      </c>
      <c r="R36" s="6" t="s">
        <v>43</v>
      </c>
      <c r="S36" s="6" t="s">
        <v>58</v>
      </c>
      <c r="T36" s="6" t="s">
        <v>43</v>
      </c>
      <c r="U36" s="6" t="s">
        <v>43</v>
      </c>
      <c r="V36" s="6" t="s">
        <v>42</v>
      </c>
      <c r="W36" s="6" t="s">
        <v>43</v>
      </c>
      <c r="X36" s="6" t="s">
        <v>58</v>
      </c>
      <c r="Y36" s="6" t="s">
        <v>58</v>
      </c>
      <c r="Z36" s="6" t="s">
        <v>58</v>
      </c>
      <c r="AA36" s="6" t="s">
        <v>58</v>
      </c>
      <c r="AB36" s="6" t="s">
        <v>58</v>
      </c>
      <c r="AC36" s="5"/>
      <c r="AD36" s="5"/>
      <c r="AE36" s="5"/>
      <c r="AF36" s="5"/>
      <c r="AG36" s="5"/>
      <c r="AH36" s="5"/>
      <c r="AI36" s="5"/>
    </row>
    <row r="37">
      <c r="A37" s="4">
        <v>45420.76169922454</v>
      </c>
      <c r="B37" s="6" t="s">
        <v>118</v>
      </c>
      <c r="C37" s="6" t="s">
        <v>475</v>
      </c>
      <c r="D37" s="6" t="s">
        <v>476</v>
      </c>
      <c r="E37" s="6" t="s">
        <v>477</v>
      </c>
      <c r="F37" s="6" t="s">
        <v>478</v>
      </c>
      <c r="G37" s="6" t="s">
        <v>479</v>
      </c>
      <c r="H37" s="6" t="s">
        <v>480</v>
      </c>
      <c r="I37" s="6" t="s">
        <v>481</v>
      </c>
      <c r="J37" s="6" t="s">
        <v>482</v>
      </c>
      <c r="K37" s="6" t="s">
        <v>455</v>
      </c>
      <c r="L37" s="6" t="s">
        <v>483</v>
      </c>
      <c r="M37" s="6" t="s">
        <v>484</v>
      </c>
      <c r="N37" s="6" t="s">
        <v>485</v>
      </c>
      <c r="O37" s="6" t="s">
        <v>486</v>
      </c>
      <c r="P37" s="6" t="s">
        <v>463</v>
      </c>
      <c r="Q37" s="6" t="s">
        <v>44</v>
      </c>
      <c r="R37" s="6" t="s">
        <v>43</v>
      </c>
      <c r="S37" s="6" t="s">
        <v>42</v>
      </c>
      <c r="T37" s="6" t="s">
        <v>43</v>
      </c>
      <c r="U37" s="6" t="s">
        <v>43</v>
      </c>
      <c r="V37" s="6" t="s">
        <v>42</v>
      </c>
      <c r="W37" s="6" t="s">
        <v>42</v>
      </c>
      <c r="X37" s="6" t="s">
        <v>44</v>
      </c>
      <c r="Y37" s="6" t="s">
        <v>43</v>
      </c>
      <c r="Z37" s="6" t="s">
        <v>43</v>
      </c>
      <c r="AA37" s="6" t="s">
        <v>43</v>
      </c>
      <c r="AB37" s="6" t="s">
        <v>44</v>
      </c>
      <c r="AC37" s="6" t="s">
        <v>487</v>
      </c>
      <c r="AD37" s="5"/>
      <c r="AE37" s="5"/>
      <c r="AF37" s="5"/>
      <c r="AG37" s="5"/>
      <c r="AH37" s="5"/>
      <c r="AI37" s="5"/>
    </row>
    <row r="38">
      <c r="A38" s="4">
        <v>45420.761870532406</v>
      </c>
      <c r="B38" s="6" t="s">
        <v>118</v>
      </c>
      <c r="C38" s="6" t="s">
        <v>488</v>
      </c>
      <c r="D38" s="6" t="s">
        <v>489</v>
      </c>
      <c r="E38" s="6" t="s">
        <v>490</v>
      </c>
      <c r="F38" s="6" t="s">
        <v>491</v>
      </c>
      <c r="G38" s="6" t="s">
        <v>492</v>
      </c>
      <c r="H38" s="6" t="s">
        <v>493</v>
      </c>
      <c r="I38" s="6" t="s">
        <v>494</v>
      </c>
      <c r="J38" s="6" t="s">
        <v>495</v>
      </c>
      <c r="K38" s="6" t="s">
        <v>496</v>
      </c>
      <c r="L38" s="6" t="s">
        <v>497</v>
      </c>
      <c r="M38" s="6" t="s">
        <v>498</v>
      </c>
      <c r="N38" s="6" t="s">
        <v>499</v>
      </c>
      <c r="O38" s="6" t="s">
        <v>500</v>
      </c>
      <c r="P38" s="6" t="s">
        <v>501</v>
      </c>
      <c r="Q38" s="6" t="s">
        <v>44</v>
      </c>
      <c r="R38" s="6" t="s">
        <v>44</v>
      </c>
      <c r="S38" s="6" t="s">
        <v>43</v>
      </c>
      <c r="T38" s="6" t="s">
        <v>43</v>
      </c>
      <c r="U38" s="6" t="s">
        <v>43</v>
      </c>
      <c r="V38" s="6" t="s">
        <v>43</v>
      </c>
      <c r="W38" s="6" t="s">
        <v>44</v>
      </c>
      <c r="X38" s="6" t="s">
        <v>58</v>
      </c>
      <c r="Y38" s="6" t="s">
        <v>58</v>
      </c>
      <c r="Z38" s="6" t="s">
        <v>43</v>
      </c>
      <c r="AA38" s="6" t="s">
        <v>43</v>
      </c>
      <c r="AB38" s="6" t="s">
        <v>44</v>
      </c>
      <c r="AC38" s="5"/>
      <c r="AD38" s="5"/>
      <c r="AE38" s="5"/>
      <c r="AF38" s="5"/>
      <c r="AG38" s="5"/>
      <c r="AH38" s="5"/>
      <c r="AI38" s="5"/>
    </row>
    <row r="39">
      <c r="A39" s="4">
        <v>45420.76193596065</v>
      </c>
      <c r="B39" s="6" t="s">
        <v>118</v>
      </c>
      <c r="C39" s="6" t="s">
        <v>502</v>
      </c>
      <c r="D39" s="6" t="s">
        <v>503</v>
      </c>
      <c r="E39" s="6" t="s">
        <v>504</v>
      </c>
      <c r="F39" s="6" t="s">
        <v>505</v>
      </c>
      <c r="G39" s="6" t="s">
        <v>506</v>
      </c>
      <c r="H39" s="6" t="s">
        <v>507</v>
      </c>
      <c r="I39" s="6" t="s">
        <v>508</v>
      </c>
      <c r="J39" s="6" t="s">
        <v>509</v>
      </c>
      <c r="K39" s="6" t="s">
        <v>510</v>
      </c>
      <c r="L39" s="6" t="s">
        <v>511</v>
      </c>
      <c r="M39" s="6" t="s">
        <v>512</v>
      </c>
      <c r="N39" s="6" t="s">
        <v>513</v>
      </c>
      <c r="O39" s="6" t="s">
        <v>514</v>
      </c>
      <c r="P39" s="6" t="s">
        <v>515</v>
      </c>
      <c r="Q39" s="6" t="s">
        <v>44</v>
      </c>
      <c r="R39" s="6" t="s">
        <v>44</v>
      </c>
      <c r="S39" s="6" t="s">
        <v>44</v>
      </c>
      <c r="T39" s="6" t="s">
        <v>43</v>
      </c>
      <c r="U39" s="6" t="s">
        <v>44</v>
      </c>
      <c r="V39" s="6" t="s">
        <v>44</v>
      </c>
      <c r="W39" s="6" t="s">
        <v>44</v>
      </c>
      <c r="X39" s="6" t="s">
        <v>44</v>
      </c>
      <c r="Y39" s="6" t="s">
        <v>44</v>
      </c>
      <c r="Z39" s="6" t="s">
        <v>44</v>
      </c>
      <c r="AA39" s="6" t="s">
        <v>43</v>
      </c>
      <c r="AB39" s="6" t="s">
        <v>44</v>
      </c>
      <c r="AC39" s="5"/>
      <c r="AD39" s="5"/>
      <c r="AE39" s="5"/>
      <c r="AF39" s="5"/>
      <c r="AG39" s="5"/>
      <c r="AH39" s="5"/>
      <c r="AI39" s="5"/>
    </row>
    <row r="40">
      <c r="A40" s="4">
        <v>45420.762011643514</v>
      </c>
      <c r="B40" s="6" t="s">
        <v>118</v>
      </c>
      <c r="C40" s="6" t="s">
        <v>516</v>
      </c>
      <c r="D40" s="6" t="s">
        <v>517</v>
      </c>
      <c r="E40" s="6" t="s">
        <v>518</v>
      </c>
      <c r="F40" s="6" t="s">
        <v>519</v>
      </c>
      <c r="G40" s="6" t="s">
        <v>520</v>
      </c>
      <c r="H40" s="6" t="s">
        <v>521</v>
      </c>
      <c r="I40" s="5"/>
      <c r="J40" s="5"/>
      <c r="K40" s="6" t="s">
        <v>522</v>
      </c>
      <c r="L40" s="6" t="s">
        <v>523</v>
      </c>
      <c r="M40" s="6" t="s">
        <v>52</v>
      </c>
      <c r="N40" s="5"/>
      <c r="O40" s="6" t="s">
        <v>524</v>
      </c>
      <c r="P40" s="5"/>
      <c r="Q40" s="6" t="s">
        <v>44</v>
      </c>
      <c r="R40" s="6" t="s">
        <v>43</v>
      </c>
      <c r="S40" s="6" t="s">
        <v>44</v>
      </c>
      <c r="T40" s="6" t="s">
        <v>44</v>
      </c>
      <c r="U40" s="6" t="s">
        <v>44</v>
      </c>
      <c r="V40" s="6" t="s">
        <v>44</v>
      </c>
      <c r="W40" s="6" t="s">
        <v>44</v>
      </c>
      <c r="X40" s="6" t="s">
        <v>44</v>
      </c>
      <c r="Y40" s="6" t="s">
        <v>44</v>
      </c>
      <c r="Z40" s="6" t="s">
        <v>44</v>
      </c>
      <c r="AA40" s="6" t="s">
        <v>44</v>
      </c>
      <c r="AB40" s="6" t="s">
        <v>44</v>
      </c>
      <c r="AC40" s="5"/>
      <c r="AD40" s="5"/>
      <c r="AE40" s="5"/>
      <c r="AF40" s="5"/>
      <c r="AG40" s="5"/>
      <c r="AH40" s="5"/>
      <c r="AI40" s="5"/>
    </row>
    <row r="41">
      <c r="A41" s="4">
        <v>45420.76205725694</v>
      </c>
      <c r="B41" s="6" t="s">
        <v>525</v>
      </c>
      <c r="C41" s="6" t="s">
        <v>526</v>
      </c>
      <c r="D41" s="6" t="s">
        <v>527</v>
      </c>
      <c r="E41" s="6" t="s">
        <v>528</v>
      </c>
      <c r="F41" s="6" t="s">
        <v>529</v>
      </c>
      <c r="G41" s="6" t="s">
        <v>530</v>
      </c>
      <c r="H41" s="6" t="s">
        <v>531</v>
      </c>
      <c r="I41" s="6" t="s">
        <v>532</v>
      </c>
      <c r="J41" s="6" t="s">
        <v>533</v>
      </c>
      <c r="K41" s="6" t="s">
        <v>534</v>
      </c>
      <c r="L41" s="6" t="s">
        <v>535</v>
      </c>
      <c r="M41" s="6" t="s">
        <v>536</v>
      </c>
      <c r="N41" s="6" t="s">
        <v>537</v>
      </c>
      <c r="O41" s="6" t="s">
        <v>538</v>
      </c>
      <c r="P41" s="6" t="s">
        <v>539</v>
      </c>
      <c r="Q41" s="6" t="s">
        <v>43</v>
      </c>
      <c r="R41" s="6" t="s">
        <v>44</v>
      </c>
      <c r="S41" s="6" t="s">
        <v>43</v>
      </c>
      <c r="T41" s="6" t="s">
        <v>44</v>
      </c>
      <c r="U41" s="6" t="s">
        <v>44</v>
      </c>
      <c r="V41" s="6" t="s">
        <v>43</v>
      </c>
      <c r="W41" s="6" t="s">
        <v>43</v>
      </c>
      <c r="X41" s="6" t="s">
        <v>58</v>
      </c>
      <c r="Y41" s="6" t="s">
        <v>42</v>
      </c>
      <c r="Z41" s="6" t="s">
        <v>87</v>
      </c>
      <c r="AA41" s="6" t="s">
        <v>42</v>
      </c>
      <c r="AB41" s="6" t="s">
        <v>44</v>
      </c>
      <c r="AC41" s="6" t="s">
        <v>540</v>
      </c>
      <c r="AD41" s="5"/>
      <c r="AE41" s="5"/>
      <c r="AF41" s="5"/>
      <c r="AG41" s="5"/>
      <c r="AH41" s="5"/>
      <c r="AI41" s="5"/>
    </row>
    <row r="42">
      <c r="A42" s="4">
        <v>45420.76338833333</v>
      </c>
      <c r="B42" s="6" t="s">
        <v>525</v>
      </c>
      <c r="C42" s="6" t="s">
        <v>541</v>
      </c>
      <c r="D42" s="6" t="s">
        <v>299</v>
      </c>
      <c r="E42" s="6" t="s">
        <v>542</v>
      </c>
      <c r="F42" s="6" t="s">
        <v>543</v>
      </c>
      <c r="G42" s="6" t="s">
        <v>544</v>
      </c>
      <c r="H42" s="6" t="s">
        <v>545</v>
      </c>
      <c r="I42" s="6" t="s">
        <v>546</v>
      </c>
      <c r="J42" s="6" t="s">
        <v>311</v>
      </c>
      <c r="K42" s="6" t="s">
        <v>547</v>
      </c>
      <c r="L42" s="6" t="s">
        <v>548</v>
      </c>
      <c r="M42" s="6" t="s">
        <v>549</v>
      </c>
      <c r="N42" s="6" t="s">
        <v>550</v>
      </c>
      <c r="O42" s="6" t="s">
        <v>234</v>
      </c>
      <c r="P42" s="6" t="s">
        <v>551</v>
      </c>
      <c r="Q42" s="6" t="s">
        <v>44</v>
      </c>
      <c r="R42" s="6" t="s">
        <v>44</v>
      </c>
      <c r="S42" s="6" t="s">
        <v>44</v>
      </c>
      <c r="T42" s="6" t="s">
        <v>44</v>
      </c>
      <c r="U42" s="6" t="s">
        <v>44</v>
      </c>
      <c r="V42" s="6" t="s">
        <v>44</v>
      </c>
      <c r="W42" s="6" t="s">
        <v>44</v>
      </c>
      <c r="X42" s="6" t="s">
        <v>44</v>
      </c>
      <c r="Y42" s="6" t="s">
        <v>44</v>
      </c>
      <c r="Z42" s="6" t="s">
        <v>42</v>
      </c>
      <c r="AA42" s="6" t="s">
        <v>42</v>
      </c>
      <c r="AB42" s="6" t="s">
        <v>44</v>
      </c>
      <c r="AC42" s="5"/>
      <c r="AD42" s="5"/>
      <c r="AE42" s="5"/>
      <c r="AF42" s="5"/>
      <c r="AG42" s="5"/>
      <c r="AH42" s="5"/>
      <c r="AI42" s="5"/>
    </row>
    <row r="43">
      <c r="A43" s="4">
        <v>45420.77183023148</v>
      </c>
      <c r="B43" s="6" t="s">
        <v>37</v>
      </c>
      <c r="C43" s="6" t="s">
        <v>552</v>
      </c>
      <c r="D43" s="6" t="s">
        <v>553</v>
      </c>
      <c r="E43" s="6" t="s">
        <v>554</v>
      </c>
      <c r="F43" s="6" t="s">
        <v>329</v>
      </c>
      <c r="G43" s="6" t="s">
        <v>555</v>
      </c>
      <c r="H43" s="6" t="s">
        <v>556</v>
      </c>
      <c r="I43" s="6" t="s">
        <v>557</v>
      </c>
      <c r="J43" s="6" t="s">
        <v>558</v>
      </c>
      <c r="K43" s="6" t="s">
        <v>559</v>
      </c>
      <c r="L43" s="6" t="s">
        <v>560</v>
      </c>
      <c r="M43" s="6" t="s">
        <v>329</v>
      </c>
      <c r="N43" s="6" t="s">
        <v>561</v>
      </c>
      <c r="O43" s="6" t="s">
        <v>329</v>
      </c>
      <c r="P43" s="6" t="s">
        <v>562</v>
      </c>
      <c r="Q43" s="6" t="s">
        <v>44</v>
      </c>
      <c r="R43" s="6" t="s">
        <v>43</v>
      </c>
      <c r="S43" s="6" t="s">
        <v>43</v>
      </c>
      <c r="T43" s="6" t="s">
        <v>43</v>
      </c>
      <c r="U43" s="6" t="s">
        <v>43</v>
      </c>
      <c r="V43" s="6" t="s">
        <v>43</v>
      </c>
      <c r="W43" s="6" t="s">
        <v>43</v>
      </c>
      <c r="X43" s="6" t="s">
        <v>43</v>
      </c>
      <c r="Y43" s="6" t="s">
        <v>43</v>
      </c>
      <c r="Z43" s="6" t="s">
        <v>44</v>
      </c>
      <c r="AA43" s="6" t="s">
        <v>44</v>
      </c>
      <c r="AB43" s="6" t="s">
        <v>44</v>
      </c>
      <c r="AC43" s="5"/>
      <c r="AD43" s="5"/>
      <c r="AE43" s="5"/>
      <c r="AF43" s="5"/>
      <c r="AG43" s="5"/>
      <c r="AH43" s="5"/>
      <c r="AI43" s="5"/>
    </row>
    <row r="44">
      <c r="A44" s="4">
        <v>45421.68396800926</v>
      </c>
      <c r="B44" s="6" t="s">
        <v>118</v>
      </c>
      <c r="C44" s="5"/>
      <c r="D44" s="6" t="s">
        <v>563</v>
      </c>
      <c r="E44" s="6" t="s">
        <v>123</v>
      </c>
      <c r="F44" s="6" t="s">
        <v>400</v>
      </c>
      <c r="G44" s="6" t="s">
        <v>564</v>
      </c>
      <c r="H44" s="6" t="s">
        <v>565</v>
      </c>
      <c r="I44" s="5"/>
      <c r="J44" s="6" t="s">
        <v>455</v>
      </c>
      <c r="K44" s="6" t="s">
        <v>165</v>
      </c>
      <c r="L44" s="6" t="s">
        <v>52</v>
      </c>
      <c r="M44" s="6" t="s">
        <v>103</v>
      </c>
      <c r="N44" s="6" t="s">
        <v>566</v>
      </c>
      <c r="O44" s="6" t="s">
        <v>52</v>
      </c>
      <c r="P44" s="6" t="s">
        <v>567</v>
      </c>
      <c r="Q44" s="6" t="s">
        <v>44</v>
      </c>
      <c r="R44" s="6" t="s">
        <v>44</v>
      </c>
      <c r="S44" s="6" t="s">
        <v>44</v>
      </c>
      <c r="T44" s="5"/>
      <c r="U44" s="6" t="s">
        <v>44</v>
      </c>
      <c r="V44" s="6" t="s">
        <v>44</v>
      </c>
      <c r="W44" s="6" t="s">
        <v>44</v>
      </c>
      <c r="X44" s="6" t="s">
        <v>44</v>
      </c>
      <c r="Y44" s="6" t="s">
        <v>44</v>
      </c>
      <c r="Z44" s="6" t="s">
        <v>87</v>
      </c>
      <c r="AA44" s="6" t="s">
        <v>42</v>
      </c>
      <c r="AB44" s="6" t="s">
        <v>44</v>
      </c>
      <c r="AC44" s="5"/>
      <c r="AD44" s="5"/>
      <c r="AE44" s="5"/>
      <c r="AF44" s="5"/>
      <c r="AG44" s="5"/>
      <c r="AH44" s="5"/>
      <c r="AI44" s="5"/>
    </row>
    <row r="45">
      <c r="A45" s="4">
        <v>45421.692856249996</v>
      </c>
      <c r="B45" s="6" t="s">
        <v>118</v>
      </c>
      <c r="C45" s="6" t="s">
        <v>568</v>
      </c>
      <c r="D45" s="6" t="s">
        <v>569</v>
      </c>
      <c r="E45" s="6" t="s">
        <v>570</v>
      </c>
      <c r="F45" s="6" t="s">
        <v>571</v>
      </c>
      <c r="G45" s="6" t="s">
        <v>411</v>
      </c>
      <c r="H45" s="6" t="s">
        <v>572</v>
      </c>
      <c r="I45" s="6" t="s">
        <v>573</v>
      </c>
      <c r="J45" s="6" t="s">
        <v>573</v>
      </c>
      <c r="K45" s="6" t="s">
        <v>165</v>
      </c>
      <c r="L45" s="6" t="s">
        <v>574</v>
      </c>
      <c r="M45" s="6" t="s">
        <v>575</v>
      </c>
      <c r="N45" s="6" t="s">
        <v>576</v>
      </c>
      <c r="O45" s="6" t="s">
        <v>577</v>
      </c>
      <c r="P45" s="6" t="s">
        <v>463</v>
      </c>
      <c r="Q45" s="6" t="s">
        <v>44</v>
      </c>
      <c r="R45" s="6" t="s">
        <v>44</v>
      </c>
      <c r="S45" s="6" t="s">
        <v>44</v>
      </c>
      <c r="T45" s="6" t="s">
        <v>44</v>
      </c>
      <c r="U45" s="6" t="s">
        <v>42</v>
      </c>
      <c r="V45" s="6" t="s">
        <v>42</v>
      </c>
      <c r="W45" s="6" t="s">
        <v>44</v>
      </c>
      <c r="X45" s="6" t="s">
        <v>44</v>
      </c>
      <c r="Y45" s="6" t="s">
        <v>44</v>
      </c>
      <c r="Z45" s="6" t="s">
        <v>87</v>
      </c>
      <c r="AA45" s="6" t="s">
        <v>44</v>
      </c>
      <c r="AB45" s="6" t="s">
        <v>44</v>
      </c>
      <c r="AC45" s="6" t="s">
        <v>476</v>
      </c>
      <c r="AD45" s="5"/>
      <c r="AE45" s="5"/>
      <c r="AF45" s="5"/>
      <c r="AG45" s="5"/>
      <c r="AH45" s="5"/>
      <c r="AI45" s="5"/>
    </row>
    <row r="46">
      <c r="A46" s="4">
        <v>45421.698944930555</v>
      </c>
      <c r="B46" s="6" t="s">
        <v>118</v>
      </c>
      <c r="C46" s="6" t="s">
        <v>578</v>
      </c>
      <c r="D46" s="6" t="s">
        <v>579</v>
      </c>
      <c r="E46" s="6">
        <v>2024.0</v>
      </c>
      <c r="F46" s="6" t="s">
        <v>579</v>
      </c>
      <c r="G46" s="6" t="s">
        <v>580</v>
      </c>
      <c r="H46" s="6" t="s">
        <v>581</v>
      </c>
      <c r="I46" s="6" t="s">
        <v>582</v>
      </c>
      <c r="J46" s="6" t="s">
        <v>123</v>
      </c>
      <c r="K46" s="6" t="s">
        <v>165</v>
      </c>
      <c r="L46" s="6" t="s">
        <v>583</v>
      </c>
      <c r="M46" s="6" t="s">
        <v>584</v>
      </c>
      <c r="N46" s="6" t="s">
        <v>103</v>
      </c>
      <c r="O46" s="6" t="s">
        <v>585</v>
      </c>
      <c r="P46" s="6" t="s">
        <v>586</v>
      </c>
      <c r="Q46" s="6" t="s">
        <v>43</v>
      </c>
      <c r="R46" s="6" t="s">
        <v>43</v>
      </c>
      <c r="S46" s="6" t="s">
        <v>44</v>
      </c>
      <c r="T46" s="6" t="s">
        <v>43</v>
      </c>
      <c r="U46" s="6" t="s">
        <v>44</v>
      </c>
      <c r="V46" s="6" t="s">
        <v>44</v>
      </c>
      <c r="W46" s="6" t="s">
        <v>44</v>
      </c>
      <c r="X46" s="6" t="s">
        <v>43</v>
      </c>
      <c r="Y46" s="6" t="s">
        <v>43</v>
      </c>
      <c r="Z46" s="6" t="s">
        <v>44</v>
      </c>
      <c r="AA46" s="6" t="s">
        <v>43</v>
      </c>
      <c r="AB46" s="6" t="s">
        <v>44</v>
      </c>
      <c r="AC46" s="5"/>
      <c r="AD46" s="5"/>
      <c r="AE46" s="5"/>
      <c r="AF46" s="5"/>
      <c r="AG46" s="5"/>
      <c r="AH46" s="5"/>
      <c r="AI46" s="5"/>
    </row>
    <row r="47">
      <c r="A47" s="4">
        <v>45421.70022141204</v>
      </c>
      <c r="B47" s="6" t="s">
        <v>118</v>
      </c>
      <c r="C47" s="6" t="s">
        <v>587</v>
      </c>
      <c r="D47" s="6" t="s">
        <v>588</v>
      </c>
      <c r="E47" s="6" t="s">
        <v>589</v>
      </c>
      <c r="F47" s="6" t="s">
        <v>590</v>
      </c>
      <c r="G47" s="6" t="s">
        <v>251</v>
      </c>
      <c r="H47" s="6" t="s">
        <v>591</v>
      </c>
      <c r="I47" s="6" t="s">
        <v>592</v>
      </c>
      <c r="J47" s="6" t="s">
        <v>593</v>
      </c>
      <c r="K47" s="6" t="s">
        <v>203</v>
      </c>
      <c r="L47" s="6" t="s">
        <v>594</v>
      </c>
      <c r="M47" s="6" t="s">
        <v>103</v>
      </c>
      <c r="N47" s="6" t="s">
        <v>595</v>
      </c>
      <c r="O47" s="6" t="s">
        <v>596</v>
      </c>
      <c r="P47" s="6" t="s">
        <v>579</v>
      </c>
      <c r="Q47" s="6" t="s">
        <v>58</v>
      </c>
      <c r="R47" s="6" t="s">
        <v>43</v>
      </c>
      <c r="S47" s="6" t="s">
        <v>43</v>
      </c>
      <c r="T47" s="6" t="s">
        <v>42</v>
      </c>
      <c r="U47" s="5"/>
      <c r="V47" s="5"/>
      <c r="W47" s="5"/>
      <c r="X47" s="6" t="s">
        <v>42</v>
      </c>
      <c r="Y47" s="6" t="s">
        <v>58</v>
      </c>
      <c r="Z47" s="6" t="s">
        <v>43</v>
      </c>
      <c r="AA47" s="6" t="s">
        <v>43</v>
      </c>
      <c r="AB47" s="6" t="s">
        <v>44</v>
      </c>
      <c r="AC47" s="5"/>
      <c r="AD47" s="5"/>
      <c r="AE47" s="5"/>
      <c r="AF47" s="5"/>
      <c r="AG47" s="5"/>
      <c r="AH47" s="5"/>
      <c r="AI47" s="5"/>
    </row>
    <row r="48">
      <c r="A48" s="4">
        <v>45421.704990046295</v>
      </c>
      <c r="B48" s="6" t="s">
        <v>118</v>
      </c>
      <c r="C48" s="6" t="s">
        <v>597</v>
      </c>
      <c r="D48" s="6" t="s">
        <v>598</v>
      </c>
      <c r="E48" s="6" t="s">
        <v>599</v>
      </c>
      <c r="F48" s="6" t="s">
        <v>205</v>
      </c>
      <c r="G48" s="6" t="s">
        <v>579</v>
      </c>
      <c r="H48" s="6" t="s">
        <v>600</v>
      </c>
      <c r="I48" s="6" t="s">
        <v>601</v>
      </c>
      <c r="J48" s="6" t="s">
        <v>602</v>
      </c>
      <c r="K48" s="6" t="s">
        <v>455</v>
      </c>
      <c r="L48" s="6" t="s">
        <v>579</v>
      </c>
      <c r="M48" s="6" t="s">
        <v>103</v>
      </c>
      <c r="N48" s="6" t="s">
        <v>603</v>
      </c>
      <c r="O48" s="6" t="s">
        <v>52</v>
      </c>
      <c r="P48" s="6" t="s">
        <v>604</v>
      </c>
      <c r="Q48" s="6" t="s">
        <v>44</v>
      </c>
      <c r="R48" s="6" t="s">
        <v>44</v>
      </c>
      <c r="S48" s="6" t="s">
        <v>44</v>
      </c>
      <c r="T48" s="6" t="s">
        <v>44</v>
      </c>
      <c r="U48" s="6" t="s">
        <v>44</v>
      </c>
      <c r="V48" s="6" t="s">
        <v>44</v>
      </c>
      <c r="W48" s="6" t="s">
        <v>44</v>
      </c>
      <c r="X48" s="6" t="s">
        <v>44</v>
      </c>
      <c r="Y48" s="6" t="s">
        <v>44</v>
      </c>
      <c r="Z48" s="6" t="s">
        <v>44</v>
      </c>
      <c r="AA48" s="6" t="s">
        <v>44</v>
      </c>
      <c r="AB48" s="6" t="s">
        <v>44</v>
      </c>
      <c r="AC48" s="5"/>
      <c r="AD48" s="5"/>
      <c r="AE48" s="5"/>
      <c r="AF48" s="5"/>
      <c r="AG48" s="5"/>
      <c r="AH48" s="5"/>
      <c r="AI48" s="5"/>
    </row>
    <row r="49">
      <c r="A49" s="4">
        <v>45421.70541922454</v>
      </c>
      <c r="B49" s="6" t="s">
        <v>118</v>
      </c>
      <c r="C49" s="6" t="s">
        <v>605</v>
      </c>
      <c r="D49" s="6" t="s">
        <v>606</v>
      </c>
      <c r="E49" s="6" t="s">
        <v>607</v>
      </c>
      <c r="F49" s="6" t="s">
        <v>608</v>
      </c>
      <c r="G49" s="6" t="s">
        <v>609</v>
      </c>
      <c r="H49" s="6" t="s">
        <v>610</v>
      </c>
      <c r="I49" s="6" t="s">
        <v>611</v>
      </c>
      <c r="J49" s="6" t="s">
        <v>612</v>
      </c>
      <c r="K49" s="6" t="s">
        <v>613</v>
      </c>
      <c r="L49" s="6" t="s">
        <v>614</v>
      </c>
      <c r="M49" s="6" t="s">
        <v>103</v>
      </c>
      <c r="N49" s="6" t="s">
        <v>615</v>
      </c>
      <c r="O49" s="6" t="s">
        <v>616</v>
      </c>
      <c r="P49" s="6" t="s">
        <v>617</v>
      </c>
      <c r="Q49" s="6" t="s">
        <v>44</v>
      </c>
      <c r="R49" s="6" t="s">
        <v>44</v>
      </c>
      <c r="S49" s="6" t="s">
        <v>44</v>
      </c>
      <c r="T49" s="6" t="s">
        <v>44</v>
      </c>
      <c r="U49" s="6" t="s">
        <v>44</v>
      </c>
      <c r="V49" s="6" t="s">
        <v>44</v>
      </c>
      <c r="W49" s="6" t="s">
        <v>44</v>
      </c>
      <c r="X49" s="6" t="s">
        <v>44</v>
      </c>
      <c r="Y49" s="6" t="s">
        <v>44</v>
      </c>
      <c r="Z49" s="6" t="s">
        <v>87</v>
      </c>
      <c r="AA49" s="6" t="s">
        <v>44</v>
      </c>
      <c r="AB49" s="6" t="s">
        <v>44</v>
      </c>
      <c r="AC49" s="5"/>
      <c r="AD49" s="5"/>
      <c r="AE49" s="5"/>
      <c r="AF49" s="5"/>
      <c r="AG49" s="5"/>
      <c r="AH49" s="5"/>
      <c r="AI49" s="5"/>
    </row>
    <row r="50">
      <c r="A50" s="4">
        <v>45421.71406971065</v>
      </c>
      <c r="B50" s="6" t="s">
        <v>118</v>
      </c>
      <c r="C50" s="6" t="s">
        <v>618</v>
      </c>
      <c r="D50" s="6" t="s">
        <v>619</v>
      </c>
      <c r="E50" s="6" t="s">
        <v>620</v>
      </c>
      <c r="F50" s="6" t="s">
        <v>619</v>
      </c>
      <c r="G50" s="6" t="s">
        <v>621</v>
      </c>
      <c r="H50" s="6" t="s">
        <v>622</v>
      </c>
      <c r="I50" s="6" t="s">
        <v>623</v>
      </c>
      <c r="J50" s="6" t="s">
        <v>624</v>
      </c>
      <c r="K50" s="6" t="s">
        <v>625</v>
      </c>
      <c r="L50" s="6" t="s">
        <v>626</v>
      </c>
      <c r="M50" s="6" t="s">
        <v>627</v>
      </c>
      <c r="N50" s="6" t="s">
        <v>628</v>
      </c>
      <c r="O50" s="6" t="s">
        <v>629</v>
      </c>
      <c r="P50" s="6" t="s">
        <v>630</v>
      </c>
      <c r="Q50" s="6" t="s">
        <v>44</v>
      </c>
      <c r="R50" s="6" t="s">
        <v>43</v>
      </c>
      <c r="S50" s="6" t="s">
        <v>44</v>
      </c>
      <c r="T50" s="6" t="s">
        <v>44</v>
      </c>
      <c r="U50" s="6" t="s">
        <v>87</v>
      </c>
      <c r="V50" s="6" t="s">
        <v>44</v>
      </c>
      <c r="W50" s="6" t="s">
        <v>44</v>
      </c>
      <c r="X50" s="6" t="s">
        <v>43</v>
      </c>
      <c r="Y50" s="6" t="s">
        <v>44</v>
      </c>
      <c r="Z50" s="6" t="s">
        <v>44</v>
      </c>
      <c r="AA50" s="6" t="s">
        <v>44</v>
      </c>
      <c r="AB50" s="6" t="s">
        <v>44</v>
      </c>
      <c r="AC50" s="6" t="s">
        <v>103</v>
      </c>
      <c r="AD50" s="5"/>
      <c r="AE50" s="5"/>
      <c r="AF50" s="5"/>
      <c r="AG50" s="5"/>
      <c r="AH50" s="5"/>
      <c r="AI50" s="5"/>
    </row>
    <row r="51" hidden="1">
      <c r="A51" s="4">
        <v>45421.71516489583</v>
      </c>
      <c r="B51" s="6" t="s">
        <v>45</v>
      </c>
      <c r="C51" s="6" t="s">
        <v>631</v>
      </c>
      <c r="D51" s="6" t="s">
        <v>632</v>
      </c>
      <c r="E51" s="6" t="s">
        <v>633</v>
      </c>
      <c r="F51" s="6" t="s">
        <v>634</v>
      </c>
      <c r="G51" s="6" t="s">
        <v>635</v>
      </c>
      <c r="H51" s="6" t="s">
        <v>636</v>
      </c>
      <c r="I51" s="6" t="s">
        <v>637</v>
      </c>
      <c r="J51" s="6" t="s">
        <v>638</v>
      </c>
      <c r="K51" s="6" t="s">
        <v>639</v>
      </c>
      <c r="L51" s="6" t="s">
        <v>640</v>
      </c>
      <c r="M51" s="6" t="s">
        <v>641</v>
      </c>
      <c r="N51" s="6" t="s">
        <v>642</v>
      </c>
      <c r="O51" s="6" t="s">
        <v>643</v>
      </c>
      <c r="P51" s="6" t="s">
        <v>311</v>
      </c>
      <c r="Q51" s="6" t="s">
        <v>43</v>
      </c>
      <c r="R51" s="6" t="s">
        <v>44</v>
      </c>
      <c r="S51" s="6" t="s">
        <v>44</v>
      </c>
      <c r="T51" s="6" t="s">
        <v>43</v>
      </c>
      <c r="U51" s="6" t="s">
        <v>44</v>
      </c>
      <c r="V51" s="6" t="s">
        <v>44</v>
      </c>
      <c r="W51" s="6" t="s">
        <v>44</v>
      </c>
      <c r="X51" s="6" t="s">
        <v>43</v>
      </c>
      <c r="Y51" s="6" t="s">
        <v>44</v>
      </c>
      <c r="Z51" s="6" t="s">
        <v>43</v>
      </c>
      <c r="AA51" s="6" t="s">
        <v>43</v>
      </c>
      <c r="AB51" s="6" t="s">
        <v>87</v>
      </c>
      <c r="AC51" s="5"/>
      <c r="AD51" s="5"/>
      <c r="AE51" s="5"/>
      <c r="AF51" s="5"/>
      <c r="AG51" s="5"/>
      <c r="AH51" s="5"/>
      <c r="AI51" s="5"/>
    </row>
    <row r="52">
      <c r="A52" s="4">
        <v>45421.720998958335</v>
      </c>
      <c r="B52" s="6" t="s">
        <v>283</v>
      </c>
      <c r="C52" s="6" t="s">
        <v>644</v>
      </c>
      <c r="D52" s="6" t="s">
        <v>645</v>
      </c>
      <c r="E52" s="6" t="s">
        <v>646</v>
      </c>
      <c r="F52" s="6" t="s">
        <v>647</v>
      </c>
      <c r="G52" s="6" t="s">
        <v>648</v>
      </c>
      <c r="H52" s="6" t="s">
        <v>649</v>
      </c>
      <c r="I52" s="6" t="s">
        <v>650</v>
      </c>
      <c r="J52" s="6" t="s">
        <v>651</v>
      </c>
      <c r="K52" s="6" t="s">
        <v>652</v>
      </c>
      <c r="L52" s="6" t="s">
        <v>653</v>
      </c>
      <c r="M52" s="6" t="s">
        <v>234</v>
      </c>
      <c r="N52" s="6" t="s">
        <v>654</v>
      </c>
      <c r="O52" s="6" t="s">
        <v>234</v>
      </c>
      <c r="P52" s="6" t="s">
        <v>551</v>
      </c>
      <c r="Q52" s="6" t="s">
        <v>44</v>
      </c>
      <c r="R52" s="6" t="s">
        <v>43</v>
      </c>
      <c r="S52" s="6" t="s">
        <v>43</v>
      </c>
      <c r="T52" s="6" t="s">
        <v>44</v>
      </c>
      <c r="U52" s="6" t="s">
        <v>44</v>
      </c>
      <c r="V52" s="6" t="s">
        <v>44</v>
      </c>
      <c r="W52" s="6" t="s">
        <v>42</v>
      </c>
      <c r="X52" s="6" t="s">
        <v>44</v>
      </c>
      <c r="Y52" s="6" t="s">
        <v>42</v>
      </c>
      <c r="Z52" s="6" t="s">
        <v>44</v>
      </c>
      <c r="AA52" s="6" t="s">
        <v>43</v>
      </c>
      <c r="AB52" s="6" t="s">
        <v>44</v>
      </c>
      <c r="AC52" s="6" t="s">
        <v>655</v>
      </c>
      <c r="AD52" s="5"/>
      <c r="AE52" s="5"/>
      <c r="AF52" s="5"/>
      <c r="AG52" s="5"/>
      <c r="AH52" s="5"/>
      <c r="AI52" s="5"/>
    </row>
    <row r="53">
      <c r="A53" s="4">
        <v>45421.737951296294</v>
      </c>
      <c r="B53" s="6" t="s">
        <v>525</v>
      </c>
      <c r="C53" s="6" t="s">
        <v>656</v>
      </c>
      <c r="D53" s="6" t="s">
        <v>657</v>
      </c>
      <c r="E53" s="6" t="s">
        <v>311</v>
      </c>
      <c r="F53" s="6" t="s">
        <v>658</v>
      </c>
      <c r="G53" s="6" t="s">
        <v>659</v>
      </c>
      <c r="H53" s="6" t="s">
        <v>660</v>
      </c>
      <c r="I53" s="6" t="s">
        <v>661</v>
      </c>
      <c r="J53" s="6" t="s">
        <v>311</v>
      </c>
      <c r="K53" s="6" t="s">
        <v>662</v>
      </c>
      <c r="L53" s="6" t="s">
        <v>663</v>
      </c>
      <c r="M53" s="6" t="s">
        <v>664</v>
      </c>
      <c r="N53" s="6" t="s">
        <v>665</v>
      </c>
      <c r="O53" s="6" t="s">
        <v>659</v>
      </c>
      <c r="P53" s="6" t="s">
        <v>666</v>
      </c>
      <c r="Q53" s="6" t="s">
        <v>44</v>
      </c>
      <c r="R53" s="6" t="s">
        <v>44</v>
      </c>
      <c r="S53" s="6" t="s">
        <v>44</v>
      </c>
      <c r="T53" s="6" t="s">
        <v>44</v>
      </c>
      <c r="U53" s="6" t="s">
        <v>44</v>
      </c>
      <c r="V53" s="6" t="s">
        <v>44</v>
      </c>
      <c r="W53" s="6" t="s">
        <v>44</v>
      </c>
      <c r="X53" s="6" t="s">
        <v>44</v>
      </c>
      <c r="Y53" s="6" t="s">
        <v>44</v>
      </c>
      <c r="Z53" s="6" t="s">
        <v>42</v>
      </c>
      <c r="AA53" s="6" t="s">
        <v>44</v>
      </c>
      <c r="AB53" s="6" t="s">
        <v>44</v>
      </c>
      <c r="AC53" s="6" t="s">
        <v>667</v>
      </c>
      <c r="AD53" s="5"/>
      <c r="AE53" s="5"/>
      <c r="AF53" s="5"/>
      <c r="AG53" s="5"/>
      <c r="AH53" s="5"/>
      <c r="AI53" s="5"/>
    </row>
    <row r="54">
      <c r="A54" s="4">
        <v>45421.76605273148</v>
      </c>
      <c r="B54" s="6" t="s">
        <v>283</v>
      </c>
      <c r="C54" s="6" t="s">
        <v>668</v>
      </c>
      <c r="D54" s="6" t="s">
        <v>669</v>
      </c>
      <c r="E54" s="6" t="s">
        <v>670</v>
      </c>
      <c r="F54" s="6" t="s">
        <v>671</v>
      </c>
      <c r="G54" s="6" t="s">
        <v>672</v>
      </c>
      <c r="H54" s="6" t="s">
        <v>673</v>
      </c>
      <c r="I54" s="6" t="s">
        <v>674</v>
      </c>
      <c r="J54" s="6" t="s">
        <v>675</v>
      </c>
      <c r="K54" s="6" t="s">
        <v>676</v>
      </c>
      <c r="L54" s="6" t="s">
        <v>677</v>
      </c>
      <c r="M54" s="6" t="s">
        <v>678</v>
      </c>
      <c r="N54" s="6" t="s">
        <v>679</v>
      </c>
      <c r="O54" s="6" t="s">
        <v>680</v>
      </c>
      <c r="P54" s="6" t="s">
        <v>681</v>
      </c>
      <c r="Q54" s="6" t="s">
        <v>44</v>
      </c>
      <c r="R54" s="6" t="s">
        <v>42</v>
      </c>
      <c r="S54" s="6" t="s">
        <v>43</v>
      </c>
      <c r="T54" s="6" t="s">
        <v>43</v>
      </c>
      <c r="U54" s="6" t="s">
        <v>44</v>
      </c>
      <c r="V54" s="6" t="s">
        <v>43</v>
      </c>
      <c r="W54" s="6" t="s">
        <v>42</v>
      </c>
      <c r="X54" s="6" t="s">
        <v>44</v>
      </c>
      <c r="Y54" s="6" t="s">
        <v>43</v>
      </c>
      <c r="Z54" s="6" t="s">
        <v>44</v>
      </c>
      <c r="AA54" s="6" t="s">
        <v>43</v>
      </c>
      <c r="AB54" s="6" t="s">
        <v>44</v>
      </c>
      <c r="AC54" s="5"/>
      <c r="AD54" s="5"/>
      <c r="AE54" s="5"/>
      <c r="AF54" s="5"/>
      <c r="AG54" s="5"/>
      <c r="AH54" s="5"/>
      <c r="AI54" s="5"/>
    </row>
    <row r="55">
      <c r="A55" s="7">
        <v>45425.753244618056</v>
      </c>
      <c r="B55" s="8" t="s">
        <v>45</v>
      </c>
      <c r="C55" s="8" t="s">
        <v>682</v>
      </c>
      <c r="D55" s="8" t="s">
        <v>683</v>
      </c>
      <c r="E55" s="8" t="s">
        <v>684</v>
      </c>
      <c r="F55" s="8" t="s">
        <v>685</v>
      </c>
      <c r="G55" s="8" t="s">
        <v>686</v>
      </c>
      <c r="H55" s="8" t="s">
        <v>687</v>
      </c>
      <c r="I55" s="8" t="s">
        <v>688</v>
      </c>
      <c r="J55" s="8" t="s">
        <v>317</v>
      </c>
      <c r="K55" s="8" t="s">
        <v>689</v>
      </c>
      <c r="L55" s="8" t="s">
        <v>690</v>
      </c>
      <c r="M55" s="8" t="s">
        <v>224</v>
      </c>
      <c r="N55" s="8" t="s">
        <v>691</v>
      </c>
      <c r="O55" s="8" t="s">
        <v>234</v>
      </c>
      <c r="P55" s="8" t="s">
        <v>692</v>
      </c>
      <c r="Q55" s="8" t="s">
        <v>42</v>
      </c>
      <c r="R55" s="8" t="s">
        <v>43</v>
      </c>
      <c r="S55" s="8" t="s">
        <v>44</v>
      </c>
      <c r="T55" s="8" t="s">
        <v>44</v>
      </c>
      <c r="U55" s="8" t="s">
        <v>44</v>
      </c>
      <c r="V55" s="8" t="s">
        <v>43</v>
      </c>
      <c r="W55" s="8" t="s">
        <v>43</v>
      </c>
      <c r="X55" s="8" t="s">
        <v>44</v>
      </c>
      <c r="Y55" s="8" t="s">
        <v>43</v>
      </c>
      <c r="Z55" s="8" t="s">
        <v>44</v>
      </c>
      <c r="AA55" s="8" t="s">
        <v>43</v>
      </c>
      <c r="AB55" s="8" t="s">
        <v>44</v>
      </c>
      <c r="AC55" s="8" t="s">
        <v>234</v>
      </c>
    </row>
    <row r="56">
      <c r="A56" s="7">
        <v>45425.75486475695</v>
      </c>
      <c r="B56" s="8" t="s">
        <v>45</v>
      </c>
      <c r="C56" s="8" t="s">
        <v>693</v>
      </c>
      <c r="D56" s="8" t="s">
        <v>694</v>
      </c>
      <c r="E56" s="8" t="s">
        <v>695</v>
      </c>
      <c r="F56" s="8" t="s">
        <v>696</v>
      </c>
      <c r="G56" s="8" t="s">
        <v>697</v>
      </c>
      <c r="H56" s="8" t="s">
        <v>698</v>
      </c>
      <c r="I56" s="8" t="s">
        <v>699</v>
      </c>
      <c r="J56" s="8" t="s">
        <v>700</v>
      </c>
      <c r="K56" s="8" t="s">
        <v>701</v>
      </c>
      <c r="L56" s="8" t="s">
        <v>702</v>
      </c>
      <c r="M56" s="8" t="s">
        <v>234</v>
      </c>
      <c r="N56" s="8" t="s">
        <v>703</v>
      </c>
      <c r="O56" s="8" t="s">
        <v>704</v>
      </c>
      <c r="P56" s="8" t="s">
        <v>705</v>
      </c>
      <c r="Q56" s="8" t="s">
        <v>44</v>
      </c>
      <c r="R56" s="8" t="s">
        <v>44</v>
      </c>
      <c r="S56" s="8" t="s">
        <v>43</v>
      </c>
      <c r="T56" s="8" t="s">
        <v>43</v>
      </c>
      <c r="U56" s="8" t="s">
        <v>43</v>
      </c>
      <c r="V56" s="8" t="s">
        <v>43</v>
      </c>
      <c r="W56" s="8" t="s">
        <v>43</v>
      </c>
      <c r="X56" s="8" t="s">
        <v>58</v>
      </c>
      <c r="Y56" s="8" t="s">
        <v>43</v>
      </c>
      <c r="Z56" s="8" t="s">
        <v>43</v>
      </c>
      <c r="AA56" s="8" t="s">
        <v>43</v>
      </c>
      <c r="AB56" s="8" t="s">
        <v>43</v>
      </c>
    </row>
    <row r="57">
      <c r="A57" s="7">
        <v>45425.75785258102</v>
      </c>
      <c r="B57" s="8" t="s">
        <v>45</v>
      </c>
      <c r="C57" s="8" t="s">
        <v>706</v>
      </c>
      <c r="D57" s="8" t="s">
        <v>707</v>
      </c>
      <c r="E57" s="8" t="s">
        <v>708</v>
      </c>
      <c r="F57" s="8" t="s">
        <v>709</v>
      </c>
      <c r="G57" s="8" t="s">
        <v>710</v>
      </c>
      <c r="H57" s="8" t="s">
        <v>711</v>
      </c>
      <c r="I57" s="8" t="s">
        <v>712</v>
      </c>
      <c r="J57" s="8" t="s">
        <v>713</v>
      </c>
      <c r="K57" s="8" t="s">
        <v>714</v>
      </c>
      <c r="L57" s="8" t="s">
        <v>715</v>
      </c>
      <c r="M57" s="8" t="s">
        <v>716</v>
      </c>
      <c r="N57" s="8" t="s">
        <v>717</v>
      </c>
      <c r="O57" s="8" t="s">
        <v>589</v>
      </c>
      <c r="P57" s="9">
        <v>10.0</v>
      </c>
      <c r="Q57" s="8" t="s">
        <v>44</v>
      </c>
      <c r="R57" s="8" t="s">
        <v>43</v>
      </c>
      <c r="S57" s="8" t="s">
        <v>44</v>
      </c>
      <c r="T57" s="8" t="s">
        <v>44</v>
      </c>
      <c r="U57" s="8" t="s">
        <v>58</v>
      </c>
      <c r="V57" s="8" t="s">
        <v>44</v>
      </c>
      <c r="W57" s="8" t="s">
        <v>44</v>
      </c>
      <c r="X57" s="8" t="s">
        <v>42</v>
      </c>
      <c r="Y57" s="8" t="s">
        <v>44</v>
      </c>
      <c r="Z57" s="8" t="s">
        <v>44</v>
      </c>
      <c r="AA57" s="8" t="s">
        <v>44</v>
      </c>
      <c r="AB57" s="8" t="s">
        <v>44</v>
      </c>
    </row>
    <row r="58">
      <c r="A58" s="7">
        <v>45425.75849335648</v>
      </c>
      <c r="B58" s="8" t="s">
        <v>45</v>
      </c>
      <c r="C58" s="8" t="s">
        <v>718</v>
      </c>
      <c r="E58" s="8" t="s">
        <v>719</v>
      </c>
      <c r="F58" s="8" t="s">
        <v>720</v>
      </c>
      <c r="H58" s="8" t="s">
        <v>721</v>
      </c>
      <c r="I58" s="8" t="s">
        <v>722</v>
      </c>
      <c r="J58" s="8" t="s">
        <v>723</v>
      </c>
      <c r="K58" s="8" t="s">
        <v>724</v>
      </c>
      <c r="L58" s="8" t="s">
        <v>725</v>
      </c>
      <c r="M58" s="8" t="s">
        <v>726</v>
      </c>
      <c r="N58" s="8" t="s">
        <v>727</v>
      </c>
      <c r="O58" s="8" t="s">
        <v>728</v>
      </c>
      <c r="P58" s="8" t="s">
        <v>729</v>
      </c>
      <c r="Q58" s="8" t="s">
        <v>43</v>
      </c>
      <c r="R58" s="8" t="s">
        <v>44</v>
      </c>
      <c r="S58" s="8" t="s">
        <v>44</v>
      </c>
      <c r="T58" s="8" t="s">
        <v>44</v>
      </c>
      <c r="U58" s="8" t="s">
        <v>44</v>
      </c>
      <c r="V58" s="8" t="s">
        <v>44</v>
      </c>
      <c r="W58" s="8" t="s">
        <v>44</v>
      </c>
      <c r="X58" s="8" t="s">
        <v>44</v>
      </c>
      <c r="Y58" s="8" t="s">
        <v>44</v>
      </c>
      <c r="Z58" s="8" t="s">
        <v>44</v>
      </c>
      <c r="AA58" s="8" t="s">
        <v>43</v>
      </c>
      <c r="AB58" s="8" t="s">
        <v>44</v>
      </c>
      <c r="AC58" s="8" t="s">
        <v>730</v>
      </c>
    </row>
    <row r="59">
      <c r="A59" s="7">
        <v>45425.76655596065</v>
      </c>
      <c r="B59" s="8" t="s">
        <v>45</v>
      </c>
      <c r="C59" s="8" t="s">
        <v>731</v>
      </c>
      <c r="D59" s="8" t="s">
        <v>732</v>
      </c>
      <c r="F59" s="8" t="s">
        <v>733</v>
      </c>
      <c r="H59" s="8" t="s">
        <v>734</v>
      </c>
      <c r="I59" s="8" t="s">
        <v>735</v>
      </c>
      <c r="J59" s="8" t="s">
        <v>736</v>
      </c>
      <c r="K59" s="8" t="s">
        <v>737</v>
      </c>
      <c r="N59" s="8" t="s">
        <v>738</v>
      </c>
      <c r="P59" s="8" t="s">
        <v>739</v>
      </c>
      <c r="Q59" s="8" t="s">
        <v>43</v>
      </c>
      <c r="R59" s="8" t="s">
        <v>42</v>
      </c>
      <c r="S59" s="8" t="s">
        <v>43</v>
      </c>
      <c r="T59" s="8" t="s">
        <v>43</v>
      </c>
      <c r="U59" s="8" t="s">
        <v>43</v>
      </c>
      <c r="V59" s="8" t="s">
        <v>44</v>
      </c>
      <c r="W59" s="8" t="s">
        <v>42</v>
      </c>
      <c r="X59" s="8" t="s">
        <v>42</v>
      </c>
      <c r="Y59" s="8" t="s">
        <v>42</v>
      </c>
      <c r="Z59" s="8" t="s">
        <v>44</v>
      </c>
      <c r="AA59" s="8" t="s">
        <v>44</v>
      </c>
      <c r="AB59" s="8" t="s">
        <v>44</v>
      </c>
    </row>
    <row r="60">
      <c r="A60" s="7">
        <v>45426.63350894676</v>
      </c>
      <c r="B60" s="8" t="s">
        <v>740</v>
      </c>
      <c r="C60" s="8" t="s">
        <v>741</v>
      </c>
      <c r="D60" s="8" t="s">
        <v>742</v>
      </c>
      <c r="E60" s="8" t="s">
        <v>742</v>
      </c>
      <c r="F60" s="8" t="s">
        <v>742</v>
      </c>
      <c r="G60" s="8" t="s">
        <v>743</v>
      </c>
      <c r="H60" s="8" t="s">
        <v>744</v>
      </c>
      <c r="I60" s="8" t="s">
        <v>745</v>
      </c>
      <c r="J60" s="8" t="s">
        <v>746</v>
      </c>
      <c r="K60" s="8" t="s">
        <v>745</v>
      </c>
      <c r="L60" s="8" t="s">
        <v>747</v>
      </c>
      <c r="M60" s="8" t="s">
        <v>103</v>
      </c>
      <c r="N60" s="8" t="s">
        <v>748</v>
      </c>
      <c r="O60" s="8" t="s">
        <v>749</v>
      </c>
      <c r="P60" s="8" t="s">
        <v>750</v>
      </c>
      <c r="Q60" s="8" t="s">
        <v>44</v>
      </c>
      <c r="R60" s="8" t="s">
        <v>44</v>
      </c>
      <c r="S60" s="8" t="s">
        <v>44</v>
      </c>
      <c r="T60" s="8" t="s">
        <v>44</v>
      </c>
      <c r="U60" s="8" t="s">
        <v>44</v>
      </c>
      <c r="V60" s="8" t="s">
        <v>44</v>
      </c>
      <c r="W60" s="8" t="s">
        <v>44</v>
      </c>
      <c r="X60" s="8" t="s">
        <v>44</v>
      </c>
      <c r="Y60" s="8" t="s">
        <v>44</v>
      </c>
      <c r="Z60" s="8" t="s">
        <v>44</v>
      </c>
      <c r="AA60" s="8" t="s">
        <v>44</v>
      </c>
      <c r="AB60" s="8" t="s">
        <v>44</v>
      </c>
      <c r="AC60" s="8" t="s">
        <v>103</v>
      </c>
    </row>
    <row r="61">
      <c r="A61" s="7">
        <v>45426.69003846065</v>
      </c>
      <c r="B61" s="8" t="s">
        <v>118</v>
      </c>
      <c r="C61" s="8" t="s">
        <v>751</v>
      </c>
      <c r="D61" s="8" t="s">
        <v>489</v>
      </c>
      <c r="E61" s="8" t="s">
        <v>752</v>
      </c>
      <c r="F61" s="8" t="s">
        <v>753</v>
      </c>
      <c r="G61" s="8" t="s">
        <v>754</v>
      </c>
      <c r="H61" s="8" t="s">
        <v>755</v>
      </c>
      <c r="I61" s="8" t="s">
        <v>756</v>
      </c>
      <c r="J61" s="8" t="s">
        <v>757</v>
      </c>
      <c r="K61" s="8" t="s">
        <v>455</v>
      </c>
      <c r="L61" s="8" t="s">
        <v>758</v>
      </c>
      <c r="M61" s="8" t="s">
        <v>759</v>
      </c>
      <c r="N61" s="8" t="s">
        <v>388</v>
      </c>
      <c r="O61" s="8" t="s">
        <v>760</v>
      </c>
      <c r="P61" s="8" t="s">
        <v>123</v>
      </c>
      <c r="Q61" s="8" t="s">
        <v>44</v>
      </c>
      <c r="R61" s="8" t="s">
        <v>58</v>
      </c>
      <c r="S61" s="8" t="s">
        <v>44</v>
      </c>
      <c r="T61" s="8" t="s">
        <v>44</v>
      </c>
      <c r="U61" s="8" t="s">
        <v>44</v>
      </c>
      <c r="V61" s="8" t="s">
        <v>44</v>
      </c>
      <c r="W61" s="8" t="s">
        <v>44</v>
      </c>
      <c r="X61" s="8" t="s">
        <v>44</v>
      </c>
      <c r="Y61" s="8" t="s">
        <v>44</v>
      </c>
      <c r="Z61" s="8" t="s">
        <v>44</v>
      </c>
      <c r="AA61" s="8" t="s">
        <v>42</v>
      </c>
      <c r="AB61" s="8" t="s">
        <v>44</v>
      </c>
    </row>
    <row r="62">
      <c r="A62" s="7">
        <v>45426.70095159722</v>
      </c>
      <c r="B62" s="8" t="s">
        <v>118</v>
      </c>
      <c r="C62" s="8" t="s">
        <v>761</v>
      </c>
      <c r="D62" s="8" t="s">
        <v>762</v>
      </c>
      <c r="E62" s="8" t="s">
        <v>763</v>
      </c>
      <c r="F62" s="8" t="s">
        <v>764</v>
      </c>
      <c r="G62" s="8" t="s">
        <v>765</v>
      </c>
      <c r="H62" s="8" t="s">
        <v>766</v>
      </c>
      <c r="I62" s="8" t="s">
        <v>767</v>
      </c>
      <c r="J62" s="8" t="s">
        <v>768</v>
      </c>
      <c r="K62" s="8" t="s">
        <v>769</v>
      </c>
      <c r="L62" s="8" t="s">
        <v>770</v>
      </c>
      <c r="M62" s="8" t="s">
        <v>103</v>
      </c>
      <c r="N62" s="8" t="s">
        <v>771</v>
      </c>
      <c r="O62" s="8" t="s">
        <v>772</v>
      </c>
      <c r="P62" s="8" t="s">
        <v>773</v>
      </c>
      <c r="Q62" s="8" t="s">
        <v>44</v>
      </c>
      <c r="R62" s="8" t="s">
        <v>43</v>
      </c>
      <c r="S62" s="8" t="s">
        <v>42</v>
      </c>
      <c r="T62" s="8" t="s">
        <v>44</v>
      </c>
      <c r="U62" s="8" t="s">
        <v>42</v>
      </c>
      <c r="V62" s="8" t="s">
        <v>43</v>
      </c>
      <c r="W62" s="8" t="s">
        <v>44</v>
      </c>
      <c r="X62" s="8" t="s">
        <v>43</v>
      </c>
      <c r="Y62" s="8" t="s">
        <v>42</v>
      </c>
      <c r="Z62" s="8" t="s">
        <v>42</v>
      </c>
      <c r="AA62" s="8" t="s">
        <v>43</v>
      </c>
      <c r="AB62" s="8" t="s">
        <v>43</v>
      </c>
    </row>
    <row r="63">
      <c r="A63" s="7">
        <v>45426.71017006945</v>
      </c>
      <c r="B63" s="8" t="s">
        <v>525</v>
      </c>
      <c r="C63" s="8" t="s">
        <v>774</v>
      </c>
      <c r="D63" s="8" t="s">
        <v>775</v>
      </c>
      <c r="E63" s="8" t="s">
        <v>776</v>
      </c>
      <c r="F63" s="8" t="s">
        <v>777</v>
      </c>
      <c r="G63" s="8" t="s">
        <v>436</v>
      </c>
      <c r="H63" s="8" t="s">
        <v>778</v>
      </c>
      <c r="I63" s="8" t="s">
        <v>779</v>
      </c>
      <c r="J63" s="8" t="s">
        <v>780</v>
      </c>
      <c r="K63" s="8" t="s">
        <v>781</v>
      </c>
      <c r="L63" s="8" t="s">
        <v>436</v>
      </c>
      <c r="M63" s="8" t="s">
        <v>782</v>
      </c>
      <c r="N63" s="8" t="s">
        <v>783</v>
      </c>
      <c r="O63" s="8" t="s">
        <v>436</v>
      </c>
      <c r="P63" s="8" t="s">
        <v>784</v>
      </c>
      <c r="Q63" s="8" t="s">
        <v>44</v>
      </c>
      <c r="R63" s="8" t="s">
        <v>44</v>
      </c>
      <c r="S63" s="8" t="s">
        <v>42</v>
      </c>
      <c r="T63" s="8" t="s">
        <v>44</v>
      </c>
      <c r="U63" s="8" t="s">
        <v>44</v>
      </c>
      <c r="V63" s="8" t="s">
        <v>44</v>
      </c>
      <c r="W63" s="8" t="s">
        <v>43</v>
      </c>
      <c r="X63" s="8" t="s">
        <v>43</v>
      </c>
      <c r="Y63" s="8" t="s">
        <v>43</v>
      </c>
      <c r="Z63" s="8" t="s">
        <v>58</v>
      </c>
      <c r="AA63" s="8" t="s">
        <v>58</v>
      </c>
      <c r="AB63" s="8" t="s">
        <v>44</v>
      </c>
    </row>
    <row r="64">
      <c r="A64" s="7">
        <v>45426.710965624996</v>
      </c>
      <c r="B64" s="8" t="s">
        <v>118</v>
      </c>
      <c r="C64" s="8" t="s">
        <v>785</v>
      </c>
      <c r="D64" s="8" t="s">
        <v>786</v>
      </c>
      <c r="E64" s="8" t="s">
        <v>787</v>
      </c>
      <c r="F64" s="8" t="s">
        <v>411</v>
      </c>
      <c r="G64" s="8" t="s">
        <v>788</v>
      </c>
      <c r="H64" s="8" t="s">
        <v>789</v>
      </c>
      <c r="I64" s="8" t="s">
        <v>592</v>
      </c>
      <c r="J64" s="8" t="s">
        <v>311</v>
      </c>
      <c r="K64" s="8" t="s">
        <v>790</v>
      </c>
      <c r="L64" s="8" t="s">
        <v>579</v>
      </c>
      <c r="M64" s="8" t="s">
        <v>791</v>
      </c>
      <c r="N64" s="8" t="s">
        <v>792</v>
      </c>
      <c r="O64" s="8" t="s">
        <v>793</v>
      </c>
      <c r="P64" s="8" t="s">
        <v>794</v>
      </c>
      <c r="Q64" s="8" t="s">
        <v>43</v>
      </c>
      <c r="R64" s="8" t="s">
        <v>43</v>
      </c>
      <c r="S64" s="8" t="s">
        <v>44</v>
      </c>
      <c r="T64" s="8" t="s">
        <v>43</v>
      </c>
      <c r="U64" s="8" t="s">
        <v>44</v>
      </c>
      <c r="V64" s="8" t="s">
        <v>44</v>
      </c>
      <c r="W64" s="8" t="s">
        <v>43</v>
      </c>
      <c r="X64" s="8" t="s">
        <v>43</v>
      </c>
      <c r="Y64" s="8" t="s">
        <v>44</v>
      </c>
      <c r="Z64" s="8" t="s">
        <v>44</v>
      </c>
      <c r="AA64" s="8" t="s">
        <v>43</v>
      </c>
      <c r="AB64" s="8" t="s">
        <v>44</v>
      </c>
    </row>
    <row r="65" hidden="1">
      <c r="A65" s="7">
        <v>45426.738793854165</v>
      </c>
      <c r="B65" s="8" t="s">
        <v>795</v>
      </c>
      <c r="C65" s="8" t="s">
        <v>796</v>
      </c>
      <c r="D65" s="8" t="s">
        <v>797</v>
      </c>
      <c r="E65" s="8" t="s">
        <v>798</v>
      </c>
      <c r="F65" s="8" t="s">
        <v>461</v>
      </c>
      <c r="G65" s="8" t="s">
        <v>799</v>
      </c>
      <c r="H65" s="8" t="s">
        <v>800</v>
      </c>
      <c r="I65" s="8" t="s">
        <v>251</v>
      </c>
      <c r="J65" s="8" t="s">
        <v>801</v>
      </c>
      <c r="K65" s="8" t="s">
        <v>461</v>
      </c>
      <c r="L65" s="8" t="s">
        <v>52</v>
      </c>
      <c r="M65" s="8" t="s">
        <v>103</v>
      </c>
      <c r="N65" s="8" t="s">
        <v>461</v>
      </c>
      <c r="O65" s="8" t="s">
        <v>802</v>
      </c>
      <c r="P65" s="8" t="s">
        <v>803</v>
      </c>
      <c r="Q65" s="8" t="s">
        <v>44</v>
      </c>
      <c r="R65" s="8" t="s">
        <v>44</v>
      </c>
      <c r="S65" s="8" t="s">
        <v>44</v>
      </c>
      <c r="T65" s="8" t="s">
        <v>87</v>
      </c>
      <c r="U65" s="8" t="s">
        <v>44</v>
      </c>
      <c r="V65" s="8" t="s">
        <v>44</v>
      </c>
      <c r="W65" s="8" t="s">
        <v>44</v>
      </c>
      <c r="X65" s="8" t="s">
        <v>44</v>
      </c>
      <c r="Y65" s="8" t="s">
        <v>44</v>
      </c>
      <c r="Z65" s="8" t="s">
        <v>43</v>
      </c>
      <c r="AA65" s="8" t="s">
        <v>43</v>
      </c>
      <c r="AB65" s="8" t="s">
        <v>58</v>
      </c>
    </row>
    <row r="66">
      <c r="A66" s="7">
        <v>45426.77619659722</v>
      </c>
      <c r="B66" s="8" t="s">
        <v>525</v>
      </c>
      <c r="C66" s="8" t="s">
        <v>804</v>
      </c>
      <c r="D66" s="8" t="s">
        <v>805</v>
      </c>
      <c r="E66" s="8" t="s">
        <v>806</v>
      </c>
      <c r="F66" s="8" t="s">
        <v>807</v>
      </c>
      <c r="G66" s="8" t="s">
        <v>808</v>
      </c>
      <c r="H66" s="8" t="s">
        <v>809</v>
      </c>
      <c r="I66" s="8" t="s">
        <v>810</v>
      </c>
      <c r="J66" s="8" t="s">
        <v>811</v>
      </c>
      <c r="K66" s="8" t="s">
        <v>812</v>
      </c>
      <c r="L66" s="8" t="s">
        <v>813</v>
      </c>
      <c r="M66" s="8" t="s">
        <v>814</v>
      </c>
      <c r="N66" s="8" t="s">
        <v>815</v>
      </c>
      <c r="O66" s="8" t="s">
        <v>234</v>
      </c>
      <c r="P66" s="8" t="s">
        <v>816</v>
      </c>
      <c r="Q66" s="8" t="s">
        <v>44</v>
      </c>
      <c r="R66" s="8" t="s">
        <v>44</v>
      </c>
      <c r="S66" s="8" t="s">
        <v>44</v>
      </c>
      <c r="T66" s="8" t="s">
        <v>44</v>
      </c>
      <c r="U66" s="8" t="s">
        <v>44</v>
      </c>
      <c r="V66" s="8" t="s">
        <v>44</v>
      </c>
      <c r="W66" s="8" t="s">
        <v>42</v>
      </c>
      <c r="X66" s="8" t="s">
        <v>44</v>
      </c>
      <c r="Y66" s="8" t="s">
        <v>44</v>
      </c>
      <c r="Z66" s="8" t="s">
        <v>58</v>
      </c>
      <c r="AA66" s="8" t="s">
        <v>58</v>
      </c>
      <c r="AB66" s="8" t="s">
        <v>44</v>
      </c>
      <c r="AC66" s="8" t="s">
        <v>817</v>
      </c>
    </row>
    <row r="67">
      <c r="A67" s="7">
        <v>45427.688765729166</v>
      </c>
      <c r="B67" s="8" t="s">
        <v>740</v>
      </c>
      <c r="C67" s="8" t="s">
        <v>818</v>
      </c>
      <c r="D67" s="8" t="s">
        <v>819</v>
      </c>
      <c r="E67" s="8" t="s">
        <v>820</v>
      </c>
      <c r="F67" s="8" t="s">
        <v>821</v>
      </c>
      <c r="G67" s="8" t="s">
        <v>822</v>
      </c>
      <c r="H67" s="8" t="s">
        <v>823</v>
      </c>
      <c r="I67" s="8" t="s">
        <v>824</v>
      </c>
      <c r="J67" s="8" t="s">
        <v>825</v>
      </c>
      <c r="K67" s="8" t="s">
        <v>826</v>
      </c>
      <c r="L67" s="8" t="s">
        <v>827</v>
      </c>
      <c r="M67" s="8" t="s">
        <v>224</v>
      </c>
      <c r="N67" s="8" t="s">
        <v>828</v>
      </c>
      <c r="O67" s="8" t="s">
        <v>234</v>
      </c>
      <c r="P67" s="8" t="s">
        <v>829</v>
      </c>
      <c r="Q67" s="8" t="s">
        <v>44</v>
      </c>
      <c r="R67" s="8" t="s">
        <v>44</v>
      </c>
      <c r="S67" s="8" t="s">
        <v>44</v>
      </c>
      <c r="T67" s="8" t="s">
        <v>44</v>
      </c>
      <c r="U67" s="8" t="s">
        <v>44</v>
      </c>
      <c r="V67" s="8" t="s">
        <v>44</v>
      </c>
      <c r="W67" s="8" t="s">
        <v>44</v>
      </c>
      <c r="X67" s="8" t="s">
        <v>44</v>
      </c>
      <c r="Y67" s="8" t="s">
        <v>44</v>
      </c>
      <c r="Z67" s="8" t="s">
        <v>44</v>
      </c>
      <c r="AA67" s="8" t="s">
        <v>44</v>
      </c>
      <c r="AB67" s="8" t="s">
        <v>44</v>
      </c>
    </row>
    <row r="68">
      <c r="A68" s="7">
        <v>45427.69323164352</v>
      </c>
      <c r="B68" s="8" t="s">
        <v>740</v>
      </c>
      <c r="C68" s="8" t="s">
        <v>830</v>
      </c>
      <c r="D68" s="8" t="s">
        <v>831</v>
      </c>
      <c r="E68" s="8" t="s">
        <v>832</v>
      </c>
      <c r="F68" s="8" t="s">
        <v>833</v>
      </c>
      <c r="G68" s="8" t="s">
        <v>834</v>
      </c>
      <c r="H68" s="8" t="s">
        <v>835</v>
      </c>
      <c r="I68" s="8" t="s">
        <v>836</v>
      </c>
      <c r="J68" s="8" t="s">
        <v>837</v>
      </c>
      <c r="K68" s="8" t="s">
        <v>838</v>
      </c>
      <c r="L68" s="8" t="s">
        <v>839</v>
      </c>
      <c r="M68" s="8" t="s">
        <v>116</v>
      </c>
      <c r="N68" s="8" t="s">
        <v>748</v>
      </c>
      <c r="O68" s="8" t="s">
        <v>116</v>
      </c>
      <c r="P68" s="8" t="s">
        <v>840</v>
      </c>
      <c r="Q68" s="8" t="s">
        <v>44</v>
      </c>
      <c r="R68" s="8" t="s">
        <v>44</v>
      </c>
      <c r="S68" s="8" t="s">
        <v>44</v>
      </c>
      <c r="T68" s="8" t="s">
        <v>44</v>
      </c>
      <c r="U68" s="8" t="s">
        <v>44</v>
      </c>
      <c r="V68" s="8" t="s">
        <v>44</v>
      </c>
      <c r="W68" s="8" t="s">
        <v>44</v>
      </c>
      <c r="X68" s="8" t="s">
        <v>44</v>
      </c>
      <c r="Y68" s="8" t="s">
        <v>44</v>
      </c>
      <c r="Z68" s="8" t="s">
        <v>44</v>
      </c>
      <c r="AA68" s="8" t="s">
        <v>44</v>
      </c>
      <c r="AB68" s="8" t="s">
        <v>44</v>
      </c>
    </row>
    <row r="69">
      <c r="A69" s="7">
        <v>45427.696903194446</v>
      </c>
      <c r="B69" s="8" t="s">
        <v>740</v>
      </c>
      <c r="C69" s="8" t="s">
        <v>841</v>
      </c>
      <c r="D69" s="8" t="s">
        <v>110</v>
      </c>
      <c r="E69" s="8" t="s">
        <v>842</v>
      </c>
      <c r="F69" s="8" t="s">
        <v>843</v>
      </c>
      <c r="G69" s="8" t="s">
        <v>486</v>
      </c>
      <c r="H69" s="8" t="s">
        <v>844</v>
      </c>
      <c r="I69" s="8" t="s">
        <v>845</v>
      </c>
      <c r="J69" s="8" t="s">
        <v>846</v>
      </c>
      <c r="K69" s="8" t="s">
        <v>847</v>
      </c>
      <c r="L69" s="8" t="s">
        <v>204</v>
      </c>
      <c r="M69" s="8" t="s">
        <v>848</v>
      </c>
      <c r="N69" s="8" t="s">
        <v>849</v>
      </c>
      <c r="O69" s="8" t="s">
        <v>579</v>
      </c>
      <c r="P69" s="8" t="s">
        <v>630</v>
      </c>
      <c r="Q69" s="8" t="s">
        <v>44</v>
      </c>
      <c r="R69" s="8" t="s">
        <v>44</v>
      </c>
      <c r="S69" s="8" t="s">
        <v>44</v>
      </c>
      <c r="T69" s="8" t="s">
        <v>44</v>
      </c>
      <c r="U69" s="8" t="s">
        <v>44</v>
      </c>
      <c r="V69" s="8" t="s">
        <v>44</v>
      </c>
      <c r="W69" s="8" t="s">
        <v>44</v>
      </c>
      <c r="X69" s="8" t="s">
        <v>44</v>
      </c>
      <c r="Y69" s="8" t="s">
        <v>44</v>
      </c>
      <c r="Z69" s="8" t="s">
        <v>44</v>
      </c>
      <c r="AA69" s="8" t="s">
        <v>44</v>
      </c>
      <c r="AB69" s="8" t="s">
        <v>44</v>
      </c>
    </row>
    <row r="70">
      <c r="A70" s="7">
        <v>45427.70129820602</v>
      </c>
      <c r="B70" s="8" t="s">
        <v>740</v>
      </c>
      <c r="C70" s="8" t="s">
        <v>850</v>
      </c>
      <c r="D70" s="8" t="s">
        <v>851</v>
      </c>
      <c r="E70" s="8" t="s">
        <v>852</v>
      </c>
      <c r="F70" s="8" t="s">
        <v>853</v>
      </c>
      <c r="G70" s="8" t="s">
        <v>854</v>
      </c>
      <c r="H70" s="8" t="s">
        <v>855</v>
      </c>
      <c r="I70" s="8" t="s">
        <v>856</v>
      </c>
      <c r="J70" s="8" t="s">
        <v>857</v>
      </c>
      <c r="K70" s="8" t="s">
        <v>858</v>
      </c>
      <c r="L70" s="8" t="s">
        <v>103</v>
      </c>
      <c r="M70" s="8" t="s">
        <v>103</v>
      </c>
      <c r="N70" s="8" t="s">
        <v>859</v>
      </c>
      <c r="O70" s="8" t="s">
        <v>103</v>
      </c>
      <c r="P70" s="8" t="s">
        <v>630</v>
      </c>
      <c r="Q70" s="8" t="s">
        <v>43</v>
      </c>
      <c r="R70" s="8" t="s">
        <v>43</v>
      </c>
      <c r="S70" s="8" t="s">
        <v>43</v>
      </c>
      <c r="T70" s="8" t="s">
        <v>43</v>
      </c>
      <c r="U70" s="8" t="s">
        <v>44</v>
      </c>
      <c r="V70" s="8" t="s">
        <v>44</v>
      </c>
      <c r="W70" s="8" t="s">
        <v>44</v>
      </c>
      <c r="X70" s="8" t="s">
        <v>43</v>
      </c>
      <c r="Y70" s="8" t="s">
        <v>44</v>
      </c>
      <c r="Z70" s="8" t="s">
        <v>44</v>
      </c>
      <c r="AA70" s="8" t="s">
        <v>43</v>
      </c>
      <c r="AB70" s="8" t="s">
        <v>43</v>
      </c>
    </row>
    <row r="71" hidden="1">
      <c r="A71" s="7">
        <v>45427.70769753472</v>
      </c>
      <c r="B71" s="8" t="s">
        <v>45</v>
      </c>
      <c r="C71" s="8" t="s">
        <v>860</v>
      </c>
      <c r="D71" s="8" t="s">
        <v>861</v>
      </c>
      <c r="E71" s="8" t="s">
        <v>862</v>
      </c>
      <c r="F71" s="8" t="s">
        <v>863</v>
      </c>
      <c r="G71" s="8" t="s">
        <v>864</v>
      </c>
      <c r="H71" s="8" t="s">
        <v>865</v>
      </c>
      <c r="I71" s="8" t="s">
        <v>866</v>
      </c>
      <c r="J71" s="8" t="s">
        <v>867</v>
      </c>
      <c r="K71" s="8" t="s">
        <v>868</v>
      </c>
      <c r="L71" s="8" t="s">
        <v>869</v>
      </c>
      <c r="M71" s="8" t="s">
        <v>870</v>
      </c>
      <c r="N71" s="8" t="s">
        <v>871</v>
      </c>
      <c r="O71" s="8" t="s">
        <v>872</v>
      </c>
      <c r="P71" s="8" t="s">
        <v>873</v>
      </c>
      <c r="Q71" s="8" t="s">
        <v>58</v>
      </c>
      <c r="R71" s="8" t="s">
        <v>58</v>
      </c>
      <c r="S71" s="8" t="s">
        <v>58</v>
      </c>
      <c r="T71" s="8" t="s">
        <v>42</v>
      </c>
      <c r="U71" s="8" t="s">
        <v>87</v>
      </c>
      <c r="V71" s="8" t="s">
        <v>87</v>
      </c>
      <c r="W71" s="8" t="s">
        <v>87</v>
      </c>
      <c r="X71" s="8" t="s">
        <v>87</v>
      </c>
      <c r="Y71" s="8" t="s">
        <v>58</v>
      </c>
      <c r="Z71" s="8" t="s">
        <v>44</v>
      </c>
      <c r="AA71" s="8" t="s">
        <v>42</v>
      </c>
      <c r="AB71" s="8" t="s">
        <v>87</v>
      </c>
      <c r="AC71" s="8" t="s">
        <v>874</v>
      </c>
    </row>
    <row r="72">
      <c r="A72" s="7">
        <v>45427.71153612269</v>
      </c>
      <c r="B72" s="8" t="s">
        <v>740</v>
      </c>
      <c r="C72" s="8" t="s">
        <v>875</v>
      </c>
      <c r="D72" s="8" t="s">
        <v>598</v>
      </c>
      <c r="E72" s="8" t="s">
        <v>876</v>
      </c>
      <c r="F72" s="8" t="s">
        <v>877</v>
      </c>
      <c r="G72" s="8" t="s">
        <v>878</v>
      </c>
      <c r="H72" s="8" t="s">
        <v>879</v>
      </c>
      <c r="I72" s="8" t="s">
        <v>880</v>
      </c>
      <c r="J72" s="8" t="s">
        <v>881</v>
      </c>
      <c r="K72" s="8" t="s">
        <v>882</v>
      </c>
      <c r="L72" s="8" t="s">
        <v>883</v>
      </c>
      <c r="M72" s="8" t="s">
        <v>307</v>
      </c>
      <c r="N72" s="8" t="s">
        <v>884</v>
      </c>
      <c r="O72" s="8" t="s">
        <v>307</v>
      </c>
      <c r="P72" s="8" t="s">
        <v>885</v>
      </c>
      <c r="Q72" s="8" t="s">
        <v>43</v>
      </c>
      <c r="R72" s="8" t="s">
        <v>43</v>
      </c>
      <c r="S72" s="8" t="s">
        <v>43</v>
      </c>
      <c r="T72" s="8" t="s">
        <v>43</v>
      </c>
      <c r="U72" s="8" t="s">
        <v>43</v>
      </c>
      <c r="V72" s="8" t="s">
        <v>44</v>
      </c>
      <c r="W72" s="8" t="s">
        <v>43</v>
      </c>
      <c r="X72" s="8" t="s">
        <v>44</v>
      </c>
      <c r="Y72" s="8" t="s">
        <v>44</v>
      </c>
      <c r="Z72" s="8" t="s">
        <v>42</v>
      </c>
      <c r="AA72" s="8" t="s">
        <v>43</v>
      </c>
      <c r="AB72" s="8" t="s">
        <v>44</v>
      </c>
    </row>
    <row r="73">
      <c r="A73" s="7">
        <v>45427.71414182871</v>
      </c>
      <c r="B73" s="8" t="s">
        <v>740</v>
      </c>
      <c r="C73" s="8" t="s">
        <v>886</v>
      </c>
      <c r="D73" s="8" t="s">
        <v>887</v>
      </c>
      <c r="E73" s="8" t="s">
        <v>888</v>
      </c>
      <c r="F73" s="8" t="s">
        <v>889</v>
      </c>
      <c r="G73" s="8" t="s">
        <v>890</v>
      </c>
      <c r="H73" s="8" t="s">
        <v>891</v>
      </c>
      <c r="I73" s="8" t="s">
        <v>892</v>
      </c>
      <c r="J73" s="8" t="s">
        <v>893</v>
      </c>
      <c r="L73" s="8" t="s">
        <v>889</v>
      </c>
      <c r="M73" s="8" t="s">
        <v>889</v>
      </c>
      <c r="O73" s="8" t="s">
        <v>889</v>
      </c>
      <c r="P73" s="8" t="s">
        <v>894</v>
      </c>
      <c r="Q73" s="8" t="s">
        <v>43</v>
      </c>
      <c r="R73" s="8" t="s">
        <v>43</v>
      </c>
      <c r="S73" s="8" t="s">
        <v>43</v>
      </c>
      <c r="T73" s="8" t="s">
        <v>43</v>
      </c>
      <c r="U73" s="8" t="s">
        <v>43</v>
      </c>
      <c r="V73" s="8" t="s">
        <v>43</v>
      </c>
      <c r="W73" s="8" t="s">
        <v>43</v>
      </c>
      <c r="X73" s="8" t="s">
        <v>43</v>
      </c>
      <c r="Y73" s="8" t="s">
        <v>43</v>
      </c>
      <c r="Z73" s="8" t="s">
        <v>43</v>
      </c>
      <c r="AA73" s="8" t="s">
        <v>43</v>
      </c>
      <c r="AB73" s="8" t="s">
        <v>43</v>
      </c>
    </row>
    <row r="74">
      <c r="A74" s="7">
        <v>45427.71958936343</v>
      </c>
      <c r="B74" s="8" t="s">
        <v>895</v>
      </c>
      <c r="C74" s="8" t="s">
        <v>896</v>
      </c>
      <c r="D74" s="8" t="s">
        <v>897</v>
      </c>
      <c r="E74" s="8" t="s">
        <v>898</v>
      </c>
      <c r="F74" s="8" t="s">
        <v>899</v>
      </c>
      <c r="G74" s="8" t="s">
        <v>900</v>
      </c>
      <c r="H74" s="8" t="s">
        <v>901</v>
      </c>
      <c r="I74" s="8" t="s">
        <v>902</v>
      </c>
      <c r="J74" s="8" t="s">
        <v>903</v>
      </c>
      <c r="K74" s="8" t="s">
        <v>902</v>
      </c>
      <c r="L74" s="8" t="s">
        <v>436</v>
      </c>
      <c r="M74" s="8" t="s">
        <v>103</v>
      </c>
      <c r="N74" s="8" t="s">
        <v>904</v>
      </c>
      <c r="O74" s="8" t="s">
        <v>436</v>
      </c>
      <c r="P74" s="8" t="s">
        <v>905</v>
      </c>
      <c r="Q74" s="8" t="s">
        <v>43</v>
      </c>
      <c r="R74" s="8" t="s">
        <v>43</v>
      </c>
      <c r="S74" s="8" t="s">
        <v>44</v>
      </c>
      <c r="T74" s="8" t="s">
        <v>43</v>
      </c>
      <c r="U74" s="8" t="s">
        <v>43</v>
      </c>
      <c r="V74" s="8" t="s">
        <v>43</v>
      </c>
      <c r="W74" s="8" t="s">
        <v>43</v>
      </c>
      <c r="X74" s="8" t="s">
        <v>43</v>
      </c>
      <c r="Y74" s="8" t="s">
        <v>43</v>
      </c>
      <c r="Z74" s="8" t="s">
        <v>43</v>
      </c>
      <c r="AA74" s="8" t="s">
        <v>43</v>
      </c>
      <c r="AB74" s="8" t="s">
        <v>43</v>
      </c>
    </row>
    <row r="75">
      <c r="A75" s="7">
        <v>45427.846943344906</v>
      </c>
      <c r="B75" s="8" t="s">
        <v>740</v>
      </c>
      <c r="C75" s="8" t="s">
        <v>906</v>
      </c>
      <c r="D75" s="8" t="s">
        <v>907</v>
      </c>
      <c r="E75" s="8" t="s">
        <v>908</v>
      </c>
      <c r="F75" s="8" t="s">
        <v>909</v>
      </c>
      <c r="G75" s="8" t="s">
        <v>910</v>
      </c>
      <c r="H75" s="8" t="s">
        <v>911</v>
      </c>
      <c r="I75" s="8" t="s">
        <v>573</v>
      </c>
      <c r="J75" s="8" t="s">
        <v>912</v>
      </c>
      <c r="K75" s="8" t="s">
        <v>913</v>
      </c>
      <c r="L75" s="8" t="s">
        <v>914</v>
      </c>
      <c r="M75" s="8" t="s">
        <v>103</v>
      </c>
      <c r="N75" s="8" t="s">
        <v>915</v>
      </c>
      <c r="O75" s="8" t="s">
        <v>103</v>
      </c>
      <c r="P75" s="8" t="s">
        <v>916</v>
      </c>
      <c r="Q75" s="8" t="s">
        <v>42</v>
      </c>
      <c r="R75" s="8" t="s">
        <v>42</v>
      </c>
      <c r="S75" s="8" t="s">
        <v>43</v>
      </c>
      <c r="T75" s="8" t="s">
        <v>43</v>
      </c>
      <c r="U75" s="8" t="s">
        <v>43</v>
      </c>
      <c r="V75" s="8" t="s">
        <v>43</v>
      </c>
      <c r="W75" s="8" t="s">
        <v>42</v>
      </c>
      <c r="X75" s="8" t="s">
        <v>43</v>
      </c>
      <c r="Y75" s="8" t="s">
        <v>43</v>
      </c>
      <c r="Z75" s="8" t="s">
        <v>44</v>
      </c>
      <c r="AA75" s="8" t="s">
        <v>44</v>
      </c>
      <c r="AB75" s="8" t="s">
        <v>44</v>
      </c>
    </row>
    <row r="76">
      <c r="A76" s="7">
        <v>45427.85060185185</v>
      </c>
      <c r="B76" s="8" t="s">
        <v>740</v>
      </c>
      <c r="C76" s="8" t="s">
        <v>917</v>
      </c>
      <c r="D76" s="8" t="s">
        <v>918</v>
      </c>
      <c r="E76" s="8" t="s">
        <v>919</v>
      </c>
      <c r="F76" s="8" t="s">
        <v>920</v>
      </c>
      <c r="G76" s="8" t="s">
        <v>921</v>
      </c>
      <c r="H76" s="8" t="s">
        <v>922</v>
      </c>
      <c r="I76" s="8" t="s">
        <v>923</v>
      </c>
      <c r="J76" s="8" t="s">
        <v>924</v>
      </c>
      <c r="K76" s="8" t="s">
        <v>925</v>
      </c>
      <c r="L76" s="8" t="s">
        <v>926</v>
      </c>
      <c r="M76" s="8" t="s">
        <v>927</v>
      </c>
      <c r="N76" s="8" t="s">
        <v>928</v>
      </c>
      <c r="O76" s="8" t="s">
        <v>103</v>
      </c>
      <c r="P76" s="8" t="s">
        <v>929</v>
      </c>
      <c r="Q76" s="8" t="s">
        <v>44</v>
      </c>
      <c r="R76" s="8" t="s">
        <v>44</v>
      </c>
      <c r="S76" s="8" t="s">
        <v>44</v>
      </c>
      <c r="T76" s="8" t="s">
        <v>44</v>
      </c>
      <c r="U76" s="8" t="s">
        <v>44</v>
      </c>
      <c r="V76" s="8" t="s">
        <v>44</v>
      </c>
      <c r="W76" s="8" t="s">
        <v>44</v>
      </c>
      <c r="X76" s="8" t="s">
        <v>44</v>
      </c>
      <c r="Y76" s="8" t="s">
        <v>44</v>
      </c>
      <c r="Z76" s="8" t="s">
        <v>44</v>
      </c>
      <c r="AA76" s="8" t="s">
        <v>44</v>
      </c>
      <c r="AB76" s="8" t="s">
        <v>44</v>
      </c>
    </row>
    <row r="77">
      <c r="A77" s="7">
        <v>45428.759410300925</v>
      </c>
      <c r="B77" s="8" t="s">
        <v>795</v>
      </c>
      <c r="C77" s="8" t="s">
        <v>930</v>
      </c>
      <c r="D77" s="8" t="s">
        <v>931</v>
      </c>
      <c r="E77" s="8" t="s">
        <v>415</v>
      </c>
      <c r="F77" s="8" t="s">
        <v>932</v>
      </c>
      <c r="G77" s="8" t="s">
        <v>933</v>
      </c>
      <c r="H77" s="8" t="s">
        <v>934</v>
      </c>
      <c r="I77" s="8" t="s">
        <v>935</v>
      </c>
      <c r="J77" s="8" t="s">
        <v>415</v>
      </c>
      <c r="K77" s="8" t="s">
        <v>936</v>
      </c>
      <c r="L77" s="8" t="s">
        <v>937</v>
      </c>
      <c r="M77" s="8" t="s">
        <v>938</v>
      </c>
      <c r="N77" s="8" t="s">
        <v>939</v>
      </c>
      <c r="O77" s="8" t="s">
        <v>940</v>
      </c>
      <c r="P77" s="8" t="s">
        <v>941</v>
      </c>
      <c r="Q77" s="8" t="s">
        <v>43</v>
      </c>
      <c r="R77" s="8" t="s">
        <v>43</v>
      </c>
      <c r="S77" s="8" t="s">
        <v>44</v>
      </c>
      <c r="T77" s="8" t="s">
        <v>42</v>
      </c>
      <c r="U77" s="8" t="s">
        <v>43</v>
      </c>
      <c r="V77" s="8" t="s">
        <v>43</v>
      </c>
      <c r="W77" s="8" t="s">
        <v>44</v>
      </c>
      <c r="X77" s="8" t="s">
        <v>44</v>
      </c>
      <c r="Y77" s="8" t="s">
        <v>43</v>
      </c>
      <c r="Z77" s="8" t="s">
        <v>42</v>
      </c>
      <c r="AA77" s="8" t="s">
        <v>42</v>
      </c>
      <c r="AB77" s="8" t="s">
        <v>44</v>
      </c>
    </row>
    <row r="78">
      <c r="A78" s="7">
        <v>45428.77653440972</v>
      </c>
      <c r="B78" s="8" t="s">
        <v>118</v>
      </c>
      <c r="C78" s="8" t="s">
        <v>942</v>
      </c>
      <c r="D78" s="8" t="s">
        <v>943</v>
      </c>
      <c r="E78" s="8" t="s">
        <v>944</v>
      </c>
      <c r="F78" s="8" t="s">
        <v>945</v>
      </c>
      <c r="G78" s="8" t="s">
        <v>52</v>
      </c>
      <c r="H78" s="8" t="s">
        <v>946</v>
      </c>
      <c r="I78" s="8" t="s">
        <v>947</v>
      </c>
      <c r="J78" s="8" t="s">
        <v>251</v>
      </c>
      <c r="K78" s="8" t="s">
        <v>203</v>
      </c>
      <c r="L78" s="8" t="s">
        <v>413</v>
      </c>
      <c r="M78" s="8" t="s">
        <v>948</v>
      </c>
      <c r="N78" s="8" t="s">
        <v>52</v>
      </c>
      <c r="O78" s="8" t="s">
        <v>590</v>
      </c>
      <c r="P78" s="8" t="s">
        <v>123</v>
      </c>
      <c r="Q78" s="8" t="s">
        <v>44</v>
      </c>
      <c r="R78" s="8" t="s">
        <v>44</v>
      </c>
      <c r="S78" s="8" t="s">
        <v>44</v>
      </c>
      <c r="T78" s="8" t="s">
        <v>44</v>
      </c>
      <c r="U78" s="8" t="s">
        <v>58</v>
      </c>
      <c r="V78" s="8" t="s">
        <v>44</v>
      </c>
      <c r="W78" s="8" t="s">
        <v>42</v>
      </c>
      <c r="X78" s="8" t="s">
        <v>44</v>
      </c>
      <c r="Y78" s="8" t="s">
        <v>42</v>
      </c>
      <c r="Z78" s="8" t="s">
        <v>44</v>
      </c>
      <c r="AA78" s="8" t="s">
        <v>44</v>
      </c>
      <c r="AB78" s="8" t="s">
        <v>44</v>
      </c>
    </row>
    <row r="79">
      <c r="A79" s="7">
        <v>45432.70580471065</v>
      </c>
      <c r="B79" s="8" t="s">
        <v>949</v>
      </c>
      <c r="C79" s="8" t="s">
        <v>950</v>
      </c>
      <c r="D79" s="8" t="s">
        <v>951</v>
      </c>
      <c r="E79" s="8" t="s">
        <v>952</v>
      </c>
      <c r="F79" s="8" t="s">
        <v>953</v>
      </c>
      <c r="G79" s="8" t="s">
        <v>954</v>
      </c>
      <c r="H79" s="8" t="s">
        <v>955</v>
      </c>
      <c r="I79" s="8" t="s">
        <v>956</v>
      </c>
      <c r="J79" s="8" t="s">
        <v>957</v>
      </c>
      <c r="K79" s="8" t="s">
        <v>958</v>
      </c>
      <c r="L79" s="8" t="s">
        <v>959</v>
      </c>
      <c r="M79" s="8" t="s">
        <v>960</v>
      </c>
      <c r="N79" s="8" t="s">
        <v>961</v>
      </c>
      <c r="O79" s="8" t="s">
        <v>962</v>
      </c>
      <c r="P79" s="8" t="s">
        <v>963</v>
      </c>
      <c r="Q79" s="8" t="s">
        <v>43</v>
      </c>
      <c r="R79" s="8" t="s">
        <v>42</v>
      </c>
      <c r="S79" s="8" t="s">
        <v>42</v>
      </c>
      <c r="T79" s="8" t="s">
        <v>44</v>
      </c>
      <c r="U79" s="8" t="s">
        <v>43</v>
      </c>
      <c r="V79" s="8" t="s">
        <v>43</v>
      </c>
      <c r="W79" s="8" t="s">
        <v>44</v>
      </c>
      <c r="X79" s="8" t="s">
        <v>42</v>
      </c>
      <c r="Y79" s="8" t="s">
        <v>43</v>
      </c>
      <c r="Z79" s="8" t="s">
        <v>42</v>
      </c>
      <c r="AA79" s="8" t="s">
        <v>42</v>
      </c>
      <c r="AB79" s="8" t="s">
        <v>44</v>
      </c>
    </row>
    <row r="80" hidden="1">
      <c r="A80" s="7">
        <v>45432.70680608797</v>
      </c>
      <c r="B80" s="8" t="s">
        <v>949</v>
      </c>
      <c r="C80" s="8" t="s">
        <v>964</v>
      </c>
      <c r="D80" s="8" t="s">
        <v>965</v>
      </c>
      <c r="E80" s="8" t="s">
        <v>966</v>
      </c>
      <c r="F80" s="8" t="s">
        <v>967</v>
      </c>
      <c r="G80" s="8" t="s">
        <v>968</v>
      </c>
      <c r="H80" s="8" t="s">
        <v>969</v>
      </c>
      <c r="I80" s="8" t="s">
        <v>970</v>
      </c>
      <c r="J80" s="8" t="s">
        <v>971</v>
      </c>
      <c r="K80" s="8" t="s">
        <v>972</v>
      </c>
      <c r="L80" s="8" t="s">
        <v>253</v>
      </c>
      <c r="M80" s="8" t="s">
        <v>224</v>
      </c>
      <c r="N80" s="8" t="s">
        <v>973</v>
      </c>
      <c r="O80" s="8" t="s">
        <v>469</v>
      </c>
      <c r="P80" s="8" t="s">
        <v>974</v>
      </c>
      <c r="Q80" s="8" t="s">
        <v>44</v>
      </c>
      <c r="R80" s="8" t="s">
        <v>42</v>
      </c>
      <c r="S80" s="8" t="s">
        <v>43</v>
      </c>
      <c r="T80" s="8" t="s">
        <v>42</v>
      </c>
      <c r="U80" s="8" t="s">
        <v>44</v>
      </c>
      <c r="V80" s="8" t="s">
        <v>42</v>
      </c>
      <c r="W80" s="8" t="s">
        <v>43</v>
      </c>
      <c r="X80" s="8" t="s">
        <v>58</v>
      </c>
      <c r="Y80" s="8" t="s">
        <v>43</v>
      </c>
      <c r="Z80" s="8" t="s">
        <v>87</v>
      </c>
      <c r="AA80" s="8" t="s">
        <v>43</v>
      </c>
      <c r="AB80" s="8" t="s">
        <v>42</v>
      </c>
      <c r="AC80" s="8" t="s">
        <v>307</v>
      </c>
    </row>
    <row r="81">
      <c r="A81" s="7">
        <v>45432.71706263889</v>
      </c>
      <c r="B81" s="8" t="s">
        <v>45</v>
      </c>
      <c r="C81" s="8" t="s">
        <v>975</v>
      </c>
      <c r="D81" s="8" t="s">
        <v>976</v>
      </c>
      <c r="E81" s="8" t="s">
        <v>977</v>
      </c>
      <c r="F81" s="8" t="s">
        <v>978</v>
      </c>
      <c r="G81" s="8" t="s">
        <v>979</v>
      </c>
      <c r="H81" s="8" t="s">
        <v>980</v>
      </c>
      <c r="I81" s="8" t="s">
        <v>981</v>
      </c>
      <c r="J81" s="8" t="s">
        <v>982</v>
      </c>
      <c r="K81" s="8" t="s">
        <v>983</v>
      </c>
      <c r="L81" s="8" t="s">
        <v>984</v>
      </c>
      <c r="M81" s="8" t="s">
        <v>985</v>
      </c>
      <c r="N81" s="8" t="s">
        <v>986</v>
      </c>
      <c r="O81" s="8" t="s">
        <v>987</v>
      </c>
      <c r="P81" s="8" t="s">
        <v>988</v>
      </c>
      <c r="Q81" s="8" t="s">
        <v>44</v>
      </c>
      <c r="R81" s="8" t="s">
        <v>44</v>
      </c>
      <c r="S81" s="8" t="s">
        <v>43</v>
      </c>
      <c r="T81" s="8" t="s">
        <v>44</v>
      </c>
      <c r="U81" s="8" t="s">
        <v>44</v>
      </c>
      <c r="V81" s="8" t="s">
        <v>44</v>
      </c>
      <c r="W81" s="8" t="s">
        <v>42</v>
      </c>
      <c r="X81" s="8" t="s">
        <v>42</v>
      </c>
      <c r="Y81" s="8" t="s">
        <v>44</v>
      </c>
      <c r="Z81" s="8" t="s">
        <v>44</v>
      </c>
      <c r="AA81" s="8" t="s">
        <v>43</v>
      </c>
      <c r="AB81" s="8" t="s">
        <v>44</v>
      </c>
    </row>
    <row r="82" hidden="1">
      <c r="A82" s="7">
        <v>45432.76405684028</v>
      </c>
      <c r="B82" s="8" t="s">
        <v>949</v>
      </c>
      <c r="D82" s="8" t="s">
        <v>989</v>
      </c>
      <c r="H82" s="8" t="s">
        <v>990</v>
      </c>
      <c r="K82" s="8" t="s">
        <v>991</v>
      </c>
      <c r="N82" s="8" t="s">
        <v>992</v>
      </c>
      <c r="Q82" s="8" t="s">
        <v>44</v>
      </c>
      <c r="R82" s="8" t="s">
        <v>44</v>
      </c>
      <c r="S82" s="8" t="s">
        <v>44</v>
      </c>
      <c r="T82" s="8" t="s">
        <v>44</v>
      </c>
      <c r="U82" s="8" t="s">
        <v>44</v>
      </c>
      <c r="V82" s="8" t="s">
        <v>44</v>
      </c>
      <c r="W82" s="8" t="s">
        <v>42</v>
      </c>
    </row>
    <row r="83">
      <c r="A83" s="7">
        <v>45432.76554533565</v>
      </c>
      <c r="B83" s="8" t="s">
        <v>949</v>
      </c>
      <c r="C83" s="8" t="s">
        <v>993</v>
      </c>
      <c r="D83" s="8" t="s">
        <v>405</v>
      </c>
      <c r="E83" s="8" t="s">
        <v>123</v>
      </c>
      <c r="F83" s="8" t="s">
        <v>579</v>
      </c>
      <c r="G83" s="8" t="s">
        <v>994</v>
      </c>
      <c r="H83" s="8" t="s">
        <v>176</v>
      </c>
      <c r="I83" s="8" t="s">
        <v>995</v>
      </c>
      <c r="J83" s="8" t="s">
        <v>405</v>
      </c>
      <c r="K83" s="8" t="s">
        <v>251</v>
      </c>
      <c r="L83" s="8" t="s">
        <v>996</v>
      </c>
      <c r="M83" s="8" t="s">
        <v>997</v>
      </c>
      <c r="N83" s="8" t="s">
        <v>995</v>
      </c>
      <c r="O83" s="8" t="s">
        <v>998</v>
      </c>
      <c r="P83" s="8" t="s">
        <v>999</v>
      </c>
      <c r="Q83" s="8" t="s">
        <v>44</v>
      </c>
      <c r="R83" s="8" t="s">
        <v>44</v>
      </c>
      <c r="S83" s="8" t="s">
        <v>43</v>
      </c>
      <c r="T83" s="8" t="s">
        <v>43</v>
      </c>
      <c r="U83" s="8" t="s">
        <v>44</v>
      </c>
      <c r="V83" s="8" t="s">
        <v>44</v>
      </c>
      <c r="W83" s="8" t="s">
        <v>44</v>
      </c>
      <c r="X83" s="8" t="s">
        <v>43</v>
      </c>
      <c r="Y83" s="8" t="s">
        <v>44</v>
      </c>
      <c r="Z83" s="8" t="s">
        <v>42</v>
      </c>
      <c r="AA83" s="8" t="s">
        <v>44</v>
      </c>
      <c r="AB83" s="8" t="s">
        <v>44</v>
      </c>
    </row>
    <row r="84">
      <c r="A84" s="7">
        <v>45433.67775212963</v>
      </c>
      <c r="B84" s="8" t="s">
        <v>283</v>
      </c>
      <c r="C84" s="8" t="s">
        <v>1000</v>
      </c>
      <c r="D84" s="8" t="s">
        <v>1001</v>
      </c>
      <c r="E84" s="8" t="s">
        <v>1002</v>
      </c>
      <c r="F84" s="8" t="s">
        <v>1003</v>
      </c>
      <c r="G84" s="8" t="s">
        <v>1004</v>
      </c>
      <c r="H84" s="8" t="s">
        <v>1005</v>
      </c>
      <c r="I84" s="8" t="s">
        <v>1006</v>
      </c>
      <c r="J84" s="8" t="s">
        <v>466</v>
      </c>
      <c r="K84" s="8" t="s">
        <v>1007</v>
      </c>
      <c r="L84" s="8" t="s">
        <v>1008</v>
      </c>
      <c r="M84" s="8" t="s">
        <v>216</v>
      </c>
      <c r="N84" s="8" t="s">
        <v>1009</v>
      </c>
      <c r="P84" s="8" t="s">
        <v>1010</v>
      </c>
      <c r="Q84" s="8" t="s">
        <v>44</v>
      </c>
      <c r="R84" s="8" t="s">
        <v>44</v>
      </c>
      <c r="S84" s="8" t="s">
        <v>58</v>
      </c>
      <c r="T84" s="8" t="s">
        <v>43</v>
      </c>
      <c r="U84" s="8" t="s">
        <v>44</v>
      </c>
      <c r="V84" s="8" t="s">
        <v>44</v>
      </c>
      <c r="W84" s="8" t="s">
        <v>44</v>
      </c>
      <c r="X84" s="8" t="s">
        <v>44</v>
      </c>
      <c r="Y84" s="8" t="s">
        <v>44</v>
      </c>
      <c r="Z84" s="8" t="s">
        <v>43</v>
      </c>
      <c r="AA84" s="8" t="s">
        <v>43</v>
      </c>
      <c r="AB84" s="8" t="s">
        <v>43</v>
      </c>
    </row>
    <row r="85" hidden="1">
      <c r="A85" s="7">
        <v>45433.73129715278</v>
      </c>
      <c r="B85" s="8" t="s">
        <v>1011</v>
      </c>
      <c r="C85" s="8" t="s">
        <v>1012</v>
      </c>
      <c r="D85" s="8" t="s">
        <v>1013</v>
      </c>
      <c r="E85" s="8" t="s">
        <v>1014</v>
      </c>
      <c r="F85" s="8" t="s">
        <v>1015</v>
      </c>
      <c r="G85" s="8" t="s">
        <v>1016</v>
      </c>
      <c r="H85" s="8" t="s">
        <v>1017</v>
      </c>
      <c r="I85" s="8" t="s">
        <v>1018</v>
      </c>
      <c r="J85" s="8" t="s">
        <v>1019</v>
      </c>
      <c r="K85" s="8" t="s">
        <v>1020</v>
      </c>
      <c r="L85" s="8" t="s">
        <v>224</v>
      </c>
      <c r="M85" s="8" t="s">
        <v>224</v>
      </c>
      <c r="N85" s="8" t="s">
        <v>1021</v>
      </c>
      <c r="P85" s="8" t="s">
        <v>1022</v>
      </c>
      <c r="Q85" s="8" t="s">
        <v>44</v>
      </c>
      <c r="R85" s="8" t="s">
        <v>43</v>
      </c>
      <c r="S85" s="8" t="s">
        <v>44</v>
      </c>
      <c r="T85" s="8" t="s">
        <v>43</v>
      </c>
      <c r="U85" s="8" t="s">
        <v>44</v>
      </c>
      <c r="V85" s="8" t="s">
        <v>44</v>
      </c>
      <c r="W85" s="8" t="s">
        <v>44</v>
      </c>
      <c r="X85" s="8" t="s">
        <v>43</v>
      </c>
      <c r="Y85" s="8" t="s">
        <v>44</v>
      </c>
      <c r="Z85" s="8" t="s">
        <v>44</v>
      </c>
      <c r="AA85" s="8" t="s">
        <v>44</v>
      </c>
      <c r="AB85" s="8" t="s">
        <v>42</v>
      </c>
      <c r="AC85" s="8" t="s">
        <v>1023</v>
      </c>
    </row>
    <row r="86">
      <c r="A86" s="7">
        <v>45433.756993206014</v>
      </c>
      <c r="B86" s="8" t="s">
        <v>949</v>
      </c>
      <c r="C86" s="8" t="s">
        <v>1024</v>
      </c>
      <c r="D86" s="8" t="s">
        <v>1025</v>
      </c>
      <c r="E86" s="8" t="s">
        <v>1026</v>
      </c>
      <c r="F86" s="8" t="s">
        <v>1027</v>
      </c>
      <c r="G86" s="8" t="s">
        <v>1028</v>
      </c>
      <c r="H86" s="8" t="s">
        <v>1029</v>
      </c>
      <c r="I86" s="8" t="s">
        <v>1030</v>
      </c>
      <c r="J86" s="8" t="s">
        <v>1031</v>
      </c>
      <c r="K86" s="8" t="s">
        <v>1032</v>
      </c>
      <c r="L86" s="8" t="s">
        <v>1033</v>
      </c>
      <c r="M86" s="8" t="s">
        <v>234</v>
      </c>
      <c r="N86" s="8" t="s">
        <v>1034</v>
      </c>
      <c r="O86" s="8" t="s">
        <v>1035</v>
      </c>
      <c r="P86" s="8" t="s">
        <v>1036</v>
      </c>
      <c r="Q86" s="8" t="s">
        <v>44</v>
      </c>
      <c r="R86" s="8" t="s">
        <v>44</v>
      </c>
      <c r="S86" s="8" t="s">
        <v>44</v>
      </c>
      <c r="T86" s="8" t="s">
        <v>43</v>
      </c>
      <c r="U86" s="8" t="s">
        <v>44</v>
      </c>
      <c r="V86" s="8" t="s">
        <v>44</v>
      </c>
      <c r="W86" s="8" t="s">
        <v>43</v>
      </c>
      <c r="X86" s="8" t="s">
        <v>42</v>
      </c>
      <c r="Y86" s="8" t="s">
        <v>44</v>
      </c>
      <c r="Z86" s="8" t="s">
        <v>44</v>
      </c>
      <c r="AA86" s="8" t="s">
        <v>44</v>
      </c>
      <c r="AB86" s="8" t="s">
        <v>44</v>
      </c>
    </row>
    <row r="87">
      <c r="A87" s="7">
        <v>45433.7674616088</v>
      </c>
      <c r="B87" s="8" t="s">
        <v>795</v>
      </c>
      <c r="C87" s="8" t="s">
        <v>1037</v>
      </c>
      <c r="D87" s="8" t="s">
        <v>1038</v>
      </c>
      <c r="E87" s="8" t="s">
        <v>1039</v>
      </c>
      <c r="F87" s="8" t="s">
        <v>1040</v>
      </c>
      <c r="G87" s="8" t="s">
        <v>1041</v>
      </c>
      <c r="H87" s="8" t="s">
        <v>1042</v>
      </c>
      <c r="I87" s="8" t="s">
        <v>1043</v>
      </c>
      <c r="J87" s="8" t="s">
        <v>1044</v>
      </c>
      <c r="K87" s="8" t="s">
        <v>1045</v>
      </c>
      <c r="L87" s="8" t="s">
        <v>1046</v>
      </c>
      <c r="M87" s="8" t="s">
        <v>1047</v>
      </c>
      <c r="N87" s="8" t="s">
        <v>1048</v>
      </c>
      <c r="O87" s="8" t="s">
        <v>52</v>
      </c>
      <c r="P87" s="8" t="s">
        <v>1049</v>
      </c>
      <c r="Q87" s="8" t="s">
        <v>44</v>
      </c>
      <c r="R87" s="8" t="s">
        <v>43</v>
      </c>
      <c r="S87" s="8" t="s">
        <v>43</v>
      </c>
      <c r="T87" s="8" t="s">
        <v>42</v>
      </c>
      <c r="U87" s="8" t="s">
        <v>44</v>
      </c>
      <c r="V87" s="8" t="s">
        <v>44</v>
      </c>
      <c r="W87" s="8" t="s">
        <v>44</v>
      </c>
      <c r="X87" s="8" t="s">
        <v>87</v>
      </c>
      <c r="Y87" s="8" t="s">
        <v>44</v>
      </c>
      <c r="Z87" s="8" t="s">
        <v>44</v>
      </c>
      <c r="AA87" s="8" t="s">
        <v>42</v>
      </c>
      <c r="AB87" s="8" t="s">
        <v>44</v>
      </c>
    </row>
    <row r="88">
      <c r="A88" s="7">
        <v>45433.77433390047</v>
      </c>
      <c r="B88" s="8" t="s">
        <v>949</v>
      </c>
      <c r="C88" s="8" t="s">
        <v>1050</v>
      </c>
      <c r="D88" s="8" t="s">
        <v>390</v>
      </c>
      <c r="E88" s="8" t="s">
        <v>1051</v>
      </c>
      <c r="F88" s="8" t="s">
        <v>390</v>
      </c>
      <c r="G88" s="8" t="s">
        <v>224</v>
      </c>
      <c r="H88" s="8" t="s">
        <v>1052</v>
      </c>
      <c r="I88" s="8" t="s">
        <v>1053</v>
      </c>
      <c r="J88" s="8" t="s">
        <v>311</v>
      </c>
      <c r="L88" s="8" t="s">
        <v>1054</v>
      </c>
      <c r="M88" s="8" t="s">
        <v>1055</v>
      </c>
      <c r="N88" s="8" t="s">
        <v>1056</v>
      </c>
      <c r="O88" s="8" t="s">
        <v>1057</v>
      </c>
      <c r="P88" s="8" t="s">
        <v>1058</v>
      </c>
      <c r="Q88" s="8" t="s">
        <v>44</v>
      </c>
      <c r="R88" s="8" t="s">
        <v>44</v>
      </c>
      <c r="S88" s="8" t="s">
        <v>44</v>
      </c>
      <c r="T88" s="8" t="s">
        <v>44</v>
      </c>
      <c r="U88" s="8" t="s">
        <v>44</v>
      </c>
      <c r="V88" s="8" t="s">
        <v>44</v>
      </c>
      <c r="W88" s="8" t="s">
        <v>44</v>
      </c>
      <c r="X88" s="8" t="s">
        <v>44</v>
      </c>
      <c r="Y88" s="8" t="s">
        <v>44</v>
      </c>
      <c r="Z88" s="8" t="s">
        <v>44</v>
      </c>
      <c r="AA88" s="8" t="s">
        <v>44</v>
      </c>
      <c r="AB88" s="8" t="s">
        <v>44</v>
      </c>
    </row>
    <row r="89">
      <c r="A89" s="7">
        <v>45434.71482284722</v>
      </c>
      <c r="B89" s="8" t="s">
        <v>949</v>
      </c>
      <c r="C89" s="8" t="s">
        <v>1059</v>
      </c>
      <c r="D89" s="8" t="s">
        <v>1060</v>
      </c>
      <c r="E89" s="8" t="s">
        <v>1061</v>
      </c>
      <c r="F89" s="8" t="s">
        <v>1062</v>
      </c>
      <c r="G89" s="8" t="s">
        <v>1063</v>
      </c>
      <c r="H89" s="8" t="s">
        <v>1064</v>
      </c>
      <c r="I89" s="8" t="s">
        <v>1065</v>
      </c>
      <c r="J89" s="8" t="s">
        <v>1066</v>
      </c>
      <c r="K89" s="8" t="s">
        <v>1067</v>
      </c>
      <c r="L89" s="8" t="s">
        <v>1068</v>
      </c>
      <c r="M89" s="8" t="s">
        <v>1069</v>
      </c>
      <c r="N89" s="8" t="s">
        <v>1070</v>
      </c>
      <c r="O89" s="8" t="s">
        <v>1071</v>
      </c>
      <c r="P89" s="8" t="s">
        <v>1072</v>
      </c>
      <c r="Q89" s="8" t="s">
        <v>44</v>
      </c>
      <c r="R89" s="8" t="s">
        <v>44</v>
      </c>
      <c r="S89" s="8" t="s">
        <v>44</v>
      </c>
      <c r="T89" s="8" t="s">
        <v>44</v>
      </c>
      <c r="U89" s="8" t="s">
        <v>44</v>
      </c>
      <c r="V89" s="8" t="s">
        <v>44</v>
      </c>
      <c r="W89" s="8" t="s">
        <v>44</v>
      </c>
      <c r="X89" s="8" t="s">
        <v>44</v>
      </c>
      <c r="Y89" s="8" t="s">
        <v>44</v>
      </c>
      <c r="Z89" s="8" t="s">
        <v>44</v>
      </c>
      <c r="AA89" s="8" t="s">
        <v>44</v>
      </c>
      <c r="AB89" s="8" t="s">
        <v>44</v>
      </c>
      <c r="AC89" s="8" t="s">
        <v>1073</v>
      </c>
    </row>
    <row r="90">
      <c r="A90" s="7">
        <v>45434.74891148148</v>
      </c>
      <c r="B90" s="8" t="s">
        <v>949</v>
      </c>
      <c r="C90" s="8" t="s">
        <v>1074</v>
      </c>
      <c r="D90" s="8" t="s">
        <v>317</v>
      </c>
      <c r="E90" s="8" t="s">
        <v>1075</v>
      </c>
      <c r="F90" s="8" t="s">
        <v>1076</v>
      </c>
      <c r="G90" s="8" t="s">
        <v>1077</v>
      </c>
      <c r="H90" s="8" t="s">
        <v>1078</v>
      </c>
      <c r="I90" s="8" t="s">
        <v>1079</v>
      </c>
      <c r="J90" s="8" t="s">
        <v>1080</v>
      </c>
      <c r="K90" s="8" t="s">
        <v>1081</v>
      </c>
      <c r="L90" s="8" t="s">
        <v>1082</v>
      </c>
      <c r="M90" s="8" t="s">
        <v>641</v>
      </c>
      <c r="N90" s="8" t="s">
        <v>1083</v>
      </c>
      <c r="O90" s="8" t="s">
        <v>224</v>
      </c>
      <c r="P90" s="8" t="s">
        <v>1084</v>
      </c>
      <c r="Q90" s="8" t="s">
        <v>44</v>
      </c>
      <c r="R90" s="8" t="s">
        <v>43</v>
      </c>
      <c r="S90" s="8" t="s">
        <v>44</v>
      </c>
      <c r="T90" s="8" t="s">
        <v>44</v>
      </c>
      <c r="U90" s="8" t="s">
        <v>44</v>
      </c>
      <c r="V90" s="8" t="s">
        <v>44</v>
      </c>
      <c r="W90" s="8" t="s">
        <v>44</v>
      </c>
      <c r="X90" s="8" t="s">
        <v>44</v>
      </c>
      <c r="Y90" s="8" t="s">
        <v>44</v>
      </c>
      <c r="Z90" s="8" t="s">
        <v>44</v>
      </c>
      <c r="AA90" s="8" t="s">
        <v>44</v>
      </c>
      <c r="AB90" s="8" t="s">
        <v>44</v>
      </c>
    </row>
    <row r="91">
      <c r="A91" s="7">
        <v>45434.74989894676</v>
      </c>
      <c r="B91" s="8" t="s">
        <v>949</v>
      </c>
      <c r="C91" s="8" t="s">
        <v>1085</v>
      </c>
      <c r="D91" s="8" t="s">
        <v>1086</v>
      </c>
      <c r="E91" s="8" t="s">
        <v>1087</v>
      </c>
      <c r="F91" s="8" t="s">
        <v>1088</v>
      </c>
      <c r="G91" s="8" t="s">
        <v>1089</v>
      </c>
      <c r="H91" s="8" t="s">
        <v>1090</v>
      </c>
      <c r="I91" s="8" t="s">
        <v>1091</v>
      </c>
      <c r="J91" s="8" t="s">
        <v>1092</v>
      </c>
      <c r="K91" s="8" t="s">
        <v>1093</v>
      </c>
      <c r="L91" s="8" t="s">
        <v>1094</v>
      </c>
      <c r="M91" s="8" t="s">
        <v>1095</v>
      </c>
      <c r="N91" s="8" t="s">
        <v>1096</v>
      </c>
      <c r="O91" s="8" t="s">
        <v>1097</v>
      </c>
      <c r="P91" s="8" t="s">
        <v>1098</v>
      </c>
      <c r="Q91" s="8" t="s">
        <v>44</v>
      </c>
      <c r="R91" s="8" t="s">
        <v>43</v>
      </c>
      <c r="S91" s="8" t="s">
        <v>44</v>
      </c>
      <c r="T91" s="8" t="s">
        <v>43</v>
      </c>
      <c r="U91" s="8" t="s">
        <v>44</v>
      </c>
      <c r="V91" s="8" t="s">
        <v>44</v>
      </c>
      <c r="W91" s="8" t="s">
        <v>44</v>
      </c>
      <c r="X91" s="8" t="s">
        <v>43</v>
      </c>
      <c r="Y91" s="8" t="s">
        <v>44</v>
      </c>
      <c r="Z91" s="8" t="s">
        <v>44</v>
      </c>
      <c r="AA91" s="8" t="s">
        <v>44</v>
      </c>
      <c r="AB91" s="8" t="s">
        <v>44</v>
      </c>
      <c r="AC91" s="8" t="s">
        <v>1099</v>
      </c>
    </row>
    <row r="92">
      <c r="A92" s="7">
        <v>45434.766121168985</v>
      </c>
      <c r="B92" s="8" t="s">
        <v>949</v>
      </c>
      <c r="C92" s="8" t="s">
        <v>1100</v>
      </c>
      <c r="D92" s="8" t="s">
        <v>1101</v>
      </c>
      <c r="E92" s="8" t="s">
        <v>1102</v>
      </c>
      <c r="F92" s="8" t="s">
        <v>1103</v>
      </c>
      <c r="G92" s="8" t="s">
        <v>1104</v>
      </c>
      <c r="H92" s="8" t="s">
        <v>1105</v>
      </c>
      <c r="I92" s="8" t="s">
        <v>1106</v>
      </c>
      <c r="J92" s="8" t="s">
        <v>1106</v>
      </c>
      <c r="K92" s="8" t="s">
        <v>1107</v>
      </c>
      <c r="L92" s="8" t="s">
        <v>589</v>
      </c>
      <c r="M92" s="8" t="s">
        <v>641</v>
      </c>
      <c r="N92" s="8" t="s">
        <v>1108</v>
      </c>
      <c r="O92" s="8" t="s">
        <v>589</v>
      </c>
      <c r="P92" s="8" t="s">
        <v>1109</v>
      </c>
      <c r="Q92" s="8" t="s">
        <v>44</v>
      </c>
      <c r="R92" s="8" t="s">
        <v>44</v>
      </c>
      <c r="S92" s="8" t="s">
        <v>44</v>
      </c>
      <c r="T92" s="8" t="s">
        <v>44</v>
      </c>
      <c r="U92" s="8" t="s">
        <v>44</v>
      </c>
      <c r="V92" s="8" t="s">
        <v>44</v>
      </c>
      <c r="W92" s="8" t="s">
        <v>44</v>
      </c>
      <c r="X92" s="8" t="s">
        <v>87</v>
      </c>
      <c r="Y92" s="8" t="s">
        <v>44</v>
      </c>
      <c r="Z92" s="8" t="s">
        <v>87</v>
      </c>
      <c r="AA92" s="8" t="s">
        <v>44</v>
      </c>
      <c r="AB92" s="8" t="s">
        <v>43</v>
      </c>
    </row>
    <row r="93">
      <c r="A93" s="7">
        <v>45435.7068144213</v>
      </c>
      <c r="B93" s="8" t="s">
        <v>949</v>
      </c>
      <c r="C93" s="8" t="s">
        <v>1110</v>
      </c>
      <c r="D93" s="8" t="s">
        <v>1111</v>
      </c>
      <c r="E93" s="8" t="s">
        <v>1112</v>
      </c>
      <c r="F93" s="8" t="s">
        <v>1113</v>
      </c>
      <c r="G93" s="8" t="s">
        <v>224</v>
      </c>
      <c r="H93" s="8" t="s">
        <v>1114</v>
      </c>
      <c r="I93" s="8" t="s">
        <v>1115</v>
      </c>
      <c r="J93" s="8" t="s">
        <v>1116</v>
      </c>
      <c r="K93" s="8" t="s">
        <v>1117</v>
      </c>
      <c r="L93" s="8" t="s">
        <v>1118</v>
      </c>
      <c r="M93" s="8" t="s">
        <v>1119</v>
      </c>
      <c r="N93" s="8" t="s">
        <v>360</v>
      </c>
      <c r="O93" s="8" t="s">
        <v>1120</v>
      </c>
      <c r="P93" s="8" t="s">
        <v>311</v>
      </c>
      <c r="Q93" s="8" t="s">
        <v>44</v>
      </c>
      <c r="R93" s="8" t="s">
        <v>44</v>
      </c>
      <c r="S93" s="8" t="s">
        <v>44</v>
      </c>
      <c r="T93" s="8" t="s">
        <v>44</v>
      </c>
      <c r="U93" s="8" t="s">
        <v>44</v>
      </c>
      <c r="V93" s="8" t="s">
        <v>44</v>
      </c>
      <c r="W93" s="8" t="s">
        <v>44</v>
      </c>
      <c r="X93" s="8" t="s">
        <v>44</v>
      </c>
      <c r="Y93" s="8" t="s">
        <v>44</v>
      </c>
      <c r="Z93" s="8" t="s">
        <v>44</v>
      </c>
      <c r="AA93" s="8" t="s">
        <v>44</v>
      </c>
      <c r="AB93" s="8" t="s">
        <v>44</v>
      </c>
    </row>
    <row r="94">
      <c r="A94" s="7">
        <v>45435.71608140046</v>
      </c>
      <c r="B94" s="8" t="s">
        <v>283</v>
      </c>
      <c r="C94" s="8" t="s">
        <v>1121</v>
      </c>
      <c r="D94" s="8" t="s">
        <v>1122</v>
      </c>
      <c r="E94" s="8" t="s">
        <v>1123</v>
      </c>
      <c r="F94" s="8" t="s">
        <v>1124</v>
      </c>
      <c r="G94" s="8" t="s">
        <v>1125</v>
      </c>
      <c r="H94" s="8" t="s">
        <v>1126</v>
      </c>
      <c r="I94" s="8" t="s">
        <v>1127</v>
      </c>
      <c r="J94" s="8" t="s">
        <v>205</v>
      </c>
      <c r="K94" s="8" t="s">
        <v>1128</v>
      </c>
      <c r="L94" s="8" t="s">
        <v>1129</v>
      </c>
      <c r="M94" s="8" t="s">
        <v>1130</v>
      </c>
      <c r="Q94" s="8" t="s">
        <v>44</v>
      </c>
      <c r="R94" s="8" t="s">
        <v>44</v>
      </c>
      <c r="S94" s="8" t="s">
        <v>44</v>
      </c>
      <c r="T94" s="8" t="s">
        <v>44</v>
      </c>
      <c r="U94" s="8" t="s">
        <v>44</v>
      </c>
      <c r="V94" s="8" t="s">
        <v>44</v>
      </c>
      <c r="W94" s="8" t="s">
        <v>44</v>
      </c>
      <c r="X94" s="8" t="s">
        <v>44</v>
      </c>
      <c r="Y94" s="8" t="s">
        <v>44</v>
      </c>
      <c r="Z94" s="8" t="s">
        <v>43</v>
      </c>
      <c r="AA94" s="8" t="s">
        <v>44</v>
      </c>
      <c r="AB94" s="8" t="s">
        <v>44</v>
      </c>
    </row>
    <row r="95">
      <c r="A95" s="7">
        <v>45435.74585777777</v>
      </c>
      <c r="B95" s="8" t="s">
        <v>525</v>
      </c>
      <c r="C95" s="8" t="s">
        <v>1131</v>
      </c>
      <c r="D95" s="8" t="s">
        <v>1132</v>
      </c>
      <c r="E95" s="8" t="s">
        <v>1133</v>
      </c>
      <c r="F95" s="8" t="s">
        <v>1134</v>
      </c>
      <c r="G95" s="8" t="s">
        <v>1135</v>
      </c>
      <c r="H95" s="8" t="s">
        <v>1136</v>
      </c>
      <c r="I95" s="8" t="s">
        <v>1137</v>
      </c>
      <c r="J95" s="8" t="s">
        <v>311</v>
      </c>
      <c r="K95" s="8" t="s">
        <v>1138</v>
      </c>
      <c r="L95" s="8" t="s">
        <v>1139</v>
      </c>
      <c r="M95" s="8" t="s">
        <v>1139</v>
      </c>
      <c r="N95" s="8" t="s">
        <v>1140</v>
      </c>
      <c r="O95" s="8" t="s">
        <v>1139</v>
      </c>
      <c r="P95" s="8" t="s">
        <v>1141</v>
      </c>
      <c r="Q95" s="8" t="s">
        <v>44</v>
      </c>
      <c r="R95" s="8" t="s">
        <v>44</v>
      </c>
      <c r="S95" s="8" t="s">
        <v>44</v>
      </c>
      <c r="T95" s="8" t="s">
        <v>44</v>
      </c>
      <c r="U95" s="8" t="s">
        <v>44</v>
      </c>
      <c r="V95" s="8" t="s">
        <v>44</v>
      </c>
      <c r="W95" s="8" t="s">
        <v>42</v>
      </c>
      <c r="X95" s="8" t="s">
        <v>44</v>
      </c>
      <c r="Y95" s="8" t="s">
        <v>44</v>
      </c>
      <c r="Z95" s="8" t="s">
        <v>58</v>
      </c>
      <c r="AA95" s="8" t="s">
        <v>44</v>
      </c>
      <c r="AB95" s="8" t="s">
        <v>44</v>
      </c>
    </row>
    <row r="96">
      <c r="A96" s="7">
        <v>45435.75521826389</v>
      </c>
      <c r="B96" s="8" t="s">
        <v>949</v>
      </c>
      <c r="C96" s="8" t="s">
        <v>1142</v>
      </c>
      <c r="D96" s="8" t="s">
        <v>1143</v>
      </c>
      <c r="E96" s="8" t="s">
        <v>1144</v>
      </c>
      <c r="F96" s="8" t="s">
        <v>1145</v>
      </c>
      <c r="G96" s="8" t="s">
        <v>1146</v>
      </c>
      <c r="H96" s="8" t="s">
        <v>1147</v>
      </c>
      <c r="I96" s="8" t="s">
        <v>1148</v>
      </c>
      <c r="J96" s="8" t="s">
        <v>1149</v>
      </c>
      <c r="K96" s="8" t="s">
        <v>1150</v>
      </c>
      <c r="L96" s="8" t="s">
        <v>1151</v>
      </c>
      <c r="M96" s="8" t="s">
        <v>1152</v>
      </c>
      <c r="N96" s="8" t="s">
        <v>1153</v>
      </c>
      <c r="P96" s="8" t="s">
        <v>1154</v>
      </c>
      <c r="Q96" s="8" t="s">
        <v>43</v>
      </c>
      <c r="R96" s="8" t="s">
        <v>43</v>
      </c>
      <c r="S96" s="8" t="s">
        <v>44</v>
      </c>
      <c r="T96" s="8" t="s">
        <v>44</v>
      </c>
      <c r="U96" s="8" t="s">
        <v>44</v>
      </c>
      <c r="V96" s="8" t="s">
        <v>44</v>
      </c>
      <c r="W96" s="8" t="s">
        <v>44</v>
      </c>
      <c r="X96" s="8" t="s">
        <v>44</v>
      </c>
      <c r="Y96" s="8" t="s">
        <v>44</v>
      </c>
      <c r="Z96" s="8" t="s">
        <v>44</v>
      </c>
      <c r="AA96" s="8" t="s">
        <v>44</v>
      </c>
      <c r="AB96" s="8" t="s">
        <v>44</v>
      </c>
      <c r="AC96" s="8" t="s">
        <v>1155</v>
      </c>
    </row>
    <row r="97">
      <c r="A97" s="7">
        <v>45435.76112565972</v>
      </c>
      <c r="B97" s="8" t="s">
        <v>949</v>
      </c>
      <c r="C97" s="8" t="s">
        <v>1156</v>
      </c>
      <c r="D97" s="8" t="s">
        <v>1157</v>
      </c>
      <c r="E97" s="8" t="s">
        <v>1158</v>
      </c>
      <c r="F97" s="8" t="s">
        <v>1159</v>
      </c>
      <c r="G97" s="8" t="s">
        <v>1160</v>
      </c>
      <c r="H97" s="8" t="s">
        <v>1161</v>
      </c>
      <c r="I97" s="8" t="s">
        <v>1162</v>
      </c>
      <c r="J97" s="8" t="s">
        <v>1163</v>
      </c>
      <c r="K97" s="8" t="s">
        <v>1164</v>
      </c>
      <c r="L97" s="8" t="s">
        <v>1165</v>
      </c>
      <c r="M97" s="8" t="s">
        <v>1166</v>
      </c>
      <c r="N97" s="8" t="s">
        <v>1167</v>
      </c>
      <c r="O97" s="8" t="s">
        <v>1166</v>
      </c>
      <c r="P97" s="8" t="s">
        <v>1168</v>
      </c>
      <c r="Q97" s="8" t="s">
        <v>42</v>
      </c>
      <c r="R97" s="8" t="s">
        <v>43</v>
      </c>
      <c r="S97" s="8" t="s">
        <v>43</v>
      </c>
      <c r="T97" s="8" t="s">
        <v>43</v>
      </c>
      <c r="U97" s="8" t="s">
        <v>43</v>
      </c>
      <c r="V97" s="8" t="s">
        <v>43</v>
      </c>
      <c r="W97" s="8" t="s">
        <v>43</v>
      </c>
      <c r="X97" s="8" t="s">
        <v>58</v>
      </c>
      <c r="Y97" s="8" t="s">
        <v>42</v>
      </c>
      <c r="Z97" s="8" t="s">
        <v>42</v>
      </c>
      <c r="AA97" s="8" t="s">
        <v>42</v>
      </c>
      <c r="AB97" s="8" t="s">
        <v>43</v>
      </c>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row>
  </sheetData>
  <autoFilter ref="$A$1:$AI$97">
    <filterColumn colId="27">
      <filters>
        <filter val="4 - Agree"/>
        <filter val="5 - Strongly Agree"/>
      </filters>
    </filterColumn>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1" t="s">
        <v>1169</v>
      </c>
      <c r="R1" s="11" t="s">
        <v>1170</v>
      </c>
      <c r="S1" s="11" t="s">
        <v>1171</v>
      </c>
      <c r="T1" s="11" t="s">
        <v>1172</v>
      </c>
      <c r="U1" s="11" t="s">
        <v>1173</v>
      </c>
      <c r="V1" s="11" t="s">
        <v>1174</v>
      </c>
      <c r="W1" s="11" t="s">
        <v>1175</v>
      </c>
      <c r="X1" s="11" t="s">
        <v>1176</v>
      </c>
      <c r="Y1" s="11" t="s">
        <v>1177</v>
      </c>
      <c r="Z1" s="11" t="s">
        <v>1178</v>
      </c>
      <c r="AA1" s="11" t="s">
        <v>1179</v>
      </c>
      <c r="AB1" s="11" t="s">
        <v>1180</v>
      </c>
      <c r="AC1" s="10" t="s">
        <v>28</v>
      </c>
      <c r="AD1" s="12"/>
      <c r="AE1" s="12"/>
      <c r="AF1" s="12"/>
      <c r="AG1" s="12"/>
      <c r="AH1" s="12"/>
      <c r="AI1" s="12"/>
    </row>
    <row r="2">
      <c r="A2" s="13">
        <f>IFERROR(__xludf.DUMMYFUNCTION("QUERY('Form Responses 1'!A2:AC1001,""Select * where B = 'Mori/Hawra/Tina - CFSN Detroit'"")"),45426.63350894676)</f>
        <v>45426.63351</v>
      </c>
      <c r="B2" s="14" t="str">
        <f>IFERROR(__xludf.DUMMYFUNCTION("""COMPUTED_VALUE"""),"Mori/Hawra/Tina - CFSN Detroit")</f>
        <v>Mori/Hawra/Tina - CFSN Detroit</v>
      </c>
      <c r="C2" s="14" t="str">
        <f>IFERROR(__xludf.DUMMYFUNCTION("""COMPUTED_VALUE"""),"kayliezell")</f>
        <v>kayliezell</v>
      </c>
      <c r="D2" s="14" t="str">
        <f>IFERROR(__xludf.DUMMYFUNCTION("""COMPUTED_VALUE"""),"love")</f>
        <v>love</v>
      </c>
      <c r="E2" s="14" t="str">
        <f>IFERROR(__xludf.DUMMYFUNCTION("""COMPUTED_VALUE"""),"love")</f>
        <v>love</v>
      </c>
      <c r="F2" s="14" t="str">
        <f>IFERROR(__xludf.DUMMYFUNCTION("""COMPUTED_VALUE"""),"love")</f>
        <v>love</v>
      </c>
      <c r="G2" s="14" t="str">
        <f>IFERROR(__xludf.DUMMYFUNCTION("""COMPUTED_VALUE"""),"listening")</f>
        <v>listening</v>
      </c>
      <c r="H2" s="14" t="str">
        <f>IFERROR(__xludf.DUMMYFUNCTION("""COMPUTED_VALUE"""),"david not david")</f>
        <v>david not david</v>
      </c>
      <c r="I2" s="14" t="str">
        <f>IFERROR(__xludf.DUMMYFUNCTION("""COMPUTED_VALUE"""),"me")</f>
        <v>me</v>
      </c>
      <c r="J2" s="14" t="str">
        <f>IFERROR(__xludf.DUMMYFUNCTION("""COMPUTED_VALUE"""),"heidi")</f>
        <v>heidi</v>
      </c>
      <c r="K2" s="14" t="str">
        <f>IFERROR(__xludf.DUMMYFUNCTION("""COMPUTED_VALUE"""),"me")</f>
        <v>me</v>
      </c>
      <c r="L2" s="14" t="str">
        <f>IFERROR(__xludf.DUMMYFUNCTION("""COMPUTED_VALUE"""),"job")</f>
        <v>job</v>
      </c>
      <c r="M2" s="14" t="str">
        <f>IFERROR(__xludf.DUMMYFUNCTION("""COMPUTED_VALUE"""),"no")</f>
        <v>no</v>
      </c>
      <c r="N2" s="14" t="str">
        <f>IFERROR(__xludf.DUMMYFUNCTION("""COMPUTED_VALUE"""),"tic tac toe")</f>
        <v>tic tac toe</v>
      </c>
      <c r="O2" s="14" t="str">
        <f>IFERROR(__xludf.DUMMYFUNCTION("""COMPUTED_VALUE"""),"more food")</f>
        <v>more food</v>
      </c>
      <c r="P2" s="14" t="str">
        <f>IFERROR(__xludf.DUMMYFUNCTION("""COMPUTED_VALUE"""),"a lot smarter")</f>
        <v>a lot smarter</v>
      </c>
      <c r="Q2" s="14" t="str">
        <f>IFERROR(__xludf.DUMMYFUNCTION("""COMPUTED_VALUE"""),"5 - Strongly Agree")</f>
        <v>5 - Strongly Agree</v>
      </c>
      <c r="R2" s="14" t="str">
        <f>IFERROR(__xludf.DUMMYFUNCTION("""COMPUTED_VALUE"""),"5 - Strongly Agree")</f>
        <v>5 - Strongly Agree</v>
      </c>
      <c r="S2" s="14" t="str">
        <f>IFERROR(__xludf.DUMMYFUNCTION("""COMPUTED_VALUE"""),"5 - Strongly Agree")</f>
        <v>5 - Strongly Agree</v>
      </c>
      <c r="T2" s="14" t="str">
        <f>IFERROR(__xludf.DUMMYFUNCTION("""COMPUTED_VALUE"""),"5 - Strongly Agree")</f>
        <v>5 - Strongly Agree</v>
      </c>
      <c r="U2" s="14" t="str">
        <f>IFERROR(__xludf.DUMMYFUNCTION("""COMPUTED_VALUE"""),"5 - Strongly Agree")</f>
        <v>5 - Strongly Agree</v>
      </c>
      <c r="V2" s="14" t="str">
        <f>IFERROR(__xludf.DUMMYFUNCTION("""COMPUTED_VALUE"""),"5 - Strongly Agree")</f>
        <v>5 - Strongly Agree</v>
      </c>
      <c r="W2" s="14" t="str">
        <f>IFERROR(__xludf.DUMMYFUNCTION("""COMPUTED_VALUE"""),"5 - Strongly Agree")</f>
        <v>5 - Strongly Agree</v>
      </c>
      <c r="X2" s="14" t="str">
        <f>IFERROR(__xludf.DUMMYFUNCTION("""COMPUTED_VALUE"""),"5 - Strongly Agree")</f>
        <v>5 - Strongly Agree</v>
      </c>
      <c r="Y2" s="14" t="str">
        <f>IFERROR(__xludf.DUMMYFUNCTION("""COMPUTED_VALUE"""),"5 - Strongly Agree")</f>
        <v>5 - Strongly Agree</v>
      </c>
      <c r="Z2" s="14" t="str">
        <f>IFERROR(__xludf.DUMMYFUNCTION("""COMPUTED_VALUE"""),"5 - Strongly Agree")</f>
        <v>5 - Strongly Agree</v>
      </c>
      <c r="AA2" s="14" t="str">
        <f>IFERROR(__xludf.DUMMYFUNCTION("""COMPUTED_VALUE"""),"5 - Strongly Agree")</f>
        <v>5 - Strongly Agree</v>
      </c>
      <c r="AB2" s="14" t="str">
        <f>IFERROR(__xludf.DUMMYFUNCTION("""COMPUTED_VALUE"""),"5 - Strongly Agree")</f>
        <v>5 - Strongly Agree</v>
      </c>
      <c r="AC2" s="14" t="str">
        <f>IFERROR(__xludf.DUMMYFUNCTION("""COMPUTED_VALUE"""),"no")</f>
        <v>no</v>
      </c>
    </row>
    <row r="3">
      <c r="A3" s="13">
        <f>IFERROR(__xludf.DUMMYFUNCTION("""COMPUTED_VALUE"""),45427.688765729166)</f>
        <v>45427.68877</v>
      </c>
      <c r="B3" s="14" t="str">
        <f>IFERROR(__xludf.DUMMYFUNCTION("""COMPUTED_VALUE"""),"Mori/Hawra/Tina - CFSN Detroit")</f>
        <v>Mori/Hawra/Tina - CFSN Detroit</v>
      </c>
      <c r="C3" s="14" t="str">
        <f>IFERROR(__xludf.DUMMYFUNCTION("""COMPUTED_VALUE"""),"Khloe McGaffie")</f>
        <v>Khloe McGaffie</v>
      </c>
      <c r="D3" s="14" t="str">
        <f>IFERROR(__xludf.DUMMYFUNCTION("""COMPUTED_VALUE"""),"Because I love it here because I see my friends and Ms. Tina, Ms. Heidi, Ms. Maddie, and Ms. Shanelle")</f>
        <v>Because I love it here because I see my friends and Ms. Tina, Ms. Heidi, Ms. Maddie, and Ms. Shanelle</v>
      </c>
      <c r="E3" s="14" t="str">
        <f>IFERROR(__xludf.DUMMYFUNCTION("""COMPUTED_VALUE"""),"When Ms. Tina read a story about cats then we colored and named our own cats.")</f>
        <v>When Ms. Tina read a story about cats then we colored and named our own cats.</v>
      </c>
      <c r="F3" s="14" t="str">
        <f>IFERROR(__xludf.DUMMYFUNCTION("""COMPUTED_VALUE"""),"More activities and hanging out with everyone.")</f>
        <v>More activities and hanging out with everyone.</v>
      </c>
      <c r="G3" s="14" t="str">
        <f>IFERROR(__xludf.DUMMYFUNCTION("""COMPUTED_VALUE"""),"My mentor she's a teenager.")</f>
        <v>My mentor she's a teenager.</v>
      </c>
      <c r="H3" s="14" t="str">
        <f>IFERROR(__xludf.DUMMYFUNCTION("""COMPUTED_VALUE"""),"No David by David Shannon")</f>
        <v>No David by David Shannon</v>
      </c>
      <c r="I3" s="14" t="str">
        <f>IFERROR(__xludf.DUMMYFUNCTION("""COMPUTED_VALUE"""),"When Ms. Heidi and Ms. Tina had a Dance Battle")</f>
        <v>When Ms. Heidi and Ms. Tina had a Dance Battle</v>
      </c>
      <c r="J3" s="14" t="str">
        <f>IFERROR(__xludf.DUMMYFUNCTION("""COMPUTED_VALUE"""),"We get to get on our computers with our mentors.")</f>
        <v>We get to get on our computers with our mentors.</v>
      </c>
      <c r="K3" s="14" t="str">
        <f>IFERROR(__xludf.DUMMYFUNCTION("""COMPUTED_VALUE"""),"When we color it makes me happy. When my friends are upset because that makes me feel sad too.")</f>
        <v>When we color it makes me happy. When my friends are upset because that makes me feel sad too.</v>
      </c>
      <c r="L3" s="14" t="str">
        <f>IFERROR(__xludf.DUMMYFUNCTION("""COMPUTED_VALUE"""),"If we could eat outside food.")</f>
        <v>If we could eat outside food.</v>
      </c>
      <c r="M3" s="14" t="str">
        <f>IFERROR(__xludf.DUMMYFUNCTION("""COMPUTED_VALUE"""),"Nothing")</f>
        <v>Nothing</v>
      </c>
      <c r="N3" s="14" t="str">
        <f>IFERROR(__xludf.DUMMYFUNCTION("""COMPUTED_VALUE"""),"Tic Tac Toe")</f>
        <v>Tic Tac Toe</v>
      </c>
      <c r="O3" s="14" t="str">
        <f>IFERROR(__xludf.DUMMYFUNCTION("""COMPUTED_VALUE"""),"No")</f>
        <v>No</v>
      </c>
      <c r="P3" s="14" t="str">
        <f>IFERROR(__xludf.DUMMYFUNCTION("""COMPUTED_VALUE"""),"Yes a lot!")</f>
        <v>Yes a lot!</v>
      </c>
      <c r="Q3" s="14" t="str">
        <f>IFERROR(__xludf.DUMMYFUNCTION("""COMPUTED_VALUE"""),"5 - Strongly Agree")</f>
        <v>5 - Strongly Agree</v>
      </c>
      <c r="R3" s="14" t="str">
        <f>IFERROR(__xludf.DUMMYFUNCTION("""COMPUTED_VALUE"""),"5 - Strongly Agree")</f>
        <v>5 - Strongly Agree</v>
      </c>
      <c r="S3" s="14" t="str">
        <f>IFERROR(__xludf.DUMMYFUNCTION("""COMPUTED_VALUE"""),"5 - Strongly Agree")</f>
        <v>5 - Strongly Agree</v>
      </c>
      <c r="T3" s="14" t="str">
        <f>IFERROR(__xludf.DUMMYFUNCTION("""COMPUTED_VALUE"""),"5 - Strongly Agree")</f>
        <v>5 - Strongly Agree</v>
      </c>
      <c r="U3" s="14" t="str">
        <f>IFERROR(__xludf.DUMMYFUNCTION("""COMPUTED_VALUE"""),"5 - Strongly Agree")</f>
        <v>5 - Strongly Agree</v>
      </c>
      <c r="V3" s="14" t="str">
        <f>IFERROR(__xludf.DUMMYFUNCTION("""COMPUTED_VALUE"""),"5 - Strongly Agree")</f>
        <v>5 - Strongly Agree</v>
      </c>
      <c r="W3" s="14" t="str">
        <f>IFERROR(__xludf.DUMMYFUNCTION("""COMPUTED_VALUE"""),"5 - Strongly Agree")</f>
        <v>5 - Strongly Agree</v>
      </c>
      <c r="X3" s="14" t="str">
        <f>IFERROR(__xludf.DUMMYFUNCTION("""COMPUTED_VALUE"""),"5 - Strongly Agree")</f>
        <v>5 - Strongly Agree</v>
      </c>
      <c r="Y3" s="14" t="str">
        <f>IFERROR(__xludf.DUMMYFUNCTION("""COMPUTED_VALUE"""),"5 - Strongly Agree")</f>
        <v>5 - Strongly Agree</v>
      </c>
      <c r="Z3" s="14" t="str">
        <f>IFERROR(__xludf.DUMMYFUNCTION("""COMPUTED_VALUE"""),"5 - Strongly Agree")</f>
        <v>5 - Strongly Agree</v>
      </c>
      <c r="AA3" s="14" t="str">
        <f>IFERROR(__xludf.DUMMYFUNCTION("""COMPUTED_VALUE"""),"5 - Strongly Agree")</f>
        <v>5 - Strongly Agree</v>
      </c>
      <c r="AB3" s="14" t="str">
        <f>IFERROR(__xludf.DUMMYFUNCTION("""COMPUTED_VALUE"""),"5 - Strongly Agree")</f>
        <v>5 - Strongly Agree</v>
      </c>
      <c r="AC3" s="14"/>
    </row>
    <row r="4">
      <c r="A4" s="13">
        <f>IFERROR(__xludf.DUMMYFUNCTION("""COMPUTED_VALUE"""),45427.69323164352)</f>
        <v>45427.69323</v>
      </c>
      <c r="B4" s="14" t="str">
        <f>IFERROR(__xludf.DUMMYFUNCTION("""COMPUTED_VALUE"""),"Mori/Hawra/Tina - CFSN Detroit")</f>
        <v>Mori/Hawra/Tina - CFSN Detroit</v>
      </c>
      <c r="C4" s="14" t="str">
        <f>IFERROR(__xludf.DUMMYFUNCTION("""COMPUTED_VALUE"""),"Madison Wright")</f>
        <v>Madison Wright</v>
      </c>
      <c r="D4" s="14" t="str">
        <f>IFERROR(__xludf.DUMMYFUNCTION("""COMPUTED_VALUE"""),"The teachers")</f>
        <v>The teachers</v>
      </c>
      <c r="E4" s="14" t="str">
        <f>IFERROR(__xludf.DUMMYFUNCTION("""COMPUTED_VALUE"""),"The Dance Battles with Ms. Heidi and Ms. Tina")</f>
        <v>The Dance Battles with Ms. Heidi and Ms. Tina</v>
      </c>
      <c r="F4" s="14" t="str">
        <f>IFERROR(__xludf.DUMMYFUNCTION("""COMPUTED_VALUE"""),"To be able to have our phones with us.")</f>
        <v>To be able to have our phones with us.</v>
      </c>
      <c r="G4" s="14" t="str">
        <f>IFERROR(__xludf.DUMMYFUNCTION("""COMPUTED_VALUE"""),"Somebody working with me by myself.")</f>
        <v>Somebody working with me by myself.</v>
      </c>
      <c r="H4" s="14" t="str">
        <f>IFERROR(__xludf.DUMMYFUNCTION("""COMPUTED_VALUE"""),"I like Dr. Suess books the best")</f>
        <v>I like Dr. Suess books the best</v>
      </c>
      <c r="I4" s="14" t="str">
        <f>IFERROR(__xludf.DUMMYFUNCTION("""COMPUTED_VALUE"""),"Ms. Tina and Ms. Heidi dancing")</f>
        <v>Ms. Tina and Ms. Heidi dancing</v>
      </c>
      <c r="J4" s="14" t="str">
        <f>IFERROR(__xludf.DUMMYFUNCTION("""COMPUTED_VALUE"""),"Seeing my friends")</f>
        <v>Seeing my friends</v>
      </c>
      <c r="K4" s="14" t="str">
        <f>IFERROR(__xludf.DUMMYFUNCTION("""COMPUTED_VALUE"""),"Being here at Center for Success")</f>
        <v>Being here at Center for Success</v>
      </c>
      <c r="L4" s="14" t="str">
        <f>IFERROR(__xludf.DUMMYFUNCTION("""COMPUTED_VALUE"""),"have a whole meal instead of a snack")</f>
        <v>have a whole meal instead of a snack</v>
      </c>
      <c r="M4" s="14" t="str">
        <f>IFERROR(__xludf.DUMMYFUNCTION("""COMPUTED_VALUE"""),"none")</f>
        <v>none</v>
      </c>
      <c r="N4" s="14" t="str">
        <f>IFERROR(__xludf.DUMMYFUNCTION("""COMPUTED_VALUE"""),"tic tac toe")</f>
        <v>tic tac toe</v>
      </c>
      <c r="O4" s="14" t="str">
        <f>IFERROR(__xludf.DUMMYFUNCTION("""COMPUTED_VALUE"""),"none")</f>
        <v>none</v>
      </c>
      <c r="P4" s="14" t="str">
        <f>IFERROR(__xludf.DUMMYFUNCTION("""COMPUTED_VALUE"""),"A lot better than the rest of the kids in my class at reading")</f>
        <v>A lot better than the rest of the kids in my class at reading</v>
      </c>
      <c r="Q4" s="14" t="str">
        <f>IFERROR(__xludf.DUMMYFUNCTION("""COMPUTED_VALUE"""),"5 - Strongly Agree")</f>
        <v>5 - Strongly Agree</v>
      </c>
      <c r="R4" s="14" t="str">
        <f>IFERROR(__xludf.DUMMYFUNCTION("""COMPUTED_VALUE"""),"5 - Strongly Agree")</f>
        <v>5 - Strongly Agree</v>
      </c>
      <c r="S4" s="14" t="str">
        <f>IFERROR(__xludf.DUMMYFUNCTION("""COMPUTED_VALUE"""),"5 - Strongly Agree")</f>
        <v>5 - Strongly Agree</v>
      </c>
      <c r="T4" s="14" t="str">
        <f>IFERROR(__xludf.DUMMYFUNCTION("""COMPUTED_VALUE"""),"5 - Strongly Agree")</f>
        <v>5 - Strongly Agree</v>
      </c>
      <c r="U4" s="14" t="str">
        <f>IFERROR(__xludf.DUMMYFUNCTION("""COMPUTED_VALUE"""),"5 - Strongly Agree")</f>
        <v>5 - Strongly Agree</v>
      </c>
      <c r="V4" s="14" t="str">
        <f>IFERROR(__xludf.DUMMYFUNCTION("""COMPUTED_VALUE"""),"5 - Strongly Agree")</f>
        <v>5 - Strongly Agree</v>
      </c>
      <c r="W4" s="14" t="str">
        <f>IFERROR(__xludf.DUMMYFUNCTION("""COMPUTED_VALUE"""),"5 - Strongly Agree")</f>
        <v>5 - Strongly Agree</v>
      </c>
      <c r="X4" s="14" t="str">
        <f>IFERROR(__xludf.DUMMYFUNCTION("""COMPUTED_VALUE"""),"5 - Strongly Agree")</f>
        <v>5 - Strongly Agree</v>
      </c>
      <c r="Y4" s="14" t="str">
        <f>IFERROR(__xludf.DUMMYFUNCTION("""COMPUTED_VALUE"""),"5 - Strongly Agree")</f>
        <v>5 - Strongly Agree</v>
      </c>
      <c r="Z4" s="14" t="str">
        <f>IFERROR(__xludf.DUMMYFUNCTION("""COMPUTED_VALUE"""),"5 - Strongly Agree")</f>
        <v>5 - Strongly Agree</v>
      </c>
      <c r="AA4" s="14" t="str">
        <f>IFERROR(__xludf.DUMMYFUNCTION("""COMPUTED_VALUE"""),"5 - Strongly Agree")</f>
        <v>5 - Strongly Agree</v>
      </c>
      <c r="AB4" s="14" t="str">
        <f>IFERROR(__xludf.DUMMYFUNCTION("""COMPUTED_VALUE"""),"5 - Strongly Agree")</f>
        <v>5 - Strongly Agree</v>
      </c>
      <c r="AC4" s="14"/>
    </row>
    <row r="5">
      <c r="A5" s="13">
        <f>IFERROR(__xludf.DUMMYFUNCTION("""COMPUTED_VALUE"""),45427.696903194446)</f>
        <v>45427.6969</v>
      </c>
      <c r="B5" s="14" t="str">
        <f>IFERROR(__xludf.DUMMYFUNCTION("""COMPUTED_VALUE"""),"Mori/Hawra/Tina - CFSN Detroit")</f>
        <v>Mori/Hawra/Tina - CFSN Detroit</v>
      </c>
      <c r="C5" s="14" t="str">
        <f>IFERROR(__xludf.DUMMYFUNCTION("""COMPUTED_VALUE"""),"Kennedy Edwards")</f>
        <v>Kennedy Edwards</v>
      </c>
      <c r="D5" s="14" t="str">
        <f>IFERROR(__xludf.DUMMYFUNCTION("""COMPUTED_VALUE"""),"My mom")</f>
        <v>My mom</v>
      </c>
      <c r="E5" s="14" t="str">
        <f>IFERROR(__xludf.DUMMYFUNCTION("""COMPUTED_VALUE"""),"the learning things that we do and art sometimes too")</f>
        <v>the learning things that we do and art sometimes too</v>
      </c>
      <c r="F5" s="14" t="str">
        <f>IFERROR(__xludf.DUMMYFUNCTION("""COMPUTED_VALUE"""),"my friends and the teachers at here")</f>
        <v>my friends and the teachers at here</v>
      </c>
      <c r="G5" s="14" t="str">
        <f>IFERROR(__xludf.DUMMYFUNCTION("""COMPUTED_VALUE"""),"food")</f>
        <v>food</v>
      </c>
      <c r="H5" s="14" t="str">
        <f>IFERROR(__xludf.DUMMYFUNCTION("""COMPUTED_VALUE"""),"Harry Potter")</f>
        <v>Harry Potter</v>
      </c>
      <c r="I5" s="14" t="str">
        <f>IFERROR(__xludf.DUMMYFUNCTION("""COMPUTED_VALUE"""),"the adults")</f>
        <v>the adults</v>
      </c>
      <c r="J5" s="14" t="str">
        <f>IFERROR(__xludf.DUMMYFUNCTION("""COMPUTED_VALUE"""),"when I get to read with McKenzie")</f>
        <v>when I get to read with McKenzie</v>
      </c>
      <c r="K5" s="14" t="str">
        <f>IFERROR(__xludf.DUMMYFUNCTION("""COMPUTED_VALUE"""),"That there's no loud noises like fire drills or break in drills")</f>
        <v>That there's no loud noises like fire drills or break in drills</v>
      </c>
      <c r="L5" s="14" t="str">
        <f>IFERROR(__xludf.DUMMYFUNCTION("""COMPUTED_VALUE"""),"i dont know")</f>
        <v>i dont know</v>
      </c>
      <c r="M5" s="14" t="str">
        <f>IFERROR(__xludf.DUMMYFUNCTION("""COMPUTED_VALUE"""),"If I get to bring my Ipad")</f>
        <v>If I get to bring my Ipad</v>
      </c>
      <c r="N5" s="14" t="str">
        <f>IFERROR(__xludf.DUMMYFUNCTION("""COMPUTED_VALUE"""),"tag")</f>
        <v>tag</v>
      </c>
      <c r="O5" s="14" t="str">
        <f>IFERROR(__xludf.DUMMYFUNCTION("""COMPUTED_VALUE"""),"idk")</f>
        <v>idk</v>
      </c>
      <c r="P5" s="14" t="str">
        <f>IFERROR(__xludf.DUMMYFUNCTION("""COMPUTED_VALUE"""),"yes")</f>
        <v>yes</v>
      </c>
      <c r="Q5" s="14" t="str">
        <f>IFERROR(__xludf.DUMMYFUNCTION("""COMPUTED_VALUE"""),"5 - Strongly Agree")</f>
        <v>5 - Strongly Agree</v>
      </c>
      <c r="R5" s="14" t="str">
        <f>IFERROR(__xludf.DUMMYFUNCTION("""COMPUTED_VALUE"""),"5 - Strongly Agree")</f>
        <v>5 - Strongly Agree</v>
      </c>
      <c r="S5" s="14" t="str">
        <f>IFERROR(__xludf.DUMMYFUNCTION("""COMPUTED_VALUE"""),"5 - Strongly Agree")</f>
        <v>5 - Strongly Agree</v>
      </c>
      <c r="T5" s="14" t="str">
        <f>IFERROR(__xludf.DUMMYFUNCTION("""COMPUTED_VALUE"""),"5 - Strongly Agree")</f>
        <v>5 - Strongly Agree</v>
      </c>
      <c r="U5" s="14" t="str">
        <f>IFERROR(__xludf.DUMMYFUNCTION("""COMPUTED_VALUE"""),"5 - Strongly Agree")</f>
        <v>5 - Strongly Agree</v>
      </c>
      <c r="V5" s="14" t="str">
        <f>IFERROR(__xludf.DUMMYFUNCTION("""COMPUTED_VALUE"""),"5 - Strongly Agree")</f>
        <v>5 - Strongly Agree</v>
      </c>
      <c r="W5" s="14" t="str">
        <f>IFERROR(__xludf.DUMMYFUNCTION("""COMPUTED_VALUE"""),"5 - Strongly Agree")</f>
        <v>5 - Strongly Agree</v>
      </c>
      <c r="X5" s="14" t="str">
        <f>IFERROR(__xludf.DUMMYFUNCTION("""COMPUTED_VALUE"""),"5 - Strongly Agree")</f>
        <v>5 - Strongly Agree</v>
      </c>
      <c r="Y5" s="14" t="str">
        <f>IFERROR(__xludf.DUMMYFUNCTION("""COMPUTED_VALUE"""),"5 - Strongly Agree")</f>
        <v>5 - Strongly Agree</v>
      </c>
      <c r="Z5" s="14" t="str">
        <f>IFERROR(__xludf.DUMMYFUNCTION("""COMPUTED_VALUE"""),"5 - Strongly Agree")</f>
        <v>5 - Strongly Agree</v>
      </c>
      <c r="AA5" s="14" t="str">
        <f>IFERROR(__xludf.DUMMYFUNCTION("""COMPUTED_VALUE"""),"5 - Strongly Agree")</f>
        <v>5 - Strongly Agree</v>
      </c>
      <c r="AB5" s="14" t="str">
        <f>IFERROR(__xludf.DUMMYFUNCTION("""COMPUTED_VALUE"""),"5 - Strongly Agree")</f>
        <v>5 - Strongly Agree</v>
      </c>
      <c r="AC5" s="14"/>
    </row>
    <row r="6">
      <c r="A6" s="13">
        <f>IFERROR(__xludf.DUMMYFUNCTION("""COMPUTED_VALUE"""),45427.70129820602)</f>
        <v>45427.7013</v>
      </c>
      <c r="B6" s="14" t="str">
        <f>IFERROR(__xludf.DUMMYFUNCTION("""COMPUTED_VALUE"""),"Mori/Hawra/Tina - CFSN Detroit")</f>
        <v>Mori/Hawra/Tina - CFSN Detroit</v>
      </c>
      <c r="C6" s="14" t="str">
        <f>IFERROR(__xludf.DUMMYFUNCTION("""COMPUTED_VALUE"""),"kaiyah collins")</f>
        <v>kaiyah collins</v>
      </c>
      <c r="D6" s="14" t="str">
        <f>IFERROR(__xludf.DUMMYFUNCTION("""COMPUTED_VALUE"""),"my parents")</f>
        <v>my parents</v>
      </c>
      <c r="E6" s="14" t="str">
        <f>IFERROR(__xludf.DUMMYFUNCTION("""COMPUTED_VALUE"""),"finding Easter eggs outside")</f>
        <v>finding Easter eggs outside</v>
      </c>
      <c r="F6" s="14" t="str">
        <f>IFERROR(__xludf.DUMMYFUNCTION("""COMPUTED_VALUE"""),"fun")</f>
        <v>fun</v>
      </c>
      <c r="G6" s="14" t="str">
        <f>IFERROR(__xludf.DUMMYFUNCTION("""COMPUTED_VALUE"""),"ms.carolyn")</f>
        <v>ms.carolyn</v>
      </c>
      <c r="H6" s="14" t="str">
        <f>IFERROR(__xludf.DUMMYFUNCTION("""COMPUTED_VALUE"""),"princess story")</f>
        <v>princess story</v>
      </c>
      <c r="I6" s="14" t="str">
        <f>IFERROR(__xludf.DUMMYFUNCTION("""COMPUTED_VALUE"""),"when my friends make silly faces")</f>
        <v>when my friends make silly faces</v>
      </c>
      <c r="J6" s="14" t="str">
        <f>IFERROR(__xludf.DUMMYFUNCTION("""COMPUTED_VALUE"""),"reading with everyone")</f>
        <v>reading with everyone</v>
      </c>
      <c r="K6" s="14" t="str">
        <f>IFERROR(__xludf.DUMMYFUNCTION("""COMPUTED_VALUE"""),"my family")</f>
        <v>my family</v>
      </c>
      <c r="L6" s="14" t="str">
        <f>IFERROR(__xludf.DUMMYFUNCTION("""COMPUTED_VALUE"""),"no")</f>
        <v>no</v>
      </c>
      <c r="M6" s="14" t="str">
        <f>IFERROR(__xludf.DUMMYFUNCTION("""COMPUTED_VALUE"""),"no")</f>
        <v>no</v>
      </c>
      <c r="N6" s="14" t="str">
        <f>IFERROR(__xludf.DUMMYFUNCTION("""COMPUTED_VALUE"""),"bananagrams")</f>
        <v>bananagrams</v>
      </c>
      <c r="O6" s="14" t="str">
        <f>IFERROR(__xludf.DUMMYFUNCTION("""COMPUTED_VALUE"""),"no")</f>
        <v>no</v>
      </c>
      <c r="P6" s="14" t="str">
        <f>IFERROR(__xludf.DUMMYFUNCTION("""COMPUTED_VALUE"""),"yes")</f>
        <v>yes</v>
      </c>
      <c r="Q6" s="14" t="str">
        <f>IFERROR(__xludf.DUMMYFUNCTION("""COMPUTED_VALUE"""),"4 - Agree")</f>
        <v>4 - Agree</v>
      </c>
      <c r="R6" s="14" t="str">
        <f>IFERROR(__xludf.DUMMYFUNCTION("""COMPUTED_VALUE"""),"4 - Agree")</f>
        <v>4 - Agree</v>
      </c>
      <c r="S6" s="14" t="str">
        <f>IFERROR(__xludf.DUMMYFUNCTION("""COMPUTED_VALUE"""),"4 - Agree")</f>
        <v>4 - Agree</v>
      </c>
      <c r="T6" s="14" t="str">
        <f>IFERROR(__xludf.DUMMYFUNCTION("""COMPUTED_VALUE"""),"4 - Agree")</f>
        <v>4 - Agree</v>
      </c>
      <c r="U6" s="14" t="str">
        <f>IFERROR(__xludf.DUMMYFUNCTION("""COMPUTED_VALUE"""),"5 - Strongly Agree")</f>
        <v>5 - Strongly Agree</v>
      </c>
      <c r="V6" s="14" t="str">
        <f>IFERROR(__xludf.DUMMYFUNCTION("""COMPUTED_VALUE"""),"5 - Strongly Agree")</f>
        <v>5 - Strongly Agree</v>
      </c>
      <c r="W6" s="14" t="str">
        <f>IFERROR(__xludf.DUMMYFUNCTION("""COMPUTED_VALUE"""),"5 - Strongly Agree")</f>
        <v>5 - Strongly Agree</v>
      </c>
      <c r="X6" s="14" t="str">
        <f>IFERROR(__xludf.DUMMYFUNCTION("""COMPUTED_VALUE"""),"4 - Agree")</f>
        <v>4 - Agree</v>
      </c>
      <c r="Y6" s="14" t="str">
        <f>IFERROR(__xludf.DUMMYFUNCTION("""COMPUTED_VALUE"""),"5 - Strongly Agree")</f>
        <v>5 - Strongly Agree</v>
      </c>
      <c r="Z6" s="14" t="str">
        <f>IFERROR(__xludf.DUMMYFUNCTION("""COMPUTED_VALUE"""),"5 - Strongly Agree")</f>
        <v>5 - Strongly Agree</v>
      </c>
      <c r="AA6" s="14" t="str">
        <f>IFERROR(__xludf.DUMMYFUNCTION("""COMPUTED_VALUE"""),"4 - Agree")</f>
        <v>4 - Agree</v>
      </c>
      <c r="AB6" s="14" t="str">
        <f>IFERROR(__xludf.DUMMYFUNCTION("""COMPUTED_VALUE"""),"4 - Agree")</f>
        <v>4 - Agree</v>
      </c>
      <c r="AC6" s="14"/>
    </row>
    <row r="7">
      <c r="A7" s="13">
        <f>IFERROR(__xludf.DUMMYFUNCTION("""COMPUTED_VALUE"""),45427.71153612268)</f>
        <v>45427.71154</v>
      </c>
      <c r="B7" s="14" t="str">
        <f>IFERROR(__xludf.DUMMYFUNCTION("""COMPUTED_VALUE"""),"Mori/Hawra/Tina - CFSN Detroit")</f>
        <v>Mori/Hawra/Tina - CFSN Detroit</v>
      </c>
      <c r="C7" s="14" t="str">
        <f>IFERROR(__xludf.DUMMYFUNCTION("""COMPUTED_VALUE"""),"Braylon Taylor")</f>
        <v>Braylon Taylor</v>
      </c>
      <c r="D7" s="14" t="str">
        <f>IFERROR(__xludf.DUMMYFUNCTION("""COMPUTED_VALUE"""),"my mom")</f>
        <v>my mom</v>
      </c>
      <c r="E7" s="14" t="str">
        <f>IFERROR(__xludf.DUMMYFUNCTION("""COMPUTED_VALUE"""),"my first day. my first day was great.")</f>
        <v>my first day. my first day was great.</v>
      </c>
      <c r="F7" s="14" t="str">
        <f>IFERROR(__xludf.DUMMYFUNCTION("""COMPUTED_VALUE"""),"if my mom doesn't ever forget to bring me")</f>
        <v>if my mom doesn't ever forget to bring me</v>
      </c>
      <c r="G7" s="14" t="str">
        <f>IFERROR(__xludf.DUMMYFUNCTION("""COMPUTED_VALUE"""),"an adult")</f>
        <v>an adult</v>
      </c>
      <c r="H7" s="14" t="str">
        <f>IFERROR(__xludf.DUMMYFUNCTION("""COMPUTED_VALUE"""),"Divided Loyalties about the American Revolution")</f>
        <v>Divided Loyalties about the American Revolution</v>
      </c>
      <c r="I7" s="14" t="str">
        <f>IFERROR(__xludf.DUMMYFUNCTION("""COMPUTED_VALUE"""),"playing with my friends")</f>
        <v>playing with my friends</v>
      </c>
      <c r="J7" s="14" t="str">
        <f>IFERROR(__xludf.DUMMYFUNCTION("""COMPUTED_VALUE"""),"learning to be a good reader")</f>
        <v>learning to be a good reader</v>
      </c>
      <c r="K7" s="14" t="str">
        <f>IFERROR(__xludf.DUMMYFUNCTION("""COMPUTED_VALUE"""),"being with my family and at Center for Success Network and at school")</f>
        <v>being with my family and at Center for Success Network and at school</v>
      </c>
      <c r="L7" s="14" t="str">
        <f>IFERROR(__xludf.DUMMYFUNCTION("""COMPUTED_VALUE"""),"not sure")</f>
        <v>not sure</v>
      </c>
      <c r="M7" s="14" t="str">
        <f>IFERROR(__xludf.DUMMYFUNCTION("""COMPUTED_VALUE"""),"nope")</f>
        <v>nope</v>
      </c>
      <c r="N7" s="14" t="str">
        <f>IFERROR(__xludf.DUMMYFUNCTION("""COMPUTED_VALUE"""),"the strongest battlegrounds")</f>
        <v>the strongest battlegrounds</v>
      </c>
      <c r="O7" s="14" t="str">
        <f>IFERROR(__xludf.DUMMYFUNCTION("""COMPUTED_VALUE"""),"nope")</f>
        <v>nope</v>
      </c>
      <c r="P7" s="14" t="str">
        <f>IFERROR(__xludf.DUMMYFUNCTION("""COMPUTED_VALUE"""),"yep")</f>
        <v>yep</v>
      </c>
      <c r="Q7" s="14" t="str">
        <f>IFERROR(__xludf.DUMMYFUNCTION("""COMPUTED_VALUE"""),"4 - Agree")</f>
        <v>4 - Agree</v>
      </c>
      <c r="R7" s="14" t="str">
        <f>IFERROR(__xludf.DUMMYFUNCTION("""COMPUTED_VALUE"""),"4 - Agree")</f>
        <v>4 - Agree</v>
      </c>
      <c r="S7" s="14" t="str">
        <f>IFERROR(__xludf.DUMMYFUNCTION("""COMPUTED_VALUE"""),"4 - Agree")</f>
        <v>4 - Agree</v>
      </c>
      <c r="T7" s="14" t="str">
        <f>IFERROR(__xludf.DUMMYFUNCTION("""COMPUTED_VALUE"""),"4 - Agree")</f>
        <v>4 - Agree</v>
      </c>
      <c r="U7" s="14" t="str">
        <f>IFERROR(__xludf.DUMMYFUNCTION("""COMPUTED_VALUE"""),"4 - Agree")</f>
        <v>4 - Agree</v>
      </c>
      <c r="V7" s="14" t="str">
        <f>IFERROR(__xludf.DUMMYFUNCTION("""COMPUTED_VALUE"""),"5 - Strongly Agree")</f>
        <v>5 - Strongly Agree</v>
      </c>
      <c r="W7" s="14" t="str">
        <f>IFERROR(__xludf.DUMMYFUNCTION("""COMPUTED_VALUE"""),"4 - Agree")</f>
        <v>4 - Agree</v>
      </c>
      <c r="X7" s="14" t="str">
        <f>IFERROR(__xludf.DUMMYFUNCTION("""COMPUTED_VALUE"""),"5 - Strongly Agree")</f>
        <v>5 - Strongly Agree</v>
      </c>
      <c r="Y7" s="14" t="str">
        <f>IFERROR(__xludf.DUMMYFUNCTION("""COMPUTED_VALUE"""),"5 - Strongly Agree")</f>
        <v>5 - Strongly Agree</v>
      </c>
      <c r="Z7" s="14" t="str">
        <f>IFERROR(__xludf.DUMMYFUNCTION("""COMPUTED_VALUE"""),"3 - Neutral")</f>
        <v>3 - Neutral</v>
      </c>
      <c r="AA7" s="14" t="str">
        <f>IFERROR(__xludf.DUMMYFUNCTION("""COMPUTED_VALUE"""),"4 - Agree")</f>
        <v>4 - Agree</v>
      </c>
      <c r="AB7" s="14" t="str">
        <f>IFERROR(__xludf.DUMMYFUNCTION("""COMPUTED_VALUE"""),"5 - Strongly Agree")</f>
        <v>5 - Strongly Agree</v>
      </c>
      <c r="AC7" s="14"/>
    </row>
    <row r="8">
      <c r="A8" s="13">
        <f>IFERROR(__xludf.DUMMYFUNCTION("""COMPUTED_VALUE"""),45427.71414182871)</f>
        <v>45427.71414</v>
      </c>
      <c r="B8" s="14" t="str">
        <f>IFERROR(__xludf.DUMMYFUNCTION("""COMPUTED_VALUE"""),"Mori/Hawra/Tina - CFSN Detroit")</f>
        <v>Mori/Hawra/Tina - CFSN Detroit</v>
      </c>
      <c r="C8" s="14" t="str">
        <f>IFERROR(__xludf.DUMMYFUNCTION("""COMPUTED_VALUE"""),"Keith Edwards")</f>
        <v>Keith Edwards</v>
      </c>
      <c r="D8" s="14" t="str">
        <f>IFERROR(__xludf.DUMMYFUNCTION("""COMPUTED_VALUE"""),"meeting my friends here")</f>
        <v>meeting my friends here</v>
      </c>
      <c r="E8" s="14" t="str">
        <f>IFERROR(__xludf.DUMMYFUNCTION("""COMPUTED_VALUE"""),"when we watch a read aloud video")</f>
        <v>when we watch a read aloud video</v>
      </c>
      <c r="F8" s="14" t="str">
        <f>IFERROR(__xludf.DUMMYFUNCTION("""COMPUTED_VALUE"""),"im not sure")</f>
        <v>im not sure</v>
      </c>
      <c r="G8" s="14" t="str">
        <f>IFERROR(__xludf.DUMMYFUNCTION("""COMPUTED_VALUE"""),"people keep their voices down to an inside voice")</f>
        <v>people keep their voices down to an inside voice</v>
      </c>
      <c r="H8" s="14" t="str">
        <f>IFERROR(__xludf.DUMMYFUNCTION("""COMPUTED_VALUE"""),"Jabari Tries")</f>
        <v>Jabari Tries</v>
      </c>
      <c r="I8" s="14" t="str">
        <f>IFERROR(__xludf.DUMMYFUNCTION("""COMPUTED_VALUE"""),"when we did word games")</f>
        <v>when we did word games</v>
      </c>
      <c r="J8" s="14" t="str">
        <f>IFERROR(__xludf.DUMMYFUNCTION("""COMPUTED_VALUE"""),"word games")</f>
        <v>word games</v>
      </c>
      <c r="K8" s="14"/>
      <c r="L8" s="14" t="str">
        <f>IFERROR(__xludf.DUMMYFUNCTION("""COMPUTED_VALUE"""),"im not sure")</f>
        <v>im not sure</v>
      </c>
      <c r="M8" s="14" t="str">
        <f>IFERROR(__xludf.DUMMYFUNCTION("""COMPUTED_VALUE"""),"im not sure")</f>
        <v>im not sure</v>
      </c>
      <c r="N8" s="14"/>
      <c r="O8" s="14" t="str">
        <f>IFERROR(__xludf.DUMMYFUNCTION("""COMPUTED_VALUE"""),"im not sure")</f>
        <v>im not sure</v>
      </c>
      <c r="P8" s="14" t="str">
        <f>IFERROR(__xludf.DUMMYFUNCTION("""COMPUTED_VALUE"""),"yes, I have")</f>
        <v>yes, I have</v>
      </c>
      <c r="Q8" s="14" t="str">
        <f>IFERROR(__xludf.DUMMYFUNCTION("""COMPUTED_VALUE"""),"4 - Agree")</f>
        <v>4 - Agree</v>
      </c>
      <c r="R8" s="14" t="str">
        <f>IFERROR(__xludf.DUMMYFUNCTION("""COMPUTED_VALUE"""),"4 - Agree")</f>
        <v>4 - Agree</v>
      </c>
      <c r="S8" s="14" t="str">
        <f>IFERROR(__xludf.DUMMYFUNCTION("""COMPUTED_VALUE"""),"4 - Agree")</f>
        <v>4 - Agree</v>
      </c>
      <c r="T8" s="14" t="str">
        <f>IFERROR(__xludf.DUMMYFUNCTION("""COMPUTED_VALUE"""),"4 - Agree")</f>
        <v>4 - Agree</v>
      </c>
      <c r="U8" s="14" t="str">
        <f>IFERROR(__xludf.DUMMYFUNCTION("""COMPUTED_VALUE"""),"4 - Agree")</f>
        <v>4 - Agree</v>
      </c>
      <c r="V8" s="14" t="str">
        <f>IFERROR(__xludf.DUMMYFUNCTION("""COMPUTED_VALUE"""),"4 - Agree")</f>
        <v>4 - Agree</v>
      </c>
      <c r="W8" s="14" t="str">
        <f>IFERROR(__xludf.DUMMYFUNCTION("""COMPUTED_VALUE"""),"4 - Agree")</f>
        <v>4 - Agree</v>
      </c>
      <c r="X8" s="14" t="str">
        <f>IFERROR(__xludf.DUMMYFUNCTION("""COMPUTED_VALUE"""),"4 - Agree")</f>
        <v>4 - Agree</v>
      </c>
      <c r="Y8" s="14" t="str">
        <f>IFERROR(__xludf.DUMMYFUNCTION("""COMPUTED_VALUE"""),"4 - Agree")</f>
        <v>4 - Agree</v>
      </c>
      <c r="Z8" s="14" t="str">
        <f>IFERROR(__xludf.DUMMYFUNCTION("""COMPUTED_VALUE"""),"4 - Agree")</f>
        <v>4 - Agree</v>
      </c>
      <c r="AA8" s="14" t="str">
        <f>IFERROR(__xludf.DUMMYFUNCTION("""COMPUTED_VALUE"""),"4 - Agree")</f>
        <v>4 - Agree</v>
      </c>
      <c r="AB8" s="14" t="str">
        <f>IFERROR(__xludf.DUMMYFUNCTION("""COMPUTED_VALUE"""),"4 - Agree")</f>
        <v>4 - Agree</v>
      </c>
      <c r="AC8" s="14"/>
    </row>
    <row r="9">
      <c r="A9" s="13">
        <f>IFERROR(__xludf.DUMMYFUNCTION("""COMPUTED_VALUE"""),45427.8469433449)</f>
        <v>45427.84694</v>
      </c>
      <c r="B9" s="14" t="str">
        <f>IFERROR(__xludf.DUMMYFUNCTION("""COMPUTED_VALUE"""),"Mori/Hawra/Tina - CFSN Detroit")</f>
        <v>Mori/Hawra/Tina - CFSN Detroit</v>
      </c>
      <c r="C9" s="14" t="str">
        <f>IFERROR(__xludf.DUMMYFUNCTION("""COMPUTED_VALUE"""),"Jaslena Holland")</f>
        <v>Jaslena Holland</v>
      </c>
      <c r="D9" s="14" t="str">
        <f>IFERROR(__xludf.DUMMYFUNCTION("""COMPUTED_VALUE"""),"the people")</f>
        <v>the people</v>
      </c>
      <c r="E9" s="14" t="str">
        <f>IFERROR(__xludf.DUMMYFUNCTION("""COMPUTED_VALUE"""),"laughing with my friends")</f>
        <v>laughing with my friends</v>
      </c>
      <c r="F9" s="14" t="str">
        <f>IFERROR(__xludf.DUMMYFUNCTION("""COMPUTED_VALUE"""),"getting to go to the arcade for good behavioe")</f>
        <v>getting to go to the arcade for good behavioe</v>
      </c>
      <c r="G9" s="14" t="str">
        <f>IFERROR(__xludf.DUMMYFUNCTION("""COMPUTED_VALUE"""),"getting rewards")</f>
        <v>getting rewards</v>
      </c>
      <c r="H9" s="14" t="str">
        <f>IFERROR(__xludf.DUMMYFUNCTION("""COMPUTED_VALUE"""),"Cat in the hat")</f>
        <v>Cat in the hat</v>
      </c>
      <c r="I9" s="14" t="str">
        <f>IFERROR(__xludf.DUMMYFUNCTION("""COMPUTED_VALUE"""),"my friends")</f>
        <v>my friends</v>
      </c>
      <c r="J9" s="14" t="str">
        <f>IFERROR(__xludf.DUMMYFUNCTION("""COMPUTED_VALUE"""),"being able to learn to read better")</f>
        <v>being able to learn to read better</v>
      </c>
      <c r="K9" s="14" t="str">
        <f>IFERROR(__xludf.DUMMYFUNCTION("""COMPUTED_VALUE"""),"some places")</f>
        <v>some places</v>
      </c>
      <c r="L9" s="14" t="str">
        <f>IFERROR(__xludf.DUMMYFUNCTION("""COMPUTED_VALUE"""),"If my mom could get us there but she doesn't have a car")</f>
        <v>If my mom could get us there but she doesn't have a car</v>
      </c>
      <c r="M9" s="14" t="str">
        <f>IFERROR(__xludf.DUMMYFUNCTION("""COMPUTED_VALUE"""),"no")</f>
        <v>no</v>
      </c>
      <c r="N9" s="14" t="str">
        <f>IFERROR(__xludf.DUMMYFUNCTION("""COMPUTED_VALUE"""),"I like the giant game with four in a row")</f>
        <v>I like the giant game with four in a row</v>
      </c>
      <c r="O9" s="14" t="str">
        <f>IFERROR(__xludf.DUMMYFUNCTION("""COMPUTED_VALUE"""),"no")</f>
        <v>no</v>
      </c>
      <c r="P9" s="14" t="str">
        <f>IFERROR(__xludf.DUMMYFUNCTION("""COMPUTED_VALUE"""),"a little when my mom could get us there")</f>
        <v>a little when my mom could get us there</v>
      </c>
      <c r="Q9" s="14" t="str">
        <f>IFERROR(__xludf.DUMMYFUNCTION("""COMPUTED_VALUE"""),"3 - Neutral")</f>
        <v>3 - Neutral</v>
      </c>
      <c r="R9" s="14" t="str">
        <f>IFERROR(__xludf.DUMMYFUNCTION("""COMPUTED_VALUE"""),"3 - Neutral")</f>
        <v>3 - Neutral</v>
      </c>
      <c r="S9" s="14" t="str">
        <f>IFERROR(__xludf.DUMMYFUNCTION("""COMPUTED_VALUE"""),"4 - Agree")</f>
        <v>4 - Agree</v>
      </c>
      <c r="T9" s="14" t="str">
        <f>IFERROR(__xludf.DUMMYFUNCTION("""COMPUTED_VALUE"""),"4 - Agree")</f>
        <v>4 - Agree</v>
      </c>
      <c r="U9" s="14" t="str">
        <f>IFERROR(__xludf.DUMMYFUNCTION("""COMPUTED_VALUE"""),"4 - Agree")</f>
        <v>4 - Agree</v>
      </c>
      <c r="V9" s="14" t="str">
        <f>IFERROR(__xludf.DUMMYFUNCTION("""COMPUTED_VALUE"""),"4 - Agree")</f>
        <v>4 - Agree</v>
      </c>
      <c r="W9" s="14" t="str">
        <f>IFERROR(__xludf.DUMMYFUNCTION("""COMPUTED_VALUE"""),"3 - Neutral")</f>
        <v>3 - Neutral</v>
      </c>
      <c r="X9" s="14" t="str">
        <f>IFERROR(__xludf.DUMMYFUNCTION("""COMPUTED_VALUE"""),"4 - Agree")</f>
        <v>4 - Agree</v>
      </c>
      <c r="Y9" s="14" t="str">
        <f>IFERROR(__xludf.DUMMYFUNCTION("""COMPUTED_VALUE"""),"4 - Agree")</f>
        <v>4 - Agree</v>
      </c>
      <c r="Z9" s="14" t="str">
        <f>IFERROR(__xludf.DUMMYFUNCTION("""COMPUTED_VALUE"""),"5 - Strongly Agree")</f>
        <v>5 - Strongly Agree</v>
      </c>
      <c r="AA9" s="14" t="str">
        <f>IFERROR(__xludf.DUMMYFUNCTION("""COMPUTED_VALUE"""),"5 - Strongly Agree")</f>
        <v>5 - Strongly Agree</v>
      </c>
      <c r="AB9" s="14" t="str">
        <f>IFERROR(__xludf.DUMMYFUNCTION("""COMPUTED_VALUE"""),"5 - Strongly Agree")</f>
        <v>5 - Strongly Agree</v>
      </c>
      <c r="AC9" s="14"/>
    </row>
    <row r="10">
      <c r="A10" s="13">
        <f>IFERROR(__xludf.DUMMYFUNCTION("""COMPUTED_VALUE"""),45427.85060185185)</f>
        <v>45427.8506</v>
      </c>
      <c r="B10" s="14" t="str">
        <f>IFERROR(__xludf.DUMMYFUNCTION("""COMPUTED_VALUE"""),"Mori/Hawra/Tina - CFSN Detroit")</f>
        <v>Mori/Hawra/Tina - CFSN Detroit</v>
      </c>
      <c r="C10" s="14" t="str">
        <f>IFERROR(__xludf.DUMMYFUNCTION("""COMPUTED_VALUE"""),"Jason Holland")</f>
        <v>Jason Holland</v>
      </c>
      <c r="D10" s="14" t="str">
        <f>IFERROR(__xludf.DUMMYFUNCTION("""COMPUTED_VALUE"""),"I like Mr. Micheal he is funny")</f>
        <v>I like Mr. Micheal he is funny</v>
      </c>
      <c r="E10" s="14" t="str">
        <f>IFERROR(__xludf.DUMMYFUNCTION("""COMPUTED_VALUE"""),"working with Mr. Rosoe and Mr. Mcichel")</f>
        <v>working with Mr. Rosoe and Mr. Mcichel</v>
      </c>
      <c r="F10" s="14" t="str">
        <f>IFERROR(__xludf.DUMMYFUNCTION("""COMPUTED_VALUE"""),"if i can work with the granddad")</f>
        <v>if i can work with the granddad</v>
      </c>
      <c r="G10" s="14" t="str">
        <f>IFERROR(__xludf.DUMMYFUNCTION("""COMPUTED_VALUE"""),"the granddad")</f>
        <v>the granddad</v>
      </c>
      <c r="H10" s="14" t="str">
        <f>IFERROR(__xludf.DUMMYFUNCTION("""COMPUTED_VALUE"""),"books about animals")</f>
        <v>books about animals</v>
      </c>
      <c r="I10" s="14" t="str">
        <f>IFERROR(__xludf.DUMMYFUNCTION("""COMPUTED_VALUE"""),"question of the day")</f>
        <v>question of the day</v>
      </c>
      <c r="J10" s="14" t="str">
        <f>IFERROR(__xludf.DUMMYFUNCTION("""COMPUTED_VALUE"""),"the grandads")</f>
        <v>the grandads</v>
      </c>
      <c r="K10" s="14" t="str">
        <f>IFERROR(__xludf.DUMMYFUNCTION("""COMPUTED_VALUE"""),"grandads")</f>
        <v>grandads</v>
      </c>
      <c r="L10" s="14" t="str">
        <f>IFERROR(__xludf.DUMMYFUNCTION("""COMPUTED_VALUE"""),"get more grandddads for me")</f>
        <v>get more grandddads for me</v>
      </c>
      <c r="M10" s="14" t="str">
        <f>IFERROR(__xludf.DUMMYFUNCTION("""COMPUTED_VALUE"""),"Can think of")</f>
        <v>Can think of</v>
      </c>
      <c r="N10" s="14" t="str">
        <f>IFERROR(__xludf.DUMMYFUNCTION("""COMPUTED_VALUE"""),"uno cards")</f>
        <v>uno cards</v>
      </c>
      <c r="O10" s="14" t="str">
        <f>IFERROR(__xludf.DUMMYFUNCTION("""COMPUTED_VALUE"""),"no")</f>
        <v>no</v>
      </c>
      <c r="P10" s="14" t="str">
        <f>IFERROR(__xludf.DUMMYFUNCTION("""COMPUTED_VALUE"""),"sortof")</f>
        <v>sortof</v>
      </c>
      <c r="Q10" s="14" t="str">
        <f>IFERROR(__xludf.DUMMYFUNCTION("""COMPUTED_VALUE"""),"5 - Strongly Agree")</f>
        <v>5 - Strongly Agree</v>
      </c>
      <c r="R10" s="14" t="str">
        <f>IFERROR(__xludf.DUMMYFUNCTION("""COMPUTED_VALUE"""),"5 - Strongly Agree")</f>
        <v>5 - Strongly Agree</v>
      </c>
      <c r="S10" s="14" t="str">
        <f>IFERROR(__xludf.DUMMYFUNCTION("""COMPUTED_VALUE"""),"5 - Strongly Agree")</f>
        <v>5 - Strongly Agree</v>
      </c>
      <c r="T10" s="14" t="str">
        <f>IFERROR(__xludf.DUMMYFUNCTION("""COMPUTED_VALUE"""),"5 - Strongly Agree")</f>
        <v>5 - Strongly Agree</v>
      </c>
      <c r="U10" s="14" t="str">
        <f>IFERROR(__xludf.DUMMYFUNCTION("""COMPUTED_VALUE"""),"5 - Strongly Agree")</f>
        <v>5 - Strongly Agree</v>
      </c>
      <c r="V10" s="14" t="str">
        <f>IFERROR(__xludf.DUMMYFUNCTION("""COMPUTED_VALUE"""),"5 - Strongly Agree")</f>
        <v>5 - Strongly Agree</v>
      </c>
      <c r="W10" s="14" t="str">
        <f>IFERROR(__xludf.DUMMYFUNCTION("""COMPUTED_VALUE"""),"5 - Strongly Agree")</f>
        <v>5 - Strongly Agree</v>
      </c>
      <c r="X10" s="14" t="str">
        <f>IFERROR(__xludf.DUMMYFUNCTION("""COMPUTED_VALUE"""),"5 - Strongly Agree")</f>
        <v>5 - Strongly Agree</v>
      </c>
      <c r="Y10" s="14" t="str">
        <f>IFERROR(__xludf.DUMMYFUNCTION("""COMPUTED_VALUE"""),"5 - Strongly Agree")</f>
        <v>5 - Strongly Agree</v>
      </c>
      <c r="Z10" s="14" t="str">
        <f>IFERROR(__xludf.DUMMYFUNCTION("""COMPUTED_VALUE"""),"5 - Strongly Agree")</f>
        <v>5 - Strongly Agree</v>
      </c>
      <c r="AA10" s="14" t="str">
        <f>IFERROR(__xludf.DUMMYFUNCTION("""COMPUTED_VALUE"""),"5 - Strongly Agree")</f>
        <v>5 - Strongly Agree</v>
      </c>
      <c r="AB10" s="14" t="str">
        <f>IFERROR(__xludf.DUMMYFUNCTION("""COMPUTED_VALUE"""),"5 - Strongly Agree")</f>
        <v>5 - Strongly Agree</v>
      </c>
      <c r="AC10"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1" t="s">
        <v>1169</v>
      </c>
      <c r="R1" s="11" t="s">
        <v>1170</v>
      </c>
      <c r="S1" s="11" t="s">
        <v>1171</v>
      </c>
      <c r="T1" s="11" t="s">
        <v>1172</v>
      </c>
      <c r="U1" s="11" t="s">
        <v>1173</v>
      </c>
      <c r="V1" s="11" t="s">
        <v>1174</v>
      </c>
      <c r="W1" s="11" t="s">
        <v>1175</v>
      </c>
      <c r="X1" s="11" t="s">
        <v>1176</v>
      </c>
      <c r="Y1" s="11" t="s">
        <v>1177</v>
      </c>
      <c r="Z1" s="11" t="s">
        <v>1178</v>
      </c>
      <c r="AA1" s="11" t="s">
        <v>1179</v>
      </c>
      <c r="AB1" s="11" t="s">
        <v>1180</v>
      </c>
      <c r="AC1" s="10" t="s">
        <v>28</v>
      </c>
      <c r="AD1" s="12"/>
      <c r="AE1" s="12"/>
      <c r="AF1" s="12"/>
      <c r="AG1" s="12"/>
      <c r="AH1" s="12"/>
      <c r="AI1" s="12"/>
    </row>
    <row r="2">
      <c r="A2" s="15">
        <f>IFERROR(__xludf.DUMMYFUNCTION("QUERY('Form Responses 1'!A2:AC1001,""Select * where B = 'Kendra + Maggie - CFSN Pontiac'"")"),45419.71691380787)</f>
        <v>45419.71691</v>
      </c>
      <c r="B2" s="5" t="str">
        <f>IFERROR(__xludf.DUMMYFUNCTION("""COMPUTED_VALUE"""),"Kendra + Maggie - CFSN Pontiac")</f>
        <v>Kendra + Maggie - CFSN Pontiac</v>
      </c>
      <c r="C2" s="5" t="str">
        <f>IFERROR(__xludf.DUMMYFUNCTION("""COMPUTED_VALUE"""),"samarii    ")</f>
        <v>samarii    </v>
      </c>
      <c r="D2" s="5" t="str">
        <f>IFERROR(__xludf.DUMMYFUNCTION("""COMPUTED_VALUE"""),"to read more")</f>
        <v>to read more</v>
      </c>
      <c r="E2" s="5" t="str">
        <f>IFERROR(__xludf.DUMMYFUNCTION("""COMPUTED_VALUE"""),"Spending time with miss Brook")</f>
        <v>Spending time with miss Brook</v>
      </c>
      <c r="F2" s="5" t="str">
        <f>IFERROR(__xludf.DUMMYFUNCTION("""COMPUTED_VALUE"""),"Spend time with Ms. Maggie and Ms Kendra")</f>
        <v>Spend time with Ms. Maggie and Ms Kendra</v>
      </c>
      <c r="G2" s="5" t="str">
        <f>IFERROR(__xludf.DUMMYFUNCTION("""COMPUTED_VALUE"""),"reading")</f>
        <v>reading</v>
      </c>
      <c r="H2" s="5" t="str">
        <f>IFERROR(__xludf.DUMMYFUNCTION("""COMPUTED_VALUE"""),"harry potter")</f>
        <v>harry potter</v>
      </c>
      <c r="I2" s="5"/>
      <c r="J2" s="5" t="str">
        <f>IFERROR(__xludf.DUMMYFUNCTION("""COMPUTED_VALUE"""),"having")</f>
        <v>having</v>
      </c>
      <c r="K2" s="5"/>
      <c r="L2" s="5" t="str">
        <f>IFERROR(__xludf.DUMMYFUNCTION("""COMPUTED_VALUE"""),"reading goal for school")</f>
        <v>reading goal for school</v>
      </c>
      <c r="M2" s="5" t="str">
        <f>IFERROR(__xludf.DUMMYFUNCTION("""COMPUTED_VALUE"""),"no")</f>
        <v>no</v>
      </c>
      <c r="N2" s="5" t="str">
        <f>IFERROR(__xludf.DUMMYFUNCTION("""COMPUTED_VALUE"""),"bingo game with mentor")</f>
        <v>bingo game with mentor</v>
      </c>
      <c r="O2" s="5" t="str">
        <f>IFERROR(__xludf.DUMMYFUNCTION("""COMPUTED_VALUE"""),"to get everything set up before I get here")</f>
        <v>to get everything set up before I get here</v>
      </c>
      <c r="P2" s="5" t="str">
        <f>IFERROR(__xludf.DUMMYFUNCTION("""COMPUTED_VALUE"""),"reading and writing has gotten better")</f>
        <v>reading and writing has gotten better</v>
      </c>
      <c r="Q2" s="5" t="str">
        <f>IFERROR(__xludf.DUMMYFUNCTION("""COMPUTED_VALUE"""),"5 - Strongly Agree")</f>
        <v>5 - Strongly Agree</v>
      </c>
      <c r="R2" s="5" t="str">
        <f>IFERROR(__xludf.DUMMYFUNCTION("""COMPUTED_VALUE"""),"5 - Strongly Agree")</f>
        <v>5 - Strongly Agree</v>
      </c>
      <c r="S2" s="5" t="str">
        <f>IFERROR(__xludf.DUMMYFUNCTION("""COMPUTED_VALUE"""),"5 - Strongly Agree")</f>
        <v>5 - Strongly Agree</v>
      </c>
      <c r="T2" s="5" t="str">
        <f>IFERROR(__xludf.DUMMYFUNCTION("""COMPUTED_VALUE"""),"5 - Strongly Agree")</f>
        <v>5 - Strongly Agree</v>
      </c>
      <c r="U2" s="5" t="str">
        <f>IFERROR(__xludf.DUMMYFUNCTION("""COMPUTED_VALUE"""),"5 - Strongly Agree")</f>
        <v>5 - Strongly Agree</v>
      </c>
      <c r="V2" s="5" t="str">
        <f>IFERROR(__xludf.DUMMYFUNCTION("""COMPUTED_VALUE"""),"5 - Strongly Agree")</f>
        <v>5 - Strongly Agree</v>
      </c>
      <c r="W2" s="5" t="str">
        <f>IFERROR(__xludf.DUMMYFUNCTION("""COMPUTED_VALUE"""),"5 - Strongly Agree")</f>
        <v>5 - Strongly Agree</v>
      </c>
      <c r="X2" s="5" t="str">
        <f>IFERROR(__xludf.DUMMYFUNCTION("""COMPUTED_VALUE"""),"5 - Strongly Agree")</f>
        <v>5 - Strongly Agree</v>
      </c>
      <c r="Y2" s="5" t="str">
        <f>IFERROR(__xludf.DUMMYFUNCTION("""COMPUTED_VALUE"""),"5 - Strongly Agree")</f>
        <v>5 - Strongly Agree</v>
      </c>
      <c r="Z2" s="5" t="str">
        <f>IFERROR(__xludf.DUMMYFUNCTION("""COMPUTED_VALUE"""),"5 - Strongly Agree")</f>
        <v>5 - Strongly Agree</v>
      </c>
      <c r="AA2" s="5" t="str">
        <f>IFERROR(__xludf.DUMMYFUNCTION("""COMPUTED_VALUE"""),"5 - Strongly Agree")</f>
        <v>5 - Strongly Agree</v>
      </c>
      <c r="AB2" s="5" t="str">
        <f>IFERROR(__xludf.DUMMYFUNCTION("""COMPUTED_VALUE"""),"5 - Strongly Agree")</f>
        <v>5 - Strongly Agree</v>
      </c>
      <c r="AC2" s="5" t="str">
        <f>IFERROR(__xludf.DUMMYFUNCTION("""COMPUTED_VALUE"""),"Wants to get better to move on to 3rd grade")</f>
        <v>Wants to get better to move on to 3rd grade</v>
      </c>
      <c r="AD2" s="5"/>
      <c r="AE2" s="5"/>
      <c r="AF2" s="5"/>
      <c r="AG2" s="5"/>
      <c r="AH2" s="5"/>
      <c r="AI2" s="5"/>
    </row>
    <row r="3">
      <c r="A3" s="15">
        <f>IFERROR(__xludf.DUMMYFUNCTION("""COMPUTED_VALUE"""),45419.71834619213)</f>
        <v>45419.71835</v>
      </c>
      <c r="B3" s="5" t="str">
        <f>IFERROR(__xludf.DUMMYFUNCTION("""COMPUTED_VALUE"""),"Kendra + Maggie - CFSN Pontiac")</f>
        <v>Kendra + Maggie - CFSN Pontiac</v>
      </c>
      <c r="C3" s="5" t="str">
        <f>IFERROR(__xludf.DUMMYFUNCTION("""COMPUTED_VALUE"""),"mila")</f>
        <v>mila</v>
      </c>
      <c r="D3" s="5" t="str">
        <f>IFERROR(__xludf.DUMMYFUNCTION("""COMPUTED_VALUE"""),"play with my mentor")</f>
        <v>play with my mentor</v>
      </c>
      <c r="E3" s="5" t="str">
        <f>IFERROR(__xludf.DUMMYFUNCTION("""COMPUTED_VALUE"""),"playing ")</f>
        <v>playing </v>
      </c>
      <c r="F3" s="5" t="str">
        <f>IFERROR(__xludf.DUMMYFUNCTION("""COMPUTED_VALUE"""),"legos and reading and homework")</f>
        <v>legos and reading and homework</v>
      </c>
      <c r="G3" s="5" t="str">
        <f>IFERROR(__xludf.DUMMYFUNCTION("""COMPUTED_VALUE"""),"homework and water")</f>
        <v>homework and water</v>
      </c>
      <c r="H3" s="5" t="str">
        <f>IFERROR(__xludf.DUMMYFUNCTION("""COMPUTED_VALUE"""),"frozen books")</f>
        <v>frozen books</v>
      </c>
      <c r="I3" s="5" t="str">
        <f>IFERROR(__xludf.DUMMYFUNCTION("""COMPUTED_VALUE"""),"being happy to be here")</f>
        <v>being happy to be here</v>
      </c>
      <c r="J3" s="5" t="str">
        <f>IFERROR(__xludf.DUMMYFUNCTION("""COMPUTED_VALUE"""),"reading and playing")</f>
        <v>reading and playing</v>
      </c>
      <c r="K3" s="5" t="str">
        <f>IFERROR(__xludf.DUMMYFUNCTION("""COMPUTED_VALUE"""),"i feel safe with my mom and dad at home")</f>
        <v>i feel safe with my mom and dad at home</v>
      </c>
      <c r="L3" s="5" t="str">
        <f>IFERROR(__xludf.DUMMYFUNCTION("""COMPUTED_VALUE"""),"reading and math and homework")</f>
        <v>reading and math and homework</v>
      </c>
      <c r="M3" s="5" t="str">
        <f>IFERROR(__xludf.DUMMYFUNCTION("""COMPUTED_VALUE"""),"being yelled at")</f>
        <v>being yelled at</v>
      </c>
      <c r="N3" s="5" t="str">
        <f>IFERROR(__xludf.DUMMYFUNCTION("""COMPUTED_VALUE"""),"reading frozen books")</f>
        <v>reading frozen books</v>
      </c>
      <c r="O3" s="5" t="str">
        <f>IFERROR(__xludf.DUMMYFUNCTION("""COMPUTED_VALUE"""),"reading to teachers")</f>
        <v>reading to teachers</v>
      </c>
      <c r="P3" s="5" t="str">
        <f>IFERROR(__xludf.DUMMYFUNCTION("""COMPUTED_VALUE"""),"sometimes but i try my best")</f>
        <v>sometimes but i try my best</v>
      </c>
      <c r="Q3" s="5" t="str">
        <f>IFERROR(__xludf.DUMMYFUNCTION("""COMPUTED_VALUE"""),"5 - Strongly Agree")</f>
        <v>5 - Strongly Agree</v>
      </c>
      <c r="R3" s="5" t="str">
        <f>IFERROR(__xludf.DUMMYFUNCTION("""COMPUTED_VALUE"""),"4 - Agree")</f>
        <v>4 - Agree</v>
      </c>
      <c r="S3" s="5" t="str">
        <f>IFERROR(__xludf.DUMMYFUNCTION("""COMPUTED_VALUE"""),"5 - Strongly Agree")</f>
        <v>5 - Strongly Agree</v>
      </c>
      <c r="T3" s="5" t="str">
        <f>IFERROR(__xludf.DUMMYFUNCTION("""COMPUTED_VALUE"""),"3 - Neutral")</f>
        <v>3 - Neutral</v>
      </c>
      <c r="U3" s="5" t="str">
        <f>IFERROR(__xludf.DUMMYFUNCTION("""COMPUTED_VALUE"""),"4 - Agree")</f>
        <v>4 - Agree</v>
      </c>
      <c r="V3" s="5" t="str">
        <f>IFERROR(__xludf.DUMMYFUNCTION("""COMPUTED_VALUE"""),"3 - Neutral")</f>
        <v>3 - Neutral</v>
      </c>
      <c r="W3" s="5" t="str">
        <f>IFERROR(__xludf.DUMMYFUNCTION("""COMPUTED_VALUE"""),"4 - Agree")</f>
        <v>4 - Agree</v>
      </c>
      <c r="X3" s="5" t="str">
        <f>IFERROR(__xludf.DUMMYFUNCTION("""COMPUTED_VALUE"""),"4 - Agree")</f>
        <v>4 - Agree</v>
      </c>
      <c r="Y3" s="5" t="str">
        <f>IFERROR(__xludf.DUMMYFUNCTION("""COMPUTED_VALUE"""),"5 - Strongly Agree")</f>
        <v>5 - Strongly Agree</v>
      </c>
      <c r="Z3" s="5" t="str">
        <f>IFERROR(__xludf.DUMMYFUNCTION("""COMPUTED_VALUE"""),"4 - Agree")</f>
        <v>4 - Agree</v>
      </c>
      <c r="AA3" s="5" t="str">
        <f>IFERROR(__xludf.DUMMYFUNCTION("""COMPUTED_VALUE"""),"5 - Strongly Agree")</f>
        <v>5 - Strongly Agree</v>
      </c>
      <c r="AB3" s="5" t="str">
        <f>IFERROR(__xludf.DUMMYFUNCTION("""COMPUTED_VALUE"""),"4 - Agree")</f>
        <v>4 - Agree</v>
      </c>
      <c r="AC3" s="5"/>
      <c r="AD3" s="5"/>
      <c r="AE3" s="5"/>
      <c r="AF3" s="5"/>
      <c r="AG3" s="5"/>
      <c r="AH3" s="5"/>
      <c r="AI3" s="5"/>
    </row>
    <row r="4">
      <c r="A4" s="15">
        <f>IFERROR(__xludf.DUMMYFUNCTION("""COMPUTED_VALUE"""),45419.721473136575)</f>
        <v>45419.72147</v>
      </c>
      <c r="B4" s="5" t="str">
        <f>IFERROR(__xludf.DUMMYFUNCTION("""COMPUTED_VALUE"""),"Kendra + Maggie - CFSN Pontiac")</f>
        <v>Kendra + Maggie - CFSN Pontiac</v>
      </c>
      <c r="C4" s="5" t="str">
        <f>IFERROR(__xludf.DUMMYFUNCTION("""COMPUTED_VALUE"""),"Nyla Stimage")</f>
        <v>Nyla Stimage</v>
      </c>
      <c r="D4" s="5" t="str">
        <f>IFERROR(__xludf.DUMMYFUNCTION("""COMPUTED_VALUE"""),"Have fun with mentor")</f>
        <v>Have fun with mentor</v>
      </c>
      <c r="E4" s="5" t="str">
        <f>IFERROR(__xludf.DUMMYFUNCTION("""COMPUTED_VALUE"""),"Being downstairs and spending time with Mentor")</f>
        <v>Being downstairs and spending time with Mentor</v>
      </c>
      <c r="F4" s="5" t="str">
        <f>IFERROR(__xludf.DUMMYFUNCTION("""COMPUTED_VALUE"""),"Playing Leggos and going outside")</f>
        <v>Playing Leggos and going outside</v>
      </c>
      <c r="G4" s="5" t="str">
        <f>IFERROR(__xludf.DUMMYFUNCTION("""COMPUTED_VALUE"""),"calming and reading ")</f>
        <v>calming and reading </v>
      </c>
      <c r="H4" s="5" t="str">
        <f>IFERROR(__xludf.DUMMYFUNCTION("""COMPUTED_VALUE"""),"may Jamison ")</f>
        <v>may Jamison </v>
      </c>
      <c r="I4" s="5" t="str">
        <f>IFERROR(__xludf.DUMMYFUNCTION("""COMPUTED_VALUE"""),"Dance and funny Jokes")</f>
        <v>Dance and funny Jokes</v>
      </c>
      <c r="J4" s="5" t="str">
        <f>IFERROR(__xludf.DUMMYFUNCTION("""COMPUTED_VALUE"""),"Playing games and reading ")</f>
        <v>Playing games and reading </v>
      </c>
      <c r="K4" s="5" t="str">
        <f>IFERROR(__xludf.DUMMYFUNCTION("""COMPUTED_VALUE"""),"joking and spending time with other kids")</f>
        <v>joking and spending time with other kids</v>
      </c>
      <c r="L4" s="5" t="str">
        <f>IFERROR(__xludf.DUMMYFUNCTION("""COMPUTED_VALUE"""),"Have a mentor by myself")</f>
        <v>Have a mentor by myself</v>
      </c>
      <c r="M4" s="5" t="str">
        <f>IFERROR(__xludf.DUMMYFUNCTION("""COMPUTED_VALUE"""),"play more Games")</f>
        <v>play more Games</v>
      </c>
      <c r="N4" s="5" t="str">
        <f>IFERROR(__xludf.DUMMYFUNCTION("""COMPUTED_VALUE"""),"swaps")</f>
        <v>swaps</v>
      </c>
      <c r="O4" s="5" t="str">
        <f>IFERROR(__xludf.DUMMYFUNCTION("""COMPUTED_VALUE"""),"have more food")</f>
        <v>have more food</v>
      </c>
      <c r="P4" s="5" t="str">
        <f>IFERROR(__xludf.DUMMYFUNCTION("""COMPUTED_VALUE"""),"feel more better about my reading")</f>
        <v>feel more better about my reading</v>
      </c>
      <c r="Q4" s="5" t="str">
        <f>IFERROR(__xludf.DUMMYFUNCTION("""COMPUTED_VALUE"""),"4 - Agree")</f>
        <v>4 - Agree</v>
      </c>
      <c r="R4" s="5" t="str">
        <f>IFERROR(__xludf.DUMMYFUNCTION("""COMPUTED_VALUE"""),"4 - Agree")</f>
        <v>4 - Agree</v>
      </c>
      <c r="S4" s="5" t="str">
        <f>IFERROR(__xludf.DUMMYFUNCTION("""COMPUTED_VALUE"""),"4 - Agree")</f>
        <v>4 - Agree</v>
      </c>
      <c r="T4" s="5" t="str">
        <f>IFERROR(__xludf.DUMMYFUNCTION("""COMPUTED_VALUE"""),"3 - Neutral")</f>
        <v>3 - Neutral</v>
      </c>
      <c r="U4" s="5" t="str">
        <f>IFERROR(__xludf.DUMMYFUNCTION("""COMPUTED_VALUE"""),"4 - Agree")</f>
        <v>4 - Agree</v>
      </c>
      <c r="V4" s="5" t="str">
        <f>IFERROR(__xludf.DUMMYFUNCTION("""COMPUTED_VALUE"""),"4 - Agree")</f>
        <v>4 - Agree</v>
      </c>
      <c r="W4" s="5" t="str">
        <f>IFERROR(__xludf.DUMMYFUNCTION("""COMPUTED_VALUE"""),"4 - Agree")</f>
        <v>4 - Agree</v>
      </c>
      <c r="X4" s="5" t="str">
        <f>IFERROR(__xludf.DUMMYFUNCTION("""COMPUTED_VALUE"""),"4 - Agree")</f>
        <v>4 - Agree</v>
      </c>
      <c r="Y4" s="5" t="str">
        <f>IFERROR(__xludf.DUMMYFUNCTION("""COMPUTED_VALUE"""),"4 - Agree")</f>
        <v>4 - Agree</v>
      </c>
      <c r="Z4" s="5" t="str">
        <f>IFERROR(__xludf.DUMMYFUNCTION("""COMPUTED_VALUE"""),"4 - Agree")</f>
        <v>4 - Agree</v>
      </c>
      <c r="AA4" s="5" t="str">
        <f>IFERROR(__xludf.DUMMYFUNCTION("""COMPUTED_VALUE"""),"4 - Agree")</f>
        <v>4 - Agree</v>
      </c>
      <c r="AB4" s="5" t="str">
        <f>IFERROR(__xludf.DUMMYFUNCTION("""COMPUTED_VALUE"""),"4 - Agree")</f>
        <v>4 - Agree</v>
      </c>
      <c r="AC4" s="5"/>
      <c r="AD4" s="5"/>
      <c r="AE4" s="5"/>
      <c r="AF4" s="5"/>
      <c r="AG4" s="5"/>
      <c r="AH4" s="5"/>
      <c r="AI4" s="5"/>
    </row>
    <row r="5">
      <c r="A5" s="15">
        <f>IFERROR(__xludf.DUMMYFUNCTION("""COMPUTED_VALUE"""),45419.723845243054)</f>
        <v>45419.72385</v>
      </c>
      <c r="B5" s="5" t="str">
        <f>IFERROR(__xludf.DUMMYFUNCTION("""COMPUTED_VALUE"""),"Kendra + Maggie - CFSN Pontiac")</f>
        <v>Kendra + Maggie - CFSN Pontiac</v>
      </c>
      <c r="C5" s="5"/>
      <c r="D5" s="5" t="str">
        <f>IFERROR(__xludf.DUMMYFUNCTION("""COMPUTED_VALUE"""),"miss kendra &amp; miss maggie")</f>
        <v>miss kendra &amp; miss maggie</v>
      </c>
      <c r="E5" s="5" t="str">
        <f>IFERROR(__xludf.DUMMYFUNCTION("""COMPUTED_VALUE"""),"going swimming ")</f>
        <v>going swimming </v>
      </c>
      <c r="F5" s="5" t="str">
        <f>IFERROR(__xludf.DUMMYFUNCTION("""COMPUTED_VALUE"""),"mentor")</f>
        <v>mentor</v>
      </c>
      <c r="G5" s="5" t="str">
        <f>IFERROR(__xludf.DUMMYFUNCTION("""COMPUTED_VALUE"""),"mentor")</f>
        <v>mentor</v>
      </c>
      <c r="H5" s="5" t="str">
        <f>IFERROR(__xludf.DUMMYFUNCTION("""COMPUTED_VALUE"""),"Babysitters club")</f>
        <v>Babysitters club</v>
      </c>
      <c r="I5" s="5" t="str">
        <f>IFERROR(__xludf.DUMMYFUNCTION("""COMPUTED_VALUE"""),"the kids")</f>
        <v>the kids</v>
      </c>
      <c r="J5" s="5" t="str">
        <f>IFERROR(__xludf.DUMMYFUNCTION("""COMPUTED_VALUE"""),"that it helps me learn")</f>
        <v>that it helps me learn</v>
      </c>
      <c r="K5" s="5" t="str">
        <f>IFERROR(__xludf.DUMMYFUNCTION("""COMPUTED_VALUE"""),"home")</f>
        <v>home</v>
      </c>
      <c r="L5" s="5" t="str">
        <f>IFERROR(__xludf.DUMMYFUNCTION("""COMPUTED_VALUE"""),"better snacks")</f>
        <v>better snacks</v>
      </c>
      <c r="M5" s="5" t="str">
        <f>IFERROR(__xludf.DUMMYFUNCTION("""COMPUTED_VALUE"""),"the summer food")</f>
        <v>the summer food</v>
      </c>
      <c r="N5" s="5" t="str">
        <f>IFERROR(__xludf.DUMMYFUNCTION("""COMPUTED_VALUE"""),"stuff with miss kendra and miss maggie")</f>
        <v>stuff with miss kendra and miss maggie</v>
      </c>
      <c r="O5" s="5" t="str">
        <f>IFERROR(__xludf.DUMMYFUNCTION("""COMPUTED_VALUE"""),"to get better tables and chairs")</f>
        <v>to get better tables and chairs</v>
      </c>
      <c r="P5" s="5" t="str">
        <f>IFERROR(__xludf.DUMMYFUNCTION("""COMPUTED_VALUE"""),"reading")</f>
        <v>reading</v>
      </c>
      <c r="Q5" s="5" t="str">
        <f>IFERROR(__xludf.DUMMYFUNCTION("""COMPUTED_VALUE"""),"5 - Strongly Agree")</f>
        <v>5 - Strongly Agree</v>
      </c>
      <c r="R5" s="5" t="str">
        <f>IFERROR(__xludf.DUMMYFUNCTION("""COMPUTED_VALUE"""),"3 - Neutral")</f>
        <v>3 - Neutral</v>
      </c>
      <c r="S5" s="5" t="str">
        <f>IFERROR(__xludf.DUMMYFUNCTION("""COMPUTED_VALUE"""),"5 - Strongly Agree")</f>
        <v>5 - Strongly Agree</v>
      </c>
      <c r="T5" s="5" t="str">
        <f>IFERROR(__xludf.DUMMYFUNCTION("""COMPUTED_VALUE"""),"5 - Strongly Agree")</f>
        <v>5 - Strongly Agree</v>
      </c>
      <c r="U5" s="5" t="str">
        <f>IFERROR(__xludf.DUMMYFUNCTION("""COMPUTED_VALUE"""),"5 - Strongly Agree")</f>
        <v>5 - Strongly Agree</v>
      </c>
      <c r="V5" s="5" t="str">
        <f>IFERROR(__xludf.DUMMYFUNCTION("""COMPUTED_VALUE"""),"4 - Agree")</f>
        <v>4 - Agree</v>
      </c>
      <c r="W5" s="5" t="str">
        <f>IFERROR(__xludf.DUMMYFUNCTION("""COMPUTED_VALUE"""),"3 - Neutral")</f>
        <v>3 - Neutral</v>
      </c>
      <c r="X5" s="5" t="str">
        <f>IFERROR(__xludf.DUMMYFUNCTION("""COMPUTED_VALUE"""),"5 - Strongly Agree")</f>
        <v>5 - Strongly Agree</v>
      </c>
      <c r="Y5" s="5" t="str">
        <f>IFERROR(__xludf.DUMMYFUNCTION("""COMPUTED_VALUE"""),"3 - Neutral")</f>
        <v>3 - Neutral</v>
      </c>
      <c r="Z5" s="5" t="str">
        <f>IFERROR(__xludf.DUMMYFUNCTION("""COMPUTED_VALUE"""),"5 - Strongly Agree")</f>
        <v>5 - Strongly Agree</v>
      </c>
      <c r="AA5" s="5" t="str">
        <f>IFERROR(__xludf.DUMMYFUNCTION("""COMPUTED_VALUE"""),"5 - Strongly Agree")</f>
        <v>5 - Strongly Agree</v>
      </c>
      <c r="AB5" s="5" t="str">
        <f>IFERROR(__xludf.DUMMYFUNCTION("""COMPUTED_VALUE"""),"5 - Strongly Agree")</f>
        <v>5 - Strongly Agree</v>
      </c>
      <c r="AC5" s="5" t="str">
        <f>IFERROR(__xludf.DUMMYFUNCTION("""COMPUTED_VALUE"""),"Make better questions and the questions are weird")</f>
        <v>Make better questions and the questions are weird</v>
      </c>
      <c r="AD5" s="5"/>
      <c r="AE5" s="5"/>
      <c r="AF5" s="5"/>
      <c r="AG5" s="5"/>
      <c r="AH5" s="5"/>
      <c r="AI5" s="5"/>
    </row>
    <row r="6">
      <c r="A6" s="15">
        <f>IFERROR(__xludf.DUMMYFUNCTION("""COMPUTED_VALUE"""),45419.72424898148)</f>
        <v>45419.72425</v>
      </c>
      <c r="B6" s="5" t="str">
        <f>IFERROR(__xludf.DUMMYFUNCTION("""COMPUTED_VALUE"""),"Kendra + Maggie - CFSN Pontiac")</f>
        <v>Kendra + Maggie - CFSN Pontiac</v>
      </c>
      <c r="C6" s="5" t="str">
        <f>IFERROR(__xludf.DUMMYFUNCTION("""COMPUTED_VALUE"""),"D'Mariyel")</f>
        <v>D'Mariyel</v>
      </c>
      <c r="D6" s="5" t="str">
        <f>IFERROR(__xludf.DUMMYFUNCTION("""COMPUTED_VALUE"""),"learning and having miss maggie and miss kendra")</f>
        <v>learning and having miss maggie and miss kendra</v>
      </c>
      <c r="E6" s="5" t="str">
        <f>IFERROR(__xludf.DUMMYFUNCTION("""COMPUTED_VALUE"""),"  all the party we had")</f>
        <v>  all the party we had</v>
      </c>
      <c r="F6" s="5" t="str">
        <f>IFERROR(__xludf.DUMMYFUNCTION("""COMPUTED_VALUE"""),"when i got to read this funny book called mr sunny is funny")</f>
        <v>when i got to read this funny book called mr sunny is funny</v>
      </c>
      <c r="G6" s="5" t="str">
        <f>IFERROR(__xludf.DUMMYFUNCTION("""COMPUTED_VALUE"""),"going out on a warm day  having a snack while learning")</f>
        <v>going out on a warm day  having a snack while learning</v>
      </c>
      <c r="H6" s="5" t="str">
        <f>IFERROR(__xludf.DUMMYFUNCTION("""COMPUTED_VALUE"""),"diary of a wimpy kid")</f>
        <v>diary of a wimpy kid</v>
      </c>
      <c r="I6" s="5" t="str">
        <f>IFERROR(__xludf.DUMMYFUNCTION("""COMPUTED_VALUE"""),"while reading mr sunny is funny because it had some really funny parts in it")</f>
        <v>while reading mr sunny is funny because it had some really funny parts in it</v>
      </c>
      <c r="J6" s="5" t="str">
        <f>IFERROR(__xludf.DUMMYFUNCTION("""COMPUTED_VALUE"""),"when i get to play fun games")</f>
        <v>when i get to play fun games</v>
      </c>
      <c r="K6" s="5" t="str">
        <f>IFERROR(__xludf.DUMMYFUNCTION("""COMPUTED_VALUE"""),"being with an adult so that they could make sure im ok")</f>
        <v>being with an adult so that they could make sure im ok</v>
      </c>
      <c r="L6" s="5" t="str">
        <f>IFERROR(__xludf.DUMMYFUNCTION("""COMPUTED_VALUE"""),"teach me lanuage arts")</f>
        <v>teach me lanuage arts</v>
      </c>
      <c r="M6" s="5" t="str">
        <f>IFERROR(__xludf.DUMMYFUNCTION("""COMPUTED_VALUE"""),"i could make it better by asking my mentor to play a few games")</f>
        <v>i could make it better by asking my mentor to play a few games</v>
      </c>
      <c r="N6" s="5" t="str">
        <f>IFERROR(__xludf.DUMMYFUNCTION("""COMPUTED_VALUE"""),"i enjoy this game bingo")</f>
        <v>i enjoy this game bingo</v>
      </c>
      <c r="O6" s="5" t="str">
        <f>IFERROR(__xludf.DUMMYFUNCTION("""COMPUTED_VALUE"""),"that miss maggie and miss kendra work with uss")</f>
        <v>that miss maggie and miss kendra work with uss</v>
      </c>
      <c r="P6" s="5" t="str">
        <f>IFERROR(__xludf.DUMMYFUNCTION("""COMPUTED_VALUE"""),"by reaing and learning a lot of fun stuff")</f>
        <v>by reaing and learning a lot of fun stuff</v>
      </c>
      <c r="Q6" s="5" t="str">
        <f>IFERROR(__xludf.DUMMYFUNCTION("""COMPUTED_VALUE"""),"5 - Strongly Agree")</f>
        <v>5 - Strongly Agree</v>
      </c>
      <c r="R6" s="5" t="str">
        <f>IFERROR(__xludf.DUMMYFUNCTION("""COMPUTED_VALUE"""),"5 - Strongly Agree")</f>
        <v>5 - Strongly Agree</v>
      </c>
      <c r="S6" s="5"/>
      <c r="T6" s="5" t="str">
        <f>IFERROR(__xludf.DUMMYFUNCTION("""COMPUTED_VALUE"""),"4 - Agree")</f>
        <v>4 - Agree</v>
      </c>
      <c r="U6" s="5" t="str">
        <f>IFERROR(__xludf.DUMMYFUNCTION("""COMPUTED_VALUE"""),"5 - Strongly Agree")</f>
        <v>5 - Strongly Agree</v>
      </c>
      <c r="V6" s="5" t="str">
        <f>IFERROR(__xludf.DUMMYFUNCTION("""COMPUTED_VALUE"""),"3 - Neutral")</f>
        <v>3 - Neutral</v>
      </c>
      <c r="W6" s="5" t="str">
        <f>IFERROR(__xludf.DUMMYFUNCTION("""COMPUTED_VALUE"""),"5 - Strongly Agree")</f>
        <v>5 - Strongly Agree</v>
      </c>
      <c r="X6" s="5" t="str">
        <f>IFERROR(__xludf.DUMMYFUNCTION("""COMPUTED_VALUE"""),"5 - Strongly Agree")</f>
        <v>5 - Strongly Agree</v>
      </c>
      <c r="Y6" s="5" t="str">
        <f>IFERROR(__xludf.DUMMYFUNCTION("""COMPUTED_VALUE"""),"3 - Neutral")</f>
        <v>3 - Neutral</v>
      </c>
      <c r="Z6" s="5" t="str">
        <f>IFERROR(__xludf.DUMMYFUNCTION("""COMPUTED_VALUE"""),"5 - Strongly Agree")</f>
        <v>5 - Strongly Agree</v>
      </c>
      <c r="AA6" s="5" t="str">
        <f>IFERROR(__xludf.DUMMYFUNCTION("""COMPUTED_VALUE"""),"3 - Neutral")</f>
        <v>3 - Neutral</v>
      </c>
      <c r="AB6" s="5" t="str">
        <f>IFERROR(__xludf.DUMMYFUNCTION("""COMPUTED_VALUE"""),"5 - Strongly Agree")</f>
        <v>5 - Strongly Agree</v>
      </c>
      <c r="AC6" s="5"/>
      <c r="AD6" s="5"/>
      <c r="AE6" s="5"/>
      <c r="AF6" s="5"/>
      <c r="AG6" s="5"/>
      <c r="AH6" s="5"/>
      <c r="AI6" s="5"/>
    </row>
    <row r="7">
      <c r="A7" s="15">
        <f>IFERROR(__xludf.DUMMYFUNCTION("""COMPUTED_VALUE"""),45419.72974260416)</f>
        <v>45419.72974</v>
      </c>
      <c r="B7" s="5" t="str">
        <f>IFERROR(__xludf.DUMMYFUNCTION("""COMPUTED_VALUE"""),"Kendra + Maggie - CFSN Pontiac")</f>
        <v>Kendra + Maggie - CFSN Pontiac</v>
      </c>
      <c r="C7" s="5" t="str">
        <f>IFERROR(__xludf.DUMMYFUNCTION("""COMPUTED_VALUE"""),"Diamond")</f>
        <v>Diamond</v>
      </c>
      <c r="D7" s="5" t="str">
        <f>IFERROR(__xludf.DUMMYFUNCTION("""COMPUTED_VALUE"""),"helps me read")</f>
        <v>helps me read</v>
      </c>
      <c r="E7" s="5" t="str">
        <f>IFERROR(__xludf.DUMMYFUNCTION("""COMPUTED_VALUE"""),"read books")</f>
        <v>read books</v>
      </c>
      <c r="F7" s="5" t="str">
        <f>IFERROR(__xludf.DUMMYFUNCTION("""COMPUTED_VALUE"""),"candy")</f>
        <v>candy</v>
      </c>
      <c r="G7" s="5" t="str">
        <f>IFERROR(__xludf.DUMMYFUNCTION("""COMPUTED_VALUE"""),"mentor")</f>
        <v>mentor</v>
      </c>
      <c r="H7" s="5" t="str">
        <f>IFERROR(__xludf.DUMMYFUNCTION("""COMPUTED_VALUE"""),"comic books")</f>
        <v>comic books</v>
      </c>
      <c r="I7" s="5" t="str">
        <f>IFERROR(__xludf.DUMMYFUNCTION("""COMPUTED_VALUE"""),"miss kendra and miss maggie")</f>
        <v>miss kendra and miss maggie</v>
      </c>
      <c r="J7" s="5" t="str">
        <f>IFERROR(__xludf.DUMMYFUNCTION("""COMPUTED_VALUE"""),"I get stuff")</f>
        <v>I get stuff</v>
      </c>
      <c r="K7" s="5" t="str">
        <f>IFERROR(__xludf.DUMMYFUNCTION("""COMPUTED_VALUE"""),"home")</f>
        <v>home</v>
      </c>
      <c r="L7" s="5"/>
      <c r="M7" s="5" t="str">
        <f>IFERROR(__xludf.DUMMYFUNCTION("""COMPUTED_VALUE"""),"the boys playing every morning")</f>
        <v>the boys playing every morning</v>
      </c>
      <c r="N7" s="5" t="str">
        <f>IFERROR(__xludf.DUMMYFUNCTION("""COMPUTED_VALUE"""),"games with mentor")</f>
        <v>games with mentor</v>
      </c>
      <c r="O7" s="5" t="str">
        <f>IFERROR(__xludf.DUMMYFUNCTION("""COMPUTED_VALUE"""),"better food")</f>
        <v>better food</v>
      </c>
      <c r="P7" s="5" t="str">
        <f>IFERROR(__xludf.DUMMYFUNCTION("""COMPUTED_VALUE"""),"math has gotten better")</f>
        <v>math has gotten better</v>
      </c>
      <c r="Q7" s="5" t="str">
        <f>IFERROR(__xludf.DUMMYFUNCTION("""COMPUTED_VALUE"""),"3 - Neutral")</f>
        <v>3 - Neutral</v>
      </c>
      <c r="R7" s="5" t="str">
        <f>IFERROR(__xludf.DUMMYFUNCTION("""COMPUTED_VALUE"""),"2 - Disagree")</f>
        <v>2 - Disagree</v>
      </c>
      <c r="S7" s="5" t="str">
        <f>IFERROR(__xludf.DUMMYFUNCTION("""COMPUTED_VALUE"""),"5 - Strongly Agree")</f>
        <v>5 - Strongly Agree</v>
      </c>
      <c r="T7" s="5" t="str">
        <f>IFERROR(__xludf.DUMMYFUNCTION("""COMPUTED_VALUE"""),"5 - Strongly Agree")</f>
        <v>5 - Strongly Agree</v>
      </c>
      <c r="U7" s="5" t="str">
        <f>IFERROR(__xludf.DUMMYFUNCTION("""COMPUTED_VALUE"""),"5 - Strongly Agree")</f>
        <v>5 - Strongly Agree</v>
      </c>
      <c r="V7" s="5" t="str">
        <f>IFERROR(__xludf.DUMMYFUNCTION("""COMPUTED_VALUE"""),"5 - Strongly Agree")</f>
        <v>5 - Strongly Agree</v>
      </c>
      <c r="W7" s="5" t="str">
        <f>IFERROR(__xludf.DUMMYFUNCTION("""COMPUTED_VALUE"""),"2 - Disagree")</f>
        <v>2 - Disagree</v>
      </c>
      <c r="X7" s="5" t="str">
        <f>IFERROR(__xludf.DUMMYFUNCTION("""COMPUTED_VALUE"""),"5 - Strongly Agree")</f>
        <v>5 - Strongly Agree</v>
      </c>
      <c r="Y7" s="5" t="str">
        <f>IFERROR(__xludf.DUMMYFUNCTION("""COMPUTED_VALUE"""),"5 - Strongly Agree")</f>
        <v>5 - Strongly Agree</v>
      </c>
      <c r="Z7" s="5" t="str">
        <f>IFERROR(__xludf.DUMMYFUNCTION("""COMPUTED_VALUE"""),"5 - Strongly Agree")</f>
        <v>5 - Strongly Agree</v>
      </c>
      <c r="AA7" s="5" t="str">
        <f>IFERROR(__xludf.DUMMYFUNCTION("""COMPUTED_VALUE"""),"5 - Strongly Agree")</f>
        <v>5 - Strongly Agree</v>
      </c>
      <c r="AB7" s="5" t="str">
        <f>IFERROR(__xludf.DUMMYFUNCTION("""COMPUTED_VALUE"""),"5 - Strongly Agree")</f>
        <v>5 - Strongly Agree</v>
      </c>
      <c r="AC7" s="5" t="str">
        <f>IFERROR(__xludf.DUMMYFUNCTION("""COMPUTED_VALUE"""),"I love programming")</f>
        <v>I love programming</v>
      </c>
      <c r="AD7" s="5"/>
      <c r="AE7" s="5"/>
      <c r="AF7" s="5"/>
      <c r="AG7" s="5"/>
      <c r="AH7" s="5"/>
      <c r="AI7" s="5"/>
    </row>
    <row r="8">
      <c r="A8" s="15">
        <f>IFERROR(__xludf.DUMMYFUNCTION("""COMPUTED_VALUE"""),45419.73350642361)</f>
        <v>45419.73351</v>
      </c>
      <c r="B8" s="5" t="str">
        <f>IFERROR(__xludf.DUMMYFUNCTION("""COMPUTED_VALUE"""),"Kendra + Maggie - CFSN Pontiac")</f>
        <v>Kendra + Maggie - CFSN Pontiac</v>
      </c>
      <c r="C8" s="5" t="str">
        <f>IFERROR(__xludf.DUMMYFUNCTION("""COMPUTED_VALUE"""),"Noah Lanehart")</f>
        <v>Noah Lanehart</v>
      </c>
      <c r="D8" s="5" t="str">
        <f>IFERROR(__xludf.DUMMYFUNCTION("""COMPUTED_VALUE"""),"i like it")</f>
        <v>i like it</v>
      </c>
      <c r="E8" s="5" t="str">
        <f>IFERROR(__xludf.DUMMYFUNCTION("""COMPUTED_VALUE"""),"nothing")</f>
        <v>nothing</v>
      </c>
      <c r="F8" s="5" t="str">
        <f>IFERROR(__xludf.DUMMYFUNCTION("""COMPUTED_VALUE"""),"having a mentor")</f>
        <v>having a mentor</v>
      </c>
      <c r="G8" s="5" t="str">
        <f>IFERROR(__xludf.DUMMYFUNCTION("""COMPUTED_VALUE"""),"having a ball to play")</f>
        <v>having a ball to play</v>
      </c>
      <c r="H8" s="5"/>
      <c r="I8" s="5" t="str">
        <f>IFERROR(__xludf.DUMMYFUNCTION("""COMPUTED_VALUE"""),"my cousin")</f>
        <v>my cousin</v>
      </c>
      <c r="J8" s="5" t="str">
        <f>IFERROR(__xludf.DUMMYFUNCTION("""COMPUTED_VALUE"""),"mentors")</f>
        <v>mentors</v>
      </c>
      <c r="K8" s="5" t="str">
        <f>IFERROR(__xludf.DUMMYFUNCTION("""COMPUTED_VALUE"""),"school")</f>
        <v>school</v>
      </c>
      <c r="L8" s="5" t="str">
        <f>IFERROR(__xludf.DUMMYFUNCTION("""COMPUTED_VALUE"""),"mentors")</f>
        <v>mentors</v>
      </c>
      <c r="M8" s="5" t="str">
        <f>IFERROR(__xludf.DUMMYFUNCTION("""COMPUTED_VALUE"""),"i dont know")</f>
        <v>i dont know</v>
      </c>
      <c r="N8" s="5" t="str">
        <f>IFERROR(__xludf.DUMMYFUNCTION("""COMPUTED_VALUE"""),"playing games")</f>
        <v>playing games</v>
      </c>
      <c r="O8" s="5" t="str">
        <f>IFERROR(__xludf.DUMMYFUNCTION("""COMPUTED_VALUE"""),"playing games downstar")</f>
        <v>playing games downstar</v>
      </c>
      <c r="P8" s="5" t="str">
        <f>IFERROR(__xludf.DUMMYFUNCTION("""COMPUTED_VALUE"""),"a 10000 tall")</f>
        <v>a 10000 tall</v>
      </c>
      <c r="Q8" s="5" t="str">
        <f>IFERROR(__xludf.DUMMYFUNCTION("""COMPUTED_VALUE"""),"5 - Strongly Agree")</f>
        <v>5 - Strongly Agree</v>
      </c>
      <c r="R8" s="5" t="str">
        <f>IFERROR(__xludf.DUMMYFUNCTION("""COMPUTED_VALUE"""),"5 - Strongly Agree")</f>
        <v>5 - Strongly Agree</v>
      </c>
      <c r="S8" s="5" t="str">
        <f>IFERROR(__xludf.DUMMYFUNCTION("""COMPUTED_VALUE"""),"5 - Strongly Agree")</f>
        <v>5 - Strongly Agree</v>
      </c>
      <c r="T8" s="5" t="str">
        <f>IFERROR(__xludf.DUMMYFUNCTION("""COMPUTED_VALUE"""),"5 - Strongly Agree")</f>
        <v>5 - Strongly Agree</v>
      </c>
      <c r="U8" s="5" t="str">
        <f>IFERROR(__xludf.DUMMYFUNCTION("""COMPUTED_VALUE"""),"5 - Strongly Agree")</f>
        <v>5 - Strongly Agree</v>
      </c>
      <c r="V8" s="5" t="str">
        <f>IFERROR(__xludf.DUMMYFUNCTION("""COMPUTED_VALUE"""),"5 - Strongly Agree")</f>
        <v>5 - Strongly Agree</v>
      </c>
      <c r="W8" s="5" t="str">
        <f>IFERROR(__xludf.DUMMYFUNCTION("""COMPUTED_VALUE"""),"5 - Strongly Agree")</f>
        <v>5 - Strongly Agree</v>
      </c>
      <c r="X8" s="5" t="str">
        <f>IFERROR(__xludf.DUMMYFUNCTION("""COMPUTED_VALUE"""),"5 - Strongly Agree")</f>
        <v>5 - Strongly Agree</v>
      </c>
      <c r="Y8" s="5" t="str">
        <f>IFERROR(__xludf.DUMMYFUNCTION("""COMPUTED_VALUE"""),"5 - Strongly Agree")</f>
        <v>5 - Strongly Agree</v>
      </c>
      <c r="Z8" s="5" t="str">
        <f>IFERROR(__xludf.DUMMYFUNCTION("""COMPUTED_VALUE"""),"5 - Strongly Agree")</f>
        <v>5 - Strongly Agree</v>
      </c>
      <c r="AA8" s="5" t="str">
        <f>IFERROR(__xludf.DUMMYFUNCTION("""COMPUTED_VALUE"""),"5 - Strongly Agree")</f>
        <v>5 - Strongly Agree</v>
      </c>
      <c r="AB8" s="5" t="str">
        <f>IFERROR(__xludf.DUMMYFUNCTION("""COMPUTED_VALUE"""),"5 - Strongly Agree")</f>
        <v>5 - Strongly Agree</v>
      </c>
      <c r="AC8" s="5"/>
      <c r="AD8" s="5"/>
      <c r="AE8" s="5"/>
      <c r="AF8" s="5"/>
      <c r="AG8" s="5"/>
      <c r="AH8" s="5"/>
      <c r="AI8" s="5"/>
    </row>
    <row r="9">
      <c r="A9" s="15">
        <f>IFERROR(__xludf.DUMMYFUNCTION("""COMPUTED_VALUE"""),45419.7359547338)</f>
        <v>45419.73595</v>
      </c>
      <c r="B9" s="5" t="str">
        <f>IFERROR(__xludf.DUMMYFUNCTION("""COMPUTED_VALUE"""),"Kendra + Maggie - CFSN Pontiac")</f>
        <v>Kendra + Maggie - CFSN Pontiac</v>
      </c>
      <c r="C9" s="5" t="str">
        <f>IFERROR(__xludf.DUMMYFUNCTION("""COMPUTED_VALUE"""),"CHRISON.ROEHM.")</f>
        <v>CHRISON.ROEHM.</v>
      </c>
      <c r="D9" s="5" t="str">
        <f>IFERROR(__xludf.DUMMYFUNCTION("""COMPUTED_VALUE"""),"MY mom")</f>
        <v>MY mom</v>
      </c>
      <c r="E9" s="5" t="str">
        <f>IFERROR(__xludf.DUMMYFUNCTION("""COMPUTED_VALUE"""),"don't have one")</f>
        <v>don't have one</v>
      </c>
      <c r="F9" s="5" t="str">
        <f>IFERROR(__xludf.DUMMYFUNCTION("""COMPUTED_VALUE"""),"movie time before lerning time")</f>
        <v>movie time before lerning time</v>
      </c>
      <c r="G9" s="5" t="str">
        <f>IFERROR(__xludf.DUMMYFUNCTION("""COMPUTED_VALUE"""),"A figit to play with")</f>
        <v>A figit to play with</v>
      </c>
      <c r="H9" s="5" t="str">
        <f>IFERROR(__xludf.DUMMYFUNCTION("""COMPUTED_VALUE"""),"fgteev books")</f>
        <v>fgteev books</v>
      </c>
      <c r="I9" s="5" t="str">
        <f>IFERROR(__xludf.DUMMYFUNCTION("""COMPUTED_VALUE"""),"My friends")</f>
        <v>My friends</v>
      </c>
      <c r="J9" s="5" t="str">
        <f>IFERROR(__xludf.DUMMYFUNCTION("""COMPUTED_VALUE"""),"The people")</f>
        <v>The people</v>
      </c>
      <c r="K9" s="5" t="str">
        <f>IFERROR(__xludf.DUMMYFUNCTION("""COMPUTED_VALUE"""),"I don't know")</f>
        <v>I don't know</v>
      </c>
      <c r="L9" s="5" t="str">
        <f>IFERROR(__xludf.DUMMYFUNCTION("""COMPUTED_VALUE"""),"more activedes")</f>
        <v>more activedes</v>
      </c>
      <c r="M9" s="5" t="str">
        <f>IFERROR(__xludf.DUMMYFUNCTION("""COMPUTED_VALUE"""),"no")</f>
        <v>no</v>
      </c>
      <c r="N9" s="5" t="str">
        <f>IFERROR(__xludf.DUMMYFUNCTION("""COMPUTED_VALUE"""),"gaming done stiars")</f>
        <v>gaming done stiars</v>
      </c>
      <c r="O9" s="5" t="str">
        <f>IFERROR(__xludf.DUMMYFUNCTION("""COMPUTED_VALUE"""),"TO add more things outside ")</f>
        <v>TO add more things outside </v>
      </c>
      <c r="P9" s="5" t="str">
        <f>IFERROR(__xludf.DUMMYFUNCTION("""COMPUTED_VALUE"""),"BY reading a lot more and faster")</f>
        <v>BY reading a lot more and faster</v>
      </c>
      <c r="Q9" s="5" t="str">
        <f>IFERROR(__xludf.DUMMYFUNCTION("""COMPUTED_VALUE"""),"5 - Strongly Agree")</f>
        <v>5 - Strongly Agree</v>
      </c>
      <c r="R9" s="5" t="str">
        <f>IFERROR(__xludf.DUMMYFUNCTION("""COMPUTED_VALUE"""),"5 - Strongly Agree")</f>
        <v>5 - Strongly Agree</v>
      </c>
      <c r="S9" s="5" t="str">
        <f>IFERROR(__xludf.DUMMYFUNCTION("""COMPUTED_VALUE"""),"4 - Agree")</f>
        <v>4 - Agree</v>
      </c>
      <c r="T9" s="5" t="str">
        <f>IFERROR(__xludf.DUMMYFUNCTION("""COMPUTED_VALUE"""),"4 - Agree")</f>
        <v>4 - Agree</v>
      </c>
      <c r="U9" s="5" t="str">
        <f>IFERROR(__xludf.DUMMYFUNCTION("""COMPUTED_VALUE"""),"4 - Agree")</f>
        <v>4 - Agree</v>
      </c>
      <c r="V9" s="5" t="str">
        <f>IFERROR(__xludf.DUMMYFUNCTION("""COMPUTED_VALUE"""),"5 - Strongly Agree")</f>
        <v>5 - Strongly Agree</v>
      </c>
      <c r="W9" s="5" t="str">
        <f>IFERROR(__xludf.DUMMYFUNCTION("""COMPUTED_VALUE"""),"4 - Agree")</f>
        <v>4 - Agree</v>
      </c>
      <c r="X9" s="5" t="str">
        <f>IFERROR(__xludf.DUMMYFUNCTION("""COMPUTED_VALUE"""),"3 - Neutral")</f>
        <v>3 - Neutral</v>
      </c>
      <c r="Y9" s="5" t="str">
        <f>IFERROR(__xludf.DUMMYFUNCTION("""COMPUTED_VALUE"""),"2 - Disagree")</f>
        <v>2 - Disagree</v>
      </c>
      <c r="Z9" s="5" t="str">
        <f>IFERROR(__xludf.DUMMYFUNCTION("""COMPUTED_VALUE"""),"5 - Strongly Agree")</f>
        <v>5 - Strongly Agree</v>
      </c>
      <c r="AA9" s="5" t="str">
        <f>IFERROR(__xludf.DUMMYFUNCTION("""COMPUTED_VALUE"""),"3 - Neutral")</f>
        <v>3 - Neutral</v>
      </c>
      <c r="AB9" s="5" t="str">
        <f>IFERROR(__xludf.DUMMYFUNCTION("""COMPUTED_VALUE"""),"2 - Disagree")</f>
        <v>2 - Disagree</v>
      </c>
      <c r="AC9" s="5"/>
      <c r="AD9" s="5"/>
      <c r="AE9" s="5"/>
      <c r="AF9" s="5"/>
      <c r="AG9" s="5"/>
      <c r="AH9" s="5"/>
      <c r="AI9" s="5"/>
    </row>
    <row r="10">
      <c r="A10" s="15">
        <f>IFERROR(__xludf.DUMMYFUNCTION("""COMPUTED_VALUE"""),45420.73610914352)</f>
        <v>45420.73611</v>
      </c>
      <c r="B10" s="5" t="str">
        <f>IFERROR(__xludf.DUMMYFUNCTION("""COMPUTED_VALUE"""),"Kendra + Maggie - CFSN Pontiac")</f>
        <v>Kendra + Maggie - CFSN Pontiac</v>
      </c>
      <c r="C10" s="5" t="str">
        <f>IFERROR(__xludf.DUMMYFUNCTION("""COMPUTED_VALUE"""),"Rilee")</f>
        <v>Rilee</v>
      </c>
      <c r="D10" s="5" t="str">
        <f>IFERROR(__xludf.DUMMYFUNCTION("""COMPUTED_VALUE"""),"Reading")</f>
        <v>Reading</v>
      </c>
      <c r="E10" s="5" t="str">
        <f>IFERROR(__xludf.DUMMYFUNCTION("""COMPUTED_VALUE"""),"Playing")</f>
        <v>Playing</v>
      </c>
      <c r="F10" s="5" t="str">
        <f>IFERROR(__xludf.DUMMYFUNCTION("""COMPUTED_VALUE"""),"different food")</f>
        <v>different food</v>
      </c>
      <c r="G10" s="5" t="str">
        <f>IFERROR(__xludf.DUMMYFUNCTION("""COMPUTED_VALUE"""),"Reading")</f>
        <v>Reading</v>
      </c>
      <c r="H10" s="5" t="str">
        <f>IFERROR(__xludf.DUMMYFUNCTION("""COMPUTED_VALUE"""),"Brown Bear Brown Bear")</f>
        <v>Brown Bear Brown Bear</v>
      </c>
      <c r="I10" s="5" t="str">
        <f>IFERROR(__xludf.DUMMYFUNCTION("""COMPUTED_VALUE"""),"Ms. Maggie")</f>
        <v>Ms. Maggie</v>
      </c>
      <c r="J10" s="5" t="str">
        <f>IFERROR(__xludf.DUMMYFUNCTION("""COMPUTED_VALUE"""),"Being here with Ms Kendra and Ms. Maggie")</f>
        <v>Being here with Ms Kendra and Ms. Maggie</v>
      </c>
      <c r="K10" s="5" t="str">
        <f>IFERROR(__xludf.DUMMYFUNCTION("""COMPUTED_VALUE"""),"Staying here")</f>
        <v>Staying here</v>
      </c>
      <c r="L10" s="5" t="str">
        <f>IFERROR(__xludf.DUMMYFUNCTION("""COMPUTED_VALUE"""),"better mentoring")</f>
        <v>better mentoring</v>
      </c>
      <c r="M10" s="5" t="str">
        <f>IFERROR(__xludf.DUMMYFUNCTION("""COMPUTED_VALUE"""),"Sitting by myself")</f>
        <v>Sitting by myself</v>
      </c>
      <c r="N10" s="5" t="str">
        <f>IFERROR(__xludf.DUMMYFUNCTION("""COMPUTED_VALUE"""),"playing downstairs")</f>
        <v>playing downstairs</v>
      </c>
      <c r="O10" s="5" t="str">
        <f>IFERROR(__xludf.DUMMYFUNCTION("""COMPUTED_VALUE"""),"let us have ice creams")</f>
        <v>let us have ice creams</v>
      </c>
      <c r="P10" s="5" t="str">
        <f>IFERROR(__xludf.DUMMYFUNCTION("""COMPUTED_VALUE"""),"good")</f>
        <v>good</v>
      </c>
      <c r="Q10" s="5" t="str">
        <f>IFERROR(__xludf.DUMMYFUNCTION("""COMPUTED_VALUE"""),"5 - Strongly Agree")</f>
        <v>5 - Strongly Agree</v>
      </c>
      <c r="R10" s="5" t="str">
        <f>IFERROR(__xludf.DUMMYFUNCTION("""COMPUTED_VALUE"""),"5 - Strongly Agree")</f>
        <v>5 - Strongly Agree</v>
      </c>
      <c r="S10" s="5" t="str">
        <f>IFERROR(__xludf.DUMMYFUNCTION("""COMPUTED_VALUE"""),"5 - Strongly Agree")</f>
        <v>5 - Strongly Agree</v>
      </c>
      <c r="T10" s="5" t="str">
        <f>IFERROR(__xludf.DUMMYFUNCTION("""COMPUTED_VALUE"""),"5 - Strongly Agree")</f>
        <v>5 - Strongly Agree</v>
      </c>
      <c r="U10" s="5" t="str">
        <f>IFERROR(__xludf.DUMMYFUNCTION("""COMPUTED_VALUE"""),"5 - Strongly Agree")</f>
        <v>5 - Strongly Agree</v>
      </c>
      <c r="V10" s="5" t="str">
        <f>IFERROR(__xludf.DUMMYFUNCTION("""COMPUTED_VALUE"""),"5 - Strongly Agree")</f>
        <v>5 - Strongly Agree</v>
      </c>
      <c r="W10" s="5" t="str">
        <f>IFERROR(__xludf.DUMMYFUNCTION("""COMPUTED_VALUE"""),"5 - Strongly Agree")</f>
        <v>5 - Strongly Agree</v>
      </c>
      <c r="X10" s="5" t="str">
        <f>IFERROR(__xludf.DUMMYFUNCTION("""COMPUTED_VALUE"""),"5 - Strongly Agree")</f>
        <v>5 - Strongly Agree</v>
      </c>
      <c r="Y10" s="5" t="str">
        <f>IFERROR(__xludf.DUMMYFUNCTION("""COMPUTED_VALUE"""),"5 - Strongly Agree")</f>
        <v>5 - Strongly Agree</v>
      </c>
      <c r="Z10" s="5" t="str">
        <f>IFERROR(__xludf.DUMMYFUNCTION("""COMPUTED_VALUE"""),"5 - Strongly Agree")</f>
        <v>5 - Strongly Agree</v>
      </c>
      <c r="AA10" s="5" t="str">
        <f>IFERROR(__xludf.DUMMYFUNCTION("""COMPUTED_VALUE"""),"5 - Strongly Agree")</f>
        <v>5 - Strongly Agree</v>
      </c>
      <c r="AB10" s="5" t="str">
        <f>IFERROR(__xludf.DUMMYFUNCTION("""COMPUTED_VALUE"""),"5 - Strongly Agree")</f>
        <v>5 - Strongly Agree</v>
      </c>
      <c r="AC10" s="5" t="str">
        <f>IFERROR(__xludf.DUMMYFUNCTION("""COMPUTED_VALUE"""),"Ms. Kendra and Ms. Maggie are the best")</f>
        <v>Ms. Kendra and Ms. Maggie are the best</v>
      </c>
      <c r="AD10" s="5"/>
      <c r="AE10" s="5"/>
      <c r="AF10" s="5"/>
      <c r="AG10" s="5"/>
      <c r="AH10" s="5"/>
      <c r="AI10" s="5"/>
    </row>
    <row r="11">
      <c r="A11" s="15">
        <f>IFERROR(__xludf.DUMMYFUNCTION("""COMPUTED_VALUE"""),45420.74121608796)</f>
        <v>45420.74122</v>
      </c>
      <c r="B11" s="5" t="str">
        <f>IFERROR(__xludf.DUMMYFUNCTION("""COMPUTED_VALUE"""),"Kendra + Maggie - CFSN Pontiac")</f>
        <v>Kendra + Maggie - CFSN Pontiac</v>
      </c>
      <c r="C11" s="5" t="str">
        <f>IFERROR(__xludf.DUMMYFUNCTION("""COMPUTED_VALUE"""),"Levyn")</f>
        <v>Levyn</v>
      </c>
      <c r="D11" s="5" t="str">
        <f>IFERROR(__xludf.DUMMYFUNCTION("""COMPUTED_VALUE"""),"Miss Maggie")</f>
        <v>Miss Maggie</v>
      </c>
      <c r="E11" s="5" t="str">
        <f>IFERROR(__xludf.DUMMYFUNCTION("""COMPUTED_VALUE"""),"Reading")</f>
        <v>Reading</v>
      </c>
      <c r="F11" s="5" t="str">
        <f>IFERROR(__xludf.DUMMYFUNCTION("""COMPUTED_VALUE"""),"Miss Kendra and Miss Maggie")</f>
        <v>Miss Kendra and Miss Maggie</v>
      </c>
      <c r="G11" s="5" t="str">
        <f>IFERROR(__xludf.DUMMYFUNCTION("""COMPUTED_VALUE"""),"reading")</f>
        <v>reading</v>
      </c>
      <c r="H11" s="5" t="str">
        <f>IFERROR(__xludf.DUMMYFUNCTION("""COMPUTED_VALUE"""),"roblox")</f>
        <v>roblox</v>
      </c>
      <c r="I11" s="5" t="str">
        <f>IFERROR(__xludf.DUMMYFUNCTION("""COMPUTED_VALUE"""),"Ms. Kendra and Ms. Maggie")</f>
        <v>Ms. Kendra and Ms. Maggie</v>
      </c>
      <c r="J11" s="5" t="str">
        <f>IFERROR(__xludf.DUMMYFUNCTION("""COMPUTED_VALUE"""),"Reading ")</f>
        <v>Reading </v>
      </c>
      <c r="K11" s="5" t="str">
        <f>IFERROR(__xludf.DUMMYFUNCTION("""COMPUTED_VALUE"""),"Ms Kendra and Ms. Maggie")</f>
        <v>Ms Kendra and Ms. Maggie</v>
      </c>
      <c r="L11" s="5" t="str">
        <f>IFERROR(__xludf.DUMMYFUNCTION("""COMPUTED_VALUE"""),"better food")</f>
        <v>better food</v>
      </c>
      <c r="M11" s="5" t="str">
        <f>IFERROR(__xludf.DUMMYFUNCTION("""COMPUTED_VALUE"""),"people calling each other names")</f>
        <v>people calling each other names</v>
      </c>
      <c r="N11" s="5" t="str">
        <f>IFERROR(__xludf.DUMMYFUNCTION("""COMPUTED_VALUE"""),"games with mentor ")</f>
        <v>games with mentor </v>
      </c>
      <c r="O11" s="5" t="str">
        <f>IFERROR(__xludf.DUMMYFUNCTION("""COMPUTED_VALUE"""),"making snowflakes")</f>
        <v>making snowflakes</v>
      </c>
      <c r="P11" s="5" t="str">
        <f>IFERROR(__xludf.DUMMYFUNCTION("""COMPUTED_VALUE"""),"reading got better")</f>
        <v>reading got better</v>
      </c>
      <c r="Q11" s="5" t="str">
        <f>IFERROR(__xludf.DUMMYFUNCTION("""COMPUTED_VALUE"""),"5 - Strongly Agree")</f>
        <v>5 - Strongly Agree</v>
      </c>
      <c r="R11" s="5" t="str">
        <f>IFERROR(__xludf.DUMMYFUNCTION("""COMPUTED_VALUE"""),"5 - Strongly Agree")</f>
        <v>5 - Strongly Agree</v>
      </c>
      <c r="S11" s="5" t="str">
        <f>IFERROR(__xludf.DUMMYFUNCTION("""COMPUTED_VALUE"""),"5 - Strongly Agree")</f>
        <v>5 - Strongly Agree</v>
      </c>
      <c r="T11" s="5" t="str">
        <f>IFERROR(__xludf.DUMMYFUNCTION("""COMPUTED_VALUE"""),"5 - Strongly Agree")</f>
        <v>5 - Strongly Agree</v>
      </c>
      <c r="U11" s="5" t="str">
        <f>IFERROR(__xludf.DUMMYFUNCTION("""COMPUTED_VALUE"""),"5 - Strongly Agree")</f>
        <v>5 - Strongly Agree</v>
      </c>
      <c r="V11" s="5" t="str">
        <f>IFERROR(__xludf.DUMMYFUNCTION("""COMPUTED_VALUE"""),"5 - Strongly Agree")</f>
        <v>5 - Strongly Agree</v>
      </c>
      <c r="W11" s="5" t="str">
        <f>IFERROR(__xludf.DUMMYFUNCTION("""COMPUTED_VALUE"""),"5 - Strongly Agree")</f>
        <v>5 - Strongly Agree</v>
      </c>
      <c r="X11" s="5" t="str">
        <f>IFERROR(__xludf.DUMMYFUNCTION("""COMPUTED_VALUE"""),"5 - Strongly Agree")</f>
        <v>5 - Strongly Agree</v>
      </c>
      <c r="Y11" s="5" t="str">
        <f>IFERROR(__xludf.DUMMYFUNCTION("""COMPUTED_VALUE"""),"5 - Strongly Agree")</f>
        <v>5 - Strongly Agree</v>
      </c>
      <c r="Z11" s="5" t="str">
        <f>IFERROR(__xludf.DUMMYFUNCTION("""COMPUTED_VALUE"""),"5 - Strongly Agree")</f>
        <v>5 - Strongly Agree</v>
      </c>
      <c r="AA11" s="5" t="str">
        <f>IFERROR(__xludf.DUMMYFUNCTION("""COMPUTED_VALUE"""),"5 - Strongly Agree")</f>
        <v>5 - Strongly Agree</v>
      </c>
      <c r="AB11" s="5" t="str">
        <f>IFERROR(__xludf.DUMMYFUNCTION("""COMPUTED_VALUE"""),"5 - Strongly Agree")</f>
        <v>5 - Strongly Agree</v>
      </c>
      <c r="AC11" s="5" t="str">
        <f>IFERROR(__xludf.DUMMYFUNCTION("""COMPUTED_VALUE"""),"I always read and always be nice and I always grow well")</f>
        <v>I always read and always be nice and I always grow well</v>
      </c>
      <c r="AD11" s="5"/>
      <c r="AE11" s="5"/>
      <c r="AF11" s="5"/>
      <c r="AG11" s="5"/>
      <c r="AH11" s="5"/>
      <c r="AI11" s="5"/>
    </row>
    <row r="12">
      <c r="A12" s="15">
        <f>IFERROR(__xludf.DUMMYFUNCTION("""COMPUTED_VALUE"""),45420.74539119213)</f>
        <v>45420.74539</v>
      </c>
      <c r="B12" s="5" t="str">
        <f>IFERROR(__xludf.DUMMYFUNCTION("""COMPUTED_VALUE"""),"Kendra + Maggie - CFSN Pontiac")</f>
        <v>Kendra + Maggie - CFSN Pontiac</v>
      </c>
      <c r="C12" s="5" t="str">
        <f>IFERROR(__xludf.DUMMYFUNCTION("""COMPUTED_VALUE"""),"Kaniyah")</f>
        <v>Kaniyah</v>
      </c>
      <c r="D12" s="5" t="str">
        <f>IFERROR(__xludf.DUMMYFUNCTION("""COMPUTED_VALUE"""),"coming to learn")</f>
        <v>coming to learn</v>
      </c>
      <c r="E12" s="5" t="str">
        <f>IFERROR(__xludf.DUMMYFUNCTION("""COMPUTED_VALUE"""),"playing with sister")</f>
        <v>playing with sister</v>
      </c>
      <c r="F12" s="5" t="str">
        <f>IFERROR(__xludf.DUMMYFUNCTION("""COMPUTED_VALUE"""),"more mentoring")</f>
        <v>more mentoring</v>
      </c>
      <c r="G12" s="5" t="str">
        <f>IFERROR(__xludf.DUMMYFUNCTION("""COMPUTED_VALUE"""),"homework")</f>
        <v>homework</v>
      </c>
      <c r="H12" s="5" t="str">
        <f>IFERROR(__xludf.DUMMYFUNCTION("""COMPUTED_VALUE"""),"curious george")</f>
        <v>curious george</v>
      </c>
      <c r="I12" s="5" t="str">
        <f>IFERROR(__xludf.DUMMYFUNCTION("""COMPUTED_VALUE"""),"Janiyah")</f>
        <v>Janiyah</v>
      </c>
      <c r="J12" s="5" t="str">
        <f>IFERROR(__xludf.DUMMYFUNCTION("""COMPUTED_VALUE"""),"by learning")</f>
        <v>by learning</v>
      </c>
      <c r="K12" s="5" t="str">
        <f>IFERROR(__xludf.DUMMYFUNCTION("""COMPUTED_VALUE"""),"school")</f>
        <v>school</v>
      </c>
      <c r="L12" s="5" t="str">
        <f>IFERROR(__xludf.DUMMYFUNCTION("""COMPUTED_VALUE"""),"better food")</f>
        <v>better food</v>
      </c>
      <c r="M12" s="5" t="str">
        <f>IFERROR(__xludf.DUMMYFUNCTION("""COMPUTED_VALUE"""),"learning")</f>
        <v>learning</v>
      </c>
      <c r="N12" s="5" t="str">
        <f>IFERROR(__xludf.DUMMYFUNCTION("""COMPUTED_VALUE"""),"fun games with Rosemarie")</f>
        <v>fun games with Rosemarie</v>
      </c>
      <c r="O12" s="5" t="str">
        <f>IFERROR(__xludf.DUMMYFUNCTION("""COMPUTED_VALUE"""),"playing")</f>
        <v>playing</v>
      </c>
      <c r="P12" s="5" t="str">
        <f>IFERROR(__xludf.DUMMYFUNCTION("""COMPUTED_VALUE"""),"homework")</f>
        <v>homework</v>
      </c>
      <c r="Q12" s="5" t="str">
        <f>IFERROR(__xludf.DUMMYFUNCTION("""COMPUTED_VALUE"""),"5 - Strongly Agree")</f>
        <v>5 - Strongly Agree</v>
      </c>
      <c r="R12" s="5" t="str">
        <f>IFERROR(__xludf.DUMMYFUNCTION("""COMPUTED_VALUE"""),"5 - Strongly Agree")</f>
        <v>5 - Strongly Agree</v>
      </c>
      <c r="S12" s="5" t="str">
        <f>IFERROR(__xludf.DUMMYFUNCTION("""COMPUTED_VALUE"""),"5 - Strongly Agree")</f>
        <v>5 - Strongly Agree</v>
      </c>
      <c r="T12" s="5" t="str">
        <f>IFERROR(__xludf.DUMMYFUNCTION("""COMPUTED_VALUE"""),"5 - Strongly Agree")</f>
        <v>5 - Strongly Agree</v>
      </c>
      <c r="U12" s="5" t="str">
        <f>IFERROR(__xludf.DUMMYFUNCTION("""COMPUTED_VALUE"""),"5 - Strongly Agree")</f>
        <v>5 - Strongly Agree</v>
      </c>
      <c r="V12" s="5" t="str">
        <f>IFERROR(__xludf.DUMMYFUNCTION("""COMPUTED_VALUE"""),"5 - Strongly Agree")</f>
        <v>5 - Strongly Agree</v>
      </c>
      <c r="W12" s="5" t="str">
        <f>IFERROR(__xludf.DUMMYFUNCTION("""COMPUTED_VALUE"""),"5 - Strongly Agree")</f>
        <v>5 - Strongly Agree</v>
      </c>
      <c r="X12" s="5" t="str">
        <f>IFERROR(__xludf.DUMMYFUNCTION("""COMPUTED_VALUE"""),"5 - Strongly Agree")</f>
        <v>5 - Strongly Agree</v>
      </c>
      <c r="Y12" s="5" t="str">
        <f>IFERROR(__xludf.DUMMYFUNCTION("""COMPUTED_VALUE"""),"5 - Strongly Agree")</f>
        <v>5 - Strongly Agree</v>
      </c>
      <c r="Z12" s="5" t="str">
        <f>IFERROR(__xludf.DUMMYFUNCTION("""COMPUTED_VALUE"""),"5 - Strongly Agree")</f>
        <v>5 - Strongly Agree</v>
      </c>
      <c r="AA12" s="5" t="str">
        <f>IFERROR(__xludf.DUMMYFUNCTION("""COMPUTED_VALUE"""),"5 - Strongly Agree")</f>
        <v>5 - Strongly Agree</v>
      </c>
      <c r="AB12" s="5" t="str">
        <f>IFERROR(__xludf.DUMMYFUNCTION("""COMPUTED_VALUE"""),"5 - Strongly Agree")</f>
        <v>5 - Strongly Agree</v>
      </c>
      <c r="AC12" s="5"/>
      <c r="AD12" s="5"/>
      <c r="AE12" s="5"/>
      <c r="AF12" s="5"/>
      <c r="AG12" s="5"/>
      <c r="AH12" s="5"/>
      <c r="AI12" s="5"/>
    </row>
    <row r="13">
      <c r="A13" s="15">
        <f>IFERROR(__xludf.DUMMYFUNCTION("""COMPUTED_VALUE"""),45420.749163657405)</f>
        <v>45420.74916</v>
      </c>
      <c r="B13" s="5" t="str">
        <f>IFERROR(__xludf.DUMMYFUNCTION("""COMPUTED_VALUE"""),"Kendra + Maggie - CFSN Pontiac")</f>
        <v>Kendra + Maggie - CFSN Pontiac</v>
      </c>
      <c r="C13" s="5" t="str">
        <f>IFERROR(__xludf.DUMMYFUNCTION("""COMPUTED_VALUE"""),"Janiyah")</f>
        <v>Janiyah</v>
      </c>
      <c r="D13" s="5" t="str">
        <f>IFERROR(__xludf.DUMMYFUNCTION("""COMPUTED_VALUE"""),"to learn")</f>
        <v>to learn</v>
      </c>
      <c r="E13" s="5" t="str">
        <f>IFERROR(__xludf.DUMMYFUNCTION("""COMPUTED_VALUE"""),"playing with sister")</f>
        <v>playing with sister</v>
      </c>
      <c r="F13" s="5" t="str">
        <f>IFERROR(__xludf.DUMMYFUNCTION("""COMPUTED_VALUE"""),"more mentoring")</f>
        <v>more mentoring</v>
      </c>
      <c r="G13" s="5" t="str">
        <f>IFERROR(__xludf.DUMMYFUNCTION("""COMPUTED_VALUE"""),"homework")</f>
        <v>homework</v>
      </c>
      <c r="H13" s="5" t="str">
        <f>IFERROR(__xludf.DUMMYFUNCTION("""COMPUTED_VALUE"""),"center")</f>
        <v>center</v>
      </c>
      <c r="I13" s="5" t="str">
        <f>IFERROR(__xludf.DUMMYFUNCTION("""COMPUTED_VALUE"""),"my sister")</f>
        <v>my sister</v>
      </c>
      <c r="J13" s="5" t="str">
        <f>IFERROR(__xludf.DUMMYFUNCTION("""COMPUTED_VALUE"""),"books")</f>
        <v>books</v>
      </c>
      <c r="K13" s="5" t="str">
        <f>IFERROR(__xludf.DUMMYFUNCTION("""COMPUTED_VALUE"""),"home")</f>
        <v>home</v>
      </c>
      <c r="L13" s="5" t="str">
        <f>IFERROR(__xludf.DUMMYFUNCTION("""COMPUTED_VALUE"""),"better books")</f>
        <v>better books</v>
      </c>
      <c r="M13" s="5" t="str">
        <f>IFERROR(__xludf.DUMMYFUNCTION("""COMPUTED_VALUE"""),"no learning")</f>
        <v>no learning</v>
      </c>
      <c r="N13" s="5" t="str">
        <f>IFERROR(__xludf.DUMMYFUNCTION("""COMPUTED_VALUE"""),"games with Rosemarie")</f>
        <v>games with Rosemarie</v>
      </c>
      <c r="O13" s="5" t="str">
        <f>IFERROR(__xludf.DUMMYFUNCTION("""COMPUTED_VALUE"""),"better books")</f>
        <v>better books</v>
      </c>
      <c r="P13" s="5" t="str">
        <f>IFERROR(__xludf.DUMMYFUNCTION("""COMPUTED_VALUE"""),"reading ")</f>
        <v>reading </v>
      </c>
      <c r="Q13" s="5" t="str">
        <f>IFERROR(__xludf.DUMMYFUNCTION("""COMPUTED_VALUE"""),"5 - Strongly Agree")</f>
        <v>5 - Strongly Agree</v>
      </c>
      <c r="R13" s="5" t="str">
        <f>IFERROR(__xludf.DUMMYFUNCTION("""COMPUTED_VALUE"""),"5 - Strongly Agree")</f>
        <v>5 - Strongly Agree</v>
      </c>
      <c r="S13" s="5" t="str">
        <f>IFERROR(__xludf.DUMMYFUNCTION("""COMPUTED_VALUE"""),"5 - Strongly Agree")</f>
        <v>5 - Strongly Agree</v>
      </c>
      <c r="T13" s="5" t="str">
        <f>IFERROR(__xludf.DUMMYFUNCTION("""COMPUTED_VALUE"""),"5 - Strongly Agree")</f>
        <v>5 - Strongly Agree</v>
      </c>
      <c r="U13" s="5" t="str">
        <f>IFERROR(__xludf.DUMMYFUNCTION("""COMPUTED_VALUE"""),"5 - Strongly Agree")</f>
        <v>5 - Strongly Agree</v>
      </c>
      <c r="V13" s="5" t="str">
        <f>IFERROR(__xludf.DUMMYFUNCTION("""COMPUTED_VALUE"""),"5 - Strongly Agree")</f>
        <v>5 - Strongly Agree</v>
      </c>
      <c r="W13" s="5" t="str">
        <f>IFERROR(__xludf.DUMMYFUNCTION("""COMPUTED_VALUE"""),"5 - Strongly Agree")</f>
        <v>5 - Strongly Agree</v>
      </c>
      <c r="X13" s="5" t="str">
        <f>IFERROR(__xludf.DUMMYFUNCTION("""COMPUTED_VALUE"""),"5 - Strongly Agree")</f>
        <v>5 - Strongly Agree</v>
      </c>
      <c r="Y13" s="5" t="str">
        <f>IFERROR(__xludf.DUMMYFUNCTION("""COMPUTED_VALUE"""),"5 - Strongly Agree")</f>
        <v>5 - Strongly Agree</v>
      </c>
      <c r="Z13" s="5" t="str">
        <f>IFERROR(__xludf.DUMMYFUNCTION("""COMPUTED_VALUE"""),"5 - Strongly Agree")</f>
        <v>5 - Strongly Agree</v>
      </c>
      <c r="AA13" s="5" t="str">
        <f>IFERROR(__xludf.DUMMYFUNCTION("""COMPUTED_VALUE"""),"5 - Strongly Agree")</f>
        <v>5 - Strongly Agree</v>
      </c>
      <c r="AB13" s="5" t="str">
        <f>IFERROR(__xludf.DUMMYFUNCTION("""COMPUTED_VALUE"""),"5 - Strongly Agree")</f>
        <v>5 - Strongly Agree</v>
      </c>
      <c r="AC13" s="5"/>
      <c r="AD13" s="5"/>
      <c r="AE13" s="5"/>
      <c r="AF13" s="5"/>
      <c r="AG13" s="5"/>
      <c r="AH13" s="5"/>
      <c r="AI13" s="5"/>
    </row>
    <row r="14">
      <c r="A14" s="15">
        <f>IFERROR(__xludf.DUMMYFUNCTION("""COMPUTED_VALUE"""),45420.75272828704)</f>
        <v>45420.75273</v>
      </c>
      <c r="B14" s="5" t="str">
        <f>IFERROR(__xludf.DUMMYFUNCTION("""COMPUTED_VALUE"""),"Kendra + Maggie - CFSN Pontiac")</f>
        <v>Kendra + Maggie - CFSN Pontiac</v>
      </c>
      <c r="C14" s="5" t="str">
        <f>IFERROR(__xludf.DUMMYFUNCTION("""COMPUTED_VALUE"""),"Braelyn")</f>
        <v>Braelyn</v>
      </c>
      <c r="D14" s="5" t="str">
        <f>IFERROR(__xludf.DUMMYFUNCTION("""COMPUTED_VALUE"""),"Home")</f>
        <v>Home</v>
      </c>
      <c r="E14" s="5" t="str">
        <f>IFERROR(__xludf.DUMMYFUNCTION("""COMPUTED_VALUE"""),"reading")</f>
        <v>reading</v>
      </c>
      <c r="F14" s="5" t="str">
        <f>IFERROR(__xludf.DUMMYFUNCTION("""COMPUTED_VALUE"""),"books")</f>
        <v>books</v>
      </c>
      <c r="G14" s="5" t="str">
        <f>IFERROR(__xludf.DUMMYFUNCTION("""COMPUTED_VALUE"""),"mentoring")</f>
        <v>mentoring</v>
      </c>
      <c r="H14" s="5" t="str">
        <f>IFERROR(__xludf.DUMMYFUNCTION("""COMPUTED_VALUE"""),"elephant and the pig")</f>
        <v>elephant and the pig</v>
      </c>
      <c r="I14" s="5" t="str">
        <f>IFERROR(__xludf.DUMMYFUNCTION("""COMPUTED_VALUE"""),"Kaniyah and Janiyah")</f>
        <v>Kaniyah and Janiyah</v>
      </c>
      <c r="J14" s="5" t="str">
        <f>IFERROR(__xludf.DUMMYFUNCTION("""COMPUTED_VALUE"""),"going outside ")</f>
        <v>going outside </v>
      </c>
      <c r="K14" s="5" t="str">
        <f>IFERROR(__xludf.DUMMYFUNCTION("""COMPUTED_VALUE"""),"mentoring")</f>
        <v>mentoring</v>
      </c>
      <c r="L14" s="5" t="str">
        <f>IFERROR(__xludf.DUMMYFUNCTION("""COMPUTED_VALUE"""),"doing computers")</f>
        <v>doing computers</v>
      </c>
      <c r="M14" s="5" t="str">
        <f>IFERROR(__xludf.DUMMYFUNCTION("""COMPUTED_VALUE"""),"stage")</f>
        <v>stage</v>
      </c>
      <c r="N14" s="5" t="str">
        <f>IFERROR(__xludf.DUMMYFUNCTION("""COMPUTED_VALUE"""),"playing games ")</f>
        <v>playing games </v>
      </c>
      <c r="O14" s="5" t="str">
        <f>IFERROR(__xludf.DUMMYFUNCTION("""COMPUTED_VALUE"""),"getting snack")</f>
        <v>getting snack</v>
      </c>
      <c r="P14" s="5" t="str">
        <f>IFERROR(__xludf.DUMMYFUNCTION("""COMPUTED_VALUE"""),"writing")</f>
        <v>writing</v>
      </c>
      <c r="Q14" s="5" t="str">
        <f>IFERROR(__xludf.DUMMYFUNCTION("""COMPUTED_VALUE"""),"5 - Strongly Agree")</f>
        <v>5 - Strongly Agree</v>
      </c>
      <c r="R14" s="5" t="str">
        <f>IFERROR(__xludf.DUMMYFUNCTION("""COMPUTED_VALUE"""),"5 - Strongly Agree")</f>
        <v>5 - Strongly Agree</v>
      </c>
      <c r="S14" s="5" t="str">
        <f>IFERROR(__xludf.DUMMYFUNCTION("""COMPUTED_VALUE"""),"5 - Strongly Agree")</f>
        <v>5 - Strongly Agree</v>
      </c>
      <c r="T14" s="5" t="str">
        <f>IFERROR(__xludf.DUMMYFUNCTION("""COMPUTED_VALUE"""),"5 - Strongly Agree")</f>
        <v>5 - Strongly Agree</v>
      </c>
      <c r="U14" s="5" t="str">
        <f>IFERROR(__xludf.DUMMYFUNCTION("""COMPUTED_VALUE"""),"5 - Strongly Agree")</f>
        <v>5 - Strongly Agree</v>
      </c>
      <c r="V14" s="5" t="str">
        <f>IFERROR(__xludf.DUMMYFUNCTION("""COMPUTED_VALUE"""),"5 - Strongly Agree")</f>
        <v>5 - Strongly Agree</v>
      </c>
      <c r="W14" s="5" t="str">
        <f>IFERROR(__xludf.DUMMYFUNCTION("""COMPUTED_VALUE"""),"5 - Strongly Agree")</f>
        <v>5 - Strongly Agree</v>
      </c>
      <c r="X14" s="5" t="str">
        <f>IFERROR(__xludf.DUMMYFUNCTION("""COMPUTED_VALUE"""),"5 - Strongly Agree")</f>
        <v>5 - Strongly Agree</v>
      </c>
      <c r="Y14" s="5" t="str">
        <f>IFERROR(__xludf.DUMMYFUNCTION("""COMPUTED_VALUE"""),"5 - Strongly Agree")</f>
        <v>5 - Strongly Agree</v>
      </c>
      <c r="Z14" s="5" t="str">
        <f>IFERROR(__xludf.DUMMYFUNCTION("""COMPUTED_VALUE"""),"5 - Strongly Agree")</f>
        <v>5 - Strongly Agree</v>
      </c>
      <c r="AA14" s="5" t="str">
        <f>IFERROR(__xludf.DUMMYFUNCTION("""COMPUTED_VALUE"""),"5 - Strongly Agree")</f>
        <v>5 - Strongly Agree</v>
      </c>
      <c r="AB14" s="5" t="str">
        <f>IFERROR(__xludf.DUMMYFUNCTION("""COMPUTED_VALUE"""),"5 - Strongly Agree")</f>
        <v>5 - Strongly Agree</v>
      </c>
      <c r="AC14" s="5" t="str">
        <f>IFERROR(__xludf.DUMMYFUNCTION("""COMPUTED_VALUE"""),"I like some books and every day we go outside and everyone wants to play with me and wants to be my friend and my mentor")</f>
        <v>I like some books and every day we go outside and everyone wants to play with me and wants to be my friend and my mentor</v>
      </c>
      <c r="AD14" s="5"/>
      <c r="AE14" s="5"/>
      <c r="AF14" s="5"/>
      <c r="AG14" s="5"/>
      <c r="AH14" s="5"/>
      <c r="AI14" s="5"/>
    </row>
    <row r="15">
      <c r="A15" s="15">
        <f>IFERROR(__xludf.DUMMYFUNCTION("""COMPUTED_VALUE"""),45420.76169922453)</f>
        <v>45420.7617</v>
      </c>
      <c r="B15" s="5" t="str">
        <f>IFERROR(__xludf.DUMMYFUNCTION("""COMPUTED_VALUE"""),"Kendra + Maggie - CFSN Pontiac")</f>
        <v>Kendra + Maggie - CFSN Pontiac</v>
      </c>
      <c r="C15" s="5" t="str">
        <f>IFERROR(__xludf.DUMMYFUNCTION("""COMPUTED_VALUE"""),"Chase")</f>
        <v>Chase</v>
      </c>
      <c r="D15" s="5" t="str">
        <f>IFERROR(__xludf.DUMMYFUNCTION("""COMPUTED_VALUE"""),"I love it here")</f>
        <v>I love it here</v>
      </c>
      <c r="E15" s="5" t="str">
        <f>IFERROR(__xludf.DUMMYFUNCTION("""COMPUTED_VALUE"""),"Pajama party for Christmas")</f>
        <v>Pajama party for Christmas</v>
      </c>
      <c r="F15" s="5" t="str">
        <f>IFERROR(__xludf.DUMMYFUNCTION("""COMPUTED_VALUE"""),"seeing your mentor")</f>
        <v>seeing your mentor</v>
      </c>
      <c r="G15" s="5" t="str">
        <f>IFERROR(__xludf.DUMMYFUNCTION("""COMPUTED_VALUE"""),"learning more and having parties")</f>
        <v>learning more and having parties</v>
      </c>
      <c r="H15" s="5" t="str">
        <f>IFERROR(__xludf.DUMMYFUNCTION("""COMPUTED_VALUE"""),"A Letter To Amy")</f>
        <v>A Letter To Amy</v>
      </c>
      <c r="I15" s="5" t="str">
        <f>IFERROR(__xludf.DUMMYFUNCTION("""COMPUTED_VALUE"""),"The take root performance")</f>
        <v>The take root performance</v>
      </c>
      <c r="J15" s="5" t="str">
        <f>IFERROR(__xludf.DUMMYFUNCTION("""COMPUTED_VALUE"""),"playing games and reading")</f>
        <v>playing games and reading</v>
      </c>
      <c r="K15" s="5" t="str">
        <f>IFERROR(__xludf.DUMMYFUNCTION("""COMPUTED_VALUE"""),"mentoring")</f>
        <v>mentoring</v>
      </c>
      <c r="L15" s="5" t="str">
        <f>IFERROR(__xludf.DUMMYFUNCTION("""COMPUTED_VALUE"""),"pictures of the students on the wall")</f>
        <v>pictures of the students on the wall</v>
      </c>
      <c r="M15" s="5" t="str">
        <f>IFERROR(__xludf.DUMMYFUNCTION("""COMPUTED_VALUE"""),"not reading too much")</f>
        <v>not reading too much</v>
      </c>
      <c r="N15" s="5" t="str">
        <f>IFERROR(__xludf.DUMMYFUNCTION("""COMPUTED_VALUE"""),"60 second word games")</f>
        <v>60 second word games</v>
      </c>
      <c r="O15" s="5" t="str">
        <f>IFERROR(__xludf.DUMMYFUNCTION("""COMPUTED_VALUE"""),"food")</f>
        <v>food</v>
      </c>
      <c r="P15" s="5" t="str">
        <f>IFERROR(__xludf.DUMMYFUNCTION("""COMPUTED_VALUE"""),"writing")</f>
        <v>writing</v>
      </c>
      <c r="Q15" s="5" t="str">
        <f>IFERROR(__xludf.DUMMYFUNCTION("""COMPUTED_VALUE"""),"5 - Strongly Agree")</f>
        <v>5 - Strongly Agree</v>
      </c>
      <c r="R15" s="5" t="str">
        <f>IFERROR(__xludf.DUMMYFUNCTION("""COMPUTED_VALUE"""),"4 - Agree")</f>
        <v>4 - Agree</v>
      </c>
      <c r="S15" s="5" t="str">
        <f>IFERROR(__xludf.DUMMYFUNCTION("""COMPUTED_VALUE"""),"3 - Neutral")</f>
        <v>3 - Neutral</v>
      </c>
      <c r="T15" s="5" t="str">
        <f>IFERROR(__xludf.DUMMYFUNCTION("""COMPUTED_VALUE"""),"4 - Agree")</f>
        <v>4 - Agree</v>
      </c>
      <c r="U15" s="5" t="str">
        <f>IFERROR(__xludf.DUMMYFUNCTION("""COMPUTED_VALUE"""),"4 - Agree")</f>
        <v>4 - Agree</v>
      </c>
      <c r="V15" s="5" t="str">
        <f>IFERROR(__xludf.DUMMYFUNCTION("""COMPUTED_VALUE"""),"3 - Neutral")</f>
        <v>3 - Neutral</v>
      </c>
      <c r="W15" s="5" t="str">
        <f>IFERROR(__xludf.DUMMYFUNCTION("""COMPUTED_VALUE"""),"3 - Neutral")</f>
        <v>3 - Neutral</v>
      </c>
      <c r="X15" s="5" t="str">
        <f>IFERROR(__xludf.DUMMYFUNCTION("""COMPUTED_VALUE"""),"5 - Strongly Agree")</f>
        <v>5 - Strongly Agree</v>
      </c>
      <c r="Y15" s="5" t="str">
        <f>IFERROR(__xludf.DUMMYFUNCTION("""COMPUTED_VALUE"""),"4 - Agree")</f>
        <v>4 - Agree</v>
      </c>
      <c r="Z15" s="5" t="str">
        <f>IFERROR(__xludf.DUMMYFUNCTION("""COMPUTED_VALUE"""),"4 - Agree")</f>
        <v>4 - Agree</v>
      </c>
      <c r="AA15" s="5" t="str">
        <f>IFERROR(__xludf.DUMMYFUNCTION("""COMPUTED_VALUE"""),"4 - Agree")</f>
        <v>4 - Agree</v>
      </c>
      <c r="AB15" s="5" t="str">
        <f>IFERROR(__xludf.DUMMYFUNCTION("""COMPUTED_VALUE"""),"5 - Strongly Agree")</f>
        <v>5 - Strongly Agree</v>
      </c>
      <c r="AC15" s="5" t="str">
        <f>IFERROR(__xludf.DUMMYFUNCTION("""COMPUTED_VALUE"""),"I feel good here and I love all the people here")</f>
        <v>I feel good here and I love all the people here</v>
      </c>
      <c r="AD15" s="5"/>
      <c r="AE15" s="5"/>
      <c r="AF15" s="5"/>
      <c r="AG15" s="5"/>
      <c r="AH15" s="5"/>
      <c r="AI15" s="5"/>
    </row>
    <row r="16">
      <c r="A16" s="15">
        <f>IFERROR(__xludf.DUMMYFUNCTION("""COMPUTED_VALUE"""),45420.761870532406)</f>
        <v>45420.76187</v>
      </c>
      <c r="B16" s="5" t="str">
        <f>IFERROR(__xludf.DUMMYFUNCTION("""COMPUTED_VALUE"""),"Kendra + Maggie - CFSN Pontiac")</f>
        <v>Kendra + Maggie - CFSN Pontiac</v>
      </c>
      <c r="C16" s="5" t="str">
        <f>IFERROR(__xludf.DUMMYFUNCTION("""COMPUTED_VALUE"""),"Ayris")</f>
        <v>Ayris</v>
      </c>
      <c r="D16" s="5" t="str">
        <f>IFERROR(__xludf.DUMMYFUNCTION("""COMPUTED_VALUE"""),"friends")</f>
        <v>friends</v>
      </c>
      <c r="E16" s="5" t="str">
        <f>IFERROR(__xludf.DUMMYFUNCTION("""COMPUTED_VALUE"""),"ms.lily")</f>
        <v>ms.lily</v>
      </c>
      <c r="F16" s="5" t="str">
        <f>IFERROR(__xludf.DUMMYFUNCTION("""COMPUTED_VALUE"""),"lunch")</f>
        <v>lunch</v>
      </c>
      <c r="G16" s="5" t="str">
        <f>IFERROR(__xludf.DUMMYFUNCTION("""COMPUTED_VALUE"""),"figits")</f>
        <v>figits</v>
      </c>
      <c r="H16" s="5" t="str">
        <f>IFERROR(__xludf.DUMMYFUNCTION("""COMPUTED_VALUE"""),"chicka chicka boom boom")</f>
        <v>chicka chicka boom boom</v>
      </c>
      <c r="I16" s="5" t="str">
        <f>IFERROR(__xludf.DUMMYFUNCTION("""COMPUTED_VALUE"""),"my brothers")</f>
        <v>my brothers</v>
      </c>
      <c r="J16" s="5" t="str">
        <f>IFERROR(__xludf.DUMMYFUNCTION("""COMPUTED_VALUE"""),"working with ms lilly")</f>
        <v>working with ms lilly</v>
      </c>
      <c r="K16" s="5" t="str">
        <f>IFERROR(__xludf.DUMMYFUNCTION("""COMPUTED_VALUE"""),"Staying inside ")</f>
        <v>Staying inside </v>
      </c>
      <c r="L16" s="5" t="str">
        <f>IFERROR(__xludf.DUMMYFUNCTION("""COMPUTED_VALUE"""),"More mentors ")</f>
        <v>More mentors </v>
      </c>
      <c r="M16" s="5" t="str">
        <f>IFERROR(__xludf.DUMMYFUNCTION("""COMPUTED_VALUE"""),"I dont like when its cold")</f>
        <v>I dont like when its cold</v>
      </c>
      <c r="N16" s="5" t="str">
        <f>IFERROR(__xludf.DUMMYFUNCTION("""COMPUTED_VALUE"""),"dancing and playing with toys")</f>
        <v>dancing and playing with toys</v>
      </c>
      <c r="O16" s="5" t="str">
        <f>IFERROR(__xludf.DUMMYFUNCTION("""COMPUTED_VALUE"""),"more reading more books we like")</f>
        <v>more reading more books we like</v>
      </c>
      <c r="P16" s="5" t="str">
        <f>IFERROR(__xludf.DUMMYFUNCTION("""COMPUTED_VALUE"""),"A lot my reading way better")</f>
        <v>A lot my reading way better</v>
      </c>
      <c r="Q16" s="5" t="str">
        <f>IFERROR(__xludf.DUMMYFUNCTION("""COMPUTED_VALUE"""),"5 - Strongly Agree")</f>
        <v>5 - Strongly Agree</v>
      </c>
      <c r="R16" s="5" t="str">
        <f>IFERROR(__xludf.DUMMYFUNCTION("""COMPUTED_VALUE"""),"5 - Strongly Agree")</f>
        <v>5 - Strongly Agree</v>
      </c>
      <c r="S16" s="5" t="str">
        <f>IFERROR(__xludf.DUMMYFUNCTION("""COMPUTED_VALUE"""),"4 - Agree")</f>
        <v>4 - Agree</v>
      </c>
      <c r="T16" s="5" t="str">
        <f>IFERROR(__xludf.DUMMYFUNCTION("""COMPUTED_VALUE"""),"4 - Agree")</f>
        <v>4 - Agree</v>
      </c>
      <c r="U16" s="5" t="str">
        <f>IFERROR(__xludf.DUMMYFUNCTION("""COMPUTED_VALUE"""),"4 - Agree")</f>
        <v>4 - Agree</v>
      </c>
      <c r="V16" s="5" t="str">
        <f>IFERROR(__xludf.DUMMYFUNCTION("""COMPUTED_VALUE"""),"4 - Agree")</f>
        <v>4 - Agree</v>
      </c>
      <c r="W16" s="5" t="str">
        <f>IFERROR(__xludf.DUMMYFUNCTION("""COMPUTED_VALUE"""),"5 - Strongly Agree")</f>
        <v>5 - Strongly Agree</v>
      </c>
      <c r="X16" s="5" t="str">
        <f>IFERROR(__xludf.DUMMYFUNCTION("""COMPUTED_VALUE"""),"2 - Disagree")</f>
        <v>2 - Disagree</v>
      </c>
      <c r="Y16" s="5" t="str">
        <f>IFERROR(__xludf.DUMMYFUNCTION("""COMPUTED_VALUE"""),"2 - Disagree")</f>
        <v>2 - Disagree</v>
      </c>
      <c r="Z16" s="5" t="str">
        <f>IFERROR(__xludf.DUMMYFUNCTION("""COMPUTED_VALUE"""),"4 - Agree")</f>
        <v>4 - Agree</v>
      </c>
      <c r="AA16" s="5" t="str">
        <f>IFERROR(__xludf.DUMMYFUNCTION("""COMPUTED_VALUE"""),"4 - Agree")</f>
        <v>4 - Agree</v>
      </c>
      <c r="AB16" s="5" t="str">
        <f>IFERROR(__xludf.DUMMYFUNCTION("""COMPUTED_VALUE"""),"5 - Strongly Agree")</f>
        <v>5 - Strongly Agree</v>
      </c>
      <c r="AC16" s="5"/>
      <c r="AD16" s="5"/>
      <c r="AE16" s="5"/>
      <c r="AF16" s="5"/>
      <c r="AG16" s="5"/>
      <c r="AH16" s="5"/>
      <c r="AI16" s="5"/>
    </row>
    <row r="17">
      <c r="A17" s="15">
        <f>IFERROR(__xludf.DUMMYFUNCTION("""COMPUTED_VALUE"""),45420.761935960654)</f>
        <v>45420.76194</v>
      </c>
      <c r="B17" s="5" t="str">
        <f>IFERROR(__xludf.DUMMYFUNCTION("""COMPUTED_VALUE"""),"Kendra + Maggie - CFSN Pontiac")</f>
        <v>Kendra + Maggie - CFSN Pontiac</v>
      </c>
      <c r="C17" s="5" t="str">
        <f>IFERROR(__xludf.DUMMYFUNCTION("""COMPUTED_VALUE"""),"Menosha")</f>
        <v>Menosha</v>
      </c>
      <c r="D17" s="5" t="str">
        <f>IFERROR(__xludf.DUMMYFUNCTION("""COMPUTED_VALUE"""),"HHOME WORK I LOVE IT")</f>
        <v>HHOME WORK I LOVE IT</v>
      </c>
      <c r="E17" s="5" t="str">
        <f>IFERROR(__xludf.DUMMYFUNCTION("""COMPUTED_VALUE"""),"I WONT MS.RAVEN BAKE")</f>
        <v>I WONT MS.RAVEN BAKE</v>
      </c>
      <c r="F17" s="5" t="str">
        <f>IFERROR(__xludf.DUMMYFUNCTION("""COMPUTED_VALUE"""),"BETER   LUNCH MORE")</f>
        <v>BETER   LUNCH MORE</v>
      </c>
      <c r="G17" s="5" t="str">
        <f>IFERROR(__xludf.DUMMYFUNCTION("""COMPUTED_VALUE"""),"FIGHTS")</f>
        <v>FIGHTS</v>
      </c>
      <c r="H17" s="5" t="str">
        <f>IFERROR(__xludf.DUMMYFUNCTION("""COMPUTED_VALUE"""),"GUST")</f>
        <v>GUST</v>
      </c>
      <c r="I17" s="5" t="str">
        <f>IFERROR(__xludf.DUMMYFUNCTION("""COMPUTED_VALUE"""),"THE FUN GAMES WE  PLAY")</f>
        <v>THE FUN GAMES WE  PLAY</v>
      </c>
      <c r="J17" s="5" t="str">
        <f>IFERROR(__xludf.DUMMYFUNCTION("""COMPUTED_VALUE"""),"READING")</f>
        <v>READING</v>
      </c>
      <c r="K17" s="5" t="str">
        <f>IFERROR(__xludf.DUMMYFUNCTION("""COMPUTED_VALUE"""),"KENDEAR AND MAGGIE")</f>
        <v>KENDEAR AND MAGGIE</v>
      </c>
      <c r="L17" s="5" t="str">
        <f>IFERROR(__xludf.DUMMYFUNCTION("""COMPUTED_VALUE"""),"MORE  MENTORING")</f>
        <v>MORE  MENTORING</v>
      </c>
      <c r="M17" s="5" t="str">
        <f>IFERROR(__xludf.DUMMYFUNCTION("""COMPUTED_VALUE"""),"THERE NOTING I DONT NOW")</f>
        <v>THERE NOTING I DONT NOW</v>
      </c>
      <c r="N17" s="5" t="str">
        <f>IFERROR(__xludf.DUMMYFUNCTION("""COMPUTED_VALUE"""),"BOARD  GAMES")</f>
        <v>BOARD  GAMES</v>
      </c>
      <c r="O17" s="5" t="str">
        <f>IFERROR(__xludf.DUMMYFUNCTION("""COMPUTED_VALUE"""),"MATH")</f>
        <v>MATH</v>
      </c>
      <c r="P17" s="5" t="str">
        <f>IFERROR(__xludf.DUMMYFUNCTION("""COMPUTED_VALUE"""),"ALOT BETER")</f>
        <v>ALOT BETER</v>
      </c>
      <c r="Q17" s="5" t="str">
        <f>IFERROR(__xludf.DUMMYFUNCTION("""COMPUTED_VALUE"""),"5 - Strongly Agree")</f>
        <v>5 - Strongly Agree</v>
      </c>
      <c r="R17" s="5" t="str">
        <f>IFERROR(__xludf.DUMMYFUNCTION("""COMPUTED_VALUE"""),"5 - Strongly Agree")</f>
        <v>5 - Strongly Agree</v>
      </c>
      <c r="S17" s="5" t="str">
        <f>IFERROR(__xludf.DUMMYFUNCTION("""COMPUTED_VALUE"""),"5 - Strongly Agree")</f>
        <v>5 - Strongly Agree</v>
      </c>
      <c r="T17" s="5" t="str">
        <f>IFERROR(__xludf.DUMMYFUNCTION("""COMPUTED_VALUE"""),"4 - Agree")</f>
        <v>4 - Agree</v>
      </c>
      <c r="U17" s="5" t="str">
        <f>IFERROR(__xludf.DUMMYFUNCTION("""COMPUTED_VALUE"""),"5 - Strongly Agree")</f>
        <v>5 - Strongly Agree</v>
      </c>
      <c r="V17" s="5" t="str">
        <f>IFERROR(__xludf.DUMMYFUNCTION("""COMPUTED_VALUE"""),"5 - Strongly Agree")</f>
        <v>5 - Strongly Agree</v>
      </c>
      <c r="W17" s="5" t="str">
        <f>IFERROR(__xludf.DUMMYFUNCTION("""COMPUTED_VALUE"""),"5 - Strongly Agree")</f>
        <v>5 - Strongly Agree</v>
      </c>
      <c r="X17" s="5" t="str">
        <f>IFERROR(__xludf.DUMMYFUNCTION("""COMPUTED_VALUE"""),"5 - Strongly Agree")</f>
        <v>5 - Strongly Agree</v>
      </c>
      <c r="Y17" s="5" t="str">
        <f>IFERROR(__xludf.DUMMYFUNCTION("""COMPUTED_VALUE"""),"5 - Strongly Agree")</f>
        <v>5 - Strongly Agree</v>
      </c>
      <c r="Z17" s="5" t="str">
        <f>IFERROR(__xludf.DUMMYFUNCTION("""COMPUTED_VALUE"""),"5 - Strongly Agree")</f>
        <v>5 - Strongly Agree</v>
      </c>
      <c r="AA17" s="5" t="str">
        <f>IFERROR(__xludf.DUMMYFUNCTION("""COMPUTED_VALUE"""),"4 - Agree")</f>
        <v>4 - Agree</v>
      </c>
      <c r="AB17" s="5" t="str">
        <f>IFERROR(__xludf.DUMMYFUNCTION("""COMPUTED_VALUE"""),"5 - Strongly Agree")</f>
        <v>5 - Strongly Agree</v>
      </c>
      <c r="AC17" s="5"/>
      <c r="AD17" s="5"/>
      <c r="AE17" s="5"/>
      <c r="AF17" s="5"/>
      <c r="AG17" s="5"/>
      <c r="AH17" s="5"/>
      <c r="AI17" s="5"/>
    </row>
    <row r="18">
      <c r="A18" s="15">
        <f>IFERROR(__xludf.DUMMYFUNCTION("""COMPUTED_VALUE"""),45420.76201164352)</f>
        <v>45420.76201</v>
      </c>
      <c r="B18" s="5" t="str">
        <f>IFERROR(__xludf.DUMMYFUNCTION("""COMPUTED_VALUE"""),"Kendra + Maggie - CFSN Pontiac")</f>
        <v>Kendra + Maggie - CFSN Pontiac</v>
      </c>
      <c r="C18" s="5" t="str">
        <f>IFERROR(__xludf.DUMMYFUNCTION("""COMPUTED_VALUE"""),"makayla deanes")</f>
        <v>makayla deanes</v>
      </c>
      <c r="D18" s="5" t="str">
        <f>IFERROR(__xludf.DUMMYFUNCTION("""COMPUTED_VALUE"""),"the food")</f>
        <v>the food</v>
      </c>
      <c r="E18" s="5" t="str">
        <f>IFERROR(__xludf.DUMMYFUNCTION("""COMPUTED_VALUE"""),"Ms. Kendra")</f>
        <v>Ms. Kendra</v>
      </c>
      <c r="F18" s="5" t="str">
        <f>IFERROR(__xludf.DUMMYFUNCTION("""COMPUTED_VALUE"""),"one on one with my own mentor")</f>
        <v>one on one with my own mentor</v>
      </c>
      <c r="G18" s="5" t="str">
        <f>IFERROR(__xludf.DUMMYFUNCTION("""COMPUTED_VALUE"""),"reading books i like")</f>
        <v>reading books i like</v>
      </c>
      <c r="H18" s="5" t="str">
        <f>IFERROR(__xludf.DUMMYFUNCTION("""COMPUTED_VALUE"""),"no David")</f>
        <v>no David</v>
      </c>
      <c r="I18" s="5"/>
      <c r="J18" s="5"/>
      <c r="K18" s="5" t="str">
        <f>IFERROR(__xludf.DUMMYFUNCTION("""COMPUTED_VALUE"""),"cfsn and my friends")</f>
        <v>cfsn and my friends</v>
      </c>
      <c r="L18" s="5" t="str">
        <f>IFERROR(__xludf.DUMMYFUNCTION("""COMPUTED_VALUE"""),"read more, more painting activity ")</f>
        <v>read more, more painting activity </v>
      </c>
      <c r="M18" s="5" t="str">
        <f>IFERROR(__xludf.DUMMYFUNCTION("""COMPUTED_VALUE"""),"nothing")</f>
        <v>nothing</v>
      </c>
      <c r="N18" s="5"/>
      <c r="O18" s="5" t="str">
        <f>IFERROR(__xludf.DUMMYFUNCTION("""COMPUTED_VALUE"""),"more food and games")</f>
        <v>more food and games</v>
      </c>
      <c r="P18" s="5"/>
      <c r="Q18" s="5" t="str">
        <f>IFERROR(__xludf.DUMMYFUNCTION("""COMPUTED_VALUE"""),"5 - Strongly Agree")</f>
        <v>5 - Strongly Agree</v>
      </c>
      <c r="R18" s="5" t="str">
        <f>IFERROR(__xludf.DUMMYFUNCTION("""COMPUTED_VALUE"""),"4 - Agree")</f>
        <v>4 - Agree</v>
      </c>
      <c r="S18" s="5" t="str">
        <f>IFERROR(__xludf.DUMMYFUNCTION("""COMPUTED_VALUE"""),"5 - Strongly Agree")</f>
        <v>5 - Strongly Agree</v>
      </c>
      <c r="T18" s="5" t="str">
        <f>IFERROR(__xludf.DUMMYFUNCTION("""COMPUTED_VALUE"""),"5 - Strongly Agree")</f>
        <v>5 - Strongly Agree</v>
      </c>
      <c r="U18" s="5" t="str">
        <f>IFERROR(__xludf.DUMMYFUNCTION("""COMPUTED_VALUE"""),"5 - Strongly Agree")</f>
        <v>5 - Strongly Agree</v>
      </c>
      <c r="V18" s="5" t="str">
        <f>IFERROR(__xludf.DUMMYFUNCTION("""COMPUTED_VALUE"""),"5 - Strongly Agree")</f>
        <v>5 - Strongly Agree</v>
      </c>
      <c r="W18" s="5" t="str">
        <f>IFERROR(__xludf.DUMMYFUNCTION("""COMPUTED_VALUE"""),"5 - Strongly Agree")</f>
        <v>5 - Strongly Agree</v>
      </c>
      <c r="X18" s="5" t="str">
        <f>IFERROR(__xludf.DUMMYFUNCTION("""COMPUTED_VALUE"""),"5 - Strongly Agree")</f>
        <v>5 - Strongly Agree</v>
      </c>
      <c r="Y18" s="5" t="str">
        <f>IFERROR(__xludf.DUMMYFUNCTION("""COMPUTED_VALUE"""),"5 - Strongly Agree")</f>
        <v>5 - Strongly Agree</v>
      </c>
      <c r="Z18" s="5" t="str">
        <f>IFERROR(__xludf.DUMMYFUNCTION("""COMPUTED_VALUE"""),"5 - Strongly Agree")</f>
        <v>5 - Strongly Agree</v>
      </c>
      <c r="AA18" s="5" t="str">
        <f>IFERROR(__xludf.DUMMYFUNCTION("""COMPUTED_VALUE"""),"5 - Strongly Agree")</f>
        <v>5 - Strongly Agree</v>
      </c>
      <c r="AB18" s="5" t="str">
        <f>IFERROR(__xludf.DUMMYFUNCTION("""COMPUTED_VALUE"""),"5 - Strongly Agree")</f>
        <v>5 - Strongly Agree</v>
      </c>
      <c r="AC18" s="5"/>
      <c r="AD18" s="5"/>
      <c r="AE18" s="5"/>
      <c r="AF18" s="5"/>
      <c r="AG18" s="5"/>
      <c r="AH18" s="5"/>
      <c r="AI18" s="5"/>
    </row>
    <row r="19">
      <c r="A19" s="13">
        <f>IFERROR(__xludf.DUMMYFUNCTION("""COMPUTED_VALUE"""),45421.68396800926)</f>
        <v>45421.68397</v>
      </c>
      <c r="B19" s="14" t="str">
        <f>IFERROR(__xludf.DUMMYFUNCTION("""COMPUTED_VALUE"""),"Kendra + Maggie - CFSN Pontiac")</f>
        <v>Kendra + Maggie - CFSN Pontiac</v>
      </c>
      <c r="C19" s="14"/>
      <c r="D19" s="14" t="str">
        <f>IFERROR(__xludf.DUMMYFUNCTION("""COMPUTED_VALUE"""),"Mentor")</f>
        <v>Mentor</v>
      </c>
      <c r="E19" s="14" t="str">
        <f>IFERROR(__xludf.DUMMYFUNCTION("""COMPUTED_VALUE"""),"reading")</f>
        <v>reading</v>
      </c>
      <c r="F19" s="14" t="str">
        <f>IFERROR(__xludf.DUMMYFUNCTION("""COMPUTED_VALUE"""),"more mentoring")</f>
        <v>more mentoring</v>
      </c>
      <c r="G19" s="14" t="str">
        <f>IFERROR(__xludf.DUMMYFUNCTION("""COMPUTED_VALUE"""),"mentor gave you gum")</f>
        <v>mentor gave you gum</v>
      </c>
      <c r="H19" s="14" t="str">
        <f>IFERROR(__xludf.DUMMYFUNCTION("""COMPUTED_VALUE"""),"Charlotte's Web")</f>
        <v>Charlotte's Web</v>
      </c>
      <c r="I19" s="14"/>
      <c r="J19" s="14" t="str">
        <f>IFERROR(__xludf.DUMMYFUNCTION("""COMPUTED_VALUE"""),"mentoring")</f>
        <v>mentoring</v>
      </c>
      <c r="K19" s="14" t="str">
        <f>IFERROR(__xludf.DUMMYFUNCTION("""COMPUTED_VALUE"""),"home")</f>
        <v>home</v>
      </c>
      <c r="L19" s="14" t="str">
        <f>IFERROR(__xludf.DUMMYFUNCTION("""COMPUTED_VALUE"""),"nothing")</f>
        <v>nothing</v>
      </c>
      <c r="M19" s="14" t="str">
        <f>IFERROR(__xludf.DUMMYFUNCTION("""COMPUTED_VALUE"""),"no")</f>
        <v>no</v>
      </c>
      <c r="N19" s="14" t="str">
        <f>IFERROR(__xludf.DUMMYFUNCTION("""COMPUTED_VALUE"""),"rhyming")</f>
        <v>rhyming</v>
      </c>
      <c r="O19" s="14" t="str">
        <f>IFERROR(__xludf.DUMMYFUNCTION("""COMPUTED_VALUE"""),"nothing")</f>
        <v>nothing</v>
      </c>
      <c r="P19" s="14" t="str">
        <f>IFERROR(__xludf.DUMMYFUNCTION("""COMPUTED_VALUE"""),"better reading")</f>
        <v>better reading</v>
      </c>
      <c r="Q19" s="14" t="str">
        <f>IFERROR(__xludf.DUMMYFUNCTION("""COMPUTED_VALUE"""),"5 - Strongly Agree")</f>
        <v>5 - Strongly Agree</v>
      </c>
      <c r="R19" s="14" t="str">
        <f>IFERROR(__xludf.DUMMYFUNCTION("""COMPUTED_VALUE"""),"5 - Strongly Agree")</f>
        <v>5 - Strongly Agree</v>
      </c>
      <c r="S19" s="14" t="str">
        <f>IFERROR(__xludf.DUMMYFUNCTION("""COMPUTED_VALUE"""),"5 - Strongly Agree")</f>
        <v>5 - Strongly Agree</v>
      </c>
      <c r="T19" s="14"/>
      <c r="U19" s="14" t="str">
        <f>IFERROR(__xludf.DUMMYFUNCTION("""COMPUTED_VALUE"""),"5 - Strongly Agree")</f>
        <v>5 - Strongly Agree</v>
      </c>
      <c r="V19" s="14" t="str">
        <f>IFERROR(__xludf.DUMMYFUNCTION("""COMPUTED_VALUE"""),"5 - Strongly Agree")</f>
        <v>5 - Strongly Agree</v>
      </c>
      <c r="W19" s="14" t="str">
        <f>IFERROR(__xludf.DUMMYFUNCTION("""COMPUTED_VALUE"""),"5 - Strongly Agree")</f>
        <v>5 - Strongly Agree</v>
      </c>
      <c r="X19" s="14" t="str">
        <f>IFERROR(__xludf.DUMMYFUNCTION("""COMPUTED_VALUE"""),"5 - Strongly Agree")</f>
        <v>5 - Strongly Agree</v>
      </c>
      <c r="Y19" s="14" t="str">
        <f>IFERROR(__xludf.DUMMYFUNCTION("""COMPUTED_VALUE"""),"5 - Strongly Agree")</f>
        <v>5 - Strongly Agree</v>
      </c>
      <c r="Z19" s="14" t="str">
        <f>IFERROR(__xludf.DUMMYFUNCTION("""COMPUTED_VALUE"""),"1 - Strongly Disagree")</f>
        <v>1 - Strongly Disagree</v>
      </c>
      <c r="AA19" s="14" t="str">
        <f>IFERROR(__xludf.DUMMYFUNCTION("""COMPUTED_VALUE"""),"3 - Neutral")</f>
        <v>3 - Neutral</v>
      </c>
      <c r="AB19" s="14" t="str">
        <f>IFERROR(__xludf.DUMMYFUNCTION("""COMPUTED_VALUE"""),"5 - Strongly Agree")</f>
        <v>5 - Strongly Agree</v>
      </c>
      <c r="AC19" s="14"/>
    </row>
    <row r="20">
      <c r="A20" s="13">
        <f>IFERROR(__xludf.DUMMYFUNCTION("""COMPUTED_VALUE"""),45421.692856249996)</f>
        <v>45421.69286</v>
      </c>
      <c r="B20" s="14" t="str">
        <f>IFERROR(__xludf.DUMMYFUNCTION("""COMPUTED_VALUE"""),"Kendra + Maggie - CFSN Pontiac")</f>
        <v>Kendra + Maggie - CFSN Pontiac</v>
      </c>
      <c r="C20" s="14" t="str">
        <f>IFERROR(__xludf.DUMMYFUNCTION("""COMPUTED_VALUE"""),"Georgette")</f>
        <v>Georgette</v>
      </c>
      <c r="D20" s="14" t="str">
        <f>IFERROR(__xludf.DUMMYFUNCTION("""COMPUTED_VALUE"""),"I love it")</f>
        <v>I love it</v>
      </c>
      <c r="E20" s="14" t="str">
        <f>IFERROR(__xludf.DUMMYFUNCTION("""COMPUTED_VALUE"""),"Pajama Party")</f>
        <v>Pajama Party</v>
      </c>
      <c r="F20" s="14" t="str">
        <f>IFERROR(__xludf.DUMMYFUNCTION("""COMPUTED_VALUE"""),"more game")</f>
        <v>more game</v>
      </c>
      <c r="G20" s="14" t="str">
        <f>IFERROR(__xludf.DUMMYFUNCTION("""COMPUTED_VALUE"""),"books")</f>
        <v>books</v>
      </c>
      <c r="H20" s="14" t="str">
        <f>IFERROR(__xludf.DUMMYFUNCTION("""COMPUTED_VALUE"""),"babysitters club")</f>
        <v>babysitters club</v>
      </c>
      <c r="I20" s="14" t="str">
        <f>IFERROR(__xludf.DUMMYFUNCTION("""COMPUTED_VALUE"""),"my friends")</f>
        <v>my friends</v>
      </c>
      <c r="J20" s="14" t="str">
        <f>IFERROR(__xludf.DUMMYFUNCTION("""COMPUTED_VALUE"""),"my friends")</f>
        <v>my friends</v>
      </c>
      <c r="K20" s="14" t="str">
        <f>IFERROR(__xludf.DUMMYFUNCTION("""COMPUTED_VALUE"""),"home")</f>
        <v>home</v>
      </c>
      <c r="L20" s="14" t="str">
        <f>IFERROR(__xludf.DUMMYFUNCTION("""COMPUTED_VALUE"""),"parties")</f>
        <v>parties</v>
      </c>
      <c r="M20" s="14" t="str">
        <f>IFERROR(__xludf.DUMMYFUNCTION("""COMPUTED_VALUE"""),"tables")</f>
        <v>tables</v>
      </c>
      <c r="N20" s="14" t="str">
        <f>IFERROR(__xludf.DUMMYFUNCTION("""COMPUTED_VALUE"""),"fish games")</f>
        <v>fish games</v>
      </c>
      <c r="O20" s="14" t="str">
        <f>IFERROR(__xludf.DUMMYFUNCTION("""COMPUTED_VALUE"""),"It's nice in here")</f>
        <v>It's nice in here</v>
      </c>
      <c r="P20" s="14" t="str">
        <f>IFERROR(__xludf.DUMMYFUNCTION("""COMPUTED_VALUE"""),"writing")</f>
        <v>writing</v>
      </c>
      <c r="Q20" s="14" t="str">
        <f>IFERROR(__xludf.DUMMYFUNCTION("""COMPUTED_VALUE"""),"5 - Strongly Agree")</f>
        <v>5 - Strongly Agree</v>
      </c>
      <c r="R20" s="14" t="str">
        <f>IFERROR(__xludf.DUMMYFUNCTION("""COMPUTED_VALUE"""),"5 - Strongly Agree")</f>
        <v>5 - Strongly Agree</v>
      </c>
      <c r="S20" s="14" t="str">
        <f>IFERROR(__xludf.DUMMYFUNCTION("""COMPUTED_VALUE"""),"5 - Strongly Agree")</f>
        <v>5 - Strongly Agree</v>
      </c>
      <c r="T20" s="14" t="str">
        <f>IFERROR(__xludf.DUMMYFUNCTION("""COMPUTED_VALUE"""),"5 - Strongly Agree")</f>
        <v>5 - Strongly Agree</v>
      </c>
      <c r="U20" s="14" t="str">
        <f>IFERROR(__xludf.DUMMYFUNCTION("""COMPUTED_VALUE"""),"3 - Neutral")</f>
        <v>3 - Neutral</v>
      </c>
      <c r="V20" s="14" t="str">
        <f>IFERROR(__xludf.DUMMYFUNCTION("""COMPUTED_VALUE"""),"3 - Neutral")</f>
        <v>3 - Neutral</v>
      </c>
      <c r="W20" s="14" t="str">
        <f>IFERROR(__xludf.DUMMYFUNCTION("""COMPUTED_VALUE"""),"5 - Strongly Agree")</f>
        <v>5 - Strongly Agree</v>
      </c>
      <c r="X20" s="14" t="str">
        <f>IFERROR(__xludf.DUMMYFUNCTION("""COMPUTED_VALUE"""),"5 - Strongly Agree")</f>
        <v>5 - Strongly Agree</v>
      </c>
      <c r="Y20" s="14" t="str">
        <f>IFERROR(__xludf.DUMMYFUNCTION("""COMPUTED_VALUE"""),"5 - Strongly Agree")</f>
        <v>5 - Strongly Agree</v>
      </c>
      <c r="Z20" s="14" t="str">
        <f>IFERROR(__xludf.DUMMYFUNCTION("""COMPUTED_VALUE"""),"1 - Strongly Disagree")</f>
        <v>1 - Strongly Disagree</v>
      </c>
      <c r="AA20" s="14" t="str">
        <f>IFERROR(__xludf.DUMMYFUNCTION("""COMPUTED_VALUE"""),"5 - Strongly Agree")</f>
        <v>5 - Strongly Agree</v>
      </c>
      <c r="AB20" s="14" t="str">
        <f>IFERROR(__xludf.DUMMYFUNCTION("""COMPUTED_VALUE"""),"5 - Strongly Agree")</f>
        <v>5 - Strongly Agree</v>
      </c>
      <c r="AC20" s="14" t="str">
        <f>IFERROR(__xludf.DUMMYFUNCTION("""COMPUTED_VALUE"""),"I love it here")</f>
        <v>I love it here</v>
      </c>
    </row>
    <row r="21">
      <c r="A21" s="13">
        <f>IFERROR(__xludf.DUMMYFUNCTION("""COMPUTED_VALUE"""),45421.698944930555)</f>
        <v>45421.69894</v>
      </c>
      <c r="B21" s="14" t="str">
        <f>IFERROR(__xludf.DUMMYFUNCTION("""COMPUTED_VALUE"""),"Kendra + Maggie - CFSN Pontiac")</f>
        <v>Kendra + Maggie - CFSN Pontiac</v>
      </c>
      <c r="C21" s="14" t="str">
        <f>IFERROR(__xludf.DUMMYFUNCTION("""COMPUTED_VALUE"""),"denver")</f>
        <v>denver</v>
      </c>
      <c r="D21" s="14" t="str">
        <f>IFERROR(__xludf.DUMMYFUNCTION("""COMPUTED_VALUE"""),"idk")</f>
        <v>idk</v>
      </c>
      <c r="E21" s="14" t="str">
        <f>IFERROR(__xludf.DUMMYFUNCTION("""COMPUTED_VALUE"""),"2024")</f>
        <v>2024</v>
      </c>
      <c r="F21" s="14" t="str">
        <f>IFERROR(__xludf.DUMMYFUNCTION("""COMPUTED_VALUE"""),"idk")</f>
        <v>idk</v>
      </c>
      <c r="G21" s="14" t="str">
        <f>IFERROR(__xludf.DUMMYFUNCTION("""COMPUTED_VALUE"""),"by being quiet")</f>
        <v>by being quiet</v>
      </c>
      <c r="H21" s="14" t="str">
        <f>IFERROR(__xludf.DUMMYFUNCTION("""COMPUTED_VALUE"""),"baby sitters club and dork")</f>
        <v>baby sitters club and dork</v>
      </c>
      <c r="I21" s="14" t="str">
        <f>IFERROR(__xludf.DUMMYFUNCTION("""COMPUTED_VALUE"""),"being able to play games")</f>
        <v>being able to play games</v>
      </c>
      <c r="J21" s="14" t="str">
        <f>IFERROR(__xludf.DUMMYFUNCTION("""COMPUTED_VALUE"""),"reading")</f>
        <v>reading</v>
      </c>
      <c r="K21" s="14" t="str">
        <f>IFERROR(__xludf.DUMMYFUNCTION("""COMPUTED_VALUE"""),"home")</f>
        <v>home</v>
      </c>
      <c r="L21" s="14" t="str">
        <f>IFERROR(__xludf.DUMMYFUNCTION("""COMPUTED_VALUE"""),"be quiet")</f>
        <v>be quiet</v>
      </c>
      <c r="M21" s="14" t="str">
        <f>IFERROR(__xludf.DUMMYFUNCTION("""COMPUTED_VALUE"""),"i do not like we yall are loud")</f>
        <v>i do not like we yall are loud</v>
      </c>
      <c r="N21" s="14" t="str">
        <f>IFERROR(__xludf.DUMMYFUNCTION("""COMPUTED_VALUE"""),"no")</f>
        <v>no</v>
      </c>
      <c r="O21" s="14" t="str">
        <f>IFERROR(__xludf.DUMMYFUNCTION("""COMPUTED_VALUE"""),"to read")</f>
        <v>to read</v>
      </c>
      <c r="P21" s="14" t="str">
        <f>IFERROR(__xludf.DUMMYFUNCTION("""COMPUTED_VALUE"""),"by reading and lising")</f>
        <v>by reading and lising</v>
      </c>
      <c r="Q21" s="14" t="str">
        <f>IFERROR(__xludf.DUMMYFUNCTION("""COMPUTED_VALUE"""),"4 - Agree")</f>
        <v>4 - Agree</v>
      </c>
      <c r="R21" s="14" t="str">
        <f>IFERROR(__xludf.DUMMYFUNCTION("""COMPUTED_VALUE"""),"4 - Agree")</f>
        <v>4 - Agree</v>
      </c>
      <c r="S21" s="14" t="str">
        <f>IFERROR(__xludf.DUMMYFUNCTION("""COMPUTED_VALUE"""),"5 - Strongly Agree")</f>
        <v>5 - Strongly Agree</v>
      </c>
      <c r="T21" s="14" t="str">
        <f>IFERROR(__xludf.DUMMYFUNCTION("""COMPUTED_VALUE"""),"4 - Agree")</f>
        <v>4 - Agree</v>
      </c>
      <c r="U21" s="14" t="str">
        <f>IFERROR(__xludf.DUMMYFUNCTION("""COMPUTED_VALUE"""),"5 - Strongly Agree")</f>
        <v>5 - Strongly Agree</v>
      </c>
      <c r="V21" s="14" t="str">
        <f>IFERROR(__xludf.DUMMYFUNCTION("""COMPUTED_VALUE"""),"5 - Strongly Agree")</f>
        <v>5 - Strongly Agree</v>
      </c>
      <c r="W21" s="14" t="str">
        <f>IFERROR(__xludf.DUMMYFUNCTION("""COMPUTED_VALUE"""),"5 - Strongly Agree")</f>
        <v>5 - Strongly Agree</v>
      </c>
      <c r="X21" s="14" t="str">
        <f>IFERROR(__xludf.DUMMYFUNCTION("""COMPUTED_VALUE"""),"4 - Agree")</f>
        <v>4 - Agree</v>
      </c>
      <c r="Y21" s="14" t="str">
        <f>IFERROR(__xludf.DUMMYFUNCTION("""COMPUTED_VALUE"""),"4 - Agree")</f>
        <v>4 - Agree</v>
      </c>
      <c r="Z21" s="14" t="str">
        <f>IFERROR(__xludf.DUMMYFUNCTION("""COMPUTED_VALUE"""),"5 - Strongly Agree")</f>
        <v>5 - Strongly Agree</v>
      </c>
      <c r="AA21" s="14" t="str">
        <f>IFERROR(__xludf.DUMMYFUNCTION("""COMPUTED_VALUE"""),"4 - Agree")</f>
        <v>4 - Agree</v>
      </c>
      <c r="AB21" s="14" t="str">
        <f>IFERROR(__xludf.DUMMYFUNCTION("""COMPUTED_VALUE"""),"5 - Strongly Agree")</f>
        <v>5 - Strongly Agree</v>
      </c>
      <c r="AC21" s="14"/>
    </row>
    <row r="22">
      <c r="A22" s="13">
        <f>IFERROR(__xludf.DUMMYFUNCTION("""COMPUTED_VALUE"""),45421.70022141204)</f>
        <v>45421.70022</v>
      </c>
      <c r="B22" s="14" t="str">
        <f>IFERROR(__xludf.DUMMYFUNCTION("""COMPUTED_VALUE"""),"Kendra + Maggie - CFSN Pontiac")</f>
        <v>Kendra + Maggie - CFSN Pontiac</v>
      </c>
      <c r="C22" s="14" t="str">
        <f>IFERROR(__xludf.DUMMYFUNCTION("""COMPUTED_VALUE"""),"Adam")</f>
        <v>Adam</v>
      </c>
      <c r="D22" s="14" t="str">
        <f>IFERROR(__xludf.DUMMYFUNCTION("""COMPUTED_VALUE"""),"Playing outside")</f>
        <v>Playing outside</v>
      </c>
      <c r="E22" s="14" t="str">
        <f>IFERROR(__xludf.DUMMYFUNCTION("""COMPUTED_VALUE"""),"N/A")</f>
        <v>N/A</v>
      </c>
      <c r="F22" s="14" t="str">
        <f>IFERROR(__xludf.DUMMYFUNCTION("""COMPUTED_VALUE"""),"more games")</f>
        <v>more games</v>
      </c>
      <c r="G22" s="14" t="str">
        <f>IFERROR(__xludf.DUMMYFUNCTION("""COMPUTED_VALUE"""),"games")</f>
        <v>games</v>
      </c>
      <c r="H22" s="14" t="str">
        <f>IFERROR(__xludf.DUMMYFUNCTION("""COMPUTED_VALUE"""),"fly guy")</f>
        <v>fly guy</v>
      </c>
      <c r="I22" s="14" t="str">
        <f>IFERROR(__xludf.DUMMYFUNCTION("""COMPUTED_VALUE"""),"my friend")</f>
        <v>my friend</v>
      </c>
      <c r="J22" s="14" t="str">
        <f>IFERROR(__xludf.DUMMYFUNCTION("""COMPUTED_VALUE"""),"questions")</f>
        <v>questions</v>
      </c>
      <c r="K22" s="14" t="str">
        <f>IFERROR(__xludf.DUMMYFUNCTION("""COMPUTED_VALUE"""),"school")</f>
        <v>school</v>
      </c>
      <c r="L22" s="14" t="str">
        <f>IFERROR(__xludf.DUMMYFUNCTION("""COMPUTED_VALUE"""),"more outside")</f>
        <v>more outside</v>
      </c>
      <c r="M22" s="14" t="str">
        <f>IFERROR(__xludf.DUMMYFUNCTION("""COMPUTED_VALUE"""),"no")</f>
        <v>no</v>
      </c>
      <c r="N22" s="14" t="str">
        <f>IFERROR(__xludf.DUMMYFUNCTION("""COMPUTED_VALUE"""),"games on computer")</f>
        <v>games on computer</v>
      </c>
      <c r="O22" s="14" t="str">
        <f>IFERROR(__xludf.DUMMYFUNCTION("""COMPUTED_VALUE"""),"fruit snacks")</f>
        <v>fruit snacks</v>
      </c>
      <c r="P22" s="14" t="str">
        <f>IFERROR(__xludf.DUMMYFUNCTION("""COMPUTED_VALUE"""),"idk")</f>
        <v>idk</v>
      </c>
      <c r="Q22" s="14" t="str">
        <f>IFERROR(__xludf.DUMMYFUNCTION("""COMPUTED_VALUE"""),"2 - Disagree")</f>
        <v>2 - Disagree</v>
      </c>
      <c r="R22" s="14" t="str">
        <f>IFERROR(__xludf.DUMMYFUNCTION("""COMPUTED_VALUE"""),"4 - Agree")</f>
        <v>4 - Agree</v>
      </c>
      <c r="S22" s="14" t="str">
        <f>IFERROR(__xludf.DUMMYFUNCTION("""COMPUTED_VALUE"""),"4 - Agree")</f>
        <v>4 - Agree</v>
      </c>
      <c r="T22" s="14" t="str">
        <f>IFERROR(__xludf.DUMMYFUNCTION("""COMPUTED_VALUE"""),"3 - Neutral")</f>
        <v>3 - Neutral</v>
      </c>
      <c r="U22" s="14"/>
      <c r="V22" s="14"/>
      <c r="W22" s="14"/>
      <c r="X22" s="14" t="str">
        <f>IFERROR(__xludf.DUMMYFUNCTION("""COMPUTED_VALUE"""),"3 - Neutral")</f>
        <v>3 - Neutral</v>
      </c>
      <c r="Y22" s="14" t="str">
        <f>IFERROR(__xludf.DUMMYFUNCTION("""COMPUTED_VALUE"""),"2 - Disagree")</f>
        <v>2 - Disagree</v>
      </c>
      <c r="Z22" s="14" t="str">
        <f>IFERROR(__xludf.DUMMYFUNCTION("""COMPUTED_VALUE"""),"4 - Agree")</f>
        <v>4 - Agree</v>
      </c>
      <c r="AA22" s="14" t="str">
        <f>IFERROR(__xludf.DUMMYFUNCTION("""COMPUTED_VALUE"""),"4 - Agree")</f>
        <v>4 - Agree</v>
      </c>
      <c r="AB22" s="14" t="str">
        <f>IFERROR(__xludf.DUMMYFUNCTION("""COMPUTED_VALUE"""),"5 - Strongly Agree")</f>
        <v>5 - Strongly Agree</v>
      </c>
      <c r="AC22" s="14"/>
    </row>
    <row r="23">
      <c r="A23" s="13">
        <f>IFERROR(__xludf.DUMMYFUNCTION("""COMPUTED_VALUE"""),45421.704990046295)</f>
        <v>45421.70499</v>
      </c>
      <c r="B23" s="14" t="str">
        <f>IFERROR(__xludf.DUMMYFUNCTION("""COMPUTED_VALUE"""),"Kendra + Maggie - CFSN Pontiac")</f>
        <v>Kendra + Maggie - CFSN Pontiac</v>
      </c>
      <c r="C23" s="14" t="str">
        <f>IFERROR(__xludf.DUMMYFUNCTION("""COMPUTED_VALUE"""),"ryann")</f>
        <v>ryann</v>
      </c>
      <c r="D23" s="14" t="str">
        <f>IFERROR(__xludf.DUMMYFUNCTION("""COMPUTED_VALUE"""),"my mom")</f>
        <v>my mom</v>
      </c>
      <c r="E23" s="14" t="str">
        <f>IFERROR(__xludf.DUMMYFUNCTION("""COMPUTED_VALUE"""),"seeing my cousin")</f>
        <v>seeing my cousin</v>
      </c>
      <c r="F23" s="14" t="str">
        <f>IFERROR(__xludf.DUMMYFUNCTION("""COMPUTED_VALUE"""),"playing games")</f>
        <v>playing games</v>
      </c>
      <c r="G23" s="14" t="str">
        <f>IFERROR(__xludf.DUMMYFUNCTION("""COMPUTED_VALUE"""),"idk")</f>
        <v>idk</v>
      </c>
      <c r="H23" s="14" t="str">
        <f>IFERROR(__xludf.DUMMYFUNCTION("""COMPUTED_VALUE"""),"dog man")</f>
        <v>dog man</v>
      </c>
      <c r="I23" s="14" t="str">
        <f>IFERROR(__xludf.DUMMYFUNCTION("""COMPUTED_VALUE"""),"seeing my mentor")</f>
        <v>seeing my mentor</v>
      </c>
      <c r="J23" s="14" t="str">
        <f>IFERROR(__xludf.DUMMYFUNCTION("""COMPUTED_VALUE"""),"seeing Ms. Kendra and Ms Maggie")</f>
        <v>seeing Ms. Kendra and Ms Maggie</v>
      </c>
      <c r="K23" s="14" t="str">
        <f>IFERROR(__xludf.DUMMYFUNCTION("""COMPUTED_VALUE"""),"mentoring")</f>
        <v>mentoring</v>
      </c>
      <c r="L23" s="14" t="str">
        <f>IFERROR(__xludf.DUMMYFUNCTION("""COMPUTED_VALUE"""),"idk")</f>
        <v>idk</v>
      </c>
      <c r="M23" s="14" t="str">
        <f>IFERROR(__xludf.DUMMYFUNCTION("""COMPUTED_VALUE"""),"no")</f>
        <v>no</v>
      </c>
      <c r="N23" s="14" t="str">
        <f>IFERROR(__xludf.DUMMYFUNCTION("""COMPUTED_VALUE"""),"coloring")</f>
        <v>coloring</v>
      </c>
      <c r="O23" s="14" t="str">
        <f>IFERROR(__xludf.DUMMYFUNCTION("""COMPUTED_VALUE"""),"nothing")</f>
        <v>nothing</v>
      </c>
      <c r="P23" s="14" t="str">
        <f>IFERROR(__xludf.DUMMYFUNCTION("""COMPUTED_VALUE"""),"reading and writing")</f>
        <v>reading and writing</v>
      </c>
      <c r="Q23" s="14" t="str">
        <f>IFERROR(__xludf.DUMMYFUNCTION("""COMPUTED_VALUE"""),"5 - Strongly Agree")</f>
        <v>5 - Strongly Agree</v>
      </c>
      <c r="R23" s="14" t="str">
        <f>IFERROR(__xludf.DUMMYFUNCTION("""COMPUTED_VALUE"""),"5 - Strongly Agree")</f>
        <v>5 - Strongly Agree</v>
      </c>
      <c r="S23" s="14" t="str">
        <f>IFERROR(__xludf.DUMMYFUNCTION("""COMPUTED_VALUE"""),"5 - Strongly Agree")</f>
        <v>5 - Strongly Agree</v>
      </c>
      <c r="T23" s="14" t="str">
        <f>IFERROR(__xludf.DUMMYFUNCTION("""COMPUTED_VALUE"""),"5 - Strongly Agree")</f>
        <v>5 - Strongly Agree</v>
      </c>
      <c r="U23" s="14" t="str">
        <f>IFERROR(__xludf.DUMMYFUNCTION("""COMPUTED_VALUE"""),"5 - Strongly Agree")</f>
        <v>5 - Strongly Agree</v>
      </c>
      <c r="V23" s="14" t="str">
        <f>IFERROR(__xludf.DUMMYFUNCTION("""COMPUTED_VALUE"""),"5 - Strongly Agree")</f>
        <v>5 - Strongly Agree</v>
      </c>
      <c r="W23" s="14" t="str">
        <f>IFERROR(__xludf.DUMMYFUNCTION("""COMPUTED_VALUE"""),"5 - Strongly Agree")</f>
        <v>5 - Strongly Agree</v>
      </c>
      <c r="X23" s="14" t="str">
        <f>IFERROR(__xludf.DUMMYFUNCTION("""COMPUTED_VALUE"""),"5 - Strongly Agree")</f>
        <v>5 - Strongly Agree</v>
      </c>
      <c r="Y23" s="14" t="str">
        <f>IFERROR(__xludf.DUMMYFUNCTION("""COMPUTED_VALUE"""),"5 - Strongly Agree")</f>
        <v>5 - Strongly Agree</v>
      </c>
      <c r="Z23" s="14" t="str">
        <f>IFERROR(__xludf.DUMMYFUNCTION("""COMPUTED_VALUE"""),"5 - Strongly Agree")</f>
        <v>5 - Strongly Agree</v>
      </c>
      <c r="AA23" s="14" t="str">
        <f>IFERROR(__xludf.DUMMYFUNCTION("""COMPUTED_VALUE"""),"5 - Strongly Agree")</f>
        <v>5 - Strongly Agree</v>
      </c>
      <c r="AB23" s="14" t="str">
        <f>IFERROR(__xludf.DUMMYFUNCTION("""COMPUTED_VALUE"""),"5 - Strongly Agree")</f>
        <v>5 - Strongly Agree</v>
      </c>
      <c r="AC23" s="14"/>
    </row>
    <row r="24">
      <c r="A24" s="13">
        <f>IFERROR(__xludf.DUMMYFUNCTION("""COMPUTED_VALUE"""),45421.705419224534)</f>
        <v>45421.70542</v>
      </c>
      <c r="B24" s="14" t="str">
        <f>IFERROR(__xludf.DUMMYFUNCTION("""COMPUTED_VALUE"""),"Kendra + Maggie - CFSN Pontiac")</f>
        <v>Kendra + Maggie - CFSN Pontiac</v>
      </c>
      <c r="C24" s="14" t="str">
        <f>IFERROR(__xludf.DUMMYFUNCTION("""COMPUTED_VALUE"""),"kayden")</f>
        <v>kayden</v>
      </c>
      <c r="D24" s="14" t="str">
        <f>IFERROR(__xludf.DUMMYFUNCTION("""COMPUTED_VALUE"""),"My fun mentor")</f>
        <v>My fun mentor</v>
      </c>
      <c r="E24" s="14" t="str">
        <f>IFERROR(__xludf.DUMMYFUNCTION("""COMPUTED_VALUE"""),"playing on my mentor tablet ")</f>
        <v>playing on my mentor tablet </v>
      </c>
      <c r="F24" s="14" t="str">
        <f>IFERROR(__xludf.DUMMYFUNCTION("""COMPUTED_VALUE"""),"reading and playing games ")</f>
        <v>reading and playing games </v>
      </c>
      <c r="G24" s="14" t="str">
        <f>IFERROR(__xludf.DUMMYFUNCTION("""COMPUTED_VALUE"""),"my mentor funny storyes ")</f>
        <v>my mentor funny storyes </v>
      </c>
      <c r="H24" s="14" t="str">
        <f>IFERROR(__xludf.DUMMYFUNCTION("""COMPUTED_VALUE"""),"DIARY of a Wimpy kid")</f>
        <v>DIARY of a Wimpy kid</v>
      </c>
      <c r="I24" s="14" t="str">
        <f>IFERROR(__xludf.DUMMYFUNCTION("""COMPUTED_VALUE"""),"my mentor and I playing a game ")</f>
        <v>my mentor and I playing a game </v>
      </c>
      <c r="J24" s="14" t="str">
        <f>IFERROR(__xludf.DUMMYFUNCTION("""COMPUTED_VALUE"""),"game")</f>
        <v>game</v>
      </c>
      <c r="K24" s="14" t="str">
        <f>IFERROR(__xludf.DUMMYFUNCTION("""COMPUTED_VALUE"""),"I feel safe in center for success ")</f>
        <v>I feel safe in center for success </v>
      </c>
      <c r="L24" s="14" t="str">
        <f>IFERROR(__xludf.DUMMYFUNCTION("""COMPUTED_VALUE"""),"more time")</f>
        <v>more time</v>
      </c>
      <c r="M24" s="14" t="str">
        <f>IFERROR(__xludf.DUMMYFUNCTION("""COMPUTED_VALUE"""),"no")</f>
        <v>no</v>
      </c>
      <c r="N24" s="14" t="str">
        <f>IFERROR(__xludf.DUMMYFUNCTION("""COMPUTED_VALUE"""),"I like playing maddnen")</f>
        <v>I like playing maddnen</v>
      </c>
      <c r="O24" s="14" t="str">
        <f>IFERROR(__xludf.DUMMYFUNCTION("""COMPUTED_VALUE"""),"more time ")</f>
        <v>more time </v>
      </c>
      <c r="P24" s="14" t="str">
        <f>IFERROR(__xludf.DUMMYFUNCTION("""COMPUTED_VALUE"""),"I have grown my reading level to a R")</f>
        <v>I have grown my reading level to a R</v>
      </c>
      <c r="Q24" s="14" t="str">
        <f>IFERROR(__xludf.DUMMYFUNCTION("""COMPUTED_VALUE"""),"5 - Strongly Agree")</f>
        <v>5 - Strongly Agree</v>
      </c>
      <c r="R24" s="14" t="str">
        <f>IFERROR(__xludf.DUMMYFUNCTION("""COMPUTED_VALUE"""),"5 - Strongly Agree")</f>
        <v>5 - Strongly Agree</v>
      </c>
      <c r="S24" s="14" t="str">
        <f>IFERROR(__xludf.DUMMYFUNCTION("""COMPUTED_VALUE"""),"5 - Strongly Agree")</f>
        <v>5 - Strongly Agree</v>
      </c>
      <c r="T24" s="14" t="str">
        <f>IFERROR(__xludf.DUMMYFUNCTION("""COMPUTED_VALUE"""),"5 - Strongly Agree")</f>
        <v>5 - Strongly Agree</v>
      </c>
      <c r="U24" s="14" t="str">
        <f>IFERROR(__xludf.DUMMYFUNCTION("""COMPUTED_VALUE"""),"5 - Strongly Agree")</f>
        <v>5 - Strongly Agree</v>
      </c>
      <c r="V24" s="14" t="str">
        <f>IFERROR(__xludf.DUMMYFUNCTION("""COMPUTED_VALUE"""),"5 - Strongly Agree")</f>
        <v>5 - Strongly Agree</v>
      </c>
      <c r="W24" s="14" t="str">
        <f>IFERROR(__xludf.DUMMYFUNCTION("""COMPUTED_VALUE"""),"5 - Strongly Agree")</f>
        <v>5 - Strongly Agree</v>
      </c>
      <c r="X24" s="14" t="str">
        <f>IFERROR(__xludf.DUMMYFUNCTION("""COMPUTED_VALUE"""),"5 - Strongly Agree")</f>
        <v>5 - Strongly Agree</v>
      </c>
      <c r="Y24" s="14" t="str">
        <f>IFERROR(__xludf.DUMMYFUNCTION("""COMPUTED_VALUE"""),"5 - Strongly Agree")</f>
        <v>5 - Strongly Agree</v>
      </c>
      <c r="Z24" s="14" t="str">
        <f>IFERROR(__xludf.DUMMYFUNCTION("""COMPUTED_VALUE"""),"1 - Strongly Disagree")</f>
        <v>1 - Strongly Disagree</v>
      </c>
      <c r="AA24" s="14" t="str">
        <f>IFERROR(__xludf.DUMMYFUNCTION("""COMPUTED_VALUE"""),"5 - Strongly Agree")</f>
        <v>5 - Strongly Agree</v>
      </c>
      <c r="AB24" s="14" t="str">
        <f>IFERROR(__xludf.DUMMYFUNCTION("""COMPUTED_VALUE"""),"5 - Strongly Agree")</f>
        <v>5 - Strongly Agree</v>
      </c>
      <c r="AC24" s="14"/>
    </row>
    <row r="25">
      <c r="A25" s="13">
        <f>IFERROR(__xludf.DUMMYFUNCTION("""COMPUTED_VALUE"""),45421.71406971065)</f>
        <v>45421.71407</v>
      </c>
      <c r="B25" s="14" t="str">
        <f>IFERROR(__xludf.DUMMYFUNCTION("""COMPUTED_VALUE"""),"Kendra + Maggie - CFSN Pontiac")</f>
        <v>Kendra + Maggie - CFSN Pontiac</v>
      </c>
      <c r="C25" s="14" t="str">
        <f>IFERROR(__xludf.DUMMYFUNCTION("""COMPUTED_VALUE"""),"justice")</f>
        <v>justice</v>
      </c>
      <c r="D25" s="14" t="str">
        <f>IFERROR(__xludf.DUMMYFUNCTION("""COMPUTED_VALUE"""),"so i can read better")</f>
        <v>so i can read better</v>
      </c>
      <c r="E25" s="14" t="str">
        <f>IFERROR(__xludf.DUMMYFUNCTION("""COMPUTED_VALUE"""),"when we was playing ouutside")</f>
        <v>when we was playing ouutside</v>
      </c>
      <c r="F25" s="14" t="str">
        <f>IFERROR(__xludf.DUMMYFUNCTION("""COMPUTED_VALUE"""),"so i can read better")</f>
        <v>so i can read better</v>
      </c>
      <c r="G25" s="14" t="str">
        <f>IFERROR(__xludf.DUMMYFUNCTION("""COMPUTED_VALUE"""),"do play and read better")</f>
        <v>do play and read better</v>
      </c>
      <c r="H25" s="14" t="str">
        <f>IFERROR(__xludf.DUMMYFUNCTION("""COMPUTED_VALUE"""),"wimpy kids")</f>
        <v>wimpy kids</v>
      </c>
      <c r="I25" s="14" t="str">
        <f>IFERROR(__xludf.DUMMYFUNCTION("""COMPUTED_VALUE"""),"playing with my friend in the summer")</f>
        <v>playing with my friend in the summer</v>
      </c>
      <c r="J25" s="14" t="str">
        <f>IFERROR(__xludf.DUMMYFUNCTION("""COMPUTED_VALUE"""),"in the summer")</f>
        <v>in the summer</v>
      </c>
      <c r="K25" s="14" t="str">
        <f>IFERROR(__xludf.DUMMYFUNCTION("""COMPUTED_VALUE"""),"home becuse my mom and dad is there to help ")</f>
        <v>home becuse my mom and dad is there to help </v>
      </c>
      <c r="L25" s="14" t="str">
        <f>IFERROR(__xludf.DUMMYFUNCTION("""COMPUTED_VALUE"""),"having more fun like we did in the summer")</f>
        <v>having more fun like we did in the summer</v>
      </c>
      <c r="M25" s="14" t="str">
        <f>IFERROR(__xludf.DUMMYFUNCTION("""COMPUTED_VALUE"""),"i dont like nothing")</f>
        <v>i dont like nothing</v>
      </c>
      <c r="N25" s="14" t="str">
        <f>IFERROR(__xludf.DUMMYFUNCTION("""COMPUTED_VALUE"""),"doing tik tok")</f>
        <v>doing tik tok</v>
      </c>
      <c r="O25" s="14" t="str">
        <f>IFERROR(__xludf.DUMMYFUNCTION("""COMPUTED_VALUE"""),"having more fun then going outside")</f>
        <v>having more fun then going outside</v>
      </c>
      <c r="P25" s="14" t="str">
        <f>IFERROR(__xludf.DUMMYFUNCTION("""COMPUTED_VALUE"""),"yes")</f>
        <v>yes</v>
      </c>
      <c r="Q25" s="14" t="str">
        <f>IFERROR(__xludf.DUMMYFUNCTION("""COMPUTED_VALUE"""),"5 - Strongly Agree")</f>
        <v>5 - Strongly Agree</v>
      </c>
      <c r="R25" s="14" t="str">
        <f>IFERROR(__xludf.DUMMYFUNCTION("""COMPUTED_VALUE"""),"4 - Agree")</f>
        <v>4 - Agree</v>
      </c>
      <c r="S25" s="14" t="str">
        <f>IFERROR(__xludf.DUMMYFUNCTION("""COMPUTED_VALUE"""),"5 - Strongly Agree")</f>
        <v>5 - Strongly Agree</v>
      </c>
      <c r="T25" s="14" t="str">
        <f>IFERROR(__xludf.DUMMYFUNCTION("""COMPUTED_VALUE"""),"5 - Strongly Agree")</f>
        <v>5 - Strongly Agree</v>
      </c>
      <c r="U25" s="14" t="str">
        <f>IFERROR(__xludf.DUMMYFUNCTION("""COMPUTED_VALUE"""),"1 - Strongly Disagree")</f>
        <v>1 - Strongly Disagree</v>
      </c>
      <c r="V25" s="14" t="str">
        <f>IFERROR(__xludf.DUMMYFUNCTION("""COMPUTED_VALUE"""),"5 - Strongly Agree")</f>
        <v>5 - Strongly Agree</v>
      </c>
      <c r="W25" s="14" t="str">
        <f>IFERROR(__xludf.DUMMYFUNCTION("""COMPUTED_VALUE"""),"5 - Strongly Agree")</f>
        <v>5 - Strongly Agree</v>
      </c>
      <c r="X25" s="14" t="str">
        <f>IFERROR(__xludf.DUMMYFUNCTION("""COMPUTED_VALUE"""),"4 - Agree")</f>
        <v>4 - Agree</v>
      </c>
      <c r="Y25" s="14" t="str">
        <f>IFERROR(__xludf.DUMMYFUNCTION("""COMPUTED_VALUE"""),"5 - Strongly Agree")</f>
        <v>5 - Strongly Agree</v>
      </c>
      <c r="Z25" s="14" t="str">
        <f>IFERROR(__xludf.DUMMYFUNCTION("""COMPUTED_VALUE"""),"5 - Strongly Agree")</f>
        <v>5 - Strongly Agree</v>
      </c>
      <c r="AA25" s="14" t="str">
        <f>IFERROR(__xludf.DUMMYFUNCTION("""COMPUTED_VALUE"""),"5 - Strongly Agree")</f>
        <v>5 - Strongly Agree</v>
      </c>
      <c r="AB25" s="14" t="str">
        <f>IFERROR(__xludf.DUMMYFUNCTION("""COMPUTED_VALUE"""),"5 - Strongly Agree")</f>
        <v>5 - Strongly Agree</v>
      </c>
      <c r="AC25" s="14" t="str">
        <f>IFERROR(__xludf.DUMMYFUNCTION("""COMPUTED_VALUE"""),"no")</f>
        <v>no</v>
      </c>
    </row>
    <row r="26">
      <c r="A26" s="13">
        <f>IFERROR(__xludf.DUMMYFUNCTION("""COMPUTED_VALUE"""),45426.69003846065)</f>
        <v>45426.69004</v>
      </c>
      <c r="B26" s="14" t="str">
        <f>IFERROR(__xludf.DUMMYFUNCTION("""COMPUTED_VALUE"""),"Kendra + Maggie - CFSN Pontiac")</f>
        <v>Kendra + Maggie - CFSN Pontiac</v>
      </c>
      <c r="C26" s="14" t="str">
        <f>IFERROR(__xludf.DUMMYFUNCTION("""COMPUTED_VALUE"""),"Marquise")</f>
        <v>Marquise</v>
      </c>
      <c r="D26" s="14" t="str">
        <f>IFERROR(__xludf.DUMMYFUNCTION("""COMPUTED_VALUE"""),"friends")</f>
        <v>friends</v>
      </c>
      <c r="E26" s="14" t="str">
        <f>IFERROR(__xludf.DUMMYFUNCTION("""COMPUTED_VALUE"""),"fun with mentors")</f>
        <v>fun with mentors</v>
      </c>
      <c r="F26" s="14" t="str">
        <f>IFERROR(__xludf.DUMMYFUNCTION("""COMPUTED_VALUE"""),"more pizza")</f>
        <v>more pizza</v>
      </c>
      <c r="G26" s="14" t="str">
        <f>IFERROR(__xludf.DUMMYFUNCTION("""COMPUTED_VALUE"""),"when everyone is quiet")</f>
        <v>when everyone is quiet</v>
      </c>
      <c r="H26" s="14" t="str">
        <f>IFERROR(__xludf.DUMMYFUNCTION("""COMPUTED_VALUE"""),"transformers")</f>
        <v>transformers</v>
      </c>
      <c r="I26" s="14" t="str">
        <f>IFERROR(__xludf.DUMMYFUNCTION("""COMPUTED_VALUE"""),"funny dance moves")</f>
        <v>funny dance moves</v>
      </c>
      <c r="J26" s="14" t="str">
        <f>IFERROR(__xludf.DUMMYFUNCTION("""COMPUTED_VALUE"""),"outside")</f>
        <v>outside</v>
      </c>
      <c r="K26" s="14" t="str">
        <f>IFERROR(__xludf.DUMMYFUNCTION("""COMPUTED_VALUE"""),"mentoring")</f>
        <v>mentoring</v>
      </c>
      <c r="L26" s="14" t="str">
        <f>IFERROR(__xludf.DUMMYFUNCTION("""COMPUTED_VALUE"""),"led lights")</f>
        <v>led lights</v>
      </c>
      <c r="M26" s="14" t="str">
        <f>IFERROR(__xludf.DUMMYFUNCTION("""COMPUTED_VALUE"""),"moving right")</f>
        <v>moving right</v>
      </c>
      <c r="N26" s="14" t="str">
        <f>IFERROR(__xludf.DUMMYFUNCTION("""COMPUTED_VALUE"""),"roblox")</f>
        <v>roblox</v>
      </c>
      <c r="O26" s="14" t="str">
        <f>IFERROR(__xludf.DUMMYFUNCTION("""COMPUTED_VALUE"""),"make snacks good")</f>
        <v>make snacks good</v>
      </c>
      <c r="P26" s="14" t="str">
        <f>IFERROR(__xludf.DUMMYFUNCTION("""COMPUTED_VALUE"""),"reading")</f>
        <v>reading</v>
      </c>
      <c r="Q26" s="14" t="str">
        <f>IFERROR(__xludf.DUMMYFUNCTION("""COMPUTED_VALUE"""),"5 - Strongly Agree")</f>
        <v>5 - Strongly Agree</v>
      </c>
      <c r="R26" s="14" t="str">
        <f>IFERROR(__xludf.DUMMYFUNCTION("""COMPUTED_VALUE"""),"2 - Disagree")</f>
        <v>2 - Disagree</v>
      </c>
      <c r="S26" s="14" t="str">
        <f>IFERROR(__xludf.DUMMYFUNCTION("""COMPUTED_VALUE"""),"5 - Strongly Agree")</f>
        <v>5 - Strongly Agree</v>
      </c>
      <c r="T26" s="14" t="str">
        <f>IFERROR(__xludf.DUMMYFUNCTION("""COMPUTED_VALUE"""),"5 - Strongly Agree")</f>
        <v>5 - Strongly Agree</v>
      </c>
      <c r="U26" s="14" t="str">
        <f>IFERROR(__xludf.DUMMYFUNCTION("""COMPUTED_VALUE"""),"5 - Strongly Agree")</f>
        <v>5 - Strongly Agree</v>
      </c>
      <c r="V26" s="14" t="str">
        <f>IFERROR(__xludf.DUMMYFUNCTION("""COMPUTED_VALUE"""),"5 - Strongly Agree")</f>
        <v>5 - Strongly Agree</v>
      </c>
      <c r="W26" s="14" t="str">
        <f>IFERROR(__xludf.DUMMYFUNCTION("""COMPUTED_VALUE"""),"5 - Strongly Agree")</f>
        <v>5 - Strongly Agree</v>
      </c>
      <c r="X26" s="14" t="str">
        <f>IFERROR(__xludf.DUMMYFUNCTION("""COMPUTED_VALUE"""),"5 - Strongly Agree")</f>
        <v>5 - Strongly Agree</v>
      </c>
      <c r="Y26" s="14" t="str">
        <f>IFERROR(__xludf.DUMMYFUNCTION("""COMPUTED_VALUE"""),"5 - Strongly Agree")</f>
        <v>5 - Strongly Agree</v>
      </c>
      <c r="Z26" s="14" t="str">
        <f>IFERROR(__xludf.DUMMYFUNCTION("""COMPUTED_VALUE"""),"5 - Strongly Agree")</f>
        <v>5 - Strongly Agree</v>
      </c>
      <c r="AA26" s="14" t="str">
        <f>IFERROR(__xludf.DUMMYFUNCTION("""COMPUTED_VALUE"""),"3 - Neutral")</f>
        <v>3 - Neutral</v>
      </c>
      <c r="AB26" s="14" t="str">
        <f>IFERROR(__xludf.DUMMYFUNCTION("""COMPUTED_VALUE"""),"5 - Strongly Agree")</f>
        <v>5 - Strongly Agree</v>
      </c>
      <c r="AC26" s="14"/>
    </row>
    <row r="27">
      <c r="A27" s="13">
        <f>IFERROR(__xludf.DUMMYFUNCTION("""COMPUTED_VALUE"""),45426.700951597224)</f>
        <v>45426.70095</v>
      </c>
      <c r="B27" s="14" t="str">
        <f>IFERROR(__xludf.DUMMYFUNCTION("""COMPUTED_VALUE"""),"Kendra + Maggie - CFSN Pontiac")</f>
        <v>Kendra + Maggie - CFSN Pontiac</v>
      </c>
      <c r="C27" s="14" t="str">
        <f>IFERROR(__xludf.DUMMYFUNCTION("""COMPUTED_VALUE"""),"Zoie")</f>
        <v>Zoie</v>
      </c>
      <c r="D27" s="14" t="str">
        <f>IFERROR(__xludf.DUMMYFUNCTION("""COMPUTED_VALUE"""),"meeting my friends and miss Kendra and Maggie")</f>
        <v>meeting my friends and miss Kendra and Maggie</v>
      </c>
      <c r="E27" s="14" t="str">
        <f>IFERROR(__xludf.DUMMYFUNCTION("""COMPUTED_VALUE"""),"the movies and games and fun things we do")</f>
        <v>the movies and games and fun things we do</v>
      </c>
      <c r="F27" s="14" t="str">
        <f>IFERROR(__xludf.DUMMYFUNCTION("""COMPUTED_VALUE"""),"candy and toys")</f>
        <v>candy and toys</v>
      </c>
      <c r="G27" s="14" t="str">
        <f>IFERROR(__xludf.DUMMYFUNCTION("""COMPUTED_VALUE"""),"not a lot of loud noise and people listening to the adults")</f>
        <v>not a lot of loud noise and people listening to the adults</v>
      </c>
      <c r="H27" s="14" t="str">
        <f>IFERROR(__xludf.DUMMYFUNCTION("""COMPUTED_VALUE"""),"my favorite book is 17 things I'm not alowed to do anymore")</f>
        <v>my favorite book is 17 things I'm not alowed to do anymore</v>
      </c>
      <c r="I27" s="14" t="str">
        <f>IFERROR(__xludf.DUMMYFUNCTION("""COMPUTED_VALUE"""),"the jokes people make")</f>
        <v>the jokes people make</v>
      </c>
      <c r="J27" s="14" t="str">
        <f>IFERROR(__xludf.DUMMYFUNCTION("""COMPUTED_VALUE"""),"the beginning and the end")</f>
        <v>the beginning and the end</v>
      </c>
      <c r="K27" s="14" t="str">
        <f>IFERROR(__xludf.DUMMYFUNCTION("""COMPUTED_VALUE"""),"at basketball and dance and home")</f>
        <v>at basketball and dance and home</v>
      </c>
      <c r="L27" s="14" t="str">
        <f>IFERROR(__xludf.DUMMYFUNCTION("""COMPUTED_VALUE"""),"more gifts and fun")</f>
        <v>more gifts and fun</v>
      </c>
      <c r="M27" s="14" t="str">
        <f>IFERROR(__xludf.DUMMYFUNCTION("""COMPUTED_VALUE"""),"no")</f>
        <v>no</v>
      </c>
      <c r="N27" s="14" t="str">
        <f>IFERROR(__xludf.DUMMYFUNCTION("""COMPUTED_VALUE"""),"watching movies and playing games")</f>
        <v>watching movies and playing games</v>
      </c>
      <c r="O27" s="14" t="str">
        <f>IFERROR(__xludf.DUMMYFUNCTION("""COMPUTED_VALUE"""),"everyone be nice")</f>
        <v>everyone be nice</v>
      </c>
      <c r="P27" s="14" t="str">
        <f>IFERROR(__xludf.DUMMYFUNCTION("""COMPUTED_VALUE"""),"kinda a lot because i am even higher than a level Z")</f>
        <v>kinda a lot because i am even higher than a level Z</v>
      </c>
      <c r="Q27" s="14" t="str">
        <f>IFERROR(__xludf.DUMMYFUNCTION("""COMPUTED_VALUE"""),"5 - Strongly Agree")</f>
        <v>5 - Strongly Agree</v>
      </c>
      <c r="R27" s="14" t="str">
        <f>IFERROR(__xludf.DUMMYFUNCTION("""COMPUTED_VALUE"""),"4 - Agree")</f>
        <v>4 - Agree</v>
      </c>
      <c r="S27" s="14" t="str">
        <f>IFERROR(__xludf.DUMMYFUNCTION("""COMPUTED_VALUE"""),"3 - Neutral")</f>
        <v>3 - Neutral</v>
      </c>
      <c r="T27" s="14" t="str">
        <f>IFERROR(__xludf.DUMMYFUNCTION("""COMPUTED_VALUE"""),"5 - Strongly Agree")</f>
        <v>5 - Strongly Agree</v>
      </c>
      <c r="U27" s="14" t="str">
        <f>IFERROR(__xludf.DUMMYFUNCTION("""COMPUTED_VALUE"""),"3 - Neutral")</f>
        <v>3 - Neutral</v>
      </c>
      <c r="V27" s="14" t="str">
        <f>IFERROR(__xludf.DUMMYFUNCTION("""COMPUTED_VALUE"""),"4 - Agree")</f>
        <v>4 - Agree</v>
      </c>
      <c r="W27" s="14" t="str">
        <f>IFERROR(__xludf.DUMMYFUNCTION("""COMPUTED_VALUE"""),"5 - Strongly Agree")</f>
        <v>5 - Strongly Agree</v>
      </c>
      <c r="X27" s="14" t="str">
        <f>IFERROR(__xludf.DUMMYFUNCTION("""COMPUTED_VALUE"""),"4 - Agree")</f>
        <v>4 - Agree</v>
      </c>
      <c r="Y27" s="14" t="str">
        <f>IFERROR(__xludf.DUMMYFUNCTION("""COMPUTED_VALUE"""),"3 - Neutral")</f>
        <v>3 - Neutral</v>
      </c>
      <c r="Z27" s="14" t="str">
        <f>IFERROR(__xludf.DUMMYFUNCTION("""COMPUTED_VALUE"""),"3 - Neutral")</f>
        <v>3 - Neutral</v>
      </c>
      <c r="AA27" s="14" t="str">
        <f>IFERROR(__xludf.DUMMYFUNCTION("""COMPUTED_VALUE"""),"4 - Agree")</f>
        <v>4 - Agree</v>
      </c>
      <c r="AB27" s="14" t="str">
        <f>IFERROR(__xludf.DUMMYFUNCTION("""COMPUTED_VALUE"""),"4 - Agree")</f>
        <v>4 - Agree</v>
      </c>
      <c r="AC27" s="14"/>
    </row>
    <row r="28">
      <c r="A28" s="13">
        <f>IFERROR(__xludf.DUMMYFUNCTION("""COMPUTED_VALUE"""),45426.710965625)</f>
        <v>45426.71097</v>
      </c>
      <c r="B28" s="14" t="str">
        <f>IFERROR(__xludf.DUMMYFUNCTION("""COMPUTED_VALUE"""),"Kendra + Maggie - CFSN Pontiac")</f>
        <v>Kendra + Maggie - CFSN Pontiac</v>
      </c>
      <c r="C28" s="14" t="str">
        <f>IFERROR(__xludf.DUMMYFUNCTION("""COMPUTED_VALUE"""),"Gedore Jones-Hester")</f>
        <v>Gedore Jones-Hester</v>
      </c>
      <c r="D28" s="14" t="str">
        <f>IFERROR(__xludf.DUMMYFUNCTION("""COMPUTED_VALUE"""),"books and friends")</f>
        <v>books and friends</v>
      </c>
      <c r="E28" s="14" t="str">
        <f>IFERROR(__xludf.DUMMYFUNCTION("""COMPUTED_VALUE"""),"going outside")</f>
        <v>going outside</v>
      </c>
      <c r="F28" s="14" t="str">
        <f>IFERROR(__xludf.DUMMYFUNCTION("""COMPUTED_VALUE"""),"books")</f>
        <v>books</v>
      </c>
      <c r="G28" s="14" t="str">
        <f>IFERROR(__xludf.DUMMYFUNCTION("""COMPUTED_VALUE"""),"music with my own headphones")</f>
        <v>music with my own headphones</v>
      </c>
      <c r="H28" s="14" t="str">
        <f>IFERROR(__xludf.DUMMYFUNCTION("""COMPUTED_VALUE"""),"fiction and manga")</f>
        <v>fiction and manga</v>
      </c>
      <c r="I28" s="14" t="str">
        <f>IFERROR(__xludf.DUMMYFUNCTION("""COMPUTED_VALUE"""),"my friend")</f>
        <v>my friend</v>
      </c>
      <c r="J28" s="14" t="str">
        <f>IFERROR(__xludf.DUMMYFUNCTION("""COMPUTED_VALUE"""),"Reading")</f>
        <v>Reading</v>
      </c>
      <c r="K28" s="14" t="str">
        <f>IFERROR(__xludf.DUMMYFUNCTION("""COMPUTED_VALUE"""),"the mentors greeting me when I come in.")</f>
        <v>the mentors greeting me when I come in.</v>
      </c>
      <c r="L28" s="14" t="str">
        <f>IFERROR(__xludf.DUMMYFUNCTION("""COMPUTED_VALUE"""),"idk")</f>
        <v>idk</v>
      </c>
      <c r="M28" s="14" t="str">
        <f>IFERROR(__xludf.DUMMYFUNCTION("""COMPUTED_VALUE"""),"I don't really have anything I don't like")</f>
        <v>I don't really have anything I don't like</v>
      </c>
      <c r="N28" s="14" t="str">
        <f>IFERROR(__xludf.DUMMYFUNCTION("""COMPUTED_VALUE"""),"jenga")</f>
        <v>jenga</v>
      </c>
      <c r="O28" s="14" t="str">
        <f>IFERROR(__xludf.DUMMYFUNCTION("""COMPUTED_VALUE"""),"let us listen to music")</f>
        <v>let us listen to music</v>
      </c>
      <c r="P28" s="14" t="str">
        <f>IFERROR(__xludf.DUMMYFUNCTION("""COMPUTED_VALUE"""),"stop stuttering while reading")</f>
        <v>stop stuttering while reading</v>
      </c>
      <c r="Q28" s="14" t="str">
        <f>IFERROR(__xludf.DUMMYFUNCTION("""COMPUTED_VALUE"""),"4 - Agree")</f>
        <v>4 - Agree</v>
      </c>
      <c r="R28" s="14" t="str">
        <f>IFERROR(__xludf.DUMMYFUNCTION("""COMPUTED_VALUE"""),"4 - Agree")</f>
        <v>4 - Agree</v>
      </c>
      <c r="S28" s="14" t="str">
        <f>IFERROR(__xludf.DUMMYFUNCTION("""COMPUTED_VALUE"""),"5 - Strongly Agree")</f>
        <v>5 - Strongly Agree</v>
      </c>
      <c r="T28" s="14" t="str">
        <f>IFERROR(__xludf.DUMMYFUNCTION("""COMPUTED_VALUE"""),"4 - Agree")</f>
        <v>4 - Agree</v>
      </c>
      <c r="U28" s="14" t="str">
        <f>IFERROR(__xludf.DUMMYFUNCTION("""COMPUTED_VALUE"""),"5 - Strongly Agree")</f>
        <v>5 - Strongly Agree</v>
      </c>
      <c r="V28" s="14" t="str">
        <f>IFERROR(__xludf.DUMMYFUNCTION("""COMPUTED_VALUE"""),"5 - Strongly Agree")</f>
        <v>5 - Strongly Agree</v>
      </c>
      <c r="W28" s="14" t="str">
        <f>IFERROR(__xludf.DUMMYFUNCTION("""COMPUTED_VALUE"""),"4 - Agree")</f>
        <v>4 - Agree</v>
      </c>
      <c r="X28" s="14" t="str">
        <f>IFERROR(__xludf.DUMMYFUNCTION("""COMPUTED_VALUE"""),"4 - Agree")</f>
        <v>4 - Agree</v>
      </c>
      <c r="Y28" s="14" t="str">
        <f>IFERROR(__xludf.DUMMYFUNCTION("""COMPUTED_VALUE"""),"5 - Strongly Agree")</f>
        <v>5 - Strongly Agree</v>
      </c>
      <c r="Z28" s="14" t="str">
        <f>IFERROR(__xludf.DUMMYFUNCTION("""COMPUTED_VALUE"""),"5 - Strongly Agree")</f>
        <v>5 - Strongly Agree</v>
      </c>
      <c r="AA28" s="14" t="str">
        <f>IFERROR(__xludf.DUMMYFUNCTION("""COMPUTED_VALUE"""),"4 - Agree")</f>
        <v>4 - Agree</v>
      </c>
      <c r="AB28" s="14" t="str">
        <f>IFERROR(__xludf.DUMMYFUNCTION("""COMPUTED_VALUE"""),"5 - Strongly Agree")</f>
        <v>5 - Strongly Agree</v>
      </c>
      <c r="AC28" s="14"/>
    </row>
    <row r="29">
      <c r="A29" s="13">
        <f>IFERROR(__xludf.DUMMYFUNCTION("""COMPUTED_VALUE"""),45428.77653440973)</f>
        <v>45428.77653</v>
      </c>
      <c r="B29" s="14" t="str">
        <f>IFERROR(__xludf.DUMMYFUNCTION("""COMPUTED_VALUE"""),"Kendra + Maggie - CFSN Pontiac")</f>
        <v>Kendra + Maggie - CFSN Pontiac</v>
      </c>
      <c r="C29" s="14" t="str">
        <f>IFERROR(__xludf.DUMMYFUNCTION("""COMPUTED_VALUE"""),"Reese")</f>
        <v>Reese</v>
      </c>
      <c r="D29" s="14" t="str">
        <f>IFERROR(__xludf.DUMMYFUNCTION("""COMPUTED_VALUE"""),"my mother")</f>
        <v>my mother</v>
      </c>
      <c r="E29" s="14" t="str">
        <f>IFERROR(__xludf.DUMMYFUNCTION("""COMPUTED_VALUE"""),"the games")</f>
        <v>the games</v>
      </c>
      <c r="F29" s="14" t="str">
        <f>IFERROR(__xludf.DUMMYFUNCTION("""COMPUTED_VALUE"""),"more teching")</f>
        <v>more teching</v>
      </c>
      <c r="G29" s="14" t="str">
        <f>IFERROR(__xludf.DUMMYFUNCTION("""COMPUTED_VALUE"""),"nothing")</f>
        <v>nothing</v>
      </c>
      <c r="H29" s="14" t="str">
        <f>IFERROR(__xludf.DUMMYFUNCTION("""COMPUTED_VALUE"""),"fgteev")</f>
        <v>fgteev</v>
      </c>
      <c r="I29" s="14" t="str">
        <f>IFERROR(__xludf.DUMMYFUNCTION("""COMPUTED_VALUE"""),"mrs  magge")</f>
        <v>mrs  magge</v>
      </c>
      <c r="J29" s="14" t="str">
        <f>IFERROR(__xludf.DUMMYFUNCTION("""COMPUTED_VALUE"""),"games")</f>
        <v>games</v>
      </c>
      <c r="K29" s="14" t="str">
        <f>IFERROR(__xludf.DUMMYFUNCTION("""COMPUTED_VALUE"""),"school")</f>
        <v>school</v>
      </c>
      <c r="L29" s="14" t="str">
        <f>IFERROR(__xludf.DUMMYFUNCTION("""COMPUTED_VALUE"""),"no learning")</f>
        <v>no learning</v>
      </c>
      <c r="M29" s="14" t="str">
        <f>IFERROR(__xludf.DUMMYFUNCTION("""COMPUTED_VALUE"""),"rules")</f>
        <v>rules</v>
      </c>
      <c r="N29" s="14" t="str">
        <f>IFERROR(__xludf.DUMMYFUNCTION("""COMPUTED_VALUE"""),"nothing")</f>
        <v>nothing</v>
      </c>
      <c r="O29" s="14" t="str">
        <f>IFERROR(__xludf.DUMMYFUNCTION("""COMPUTED_VALUE"""),"more games")</f>
        <v>more games</v>
      </c>
      <c r="P29" s="14" t="str">
        <f>IFERROR(__xludf.DUMMYFUNCTION("""COMPUTED_VALUE"""),"reading")</f>
        <v>reading</v>
      </c>
      <c r="Q29" s="14" t="str">
        <f>IFERROR(__xludf.DUMMYFUNCTION("""COMPUTED_VALUE"""),"5 - Strongly Agree")</f>
        <v>5 - Strongly Agree</v>
      </c>
      <c r="R29" s="14" t="str">
        <f>IFERROR(__xludf.DUMMYFUNCTION("""COMPUTED_VALUE"""),"5 - Strongly Agree")</f>
        <v>5 - Strongly Agree</v>
      </c>
      <c r="S29" s="14" t="str">
        <f>IFERROR(__xludf.DUMMYFUNCTION("""COMPUTED_VALUE"""),"5 - Strongly Agree")</f>
        <v>5 - Strongly Agree</v>
      </c>
      <c r="T29" s="14" t="str">
        <f>IFERROR(__xludf.DUMMYFUNCTION("""COMPUTED_VALUE"""),"5 - Strongly Agree")</f>
        <v>5 - Strongly Agree</v>
      </c>
      <c r="U29" s="14" t="str">
        <f>IFERROR(__xludf.DUMMYFUNCTION("""COMPUTED_VALUE"""),"2 - Disagree")</f>
        <v>2 - Disagree</v>
      </c>
      <c r="V29" s="14" t="str">
        <f>IFERROR(__xludf.DUMMYFUNCTION("""COMPUTED_VALUE"""),"5 - Strongly Agree")</f>
        <v>5 - Strongly Agree</v>
      </c>
      <c r="W29" s="14" t="str">
        <f>IFERROR(__xludf.DUMMYFUNCTION("""COMPUTED_VALUE"""),"3 - Neutral")</f>
        <v>3 - Neutral</v>
      </c>
      <c r="X29" s="14" t="str">
        <f>IFERROR(__xludf.DUMMYFUNCTION("""COMPUTED_VALUE"""),"5 - Strongly Agree")</f>
        <v>5 - Strongly Agree</v>
      </c>
      <c r="Y29" s="14" t="str">
        <f>IFERROR(__xludf.DUMMYFUNCTION("""COMPUTED_VALUE"""),"3 - Neutral")</f>
        <v>3 - Neutral</v>
      </c>
      <c r="Z29" s="14" t="str">
        <f>IFERROR(__xludf.DUMMYFUNCTION("""COMPUTED_VALUE"""),"5 - Strongly Agree")</f>
        <v>5 - Strongly Agree</v>
      </c>
      <c r="AA29" s="14" t="str">
        <f>IFERROR(__xludf.DUMMYFUNCTION("""COMPUTED_VALUE"""),"5 - Strongly Agree")</f>
        <v>5 - Strongly Agree</v>
      </c>
      <c r="AB29" s="14" t="str">
        <f>IFERROR(__xludf.DUMMYFUNCTION("""COMPUTED_VALUE"""),"5 - Strongly Agree")</f>
        <v>5 - Strongly Agree</v>
      </c>
      <c r="AC29"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33.25"/>
    <col customWidth="1" min="6" max="6" width="24.0"/>
  </cols>
  <sheetData>
    <row r="1">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1" t="s">
        <v>1169</v>
      </c>
      <c r="R1" s="11" t="s">
        <v>1170</v>
      </c>
      <c r="S1" s="11" t="s">
        <v>1171</v>
      </c>
      <c r="T1" s="11" t="s">
        <v>1172</v>
      </c>
      <c r="U1" s="11" t="s">
        <v>1173</v>
      </c>
      <c r="V1" s="11" t="s">
        <v>1174</v>
      </c>
      <c r="W1" s="11" t="s">
        <v>1175</v>
      </c>
      <c r="X1" s="11" t="s">
        <v>1176</v>
      </c>
      <c r="Y1" s="11" t="s">
        <v>1177</v>
      </c>
      <c r="Z1" s="11" t="s">
        <v>1178</v>
      </c>
      <c r="AA1" s="11" t="s">
        <v>1179</v>
      </c>
      <c r="AB1" s="11" t="s">
        <v>1180</v>
      </c>
      <c r="AC1" s="10" t="s">
        <v>28</v>
      </c>
      <c r="AD1" s="12"/>
      <c r="AE1" s="12"/>
      <c r="AF1" s="12"/>
      <c r="AG1" s="12"/>
      <c r="AH1" s="12"/>
      <c r="AI1" s="12"/>
    </row>
    <row r="2">
      <c r="A2" s="15">
        <f>IFERROR(__xludf.DUMMYFUNCTION("QUERY('Form Responses 1'!A2:AC1001,""Select * where B = 'Isabella - CFSN at Brilliant Detroit Cody Rouge'"")"),45420.701743935184)</f>
        <v>45420.70174</v>
      </c>
      <c r="B2" s="5" t="str">
        <f>IFERROR(__xludf.DUMMYFUNCTION("""COMPUTED_VALUE"""),"Isabella - CFSN at Brilliant Detroit Cody Rouge")</f>
        <v>Isabella - CFSN at Brilliant Detroit Cody Rouge</v>
      </c>
      <c r="C2" s="5" t="str">
        <f>IFERROR(__xludf.DUMMYFUNCTION("""COMPUTED_VALUE"""),"Josselyn Contreras")</f>
        <v>Josselyn Contreras</v>
      </c>
      <c r="D2" s="5" t="str">
        <f>IFERROR(__xludf.DUMMYFUNCTION("""COMPUTED_VALUE"""),"To read a book.")</f>
        <v>To read a book.</v>
      </c>
      <c r="E2" s="5" t="str">
        <f>IFERROR(__xludf.DUMMYFUNCTION("""COMPUTED_VALUE"""),"The Christmas book story we created together and they made a funny fill-in out of it.")</f>
        <v>The Christmas book story we created together and they made a funny fill-in out of it.</v>
      </c>
      <c r="F2" s="5" t="str">
        <f>IFERROR(__xludf.DUMMYFUNCTION("""COMPUTED_VALUE"""),"Dogman books.")</f>
        <v>Dogman books.</v>
      </c>
      <c r="G2" s="5" t="str">
        <f>IFERROR(__xludf.DUMMYFUNCTION("""COMPUTED_VALUE"""),"Probably reading my favorite book.")</f>
        <v>Probably reading my favorite book.</v>
      </c>
      <c r="H2" s="5" t="str">
        <f>IFERROR(__xludf.DUMMYFUNCTION("""COMPUTED_VALUE"""),"I have two: Dogman and Junie B. Jones")</f>
        <v>I have two: Dogman and Junie B. Jones</v>
      </c>
      <c r="I2" s="5" t="str">
        <f>IFERROR(__xludf.DUMMYFUNCTION("""COMPUTED_VALUE"""),"Playing games and reading my favorite book.")</f>
        <v>Playing games and reading my favorite book.</v>
      </c>
      <c r="J2" s="5" t="str">
        <f>IFERROR(__xludf.DUMMYFUNCTION("""COMPUTED_VALUE"""),"The games and the books.")</f>
        <v>The games and the books.</v>
      </c>
      <c r="K2" s="5" t="str">
        <f>IFERROR(__xludf.DUMMYFUNCTION("""COMPUTED_VALUE"""),"What makes me happy at home is when my dogs are next to me and they protect me.")</f>
        <v>What makes me happy at home is when my dogs are next to me and they protect me.</v>
      </c>
      <c r="L2" s="5" t="str">
        <f>IFERROR(__xludf.DUMMYFUNCTION("""COMPUTED_VALUE"""),"Maybe read a Dogman book everyday and play a game.")</f>
        <v>Maybe read a Dogman book everyday and play a game.</v>
      </c>
      <c r="M2" s="5" t="str">
        <f>IFERROR(__xludf.DUMMYFUNCTION("""COMPUTED_VALUE"""),"That sometimes I have long day at school and I am tired and I try to stay awake. Maybe I could take a nap in the car so I have more energy.")</f>
        <v>That sometimes I have long day at school and I am tired and I try to stay awake. Maybe I could take a nap in the car so I have more energy.</v>
      </c>
      <c r="N2" s="5" t="str">
        <f>IFERROR(__xludf.DUMMYFUNCTION("""COMPUTED_VALUE"""),"The Funny Fill-In game.")</f>
        <v>The Funny Fill-In game.</v>
      </c>
      <c r="O2" s="5" t="str">
        <f>IFERROR(__xludf.DUMMYFUNCTION("""COMPUTED_VALUE"""),"Probably have more kids in the group.")</f>
        <v>Probably have more kids in the group.</v>
      </c>
      <c r="P2" s="5" t="str">
        <f>IFERROR(__xludf.DUMMYFUNCTION("""COMPUTED_VALUE"""),"I improved a lot in reading the books.")</f>
        <v>I improved a lot in reading the books.</v>
      </c>
      <c r="Q2" s="5" t="str">
        <f>IFERROR(__xludf.DUMMYFUNCTION("""COMPUTED_VALUE"""),"5 - Strongly Agree")</f>
        <v>5 - Strongly Agree</v>
      </c>
      <c r="R2" s="5" t="str">
        <f>IFERROR(__xludf.DUMMYFUNCTION("""COMPUTED_VALUE"""),"5 - Strongly Agree")</f>
        <v>5 - Strongly Agree</v>
      </c>
      <c r="S2" s="5" t="str">
        <f>IFERROR(__xludf.DUMMYFUNCTION("""COMPUTED_VALUE"""),"4 - Agree")</f>
        <v>4 - Agree</v>
      </c>
      <c r="T2" s="5" t="str">
        <f>IFERROR(__xludf.DUMMYFUNCTION("""COMPUTED_VALUE"""),"4 - Agree")</f>
        <v>4 - Agree</v>
      </c>
      <c r="U2" s="5" t="str">
        <f>IFERROR(__xludf.DUMMYFUNCTION("""COMPUTED_VALUE"""),"5 - Strongly Agree")</f>
        <v>5 - Strongly Agree</v>
      </c>
      <c r="V2" s="5" t="str">
        <f>IFERROR(__xludf.DUMMYFUNCTION("""COMPUTED_VALUE"""),"5 - Strongly Agree")</f>
        <v>5 - Strongly Agree</v>
      </c>
      <c r="W2" s="5" t="str">
        <f>IFERROR(__xludf.DUMMYFUNCTION("""COMPUTED_VALUE"""),"4 - Agree")</f>
        <v>4 - Agree</v>
      </c>
      <c r="X2" s="5" t="str">
        <f>IFERROR(__xludf.DUMMYFUNCTION("""COMPUTED_VALUE"""),"3 - Neutral")</f>
        <v>3 - Neutral</v>
      </c>
      <c r="Y2" s="5" t="str">
        <f>IFERROR(__xludf.DUMMYFUNCTION("""COMPUTED_VALUE"""),"5 - Strongly Agree")</f>
        <v>5 - Strongly Agree</v>
      </c>
      <c r="Z2" s="5" t="str">
        <f>IFERROR(__xludf.DUMMYFUNCTION("""COMPUTED_VALUE"""),"5 - Strongly Agree")</f>
        <v>5 - Strongly Agree</v>
      </c>
      <c r="AA2" s="5" t="str">
        <f>IFERROR(__xludf.DUMMYFUNCTION("""COMPUTED_VALUE"""),"4 - Agree")</f>
        <v>4 - Agree</v>
      </c>
      <c r="AB2" s="5" t="str">
        <f>IFERROR(__xludf.DUMMYFUNCTION("""COMPUTED_VALUE"""),"5 - Strongly Agree")</f>
        <v>5 - Strongly Agree</v>
      </c>
      <c r="AC2" s="5"/>
      <c r="AD2" s="5"/>
      <c r="AE2" s="5"/>
      <c r="AF2" s="5"/>
      <c r="AG2" s="5"/>
      <c r="AH2" s="5"/>
      <c r="AI2" s="5"/>
    </row>
    <row r="3">
      <c r="A3" s="15">
        <f>IFERROR(__xludf.DUMMYFUNCTION("""COMPUTED_VALUE"""),45420.71736379629)</f>
        <v>45420.71736</v>
      </c>
      <c r="B3" s="5" t="str">
        <f>IFERROR(__xludf.DUMMYFUNCTION("""COMPUTED_VALUE"""),"Isabella - CFSN at Brilliant Detroit Cody Rouge")</f>
        <v>Isabella - CFSN at Brilliant Detroit Cody Rouge</v>
      </c>
      <c r="C3" s="5" t="str">
        <f>IFERROR(__xludf.DUMMYFUNCTION("""COMPUTED_VALUE"""),"Samira Farria")</f>
        <v>Samira Farria</v>
      </c>
      <c r="D3" s="5" t="str">
        <f>IFERROR(__xludf.DUMMYFUNCTION("""COMPUTED_VALUE"""),"Because my mom wants me to do it")</f>
        <v>Because my mom wants me to do it</v>
      </c>
      <c r="E3" s="5" t="str">
        <f>IFERROR(__xludf.DUMMYFUNCTION("""COMPUTED_VALUE"""),"Playing games together")</f>
        <v>Playing games together</v>
      </c>
      <c r="F3" s="5" t="str">
        <f>IFERROR(__xludf.DUMMYFUNCTION("""COMPUTED_VALUE"""),"Fun")</f>
        <v>Fun</v>
      </c>
      <c r="G3" s="5" t="str">
        <f>IFERROR(__xludf.DUMMYFUNCTION("""COMPUTED_VALUE"""),"Being by myself")</f>
        <v>Being by myself</v>
      </c>
      <c r="H3" s="5" t="str">
        <f>IFERROR(__xludf.DUMMYFUNCTION("""COMPUTED_VALUE"""),"Animals, Princesses")</f>
        <v>Animals, Princesses</v>
      </c>
      <c r="I3" s="5" t="str">
        <f>IFERROR(__xludf.DUMMYFUNCTION("""COMPUTED_VALUE"""),"Being with my mentors")</f>
        <v>Being with my mentors</v>
      </c>
      <c r="J3" s="5" t="str">
        <f>IFERROR(__xludf.DUMMYFUNCTION("""COMPUTED_VALUE"""),"We all get to see each other online")</f>
        <v>We all get to see each other online</v>
      </c>
      <c r="K3" s="5" t="str">
        <f>IFERROR(__xludf.DUMMYFUNCTION("""COMPUTED_VALUE"""),"Mentoring at home")</f>
        <v>Mentoring at home</v>
      </c>
      <c r="L3" s="5" t="str">
        <f>IFERROR(__xludf.DUMMYFUNCTION("""COMPUTED_VALUE"""),"I don't know")</f>
        <v>I don't know</v>
      </c>
      <c r="M3" s="5" t="str">
        <f>IFERROR(__xludf.DUMMYFUNCTION("""COMPUTED_VALUE"""),"Nope")</f>
        <v>Nope</v>
      </c>
      <c r="N3" s="5" t="str">
        <f>IFERROR(__xludf.DUMMYFUNCTION("""COMPUTED_VALUE"""),"drawing, guess the animals or rhyming games ")</f>
        <v>drawing, guess the animals or rhyming games </v>
      </c>
      <c r="O3" s="5" t="str">
        <f>IFERROR(__xludf.DUMMYFUNCTION("""COMPUTED_VALUE"""),"Nope")</f>
        <v>Nope</v>
      </c>
      <c r="P3" s="5" t="str">
        <f>IFERROR(__xludf.DUMMYFUNCTION("""COMPUTED_VALUE"""),"Reading is mostly it")</f>
        <v>Reading is mostly it</v>
      </c>
      <c r="Q3" s="5" t="str">
        <f>IFERROR(__xludf.DUMMYFUNCTION("""COMPUTED_VALUE"""),"5 - Strongly Agree")</f>
        <v>5 - Strongly Agree</v>
      </c>
      <c r="R3" s="5" t="str">
        <f>IFERROR(__xludf.DUMMYFUNCTION("""COMPUTED_VALUE"""),"5 - Strongly Agree")</f>
        <v>5 - Strongly Agree</v>
      </c>
      <c r="S3" s="5" t="str">
        <f>IFERROR(__xludf.DUMMYFUNCTION("""COMPUTED_VALUE"""),"5 - Strongly Agree")</f>
        <v>5 - Strongly Agree</v>
      </c>
      <c r="T3" s="5" t="str">
        <f>IFERROR(__xludf.DUMMYFUNCTION("""COMPUTED_VALUE"""),"5 - Strongly Agree")</f>
        <v>5 - Strongly Agree</v>
      </c>
      <c r="U3" s="5" t="str">
        <f>IFERROR(__xludf.DUMMYFUNCTION("""COMPUTED_VALUE"""),"5 - Strongly Agree")</f>
        <v>5 - Strongly Agree</v>
      </c>
      <c r="V3" s="5" t="str">
        <f>IFERROR(__xludf.DUMMYFUNCTION("""COMPUTED_VALUE"""),"5 - Strongly Agree")</f>
        <v>5 - Strongly Agree</v>
      </c>
      <c r="W3" s="5" t="str">
        <f>IFERROR(__xludf.DUMMYFUNCTION("""COMPUTED_VALUE"""),"5 - Strongly Agree")</f>
        <v>5 - Strongly Agree</v>
      </c>
      <c r="X3" s="5" t="str">
        <f>IFERROR(__xludf.DUMMYFUNCTION("""COMPUTED_VALUE"""),"5 - Strongly Agree")</f>
        <v>5 - Strongly Agree</v>
      </c>
      <c r="Y3" s="5" t="str">
        <f>IFERROR(__xludf.DUMMYFUNCTION("""COMPUTED_VALUE"""),"5 - Strongly Agree")</f>
        <v>5 - Strongly Agree</v>
      </c>
      <c r="Z3" s="5" t="str">
        <f>IFERROR(__xludf.DUMMYFUNCTION("""COMPUTED_VALUE"""),"5 - Strongly Agree")</f>
        <v>5 - Strongly Agree</v>
      </c>
      <c r="AA3" s="5" t="str">
        <f>IFERROR(__xludf.DUMMYFUNCTION("""COMPUTED_VALUE"""),"5 - Strongly Agree")</f>
        <v>5 - Strongly Agree</v>
      </c>
      <c r="AB3" s="5" t="str">
        <f>IFERROR(__xludf.DUMMYFUNCTION("""COMPUTED_VALUE"""),"5 - Strongly Agree")</f>
        <v>5 - Strongly Agree</v>
      </c>
      <c r="AC3" s="5"/>
      <c r="AD3" s="5"/>
      <c r="AE3" s="5"/>
      <c r="AF3" s="5"/>
      <c r="AG3" s="5"/>
      <c r="AH3" s="5"/>
      <c r="AI3" s="5"/>
    </row>
    <row r="4">
      <c r="A4" s="15">
        <f>IFERROR(__xludf.DUMMYFUNCTION("""COMPUTED_VALUE"""),45420.73638265046)</f>
        <v>45420.73638</v>
      </c>
      <c r="B4" s="5" t="str">
        <f>IFERROR(__xludf.DUMMYFUNCTION("""COMPUTED_VALUE"""),"Isabella - CFSN at Brilliant Detroit Cody Rouge")</f>
        <v>Isabella - CFSN at Brilliant Detroit Cody Rouge</v>
      </c>
      <c r="C4" s="5" t="str">
        <f>IFERROR(__xludf.DUMMYFUNCTION("""COMPUTED_VALUE"""),"Bryson Caldwell")</f>
        <v>Bryson Caldwell</v>
      </c>
      <c r="D4" s="5" t="str">
        <f>IFERROR(__xludf.DUMMYFUNCTION("""COMPUTED_VALUE"""),"Because I get to see my friends, Ms. Alena and Ms. Isabella. ")</f>
        <v>Because I get to see my friends, Ms. Alena and Ms. Isabella. </v>
      </c>
      <c r="E4" s="5" t="str">
        <f>IFERROR(__xludf.DUMMYFUNCTION("""COMPUTED_VALUE"""),"My old tutor Liam, he was the best! He helped me read books and play games. I missed him so badly! My dream was to have Liam back. ")</f>
        <v>My old tutor Liam, he was the best! He helped me read books and play games. I missed him so badly! My dream was to have Liam back. </v>
      </c>
      <c r="F4" s="5" t="str">
        <f>IFERROR(__xludf.DUMMYFUNCTION("""COMPUTED_VALUE"""),"My mom telling me to. My tutor Ms. Alena and Ms. Isabella make me want to come to tutoring.")</f>
        <v>My mom telling me to. My tutor Ms. Alena and Ms. Isabella make me want to come to tutoring.</v>
      </c>
      <c r="G4" s="5" t="str">
        <f>IFERROR(__xludf.DUMMYFUNCTION("""COMPUTED_VALUE"""),"Having food before my session. ")</f>
        <v>Having food before my session. </v>
      </c>
      <c r="H4" s="5" t="str">
        <f>IFERROR(__xludf.DUMMYFUNCTION("""COMPUTED_VALUE"""),"Curious George books, PBS Kids ")</f>
        <v>Curious George books, PBS Kids </v>
      </c>
      <c r="I4" s="5" t="str">
        <f>IFERROR(__xludf.DUMMYFUNCTION("""COMPUTED_VALUE"""),"Getting to play games with my mentor")</f>
        <v>Getting to play games with my mentor</v>
      </c>
      <c r="J4" s="5" t="str">
        <f>IFERROR(__xludf.DUMMYFUNCTION("""COMPUTED_VALUE"""),"Everything is good, I like playing reading games the most. But I also like reading books. ")</f>
        <v>Everything is good, I like playing reading games the most. But I also like reading books. </v>
      </c>
      <c r="K4" s="5" t="str">
        <f>IFERROR(__xludf.DUMMYFUNCTION("""COMPUTED_VALUE"""),"Home makes me feel safe because my mom lets me play my PS5. ")</f>
        <v>Home makes me feel safe because my mom lets me play my PS5. </v>
      </c>
      <c r="L4" s="5" t="str">
        <f>IFERROR(__xludf.DUMMYFUNCTION("""COMPUTED_VALUE"""),"My mentor could quiz me about reading")</f>
        <v>My mentor could quiz me about reading</v>
      </c>
      <c r="M4" s="5" t="str">
        <f>IFERROR(__xludf.DUMMYFUNCTION("""COMPUTED_VALUE"""),"No, I like everything! ")</f>
        <v>No, I like everything! </v>
      </c>
      <c r="N4" s="5" t="str">
        <f>IFERROR(__xludf.DUMMYFUNCTION("""COMPUTED_VALUE"""),"Martha Speaks &amp; Super Why")</f>
        <v>Martha Speaks &amp; Super Why</v>
      </c>
      <c r="O4" s="5" t="str">
        <f>IFERROR(__xludf.DUMMYFUNCTION("""COMPUTED_VALUE"""),"No")</f>
        <v>No</v>
      </c>
      <c r="P4" s="5" t="str">
        <f>IFERROR(__xludf.DUMMYFUNCTION("""COMPUTED_VALUE"""),"I've gotten better at reading and math")</f>
        <v>I've gotten better at reading and math</v>
      </c>
      <c r="Q4" s="5" t="str">
        <f>IFERROR(__xludf.DUMMYFUNCTION("""COMPUTED_VALUE"""),"4 - Agree")</f>
        <v>4 - Agree</v>
      </c>
      <c r="R4" s="5" t="str">
        <f>IFERROR(__xludf.DUMMYFUNCTION("""COMPUTED_VALUE"""),"5 - Strongly Agree")</f>
        <v>5 - Strongly Agree</v>
      </c>
      <c r="S4" s="5" t="str">
        <f>IFERROR(__xludf.DUMMYFUNCTION("""COMPUTED_VALUE"""),"5 - Strongly Agree")</f>
        <v>5 - Strongly Agree</v>
      </c>
      <c r="T4" s="5" t="str">
        <f>IFERROR(__xludf.DUMMYFUNCTION("""COMPUTED_VALUE"""),"5 - Strongly Agree")</f>
        <v>5 - Strongly Agree</v>
      </c>
      <c r="U4" s="5" t="str">
        <f>IFERROR(__xludf.DUMMYFUNCTION("""COMPUTED_VALUE"""),"5 - Strongly Agree")</f>
        <v>5 - Strongly Agree</v>
      </c>
      <c r="V4" s="5" t="str">
        <f>IFERROR(__xludf.DUMMYFUNCTION("""COMPUTED_VALUE"""),"5 - Strongly Agree")</f>
        <v>5 - Strongly Agree</v>
      </c>
      <c r="W4" s="5" t="str">
        <f>IFERROR(__xludf.DUMMYFUNCTION("""COMPUTED_VALUE"""),"5 - Strongly Agree")</f>
        <v>5 - Strongly Agree</v>
      </c>
      <c r="X4" s="5" t="str">
        <f>IFERROR(__xludf.DUMMYFUNCTION("""COMPUTED_VALUE"""),"5 - Strongly Agree")</f>
        <v>5 - Strongly Agree</v>
      </c>
      <c r="Y4" s="5" t="str">
        <f>IFERROR(__xludf.DUMMYFUNCTION("""COMPUTED_VALUE"""),"5 - Strongly Agree")</f>
        <v>5 - Strongly Agree</v>
      </c>
      <c r="Z4" s="5" t="str">
        <f>IFERROR(__xludf.DUMMYFUNCTION("""COMPUTED_VALUE"""),"4 - Agree")</f>
        <v>4 - Agree</v>
      </c>
      <c r="AA4" s="5" t="str">
        <f>IFERROR(__xludf.DUMMYFUNCTION("""COMPUTED_VALUE"""),"3 - Neutral")</f>
        <v>3 - Neutral</v>
      </c>
      <c r="AB4" s="5" t="str">
        <f>IFERROR(__xludf.DUMMYFUNCTION("""COMPUTED_VALUE"""),"5 - Strongly Agree")</f>
        <v>5 - Strongly Agree</v>
      </c>
      <c r="AC4" s="5"/>
      <c r="AD4" s="5"/>
      <c r="AE4" s="5"/>
      <c r="AF4" s="5"/>
      <c r="AG4" s="5"/>
      <c r="AH4" s="5"/>
      <c r="AI4" s="5"/>
    </row>
    <row r="5">
      <c r="A5" s="13">
        <f>IFERROR(__xludf.DUMMYFUNCTION("""COMPUTED_VALUE"""),45421.720998958335)</f>
        <v>45421.721</v>
      </c>
      <c r="B5" s="14" t="str">
        <f>IFERROR(__xludf.DUMMYFUNCTION("""COMPUTED_VALUE"""),"Isabella - CFSN at Brilliant Detroit Cody Rouge")</f>
        <v>Isabella - CFSN at Brilliant Detroit Cody Rouge</v>
      </c>
      <c r="C5" s="14" t="str">
        <f>IFERROR(__xludf.DUMMYFUNCTION("""COMPUTED_VALUE"""),"Kyndal")</f>
        <v>Kyndal</v>
      </c>
      <c r="D5" s="14" t="str">
        <f>IFERROR(__xludf.DUMMYFUNCTION("""COMPUTED_VALUE"""),"Learning")</f>
        <v>Learning</v>
      </c>
      <c r="E5" s="14" t="str">
        <f>IFERROR(__xludf.DUMMYFUNCTION("""COMPUTED_VALUE"""),"Making silly stories with my mentor")</f>
        <v>Making silly stories with my mentor</v>
      </c>
      <c r="F5" s="14" t="str">
        <f>IFERROR(__xludf.DUMMYFUNCTION("""COMPUTED_VALUE"""),"Reading a book")</f>
        <v>Reading a book</v>
      </c>
      <c r="G5" s="14" t="str">
        <f>IFERROR(__xludf.DUMMYFUNCTION("""COMPUTED_VALUE"""),"Headphones")</f>
        <v>Headphones</v>
      </c>
      <c r="H5" s="14" t="str">
        <f>IFERROR(__xludf.DUMMYFUNCTION("""COMPUTED_VALUE"""),"The Creepy Crayon")</f>
        <v>The Creepy Crayon</v>
      </c>
      <c r="I5" s="14" t="str">
        <f>IFERROR(__xludf.DUMMYFUNCTION("""COMPUTED_VALUE"""),"A funny story")</f>
        <v>A funny story</v>
      </c>
      <c r="J5" s="14" t="str">
        <f>IFERROR(__xludf.DUMMYFUNCTION("""COMPUTED_VALUE"""),"Seeing my mentor and Ms. Isabella")</f>
        <v>Seeing my mentor and Ms. Isabella</v>
      </c>
      <c r="K5" s="14" t="str">
        <f>IFERROR(__xludf.DUMMYFUNCTION("""COMPUTED_VALUE"""),"At Home")</f>
        <v>At Home</v>
      </c>
      <c r="L5" s="14" t="str">
        <f>IFERROR(__xludf.DUMMYFUNCTION("""COMPUTED_VALUE"""),"Nothing- it's already perfect")</f>
        <v>Nothing- it's already perfect</v>
      </c>
      <c r="M5" s="14" t="str">
        <f>IFERROR(__xludf.DUMMYFUNCTION("""COMPUTED_VALUE"""),"No")</f>
        <v>No</v>
      </c>
      <c r="N5" s="14" t="str">
        <f>IFERROR(__xludf.DUMMYFUNCTION("""COMPUTED_VALUE"""),"Playing Hangman")</f>
        <v>Playing Hangman</v>
      </c>
      <c r="O5" s="14" t="str">
        <f>IFERROR(__xludf.DUMMYFUNCTION("""COMPUTED_VALUE"""),"No")</f>
        <v>No</v>
      </c>
      <c r="P5" s="14" t="str">
        <f>IFERROR(__xludf.DUMMYFUNCTION("""COMPUTED_VALUE"""),"Yes")</f>
        <v>Yes</v>
      </c>
      <c r="Q5" s="14" t="str">
        <f>IFERROR(__xludf.DUMMYFUNCTION("""COMPUTED_VALUE"""),"5 - Strongly Agree")</f>
        <v>5 - Strongly Agree</v>
      </c>
      <c r="R5" s="14" t="str">
        <f>IFERROR(__xludf.DUMMYFUNCTION("""COMPUTED_VALUE"""),"4 - Agree")</f>
        <v>4 - Agree</v>
      </c>
      <c r="S5" s="14" t="str">
        <f>IFERROR(__xludf.DUMMYFUNCTION("""COMPUTED_VALUE"""),"4 - Agree")</f>
        <v>4 - Agree</v>
      </c>
      <c r="T5" s="14" t="str">
        <f>IFERROR(__xludf.DUMMYFUNCTION("""COMPUTED_VALUE"""),"5 - Strongly Agree")</f>
        <v>5 - Strongly Agree</v>
      </c>
      <c r="U5" s="14" t="str">
        <f>IFERROR(__xludf.DUMMYFUNCTION("""COMPUTED_VALUE"""),"5 - Strongly Agree")</f>
        <v>5 - Strongly Agree</v>
      </c>
      <c r="V5" s="14" t="str">
        <f>IFERROR(__xludf.DUMMYFUNCTION("""COMPUTED_VALUE"""),"5 - Strongly Agree")</f>
        <v>5 - Strongly Agree</v>
      </c>
      <c r="W5" s="14" t="str">
        <f>IFERROR(__xludf.DUMMYFUNCTION("""COMPUTED_VALUE"""),"3 - Neutral")</f>
        <v>3 - Neutral</v>
      </c>
      <c r="X5" s="14" t="str">
        <f>IFERROR(__xludf.DUMMYFUNCTION("""COMPUTED_VALUE"""),"5 - Strongly Agree")</f>
        <v>5 - Strongly Agree</v>
      </c>
      <c r="Y5" s="14" t="str">
        <f>IFERROR(__xludf.DUMMYFUNCTION("""COMPUTED_VALUE"""),"3 - Neutral")</f>
        <v>3 - Neutral</v>
      </c>
      <c r="Z5" s="14" t="str">
        <f>IFERROR(__xludf.DUMMYFUNCTION("""COMPUTED_VALUE"""),"5 - Strongly Agree")</f>
        <v>5 - Strongly Agree</v>
      </c>
      <c r="AA5" s="14" t="str">
        <f>IFERROR(__xludf.DUMMYFUNCTION("""COMPUTED_VALUE"""),"4 - Agree")</f>
        <v>4 - Agree</v>
      </c>
      <c r="AB5" s="14" t="str">
        <f>IFERROR(__xludf.DUMMYFUNCTION("""COMPUTED_VALUE"""),"5 - Strongly Agree")</f>
        <v>5 - Strongly Agree</v>
      </c>
      <c r="AC5" s="14" t="str">
        <f>IFERROR(__xludf.DUMMYFUNCTION("""COMPUTED_VALUE"""),"I feel safe in the program")</f>
        <v>I feel safe in the program</v>
      </c>
    </row>
    <row r="6">
      <c r="A6" s="13">
        <f>IFERROR(__xludf.DUMMYFUNCTION("""COMPUTED_VALUE"""),45421.76605273148)</f>
        <v>45421.76605</v>
      </c>
      <c r="B6" s="14" t="str">
        <f>IFERROR(__xludf.DUMMYFUNCTION("""COMPUTED_VALUE"""),"Isabella - CFSN at Brilliant Detroit Cody Rouge")</f>
        <v>Isabella - CFSN at Brilliant Detroit Cody Rouge</v>
      </c>
      <c r="C6" s="14" t="str">
        <f>IFERROR(__xludf.DUMMYFUNCTION("""COMPUTED_VALUE"""),"Milan")</f>
        <v>Milan</v>
      </c>
      <c r="D6" s="14" t="str">
        <f>IFERROR(__xludf.DUMMYFUNCTION("""COMPUTED_VALUE"""),"It's fun!")</f>
        <v>It's fun!</v>
      </c>
      <c r="E6" s="14" t="str">
        <f>IFERROR(__xludf.DUMMYFUNCTION("""COMPUTED_VALUE"""),"One of the days of summer camp, I had bacon and waffles for breakfast and it was really good. I loved their apple sauce too!")</f>
        <v>One of the days of summer camp, I had bacon and waffles for breakfast and it was really good. I loved their apple sauce too!</v>
      </c>
      <c r="F6" s="14" t="str">
        <f>IFERROR(__xludf.DUMMYFUNCTION("""COMPUTED_VALUE"""),"Slime or toys")</f>
        <v>Slime or toys</v>
      </c>
      <c r="G6" s="14" t="str">
        <f>IFERROR(__xludf.DUMMYFUNCTION("""COMPUTED_VALUE"""),"I think i am focused during my session already.")</f>
        <v>I think i am focused during my session already.</v>
      </c>
      <c r="H6" s="14" t="str">
        <f>IFERROR(__xludf.DUMMYFUNCTION("""COMPUTED_VALUE"""),"Books like ""Dog Man""")</f>
        <v>Books like "Dog Man"</v>
      </c>
      <c r="I6" s="14" t="str">
        <f>IFERROR(__xludf.DUMMYFUNCTION("""COMPUTED_VALUE"""),"My mentor, Angela :)")</f>
        <v>My mentor, Angela :)</v>
      </c>
      <c r="J6" s="14" t="str">
        <f>IFERROR(__xludf.DUMMYFUNCTION("""COMPUTED_VALUE"""),"When we discuss the book after reading it")</f>
        <v>When we discuss the book after reading it</v>
      </c>
      <c r="K6" s="14" t="str">
        <f>IFERROR(__xludf.DUMMYFUNCTION("""COMPUTED_VALUE"""),"The arcade and AirTime makes me feel happy")</f>
        <v>The arcade and AirTime makes me feel happy</v>
      </c>
      <c r="L6" s="14" t="str">
        <f>IFERROR(__xludf.DUMMYFUNCTION("""COMPUTED_VALUE"""),"I would rather read books in person with my mentor.")</f>
        <v>I would rather read books in person with my mentor.</v>
      </c>
      <c r="M6" s="14" t="str">
        <f>IFERROR(__xludf.DUMMYFUNCTION("""COMPUTED_VALUE"""),"I don't like how we do our program online - creating a space in person to read books would be more enjoyable for me")</f>
        <v>I don't like how we do our program online - creating a space in person to read books would be more enjoyable for me</v>
      </c>
      <c r="N6" s="14" t="str">
        <f>IFERROR(__xludf.DUMMYFUNCTION("""COMPUTED_VALUE"""),"Games like 20 questions and Tic Tac Toe")</f>
        <v>Games like 20 questions and Tic Tac Toe</v>
      </c>
      <c r="O6" s="14" t="str">
        <f>IFERROR(__xludf.DUMMYFUNCTION("""COMPUTED_VALUE"""),"I don't have any suggestions right now")</f>
        <v>I don't have any suggestions right now</v>
      </c>
      <c r="P6" s="14" t="str">
        <f>IFERROR(__xludf.DUMMYFUNCTION("""COMPUTED_VALUE"""),"I think my math and reading skills has improved this school year.")</f>
        <v>I think my math and reading skills has improved this school year.</v>
      </c>
      <c r="Q6" s="14" t="str">
        <f>IFERROR(__xludf.DUMMYFUNCTION("""COMPUTED_VALUE"""),"5 - Strongly Agree")</f>
        <v>5 - Strongly Agree</v>
      </c>
      <c r="R6" s="14" t="str">
        <f>IFERROR(__xludf.DUMMYFUNCTION("""COMPUTED_VALUE"""),"3 - Neutral")</f>
        <v>3 - Neutral</v>
      </c>
      <c r="S6" s="14" t="str">
        <f>IFERROR(__xludf.DUMMYFUNCTION("""COMPUTED_VALUE"""),"4 - Agree")</f>
        <v>4 - Agree</v>
      </c>
      <c r="T6" s="14" t="str">
        <f>IFERROR(__xludf.DUMMYFUNCTION("""COMPUTED_VALUE"""),"4 - Agree")</f>
        <v>4 - Agree</v>
      </c>
      <c r="U6" s="14" t="str">
        <f>IFERROR(__xludf.DUMMYFUNCTION("""COMPUTED_VALUE"""),"5 - Strongly Agree")</f>
        <v>5 - Strongly Agree</v>
      </c>
      <c r="V6" s="14" t="str">
        <f>IFERROR(__xludf.DUMMYFUNCTION("""COMPUTED_VALUE"""),"4 - Agree")</f>
        <v>4 - Agree</v>
      </c>
      <c r="W6" s="14" t="str">
        <f>IFERROR(__xludf.DUMMYFUNCTION("""COMPUTED_VALUE"""),"3 - Neutral")</f>
        <v>3 - Neutral</v>
      </c>
      <c r="X6" s="14" t="str">
        <f>IFERROR(__xludf.DUMMYFUNCTION("""COMPUTED_VALUE"""),"5 - Strongly Agree")</f>
        <v>5 - Strongly Agree</v>
      </c>
      <c r="Y6" s="14" t="str">
        <f>IFERROR(__xludf.DUMMYFUNCTION("""COMPUTED_VALUE"""),"4 - Agree")</f>
        <v>4 - Agree</v>
      </c>
      <c r="Z6" s="14" t="str">
        <f>IFERROR(__xludf.DUMMYFUNCTION("""COMPUTED_VALUE"""),"5 - Strongly Agree")</f>
        <v>5 - Strongly Agree</v>
      </c>
      <c r="AA6" s="14" t="str">
        <f>IFERROR(__xludf.DUMMYFUNCTION("""COMPUTED_VALUE"""),"4 - Agree")</f>
        <v>4 - Agree</v>
      </c>
      <c r="AB6" s="14" t="str">
        <f>IFERROR(__xludf.DUMMYFUNCTION("""COMPUTED_VALUE"""),"5 - Strongly Agree")</f>
        <v>5 - Strongly Agree</v>
      </c>
      <c r="AC6" s="14"/>
    </row>
    <row r="7">
      <c r="A7" s="13">
        <f>IFERROR(__xludf.DUMMYFUNCTION("""COMPUTED_VALUE"""),45433.677752129624)</f>
        <v>45433.67775</v>
      </c>
      <c r="B7" s="14" t="str">
        <f>IFERROR(__xludf.DUMMYFUNCTION("""COMPUTED_VALUE"""),"Isabella - CFSN at Brilliant Detroit Cody Rouge")</f>
        <v>Isabella - CFSN at Brilliant Detroit Cody Rouge</v>
      </c>
      <c r="C7" s="14" t="str">
        <f>IFERROR(__xludf.DUMMYFUNCTION("""COMPUTED_VALUE"""),"Cali Scott")</f>
        <v>Cali Scott</v>
      </c>
      <c r="D7" s="14" t="str">
        <f>IFERROR(__xludf.DUMMYFUNCTION("""COMPUTED_VALUE"""),"getting better at reading")</f>
        <v>getting better at reading</v>
      </c>
      <c r="E7" s="14" t="str">
        <f>IFERROR(__xludf.DUMMYFUNCTION("""COMPUTED_VALUE"""),"Working together with my brother Cadin sometimes during sessions")</f>
        <v>Working together with my brother Cadin sometimes during sessions</v>
      </c>
      <c r="F7" s="14" t="str">
        <f>IFERROR(__xludf.DUMMYFUNCTION("""COMPUTED_VALUE"""),"When my mentor and I played fun games")</f>
        <v>When my mentor and I played fun games</v>
      </c>
      <c r="G7" s="14" t="str">
        <f>IFERROR(__xludf.DUMMYFUNCTION("""COMPUTED_VALUE"""),"If my wifi connection is working good")</f>
        <v>If my wifi connection is working good</v>
      </c>
      <c r="H7" s="14" t="str">
        <f>IFERROR(__xludf.DUMMYFUNCTION("""COMPUTED_VALUE"""),"Cat in the Hat")</f>
        <v>Cat in the Hat</v>
      </c>
      <c r="I7" s="14" t="str">
        <f>IFERROR(__xludf.DUMMYFUNCTION("""COMPUTED_VALUE"""),"Seeing my mentor and Isabella")</f>
        <v>Seeing my mentor and Isabella</v>
      </c>
      <c r="J7" s="14" t="str">
        <f>IFERROR(__xludf.DUMMYFUNCTION("""COMPUTED_VALUE"""),"Games")</f>
        <v>Games</v>
      </c>
      <c r="K7" s="14" t="str">
        <f>IFERROR(__xludf.DUMMYFUNCTION("""COMPUTED_VALUE"""),"drawing ")</f>
        <v>drawing </v>
      </c>
      <c r="L7" s="14" t="str">
        <f>IFERROR(__xludf.DUMMYFUNCTION("""COMPUTED_VALUE"""),"By having more fun with reading")</f>
        <v>By having more fun with reading</v>
      </c>
      <c r="M7" s="14" t="str">
        <f>IFERROR(__xludf.DUMMYFUNCTION("""COMPUTED_VALUE"""),"I don't know")</f>
        <v>I don't know</v>
      </c>
      <c r="N7" s="14" t="str">
        <f>IFERROR(__xludf.DUMMYFUNCTION("""COMPUTED_VALUE"""),"Fuzz Bugs Farm ")</f>
        <v>Fuzz Bugs Farm </v>
      </c>
      <c r="O7" s="14"/>
      <c r="P7" s="14" t="str">
        <f>IFERROR(__xludf.DUMMYFUNCTION("""COMPUTED_VALUE"""),"everything, always learning")</f>
        <v>everything, always learning</v>
      </c>
      <c r="Q7" s="14" t="str">
        <f>IFERROR(__xludf.DUMMYFUNCTION("""COMPUTED_VALUE"""),"5 - Strongly Agree")</f>
        <v>5 - Strongly Agree</v>
      </c>
      <c r="R7" s="14" t="str">
        <f>IFERROR(__xludf.DUMMYFUNCTION("""COMPUTED_VALUE"""),"5 - Strongly Agree")</f>
        <v>5 - Strongly Agree</v>
      </c>
      <c r="S7" s="14" t="str">
        <f>IFERROR(__xludf.DUMMYFUNCTION("""COMPUTED_VALUE"""),"2 - Disagree")</f>
        <v>2 - Disagree</v>
      </c>
      <c r="T7" s="14" t="str">
        <f>IFERROR(__xludf.DUMMYFUNCTION("""COMPUTED_VALUE"""),"4 - Agree")</f>
        <v>4 - Agree</v>
      </c>
      <c r="U7" s="14" t="str">
        <f>IFERROR(__xludf.DUMMYFUNCTION("""COMPUTED_VALUE"""),"5 - Strongly Agree")</f>
        <v>5 - Strongly Agree</v>
      </c>
      <c r="V7" s="14" t="str">
        <f>IFERROR(__xludf.DUMMYFUNCTION("""COMPUTED_VALUE"""),"5 - Strongly Agree")</f>
        <v>5 - Strongly Agree</v>
      </c>
      <c r="W7" s="14" t="str">
        <f>IFERROR(__xludf.DUMMYFUNCTION("""COMPUTED_VALUE"""),"5 - Strongly Agree")</f>
        <v>5 - Strongly Agree</v>
      </c>
      <c r="X7" s="14" t="str">
        <f>IFERROR(__xludf.DUMMYFUNCTION("""COMPUTED_VALUE"""),"5 - Strongly Agree")</f>
        <v>5 - Strongly Agree</v>
      </c>
      <c r="Y7" s="14" t="str">
        <f>IFERROR(__xludf.DUMMYFUNCTION("""COMPUTED_VALUE"""),"5 - Strongly Agree")</f>
        <v>5 - Strongly Agree</v>
      </c>
      <c r="Z7" s="14" t="str">
        <f>IFERROR(__xludf.DUMMYFUNCTION("""COMPUTED_VALUE"""),"4 - Agree")</f>
        <v>4 - Agree</v>
      </c>
      <c r="AA7" s="14" t="str">
        <f>IFERROR(__xludf.DUMMYFUNCTION("""COMPUTED_VALUE"""),"4 - Agree")</f>
        <v>4 - Agree</v>
      </c>
      <c r="AB7" s="14" t="str">
        <f>IFERROR(__xludf.DUMMYFUNCTION("""COMPUTED_VALUE"""),"4 - Agree")</f>
        <v>4 - Agree</v>
      </c>
      <c r="AC7" s="14"/>
    </row>
    <row r="8">
      <c r="A8" s="13">
        <f>IFERROR(__xludf.DUMMYFUNCTION("""COMPUTED_VALUE"""),45435.71608140046)</f>
        <v>45435.71608</v>
      </c>
      <c r="B8" s="14" t="str">
        <f>IFERROR(__xludf.DUMMYFUNCTION("""COMPUTED_VALUE"""),"Isabella - CFSN at Brilliant Detroit Cody Rouge")</f>
        <v>Isabella - CFSN at Brilliant Detroit Cody Rouge</v>
      </c>
      <c r="C8" s="14" t="str">
        <f>IFERROR(__xludf.DUMMYFUNCTION("""COMPUTED_VALUE"""),"Monroe Allen")</f>
        <v>Monroe Allen</v>
      </c>
      <c r="D8" s="14" t="str">
        <f>IFERROR(__xludf.DUMMYFUNCTION("""COMPUTED_VALUE"""),"Cause I love it!")</f>
        <v>Cause I love it!</v>
      </c>
      <c r="E8" s="14" t="str">
        <f>IFERROR(__xludf.DUMMYFUNCTION("""COMPUTED_VALUE"""),"The monster game")</f>
        <v>The monster game</v>
      </c>
      <c r="F8" s="14" t="str">
        <f>IFERROR(__xludf.DUMMYFUNCTION("""COMPUTED_VALUE"""),"Have a pizza party")</f>
        <v>Have a pizza party</v>
      </c>
      <c r="G8" s="14" t="str">
        <f>IFERROR(__xludf.DUMMYFUNCTION("""COMPUTED_VALUE"""),"notebook, this helps me spell words ")</f>
        <v>notebook, this helps me spell words </v>
      </c>
      <c r="H8" s="14" t="str">
        <f>IFERROR(__xludf.DUMMYFUNCTION("""COMPUTED_VALUE"""),"candy book or pizza book")</f>
        <v>candy book or pizza book</v>
      </c>
      <c r="I8" s="14" t="str">
        <f>IFERROR(__xludf.DUMMYFUNCTION("""COMPUTED_VALUE"""),"funny drawings")</f>
        <v>funny drawings</v>
      </c>
      <c r="J8" s="14" t="str">
        <f>IFERROR(__xludf.DUMMYFUNCTION("""COMPUTED_VALUE"""),"playing games")</f>
        <v>playing games</v>
      </c>
      <c r="K8" s="14" t="str">
        <f>IFERROR(__xludf.DUMMYFUNCTION("""COMPUTED_VALUE"""),"when my mom calls my friends over my house on the weekend")</f>
        <v>when my mom calls my friends over my house on the weekend</v>
      </c>
      <c r="L8" s="14" t="str">
        <f>IFERROR(__xludf.DUMMYFUNCTION("""COMPUTED_VALUE"""),"we could join the other kids or our friends and talk to together (virtual)")</f>
        <v>we could join the other kids or our friends and talk to together (virtual)</v>
      </c>
      <c r="M8" s="14" t="str">
        <f>IFERROR(__xludf.DUMMYFUNCTION("""COMPUTED_VALUE"""),"This one story made me mad but I don't remember what it was called")</f>
        <v>This one story made me mad but I don't remember what it was called</v>
      </c>
      <c r="N8" s="14"/>
      <c r="O8" s="14"/>
      <c r="P8" s="14"/>
      <c r="Q8" s="14" t="str">
        <f>IFERROR(__xludf.DUMMYFUNCTION("""COMPUTED_VALUE"""),"5 - Strongly Agree")</f>
        <v>5 - Strongly Agree</v>
      </c>
      <c r="R8" s="14" t="str">
        <f>IFERROR(__xludf.DUMMYFUNCTION("""COMPUTED_VALUE"""),"5 - Strongly Agree")</f>
        <v>5 - Strongly Agree</v>
      </c>
      <c r="S8" s="14" t="str">
        <f>IFERROR(__xludf.DUMMYFUNCTION("""COMPUTED_VALUE"""),"5 - Strongly Agree")</f>
        <v>5 - Strongly Agree</v>
      </c>
      <c r="T8" s="14" t="str">
        <f>IFERROR(__xludf.DUMMYFUNCTION("""COMPUTED_VALUE"""),"5 - Strongly Agree")</f>
        <v>5 - Strongly Agree</v>
      </c>
      <c r="U8" s="14" t="str">
        <f>IFERROR(__xludf.DUMMYFUNCTION("""COMPUTED_VALUE"""),"5 - Strongly Agree")</f>
        <v>5 - Strongly Agree</v>
      </c>
      <c r="V8" s="14" t="str">
        <f>IFERROR(__xludf.DUMMYFUNCTION("""COMPUTED_VALUE"""),"5 - Strongly Agree")</f>
        <v>5 - Strongly Agree</v>
      </c>
      <c r="W8" s="14" t="str">
        <f>IFERROR(__xludf.DUMMYFUNCTION("""COMPUTED_VALUE"""),"5 - Strongly Agree")</f>
        <v>5 - Strongly Agree</v>
      </c>
      <c r="X8" s="14" t="str">
        <f>IFERROR(__xludf.DUMMYFUNCTION("""COMPUTED_VALUE"""),"5 - Strongly Agree")</f>
        <v>5 - Strongly Agree</v>
      </c>
      <c r="Y8" s="14" t="str">
        <f>IFERROR(__xludf.DUMMYFUNCTION("""COMPUTED_VALUE"""),"5 - Strongly Agree")</f>
        <v>5 - Strongly Agree</v>
      </c>
      <c r="Z8" s="14" t="str">
        <f>IFERROR(__xludf.DUMMYFUNCTION("""COMPUTED_VALUE"""),"4 - Agree")</f>
        <v>4 - Agree</v>
      </c>
      <c r="AA8" s="14" t="str">
        <f>IFERROR(__xludf.DUMMYFUNCTION("""COMPUTED_VALUE"""),"5 - Strongly Agree")</f>
        <v>5 - Strongly Agree</v>
      </c>
      <c r="AB8" s="14" t="str">
        <f>IFERROR(__xludf.DUMMYFUNCTION("""COMPUTED_VALUE"""),"5 - Strongly Agree")</f>
        <v>5 - Strongly Agree</v>
      </c>
      <c r="AC8" s="1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1" t="s">
        <v>1169</v>
      </c>
      <c r="R1" s="11" t="s">
        <v>1170</v>
      </c>
      <c r="S1" s="11" t="s">
        <v>1171</v>
      </c>
      <c r="T1" s="11" t="s">
        <v>1172</v>
      </c>
      <c r="U1" s="11" t="s">
        <v>1173</v>
      </c>
      <c r="V1" s="11" t="s">
        <v>1174</v>
      </c>
      <c r="W1" s="11" t="s">
        <v>1175</v>
      </c>
      <c r="X1" s="11" t="s">
        <v>1176</v>
      </c>
      <c r="Y1" s="11" t="s">
        <v>1177</v>
      </c>
      <c r="Z1" s="11" t="s">
        <v>1178</v>
      </c>
      <c r="AA1" s="11" t="s">
        <v>1179</v>
      </c>
      <c r="AB1" s="11" t="s">
        <v>1180</v>
      </c>
      <c r="AC1" s="10" t="s">
        <v>28</v>
      </c>
      <c r="AD1" s="12"/>
      <c r="AE1" s="12"/>
      <c r="AF1" s="12"/>
      <c r="AG1" s="12"/>
      <c r="AH1" s="12"/>
      <c r="AI1" s="12"/>
    </row>
    <row r="2">
      <c r="A2" s="13">
        <f>IFERROR(__xludf.DUMMYFUNCTION("QUERY('Form Responses 1'!A2:AC1001,""Select * where B = 'Lydia - CFSN at Brilliant Detroit Central'"")"),45420.76205725694)</f>
        <v>45420.76206</v>
      </c>
      <c r="B2" s="14" t="str">
        <f>IFERROR(__xludf.DUMMYFUNCTION("""COMPUTED_VALUE"""),"Lydia - CFSN at Brilliant Detroit Central")</f>
        <v>Lydia - CFSN at Brilliant Detroit Central</v>
      </c>
      <c r="C2" s="14" t="str">
        <f>IFERROR(__xludf.DUMMYFUNCTION("""COMPUTED_VALUE"""),"Dayton")</f>
        <v>Dayton</v>
      </c>
      <c r="D2" s="14" t="str">
        <f>IFERROR(__xludf.DUMMYFUNCTION("""COMPUTED_VALUE"""),"To get better at reading. ")</f>
        <v>To get better at reading. </v>
      </c>
      <c r="E2" s="14" t="str">
        <f>IFERROR(__xludf.DUMMYFUNCTION("""COMPUTED_VALUE"""),"Playing the story maker game. ")</f>
        <v>Playing the story maker game. </v>
      </c>
      <c r="F2" s="14" t="str">
        <f>IFERROR(__xludf.DUMMYFUNCTION("""COMPUTED_VALUE"""),"Not sure. ")</f>
        <v>Not sure. </v>
      </c>
      <c r="G2" s="14" t="str">
        <f>IFERROR(__xludf.DUMMYFUNCTION("""COMPUTED_VALUE"""),"In a more quiet setting. ")</f>
        <v>In a more quiet setting. </v>
      </c>
      <c r="H2" s="14" t="str">
        <f>IFERROR(__xludf.DUMMYFUNCTION("""COMPUTED_VALUE"""),"Best Day Ever")</f>
        <v>Best Day Ever</v>
      </c>
      <c r="I2" s="14" t="str">
        <f>IFERROR(__xludf.DUMMYFUNCTION("""COMPUTED_VALUE"""),"""I do not remember"" ")</f>
        <v>"I do not remember" </v>
      </c>
      <c r="J2" s="14" t="str">
        <f>IFERROR(__xludf.DUMMYFUNCTION("""COMPUTED_VALUE"""),"Reading books. ")</f>
        <v>Reading books. </v>
      </c>
      <c r="K2" s="14" t="str">
        <f>IFERROR(__xludf.DUMMYFUNCTION("""COMPUTED_VALUE"""),"Having his parents around. ")</f>
        <v>Having his parents around. </v>
      </c>
      <c r="L2" s="14" t="str">
        <f>IFERROR(__xludf.DUMMYFUNCTION("""COMPUTED_VALUE"""),"""I don't know"" ")</f>
        <v>"I don't know" </v>
      </c>
      <c r="M2" s="14" t="str">
        <f>IFERROR(__xludf.DUMMYFUNCTION("""COMPUTED_VALUE"""),"""No"" ")</f>
        <v>"No" </v>
      </c>
      <c r="N2" s="14" t="str">
        <f>IFERROR(__xludf.DUMMYFUNCTION("""COMPUTED_VALUE"""),"Being able to do homework. ")</f>
        <v>Being able to do homework. </v>
      </c>
      <c r="O2" s="14" t="str">
        <f>IFERROR(__xludf.DUMMYFUNCTION("""COMPUTED_VALUE"""),"None. ")</f>
        <v>None. </v>
      </c>
      <c r="P2" s="14" t="str">
        <f>IFERROR(__xludf.DUMMYFUNCTION("""COMPUTED_VALUE"""),"Yes - Feels like a slightly stronger reader. ")</f>
        <v>Yes - Feels like a slightly stronger reader. </v>
      </c>
      <c r="Q2" s="14" t="str">
        <f>IFERROR(__xludf.DUMMYFUNCTION("""COMPUTED_VALUE"""),"4 - Agree")</f>
        <v>4 - Agree</v>
      </c>
      <c r="R2" s="14" t="str">
        <f>IFERROR(__xludf.DUMMYFUNCTION("""COMPUTED_VALUE"""),"5 - Strongly Agree")</f>
        <v>5 - Strongly Agree</v>
      </c>
      <c r="S2" s="14" t="str">
        <f>IFERROR(__xludf.DUMMYFUNCTION("""COMPUTED_VALUE"""),"4 - Agree")</f>
        <v>4 - Agree</v>
      </c>
      <c r="T2" s="14" t="str">
        <f>IFERROR(__xludf.DUMMYFUNCTION("""COMPUTED_VALUE"""),"5 - Strongly Agree")</f>
        <v>5 - Strongly Agree</v>
      </c>
      <c r="U2" s="14" t="str">
        <f>IFERROR(__xludf.DUMMYFUNCTION("""COMPUTED_VALUE"""),"5 - Strongly Agree")</f>
        <v>5 - Strongly Agree</v>
      </c>
      <c r="V2" s="14" t="str">
        <f>IFERROR(__xludf.DUMMYFUNCTION("""COMPUTED_VALUE"""),"4 - Agree")</f>
        <v>4 - Agree</v>
      </c>
      <c r="W2" s="14" t="str">
        <f>IFERROR(__xludf.DUMMYFUNCTION("""COMPUTED_VALUE"""),"4 - Agree")</f>
        <v>4 - Agree</v>
      </c>
      <c r="X2" s="14" t="str">
        <f>IFERROR(__xludf.DUMMYFUNCTION("""COMPUTED_VALUE"""),"2 - Disagree")</f>
        <v>2 - Disagree</v>
      </c>
      <c r="Y2" s="14" t="str">
        <f>IFERROR(__xludf.DUMMYFUNCTION("""COMPUTED_VALUE"""),"3 - Neutral")</f>
        <v>3 - Neutral</v>
      </c>
      <c r="Z2" s="14" t="str">
        <f>IFERROR(__xludf.DUMMYFUNCTION("""COMPUTED_VALUE"""),"1 - Strongly Disagree")</f>
        <v>1 - Strongly Disagree</v>
      </c>
      <c r="AA2" s="14" t="str">
        <f>IFERROR(__xludf.DUMMYFUNCTION("""COMPUTED_VALUE"""),"3 - Neutral")</f>
        <v>3 - Neutral</v>
      </c>
      <c r="AB2" s="14" t="str">
        <f>IFERROR(__xludf.DUMMYFUNCTION("""COMPUTED_VALUE"""),"5 - Strongly Agree")</f>
        <v>5 - Strongly Agree</v>
      </c>
      <c r="AC2" s="14" t="str">
        <f>IFERROR(__xludf.DUMMYFUNCTION("""COMPUTED_VALUE"""),"My friends are good readers and don't need the extra help. ")</f>
        <v>My friends are good readers and don't need the extra help. </v>
      </c>
    </row>
    <row r="3">
      <c r="A3" s="13">
        <f>IFERROR(__xludf.DUMMYFUNCTION("""COMPUTED_VALUE"""),45420.76338833333)</f>
        <v>45420.76339</v>
      </c>
      <c r="B3" s="14" t="str">
        <f>IFERROR(__xludf.DUMMYFUNCTION("""COMPUTED_VALUE"""),"Lydia - CFSN at Brilliant Detroit Central")</f>
        <v>Lydia - CFSN at Brilliant Detroit Central</v>
      </c>
      <c r="C3" s="14" t="str">
        <f>IFERROR(__xludf.DUMMYFUNCTION("""COMPUTED_VALUE"""),"Heaven Coulter")</f>
        <v>Heaven Coulter</v>
      </c>
      <c r="D3" s="14" t="str">
        <f>IFERROR(__xludf.DUMMYFUNCTION("""COMPUTED_VALUE"""),"It's fun")</f>
        <v>It's fun</v>
      </c>
      <c r="E3" s="14" t="str">
        <f>IFERROR(__xludf.DUMMYFUNCTION("""COMPUTED_VALUE"""),"Coloring and drawing")</f>
        <v>Coloring and drawing</v>
      </c>
      <c r="F3" s="14" t="str">
        <f>IFERROR(__xludf.DUMMYFUNCTION("""COMPUTED_VALUE"""),"Learn learn learn")</f>
        <v>Learn learn learn</v>
      </c>
      <c r="G3" s="14" t="str">
        <f>IFERROR(__xludf.DUMMYFUNCTION("""COMPUTED_VALUE"""),"Dan's eyes")</f>
        <v>Dan's eyes</v>
      </c>
      <c r="H3" s="14" t="str">
        <f>IFERROR(__xludf.DUMMYFUNCTION("""COMPUTED_VALUE"""),"Dino-mite")</f>
        <v>Dino-mite</v>
      </c>
      <c r="I3" s="14" t="str">
        <f>IFERROR(__xludf.DUMMYFUNCTION("""COMPUTED_VALUE"""),"Dan's funny faces")</f>
        <v>Dan's funny faces</v>
      </c>
      <c r="J3" s="14" t="str">
        <f>IFERROR(__xludf.DUMMYFUNCTION("""COMPUTED_VALUE"""),"Reading")</f>
        <v>Reading</v>
      </c>
      <c r="K3" s="14" t="str">
        <f>IFERROR(__xludf.DUMMYFUNCTION("""COMPUTED_VALUE"""),"Playing with friends")</f>
        <v>Playing with friends</v>
      </c>
      <c r="L3" s="14" t="str">
        <f>IFERROR(__xludf.DUMMYFUNCTION("""COMPUTED_VALUE"""),"Play with toys")</f>
        <v>Play with toys</v>
      </c>
      <c r="M3" s="14" t="str">
        <f>IFERROR(__xludf.DUMMYFUNCTION("""COMPUTED_VALUE"""),"Playing with a dinosaur")</f>
        <v>Playing with a dinosaur</v>
      </c>
      <c r="N3" s="14" t="str">
        <f>IFERROR(__xludf.DUMMYFUNCTION("""COMPUTED_VALUE"""),"Sight word smash")</f>
        <v>Sight word smash</v>
      </c>
      <c r="O3" s="14" t="str">
        <f>IFERROR(__xludf.DUMMYFUNCTION("""COMPUTED_VALUE"""),"No")</f>
        <v>No</v>
      </c>
      <c r="P3" s="14" t="str">
        <f>IFERROR(__xludf.DUMMYFUNCTION("""COMPUTED_VALUE"""),"Yes")</f>
        <v>Yes</v>
      </c>
      <c r="Q3" s="14" t="str">
        <f>IFERROR(__xludf.DUMMYFUNCTION("""COMPUTED_VALUE"""),"5 - Strongly Agree")</f>
        <v>5 - Strongly Agree</v>
      </c>
      <c r="R3" s="14" t="str">
        <f>IFERROR(__xludf.DUMMYFUNCTION("""COMPUTED_VALUE"""),"5 - Strongly Agree")</f>
        <v>5 - Strongly Agree</v>
      </c>
      <c r="S3" s="14" t="str">
        <f>IFERROR(__xludf.DUMMYFUNCTION("""COMPUTED_VALUE"""),"5 - Strongly Agree")</f>
        <v>5 - Strongly Agree</v>
      </c>
      <c r="T3" s="14" t="str">
        <f>IFERROR(__xludf.DUMMYFUNCTION("""COMPUTED_VALUE"""),"5 - Strongly Agree")</f>
        <v>5 - Strongly Agree</v>
      </c>
      <c r="U3" s="14" t="str">
        <f>IFERROR(__xludf.DUMMYFUNCTION("""COMPUTED_VALUE"""),"5 - Strongly Agree")</f>
        <v>5 - Strongly Agree</v>
      </c>
      <c r="V3" s="14" t="str">
        <f>IFERROR(__xludf.DUMMYFUNCTION("""COMPUTED_VALUE"""),"5 - Strongly Agree")</f>
        <v>5 - Strongly Agree</v>
      </c>
      <c r="W3" s="14" t="str">
        <f>IFERROR(__xludf.DUMMYFUNCTION("""COMPUTED_VALUE"""),"5 - Strongly Agree")</f>
        <v>5 - Strongly Agree</v>
      </c>
      <c r="X3" s="14" t="str">
        <f>IFERROR(__xludf.DUMMYFUNCTION("""COMPUTED_VALUE"""),"5 - Strongly Agree")</f>
        <v>5 - Strongly Agree</v>
      </c>
      <c r="Y3" s="14" t="str">
        <f>IFERROR(__xludf.DUMMYFUNCTION("""COMPUTED_VALUE"""),"5 - Strongly Agree")</f>
        <v>5 - Strongly Agree</v>
      </c>
      <c r="Z3" s="14" t="str">
        <f>IFERROR(__xludf.DUMMYFUNCTION("""COMPUTED_VALUE"""),"3 - Neutral")</f>
        <v>3 - Neutral</v>
      </c>
      <c r="AA3" s="14" t="str">
        <f>IFERROR(__xludf.DUMMYFUNCTION("""COMPUTED_VALUE"""),"3 - Neutral")</f>
        <v>3 - Neutral</v>
      </c>
      <c r="AB3" s="14" t="str">
        <f>IFERROR(__xludf.DUMMYFUNCTION("""COMPUTED_VALUE"""),"5 - Strongly Agree")</f>
        <v>5 - Strongly Agree</v>
      </c>
      <c r="AC3" s="14"/>
    </row>
    <row r="4">
      <c r="A4" s="13">
        <f>IFERROR(__xludf.DUMMYFUNCTION("""COMPUTED_VALUE"""),45421.7379512963)</f>
        <v>45421.73795</v>
      </c>
      <c r="B4" s="14" t="str">
        <f>IFERROR(__xludf.DUMMYFUNCTION("""COMPUTED_VALUE"""),"Lydia - CFSN at Brilliant Detroit Central")</f>
        <v>Lydia - CFSN at Brilliant Detroit Central</v>
      </c>
      <c r="C4" s="14" t="str">
        <f>IFERROR(__xludf.DUMMYFUNCTION("""COMPUTED_VALUE"""),"Zara")</f>
        <v>Zara</v>
      </c>
      <c r="D4" s="14" t="str">
        <f>IFERROR(__xludf.DUMMYFUNCTION("""COMPUTED_VALUE"""),"Because I want to read better")</f>
        <v>Because I want to read better</v>
      </c>
      <c r="E4" s="14" t="str">
        <f>IFERROR(__xludf.DUMMYFUNCTION("""COMPUTED_VALUE"""),"Reading")</f>
        <v>Reading</v>
      </c>
      <c r="F4" s="14" t="str">
        <f>IFERROR(__xludf.DUMMYFUNCTION("""COMPUTED_VALUE"""),"If it was in person, I would come to every session because I like going to places. But I still come to the virtual sessions.")</f>
        <v>If it was in person, I would come to every session because I like going to places. But I still come to the virtual sessions.</v>
      </c>
      <c r="G4" s="14" t="str">
        <f>IFERROR(__xludf.DUMMYFUNCTION("""COMPUTED_VALUE"""),"Nothing I can think of")</f>
        <v>Nothing I can think of</v>
      </c>
      <c r="H4" s="14" t="str">
        <f>IFERROR(__xludf.DUMMYFUNCTION("""COMPUTED_VALUE"""),"Help Mom Work from Home")</f>
        <v>Help Mom Work from Home</v>
      </c>
      <c r="I4" s="14" t="str">
        <f>IFERROR(__xludf.DUMMYFUNCTION("""COMPUTED_VALUE"""),"My mentor")</f>
        <v>My mentor</v>
      </c>
      <c r="J4" s="14" t="str">
        <f>IFERROR(__xludf.DUMMYFUNCTION("""COMPUTED_VALUE"""),"Reading")</f>
        <v>Reading</v>
      </c>
      <c r="K4" s="14" t="str">
        <f>IFERROR(__xludf.DUMMYFUNCTION("""COMPUTED_VALUE"""),"With your parents or somebody I know")</f>
        <v>With your parents or somebody I know</v>
      </c>
      <c r="L4" s="14" t="str">
        <f>IFERROR(__xludf.DUMMYFUNCTION("""COMPUTED_VALUE"""),"In person sessions")</f>
        <v>In person sessions</v>
      </c>
      <c r="M4" s="14" t="str">
        <f>IFERROR(__xludf.DUMMYFUNCTION("""COMPUTED_VALUE"""),"I want the sessions to be in-person")</f>
        <v>I want the sessions to be in-person</v>
      </c>
      <c r="N4" s="14" t="str">
        <f>IFERROR(__xludf.DUMMYFUNCTION("""COMPUTED_VALUE"""),"Toy Theater site games")</f>
        <v>Toy Theater site games</v>
      </c>
      <c r="O4" s="14" t="str">
        <f>IFERROR(__xludf.DUMMYFUNCTION("""COMPUTED_VALUE"""),"Nothing I can think of")</f>
        <v>Nothing I can think of</v>
      </c>
      <c r="P4" s="14" t="str">
        <f>IFERROR(__xludf.DUMMYFUNCTION("""COMPUTED_VALUE"""),"I think I have gotten better at reading")</f>
        <v>I think I have gotten better at reading</v>
      </c>
      <c r="Q4" s="14" t="str">
        <f>IFERROR(__xludf.DUMMYFUNCTION("""COMPUTED_VALUE"""),"5 - Strongly Agree")</f>
        <v>5 - Strongly Agree</v>
      </c>
      <c r="R4" s="14" t="str">
        <f>IFERROR(__xludf.DUMMYFUNCTION("""COMPUTED_VALUE"""),"5 - Strongly Agree")</f>
        <v>5 - Strongly Agree</v>
      </c>
      <c r="S4" s="14" t="str">
        <f>IFERROR(__xludf.DUMMYFUNCTION("""COMPUTED_VALUE"""),"5 - Strongly Agree")</f>
        <v>5 - Strongly Agree</v>
      </c>
      <c r="T4" s="14" t="str">
        <f>IFERROR(__xludf.DUMMYFUNCTION("""COMPUTED_VALUE"""),"5 - Strongly Agree")</f>
        <v>5 - Strongly Agree</v>
      </c>
      <c r="U4" s="14" t="str">
        <f>IFERROR(__xludf.DUMMYFUNCTION("""COMPUTED_VALUE"""),"5 - Strongly Agree")</f>
        <v>5 - Strongly Agree</v>
      </c>
      <c r="V4" s="14" t="str">
        <f>IFERROR(__xludf.DUMMYFUNCTION("""COMPUTED_VALUE"""),"5 - Strongly Agree")</f>
        <v>5 - Strongly Agree</v>
      </c>
      <c r="W4" s="14" t="str">
        <f>IFERROR(__xludf.DUMMYFUNCTION("""COMPUTED_VALUE"""),"5 - Strongly Agree")</f>
        <v>5 - Strongly Agree</v>
      </c>
      <c r="X4" s="14" t="str">
        <f>IFERROR(__xludf.DUMMYFUNCTION("""COMPUTED_VALUE"""),"5 - Strongly Agree")</f>
        <v>5 - Strongly Agree</v>
      </c>
      <c r="Y4" s="14" t="str">
        <f>IFERROR(__xludf.DUMMYFUNCTION("""COMPUTED_VALUE"""),"5 - Strongly Agree")</f>
        <v>5 - Strongly Agree</v>
      </c>
      <c r="Z4" s="14" t="str">
        <f>IFERROR(__xludf.DUMMYFUNCTION("""COMPUTED_VALUE"""),"3 - Neutral")</f>
        <v>3 - Neutral</v>
      </c>
      <c r="AA4" s="14" t="str">
        <f>IFERROR(__xludf.DUMMYFUNCTION("""COMPUTED_VALUE"""),"5 - Strongly Agree")</f>
        <v>5 - Strongly Agree</v>
      </c>
      <c r="AB4" s="14" t="str">
        <f>IFERROR(__xludf.DUMMYFUNCTION("""COMPUTED_VALUE"""),"5 - Strongly Agree")</f>
        <v>5 - Strongly Agree</v>
      </c>
      <c r="AC4" s="14" t="str">
        <f>IFERROR(__xludf.DUMMYFUNCTION("""COMPUTED_VALUE"""),"Please be in-person!")</f>
        <v>Please be in-person!</v>
      </c>
    </row>
    <row r="5">
      <c r="A5" s="13">
        <f>IFERROR(__xludf.DUMMYFUNCTION("""COMPUTED_VALUE"""),45426.71017006945)</f>
        <v>45426.71017</v>
      </c>
      <c r="B5" s="14" t="str">
        <f>IFERROR(__xludf.DUMMYFUNCTION("""COMPUTED_VALUE"""),"Lydia - CFSN at Brilliant Detroit Central")</f>
        <v>Lydia - CFSN at Brilliant Detroit Central</v>
      </c>
      <c r="C5" s="14" t="str">
        <f>IFERROR(__xludf.DUMMYFUNCTION("""COMPUTED_VALUE"""),"Maryam ")</f>
        <v>Maryam </v>
      </c>
      <c r="D5" s="14" t="str">
        <f>IFERROR(__xludf.DUMMYFUNCTION("""COMPUTED_VALUE"""),"Its so fun and important to me ")</f>
        <v>Its so fun and important to me </v>
      </c>
      <c r="E5" s="14" t="str">
        <f>IFERROR(__xludf.DUMMYFUNCTION("""COMPUTED_VALUE"""),"i like to read books and play games ")</f>
        <v>i like to read books and play games </v>
      </c>
      <c r="F5" s="14" t="str">
        <f>IFERROR(__xludf.DUMMYFUNCTION("""COMPUTED_VALUE"""),"its really important for me ")</f>
        <v>its really important for me </v>
      </c>
      <c r="G5" s="14" t="str">
        <f>IFERROR(__xludf.DUMMYFUNCTION("""COMPUTED_VALUE"""),"nothing ")</f>
        <v>nothing </v>
      </c>
      <c r="H5" s="14" t="str">
        <f>IFERROR(__xludf.DUMMYFUNCTION("""COMPUTED_VALUE"""),"i love you because you are you ")</f>
        <v>i love you because you are you </v>
      </c>
      <c r="I5" s="14" t="str">
        <f>IFERROR(__xludf.DUMMYFUNCTION("""COMPUTED_VALUE"""),"when i be funny ")</f>
        <v>when i be funny </v>
      </c>
      <c r="J5" s="14" t="str">
        <f>IFERROR(__xludf.DUMMYFUNCTION("""COMPUTED_VALUE"""),"drawings ")</f>
        <v>drawings </v>
      </c>
      <c r="K5" s="14" t="str">
        <f>IFERROR(__xludf.DUMMYFUNCTION("""COMPUTED_VALUE"""),"seeing my mommy smile ")</f>
        <v>seeing my mommy smile </v>
      </c>
      <c r="L5" s="14" t="str">
        <f>IFERROR(__xludf.DUMMYFUNCTION("""COMPUTED_VALUE"""),"nothing ")</f>
        <v>nothing </v>
      </c>
      <c r="M5" s="14" t="str">
        <f>IFERROR(__xludf.DUMMYFUNCTION("""COMPUTED_VALUE"""),"no ")</f>
        <v>no </v>
      </c>
      <c r="N5" s="14" t="str">
        <f>IFERROR(__xludf.DUMMYFUNCTION("""COMPUTED_VALUE"""),"i like playing the games ")</f>
        <v>i like playing the games </v>
      </c>
      <c r="O5" s="14" t="str">
        <f>IFERROR(__xludf.DUMMYFUNCTION("""COMPUTED_VALUE"""),"nothing ")</f>
        <v>nothing </v>
      </c>
      <c r="P5" s="14" t="str">
        <f>IFERROR(__xludf.DUMMYFUNCTION("""COMPUTED_VALUE"""),"i am reading a little bit better ")</f>
        <v>i am reading a little bit better </v>
      </c>
      <c r="Q5" s="14" t="str">
        <f>IFERROR(__xludf.DUMMYFUNCTION("""COMPUTED_VALUE"""),"5 - Strongly Agree")</f>
        <v>5 - Strongly Agree</v>
      </c>
      <c r="R5" s="14" t="str">
        <f>IFERROR(__xludf.DUMMYFUNCTION("""COMPUTED_VALUE"""),"5 - Strongly Agree")</f>
        <v>5 - Strongly Agree</v>
      </c>
      <c r="S5" s="14" t="str">
        <f>IFERROR(__xludf.DUMMYFUNCTION("""COMPUTED_VALUE"""),"3 - Neutral")</f>
        <v>3 - Neutral</v>
      </c>
      <c r="T5" s="14" t="str">
        <f>IFERROR(__xludf.DUMMYFUNCTION("""COMPUTED_VALUE"""),"5 - Strongly Agree")</f>
        <v>5 - Strongly Agree</v>
      </c>
      <c r="U5" s="14" t="str">
        <f>IFERROR(__xludf.DUMMYFUNCTION("""COMPUTED_VALUE"""),"5 - Strongly Agree")</f>
        <v>5 - Strongly Agree</v>
      </c>
      <c r="V5" s="14" t="str">
        <f>IFERROR(__xludf.DUMMYFUNCTION("""COMPUTED_VALUE"""),"5 - Strongly Agree")</f>
        <v>5 - Strongly Agree</v>
      </c>
      <c r="W5" s="14" t="str">
        <f>IFERROR(__xludf.DUMMYFUNCTION("""COMPUTED_VALUE"""),"4 - Agree")</f>
        <v>4 - Agree</v>
      </c>
      <c r="X5" s="14" t="str">
        <f>IFERROR(__xludf.DUMMYFUNCTION("""COMPUTED_VALUE"""),"4 - Agree")</f>
        <v>4 - Agree</v>
      </c>
      <c r="Y5" s="14" t="str">
        <f>IFERROR(__xludf.DUMMYFUNCTION("""COMPUTED_VALUE"""),"4 - Agree")</f>
        <v>4 - Agree</v>
      </c>
      <c r="Z5" s="14" t="str">
        <f>IFERROR(__xludf.DUMMYFUNCTION("""COMPUTED_VALUE"""),"2 - Disagree")</f>
        <v>2 - Disagree</v>
      </c>
      <c r="AA5" s="14" t="str">
        <f>IFERROR(__xludf.DUMMYFUNCTION("""COMPUTED_VALUE"""),"2 - Disagree")</f>
        <v>2 - Disagree</v>
      </c>
      <c r="AB5" s="14" t="str">
        <f>IFERROR(__xludf.DUMMYFUNCTION("""COMPUTED_VALUE"""),"5 - Strongly Agree")</f>
        <v>5 - Strongly Agree</v>
      </c>
      <c r="AC5" s="14"/>
    </row>
    <row r="6">
      <c r="A6" s="13">
        <f>IFERROR(__xludf.DUMMYFUNCTION("""COMPUTED_VALUE"""),45426.776196597224)</f>
        <v>45426.7762</v>
      </c>
      <c r="B6" s="14" t="str">
        <f>IFERROR(__xludf.DUMMYFUNCTION("""COMPUTED_VALUE"""),"Lydia - CFSN at Brilliant Detroit Central")</f>
        <v>Lydia - CFSN at Brilliant Detroit Central</v>
      </c>
      <c r="C6" s="14" t="str">
        <f>IFERROR(__xludf.DUMMYFUNCTION("""COMPUTED_VALUE"""),"Chloe Hodo")</f>
        <v>Chloe Hodo</v>
      </c>
      <c r="D6" s="14" t="str">
        <f>IFERROR(__xludf.DUMMYFUNCTION("""COMPUTED_VALUE"""),"I do not know.")</f>
        <v>I do not know.</v>
      </c>
      <c r="E6" s="14" t="str">
        <f>IFERROR(__xludf.DUMMYFUNCTION("""COMPUTED_VALUE"""),"I remember you and doing the games and books")</f>
        <v>I remember you and doing the games and books</v>
      </c>
      <c r="F6" s="14" t="str">
        <f>IFERROR(__xludf.DUMMYFUNCTION("""COMPUTED_VALUE"""),"Getting good at writing")</f>
        <v>Getting good at writing</v>
      </c>
      <c r="G6" s="14" t="str">
        <f>IFERROR(__xludf.DUMMYFUNCTION("""COMPUTED_VALUE"""),"Paying attention")</f>
        <v>Paying attention</v>
      </c>
      <c r="H6" s="14" t="str">
        <f>IFERROR(__xludf.DUMMYFUNCTION("""COMPUTED_VALUE"""),"The book we read today - Mermaid in a Teacup. I like books about people.")</f>
        <v>The book we read today - Mermaid in a Teacup. I like books about people.</v>
      </c>
      <c r="I6" s="14" t="str">
        <f>IFERROR(__xludf.DUMMYFUNCTION("""COMPUTED_VALUE"""),"Laughed about the book with the mouse and grabbing the clouds")</f>
        <v>Laughed about the book with the mouse and grabbing the clouds</v>
      </c>
      <c r="J6" s="14" t="str">
        <f>IFERROR(__xludf.DUMMYFUNCTION("""COMPUTED_VALUE"""),"When we do the games")</f>
        <v>When we do the games</v>
      </c>
      <c r="K6" s="14" t="str">
        <f>IFERROR(__xludf.DUMMYFUNCTION("""COMPUTED_VALUE"""),"When at school")</f>
        <v>When at school</v>
      </c>
      <c r="L6" s="14" t="str">
        <f>IFERROR(__xludf.DUMMYFUNCTION("""COMPUTED_VALUE"""),"Once we read the books it makes us better at reading.")</f>
        <v>Once we read the books it makes us better at reading.</v>
      </c>
      <c r="M6" s="14" t="str">
        <f>IFERROR(__xludf.DUMMYFUNCTION("""COMPUTED_VALUE"""),"Nothing, I like all the books")</f>
        <v>Nothing, I like all the books</v>
      </c>
      <c r="N6" s="14" t="str">
        <f>IFERROR(__xludf.DUMMYFUNCTION("""COMPUTED_VALUE"""),"Drawing or playing tic-tac-toe")</f>
        <v>Drawing or playing tic-tac-toe</v>
      </c>
      <c r="O6" s="14" t="str">
        <f>IFERROR(__xludf.DUMMYFUNCTION("""COMPUTED_VALUE"""),"No")</f>
        <v>No</v>
      </c>
      <c r="P6" s="14" t="str">
        <f>IFERROR(__xludf.DUMMYFUNCTION("""COMPUTED_VALUE"""),"I've gotten better at writing")</f>
        <v>I've gotten better at writing</v>
      </c>
      <c r="Q6" s="14" t="str">
        <f>IFERROR(__xludf.DUMMYFUNCTION("""COMPUTED_VALUE"""),"5 - Strongly Agree")</f>
        <v>5 - Strongly Agree</v>
      </c>
      <c r="R6" s="14" t="str">
        <f>IFERROR(__xludf.DUMMYFUNCTION("""COMPUTED_VALUE"""),"5 - Strongly Agree")</f>
        <v>5 - Strongly Agree</v>
      </c>
      <c r="S6" s="14" t="str">
        <f>IFERROR(__xludf.DUMMYFUNCTION("""COMPUTED_VALUE"""),"5 - Strongly Agree")</f>
        <v>5 - Strongly Agree</v>
      </c>
      <c r="T6" s="14" t="str">
        <f>IFERROR(__xludf.DUMMYFUNCTION("""COMPUTED_VALUE"""),"5 - Strongly Agree")</f>
        <v>5 - Strongly Agree</v>
      </c>
      <c r="U6" s="14" t="str">
        <f>IFERROR(__xludf.DUMMYFUNCTION("""COMPUTED_VALUE"""),"5 - Strongly Agree")</f>
        <v>5 - Strongly Agree</v>
      </c>
      <c r="V6" s="14" t="str">
        <f>IFERROR(__xludf.DUMMYFUNCTION("""COMPUTED_VALUE"""),"5 - Strongly Agree")</f>
        <v>5 - Strongly Agree</v>
      </c>
      <c r="W6" s="14" t="str">
        <f>IFERROR(__xludf.DUMMYFUNCTION("""COMPUTED_VALUE"""),"3 - Neutral")</f>
        <v>3 - Neutral</v>
      </c>
      <c r="X6" s="14" t="str">
        <f>IFERROR(__xludf.DUMMYFUNCTION("""COMPUTED_VALUE"""),"5 - Strongly Agree")</f>
        <v>5 - Strongly Agree</v>
      </c>
      <c r="Y6" s="14" t="str">
        <f>IFERROR(__xludf.DUMMYFUNCTION("""COMPUTED_VALUE"""),"5 - Strongly Agree")</f>
        <v>5 - Strongly Agree</v>
      </c>
      <c r="Z6" s="14" t="str">
        <f>IFERROR(__xludf.DUMMYFUNCTION("""COMPUTED_VALUE"""),"2 - Disagree")</f>
        <v>2 - Disagree</v>
      </c>
      <c r="AA6" s="14" t="str">
        <f>IFERROR(__xludf.DUMMYFUNCTION("""COMPUTED_VALUE"""),"2 - Disagree")</f>
        <v>2 - Disagree</v>
      </c>
      <c r="AB6" s="14" t="str">
        <f>IFERROR(__xludf.DUMMYFUNCTION("""COMPUTED_VALUE"""),"5 - Strongly Agree")</f>
        <v>5 - Strongly Agree</v>
      </c>
      <c r="AC6" s="14" t="str">
        <f>IFERROR(__xludf.DUMMYFUNCTION("""COMPUTED_VALUE"""),"I like to be safe and I like to be kind and nice.")</f>
        <v>I like to be safe and I like to be kind and nice.</v>
      </c>
    </row>
    <row r="7">
      <c r="A7" s="13">
        <f>IFERROR(__xludf.DUMMYFUNCTION("""COMPUTED_VALUE"""),45435.74585777778)</f>
        <v>45435.74586</v>
      </c>
      <c r="B7" s="14" t="str">
        <f>IFERROR(__xludf.DUMMYFUNCTION("""COMPUTED_VALUE"""),"Lydia - CFSN at Brilliant Detroit Central")</f>
        <v>Lydia - CFSN at Brilliant Detroit Central</v>
      </c>
      <c r="C7" s="14" t="str">
        <f>IFERROR(__xludf.DUMMYFUNCTION("""COMPUTED_VALUE"""),"Roland")</f>
        <v>Roland</v>
      </c>
      <c r="D7" s="14" t="str">
        <f>IFERROR(__xludf.DUMMYFUNCTION("""COMPUTED_VALUE"""),"To get better at reading and have fun")</f>
        <v>To get better at reading and have fun</v>
      </c>
      <c r="E7" s="14" t="str">
        <f>IFERROR(__xludf.DUMMYFUNCTION("""COMPUTED_VALUE"""),"Readin")</f>
        <v>Readin</v>
      </c>
      <c r="F7" s="14" t="str">
        <f>IFERROR(__xludf.DUMMYFUNCTION("""COMPUTED_VALUE"""),"Mom reminds you to get on these sessions")</f>
        <v>Mom reminds you to get on these sessions</v>
      </c>
      <c r="G7" s="14" t="str">
        <f>IFERROR(__xludf.DUMMYFUNCTION("""COMPUTED_VALUE"""),"brain advice keeps me focused")</f>
        <v>brain advice keeps me focused</v>
      </c>
      <c r="H7" s="14" t="str">
        <f>IFERROR(__xludf.DUMMYFUNCTION("""COMPUTED_VALUE"""),"Silly books")</f>
        <v>Silly books</v>
      </c>
      <c r="I7" s="14" t="str">
        <f>IFERROR(__xludf.DUMMYFUNCTION("""COMPUTED_VALUE"""),"Getting compliments saying you are doing a good job")</f>
        <v>Getting compliments saying you are doing a good job</v>
      </c>
      <c r="J7" s="14" t="str">
        <f>IFERROR(__xludf.DUMMYFUNCTION("""COMPUTED_VALUE"""),"Reading")</f>
        <v>Reading</v>
      </c>
      <c r="K7" s="14" t="str">
        <f>IFERROR(__xludf.DUMMYFUNCTION("""COMPUTED_VALUE"""),"Getting compliments makes me happy")</f>
        <v>Getting compliments makes me happy</v>
      </c>
      <c r="L7" s="14" t="str">
        <f>IFERROR(__xludf.DUMMYFUNCTION("""COMPUTED_VALUE"""),"NA")</f>
        <v>NA</v>
      </c>
      <c r="M7" s="14" t="str">
        <f>IFERROR(__xludf.DUMMYFUNCTION("""COMPUTED_VALUE"""),"NA")</f>
        <v>NA</v>
      </c>
      <c r="N7" s="14" t="str">
        <f>IFERROR(__xludf.DUMMYFUNCTION("""COMPUTED_VALUE"""),"Math")</f>
        <v>Math</v>
      </c>
      <c r="O7" s="14" t="str">
        <f>IFERROR(__xludf.DUMMYFUNCTION("""COMPUTED_VALUE"""),"NA")</f>
        <v>NA</v>
      </c>
      <c r="P7" s="14" t="str">
        <f>IFERROR(__xludf.DUMMYFUNCTION("""COMPUTED_VALUE"""),"Knows how to read bigger words")</f>
        <v>Knows how to read bigger words</v>
      </c>
      <c r="Q7" s="14" t="str">
        <f>IFERROR(__xludf.DUMMYFUNCTION("""COMPUTED_VALUE"""),"5 - Strongly Agree")</f>
        <v>5 - Strongly Agree</v>
      </c>
      <c r="R7" s="14" t="str">
        <f>IFERROR(__xludf.DUMMYFUNCTION("""COMPUTED_VALUE"""),"5 - Strongly Agree")</f>
        <v>5 - Strongly Agree</v>
      </c>
      <c r="S7" s="14" t="str">
        <f>IFERROR(__xludf.DUMMYFUNCTION("""COMPUTED_VALUE"""),"5 - Strongly Agree")</f>
        <v>5 - Strongly Agree</v>
      </c>
      <c r="T7" s="14" t="str">
        <f>IFERROR(__xludf.DUMMYFUNCTION("""COMPUTED_VALUE"""),"5 - Strongly Agree")</f>
        <v>5 - Strongly Agree</v>
      </c>
      <c r="U7" s="14" t="str">
        <f>IFERROR(__xludf.DUMMYFUNCTION("""COMPUTED_VALUE"""),"5 - Strongly Agree")</f>
        <v>5 - Strongly Agree</v>
      </c>
      <c r="V7" s="14" t="str">
        <f>IFERROR(__xludf.DUMMYFUNCTION("""COMPUTED_VALUE"""),"5 - Strongly Agree")</f>
        <v>5 - Strongly Agree</v>
      </c>
      <c r="W7" s="14" t="str">
        <f>IFERROR(__xludf.DUMMYFUNCTION("""COMPUTED_VALUE"""),"3 - Neutral")</f>
        <v>3 - Neutral</v>
      </c>
      <c r="X7" s="14" t="str">
        <f>IFERROR(__xludf.DUMMYFUNCTION("""COMPUTED_VALUE"""),"5 - Strongly Agree")</f>
        <v>5 - Strongly Agree</v>
      </c>
      <c r="Y7" s="14" t="str">
        <f>IFERROR(__xludf.DUMMYFUNCTION("""COMPUTED_VALUE"""),"5 - Strongly Agree")</f>
        <v>5 - Strongly Agree</v>
      </c>
      <c r="Z7" s="14" t="str">
        <f>IFERROR(__xludf.DUMMYFUNCTION("""COMPUTED_VALUE"""),"2 - Disagree")</f>
        <v>2 - Disagree</v>
      </c>
      <c r="AA7" s="14" t="str">
        <f>IFERROR(__xludf.DUMMYFUNCTION("""COMPUTED_VALUE"""),"5 - Strongly Agree")</f>
        <v>5 - Strongly Agree</v>
      </c>
      <c r="AB7" s="14" t="str">
        <f>IFERROR(__xludf.DUMMYFUNCTION("""COMPUTED_VALUE"""),"5 - Strongly Agree")</f>
        <v>5 - Strongly Agree</v>
      </c>
      <c r="AC7" s="1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1" t="s">
        <v>1169</v>
      </c>
      <c r="R1" s="11" t="s">
        <v>1170</v>
      </c>
      <c r="S1" s="11" t="s">
        <v>1171</v>
      </c>
      <c r="T1" s="11" t="s">
        <v>1172</v>
      </c>
      <c r="U1" s="11" t="s">
        <v>1173</v>
      </c>
      <c r="V1" s="11" t="s">
        <v>1174</v>
      </c>
      <c r="W1" s="11" t="s">
        <v>1175</v>
      </c>
      <c r="X1" s="11" t="s">
        <v>1176</v>
      </c>
      <c r="Y1" s="11" t="s">
        <v>1177</v>
      </c>
      <c r="Z1" s="11" t="s">
        <v>1178</v>
      </c>
      <c r="AA1" s="11" t="s">
        <v>1179</v>
      </c>
      <c r="AB1" s="11" t="s">
        <v>1180</v>
      </c>
      <c r="AC1" s="10" t="s">
        <v>28</v>
      </c>
      <c r="AD1" s="12"/>
      <c r="AE1" s="12"/>
      <c r="AF1" s="12"/>
      <c r="AG1" s="12"/>
      <c r="AH1" s="12"/>
      <c r="AI1" s="12"/>
    </row>
    <row r="2">
      <c r="A2" s="13">
        <f>IFERROR(__xludf.DUMMYFUNCTION("QUERY('Form Responses 1'!A2:AC1001,""Select * where B = 'Lydia  - CFSN at Brilliant Detroit Osborn'"")"),45427.71958936343)</f>
        <v>45427.71959</v>
      </c>
      <c r="B2" s="14" t="str">
        <f>IFERROR(__xludf.DUMMYFUNCTION("""COMPUTED_VALUE"""),"Lydia  - CFSN at Brilliant Detroit Osborn")</f>
        <v>Lydia  - CFSN at Brilliant Detroit Osborn</v>
      </c>
      <c r="C2" s="14" t="str">
        <f>IFERROR(__xludf.DUMMYFUNCTION("""COMPUTED_VALUE"""),"Keiah ")</f>
        <v>Keiah </v>
      </c>
      <c r="D2" s="14" t="str">
        <f>IFERROR(__xludf.DUMMYFUNCTION("""COMPUTED_VALUE"""),"learning ")</f>
        <v>learning </v>
      </c>
      <c r="E2" s="14" t="str">
        <f>IFERROR(__xludf.DUMMYFUNCTION("""COMPUTED_VALUE"""),"drawing about baby sisters and big sisters ")</f>
        <v>drawing about baby sisters and big sisters </v>
      </c>
      <c r="F2" s="14" t="str">
        <f>IFERROR(__xludf.DUMMYFUNCTION("""COMPUTED_VALUE"""),"because i want to get my education ")</f>
        <v>because i want to get my education </v>
      </c>
      <c r="G2" s="14" t="str">
        <f>IFERROR(__xludf.DUMMYFUNCTION("""COMPUTED_VALUE"""),"a piece of gum ")</f>
        <v>a piece of gum </v>
      </c>
      <c r="H2" s="14" t="str">
        <f>IFERROR(__xludf.DUMMYFUNCTION("""COMPUTED_VALUE"""),"cat in the hat ")</f>
        <v>cat in the hat </v>
      </c>
      <c r="I2" s="14" t="str">
        <f>IFERROR(__xludf.DUMMYFUNCTION("""COMPUTED_VALUE"""),"my family ")</f>
        <v>my family </v>
      </c>
      <c r="J2" s="14" t="str">
        <f>IFERROR(__xludf.DUMMYFUNCTION("""COMPUTED_VALUE"""),"doing stories ")</f>
        <v>doing stories </v>
      </c>
      <c r="K2" s="14" t="str">
        <f>IFERROR(__xludf.DUMMYFUNCTION("""COMPUTED_VALUE"""),"my family ")</f>
        <v>my family </v>
      </c>
      <c r="L2" s="14" t="str">
        <f>IFERROR(__xludf.DUMMYFUNCTION("""COMPUTED_VALUE"""),"nothing ")</f>
        <v>nothing </v>
      </c>
      <c r="M2" s="14" t="str">
        <f>IFERROR(__xludf.DUMMYFUNCTION("""COMPUTED_VALUE"""),"no")</f>
        <v>no</v>
      </c>
      <c r="N2" s="14" t="str">
        <f>IFERROR(__xludf.DUMMYFUNCTION("""COMPUTED_VALUE"""),"reading games ")</f>
        <v>reading games </v>
      </c>
      <c r="O2" s="14" t="str">
        <f>IFERROR(__xludf.DUMMYFUNCTION("""COMPUTED_VALUE"""),"nothing ")</f>
        <v>nothing </v>
      </c>
      <c r="P2" s="14" t="str">
        <f>IFERROR(__xludf.DUMMYFUNCTION("""COMPUTED_VALUE"""),"became a better reader ")</f>
        <v>became a better reader </v>
      </c>
      <c r="Q2" s="14" t="str">
        <f>IFERROR(__xludf.DUMMYFUNCTION("""COMPUTED_VALUE"""),"4 - Agree")</f>
        <v>4 - Agree</v>
      </c>
      <c r="R2" s="14" t="str">
        <f>IFERROR(__xludf.DUMMYFUNCTION("""COMPUTED_VALUE"""),"4 - Agree")</f>
        <v>4 - Agree</v>
      </c>
      <c r="S2" s="14" t="str">
        <f>IFERROR(__xludf.DUMMYFUNCTION("""COMPUTED_VALUE"""),"5 - Strongly Agree")</f>
        <v>5 - Strongly Agree</v>
      </c>
      <c r="T2" s="14" t="str">
        <f>IFERROR(__xludf.DUMMYFUNCTION("""COMPUTED_VALUE"""),"4 - Agree")</f>
        <v>4 - Agree</v>
      </c>
      <c r="U2" s="14" t="str">
        <f>IFERROR(__xludf.DUMMYFUNCTION("""COMPUTED_VALUE"""),"4 - Agree")</f>
        <v>4 - Agree</v>
      </c>
      <c r="V2" s="14" t="str">
        <f>IFERROR(__xludf.DUMMYFUNCTION("""COMPUTED_VALUE"""),"4 - Agree")</f>
        <v>4 - Agree</v>
      </c>
      <c r="W2" s="14" t="str">
        <f>IFERROR(__xludf.DUMMYFUNCTION("""COMPUTED_VALUE"""),"4 - Agree")</f>
        <v>4 - Agree</v>
      </c>
      <c r="X2" s="14" t="str">
        <f>IFERROR(__xludf.DUMMYFUNCTION("""COMPUTED_VALUE"""),"4 - Agree")</f>
        <v>4 - Agree</v>
      </c>
      <c r="Y2" s="14" t="str">
        <f>IFERROR(__xludf.DUMMYFUNCTION("""COMPUTED_VALUE"""),"4 - Agree")</f>
        <v>4 - Agree</v>
      </c>
      <c r="Z2" s="14" t="str">
        <f>IFERROR(__xludf.DUMMYFUNCTION("""COMPUTED_VALUE"""),"4 - Agree")</f>
        <v>4 - Agree</v>
      </c>
      <c r="AA2" s="14" t="str">
        <f>IFERROR(__xludf.DUMMYFUNCTION("""COMPUTED_VALUE"""),"4 - Agree")</f>
        <v>4 - Agree</v>
      </c>
      <c r="AB2" s="14" t="str">
        <f>IFERROR(__xludf.DUMMYFUNCTION("""COMPUTED_VALUE"""),"4 - Agree")</f>
        <v>4 - Agree</v>
      </c>
      <c r="AC2" s="1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1" t="s">
        <v>1169</v>
      </c>
      <c r="R1" s="11" t="s">
        <v>1170</v>
      </c>
      <c r="S1" s="11" t="s">
        <v>1171</v>
      </c>
      <c r="T1" s="11" t="s">
        <v>1172</v>
      </c>
      <c r="U1" s="11" t="s">
        <v>1173</v>
      </c>
      <c r="V1" s="11" t="s">
        <v>1174</v>
      </c>
      <c r="W1" s="11" t="s">
        <v>1175</v>
      </c>
      <c r="X1" s="11" t="s">
        <v>1176</v>
      </c>
      <c r="Y1" s="11" t="s">
        <v>1177</v>
      </c>
      <c r="Z1" s="11" t="s">
        <v>1178</v>
      </c>
      <c r="AA1" s="11" t="s">
        <v>1179</v>
      </c>
      <c r="AB1" s="11" t="s">
        <v>1180</v>
      </c>
      <c r="AC1" s="10" t="s">
        <v>28</v>
      </c>
      <c r="AD1" s="12"/>
      <c r="AE1" s="12"/>
      <c r="AF1" s="12"/>
      <c r="AG1" s="12"/>
      <c r="AH1" s="12"/>
      <c r="AI1" s="12"/>
    </row>
    <row r="2">
      <c r="A2" s="13">
        <f>IFERROR(__xludf.DUMMYFUNCTION("QUERY('Form Responses 1'!A2:AC1001,""Select * where B = 'Madonna- CFSN at Brilliant Detroit Southwest'"")"),45432.70580471065)</f>
        <v>45432.7058</v>
      </c>
      <c r="B2" s="14" t="str">
        <f>IFERROR(__xludf.DUMMYFUNCTION("""COMPUTED_VALUE"""),"Madonna- CFSN at Brilliant Detroit Southwest")</f>
        <v>Madonna- CFSN at Brilliant Detroit Southwest</v>
      </c>
      <c r="C2" s="14" t="str">
        <f>IFERROR(__xludf.DUMMYFUNCTION("""COMPUTED_VALUE"""),"Gregorio  B. ")</f>
        <v>Gregorio  B. </v>
      </c>
      <c r="D2" s="14" t="str">
        <f>IFERROR(__xludf.DUMMYFUNCTION("""COMPUTED_VALUE"""),"To learn more. ")</f>
        <v>To learn more. </v>
      </c>
      <c r="E2" s="14" t="str">
        <f>IFERROR(__xludf.DUMMYFUNCTION("""COMPUTED_VALUE"""),"""Last week, when I saw you, we had a lot of fun.  ")</f>
        <v>"Last week, when I saw you, we had a lot of fun.  </v>
      </c>
      <c r="F2" s="14" t="str">
        <f>IFERROR(__xludf.DUMMYFUNCTION("""COMPUTED_VALUE"""),"More free time. ")</f>
        <v>More free time. </v>
      </c>
      <c r="G2" s="14" t="str">
        <f>IFERROR(__xludf.DUMMYFUNCTION("""COMPUTED_VALUE"""),"split screens. ")</f>
        <v>split screens. </v>
      </c>
      <c r="H2" s="14" t="str">
        <f>IFERROR(__xludf.DUMMYFUNCTION("""COMPUTED_VALUE"""),"Dog Man series/graphic novels. ")</f>
        <v>Dog Man series/graphic novels. </v>
      </c>
      <c r="I2" s="14" t="str">
        <f>IFERROR(__xludf.DUMMYFUNCTION("""COMPUTED_VALUE"""),"The principal in the book, Our Principal is a Frog and Our Principal Breaks a Spell")</f>
        <v>The principal in the book, Our Principal is a Frog and Our Principal Breaks a Spell</v>
      </c>
      <c r="J2" s="14" t="str">
        <f>IFERROR(__xludf.DUMMYFUNCTION("""COMPUTED_VALUE"""),"The games     nel.fun")</f>
        <v>The games     nel.fun</v>
      </c>
      <c r="K2" s="14" t="str">
        <f>IFERROR(__xludf.DUMMYFUNCTION("""COMPUTED_VALUE"""),"MOM ")</f>
        <v>MOM </v>
      </c>
      <c r="L2" s="14" t="str">
        <f>IFERROR(__xludf.DUMMYFUNCTION("""COMPUTED_VALUE"""),"More time so that we had more free time. ")</f>
        <v>More time so that we had more free time. </v>
      </c>
      <c r="M2" s="14" t="str">
        <f>IFERROR(__xludf.DUMMYFUNCTION("""COMPUTED_VALUE"""),"When we finish books we usually don't have much time, so more free time. ")</f>
        <v>When we finish books we usually don't have much time, so more free time. </v>
      </c>
      <c r="N2" s="14" t="str">
        <f>IFERROR(__xludf.DUMMYFUNCTION("""COMPUTED_VALUE"""),"Infinite craft.   and hangman ")</f>
        <v>Infinite craft.   and hangman </v>
      </c>
      <c r="O2" s="14" t="str">
        <f>IFERROR(__xludf.DUMMYFUNCTION("""COMPUTED_VALUE"""),"More time and more free time. ")</f>
        <v>More time and more free time. </v>
      </c>
      <c r="P2" s="14" t="str">
        <f>IFERROR(__xludf.DUMMYFUNCTION("""COMPUTED_VALUE"""),"good.   I have grown a lot in reading.")</f>
        <v>good.   I have grown a lot in reading.</v>
      </c>
      <c r="Q2" s="14" t="str">
        <f>IFERROR(__xludf.DUMMYFUNCTION("""COMPUTED_VALUE"""),"4 - Agree")</f>
        <v>4 - Agree</v>
      </c>
      <c r="R2" s="14" t="str">
        <f>IFERROR(__xludf.DUMMYFUNCTION("""COMPUTED_VALUE"""),"3 - Neutral")</f>
        <v>3 - Neutral</v>
      </c>
      <c r="S2" s="14" t="str">
        <f>IFERROR(__xludf.DUMMYFUNCTION("""COMPUTED_VALUE"""),"3 - Neutral")</f>
        <v>3 - Neutral</v>
      </c>
      <c r="T2" s="14" t="str">
        <f>IFERROR(__xludf.DUMMYFUNCTION("""COMPUTED_VALUE"""),"5 - Strongly Agree")</f>
        <v>5 - Strongly Agree</v>
      </c>
      <c r="U2" s="14" t="str">
        <f>IFERROR(__xludf.DUMMYFUNCTION("""COMPUTED_VALUE"""),"4 - Agree")</f>
        <v>4 - Agree</v>
      </c>
      <c r="V2" s="14" t="str">
        <f>IFERROR(__xludf.DUMMYFUNCTION("""COMPUTED_VALUE"""),"4 - Agree")</f>
        <v>4 - Agree</v>
      </c>
      <c r="W2" s="14" t="str">
        <f>IFERROR(__xludf.DUMMYFUNCTION("""COMPUTED_VALUE"""),"5 - Strongly Agree")</f>
        <v>5 - Strongly Agree</v>
      </c>
      <c r="X2" s="14" t="str">
        <f>IFERROR(__xludf.DUMMYFUNCTION("""COMPUTED_VALUE"""),"3 - Neutral")</f>
        <v>3 - Neutral</v>
      </c>
      <c r="Y2" s="14" t="str">
        <f>IFERROR(__xludf.DUMMYFUNCTION("""COMPUTED_VALUE"""),"4 - Agree")</f>
        <v>4 - Agree</v>
      </c>
      <c r="Z2" s="14" t="str">
        <f>IFERROR(__xludf.DUMMYFUNCTION("""COMPUTED_VALUE"""),"3 - Neutral")</f>
        <v>3 - Neutral</v>
      </c>
      <c r="AA2" s="14" t="str">
        <f>IFERROR(__xludf.DUMMYFUNCTION("""COMPUTED_VALUE"""),"3 - Neutral")</f>
        <v>3 - Neutral</v>
      </c>
      <c r="AB2" s="14" t="str">
        <f>IFERROR(__xludf.DUMMYFUNCTION("""COMPUTED_VALUE"""),"5 - Strongly Agree")</f>
        <v>5 - Strongly Agree</v>
      </c>
      <c r="AC2" s="14"/>
    </row>
    <row r="3">
      <c r="A3" s="13">
        <f>IFERROR(__xludf.DUMMYFUNCTION("""COMPUTED_VALUE"""),45432.70680608797)</f>
        <v>45432.70681</v>
      </c>
      <c r="B3" s="14" t="str">
        <f>IFERROR(__xludf.DUMMYFUNCTION("""COMPUTED_VALUE"""),"Madonna- CFSN at Brilliant Detroit Southwest")</f>
        <v>Madonna- CFSN at Brilliant Detroit Southwest</v>
      </c>
      <c r="C3" s="14" t="str">
        <f>IFERROR(__xludf.DUMMYFUNCTION("""COMPUTED_VALUE"""),"Ethan Vital")</f>
        <v>Ethan Vital</v>
      </c>
      <c r="D3" s="14" t="str">
        <f>IFERROR(__xludf.DUMMYFUNCTION("""COMPUTED_VALUE"""),"Reading Hilo")</f>
        <v>Reading Hilo</v>
      </c>
      <c r="E3" s="14" t="str">
        <f>IFERROR(__xludf.DUMMYFUNCTION("""COMPUTED_VALUE"""),"When we did hang mouse.")</f>
        <v>When we did hang mouse.</v>
      </c>
      <c r="F3" s="14" t="str">
        <f>IFERROR(__xludf.DUMMYFUNCTION("""COMPUTED_VALUE"""),"a free book at end of year or free money")</f>
        <v>a free book at end of year or free money</v>
      </c>
      <c r="G3" s="14" t="str">
        <f>IFERROR(__xludf.DUMMYFUNCTION("""COMPUTED_VALUE"""),"If the words are too hard, it is difficult to focus.")</f>
        <v>If the words are too hard, it is difficult to focus.</v>
      </c>
      <c r="H3" s="14" t="str">
        <f>IFERROR(__xludf.DUMMYFUNCTION("""COMPUTED_VALUE"""),"Hilo")</f>
        <v>Hilo</v>
      </c>
      <c r="I3" s="14" t="str">
        <f>IFERROR(__xludf.DUMMYFUNCTION("""COMPUTED_VALUE"""),"Your brother")</f>
        <v>Your brother</v>
      </c>
      <c r="J3" s="14" t="str">
        <f>IFERROR(__xludf.DUMMYFUNCTION("""COMPUTED_VALUE"""),"Doing word searches")</f>
        <v>Doing word searches</v>
      </c>
      <c r="K3" s="14" t="str">
        <f>IFERROR(__xludf.DUMMYFUNCTION("""COMPUTED_VALUE"""),"At home ")</f>
        <v>At home </v>
      </c>
      <c r="L3" s="14" t="str">
        <f>IFERROR(__xludf.DUMMYFUNCTION("""COMPUTED_VALUE"""),"Play more games")</f>
        <v>Play more games</v>
      </c>
      <c r="M3" s="14" t="str">
        <f>IFERROR(__xludf.DUMMYFUNCTION("""COMPUTED_VALUE"""),"Nothing")</f>
        <v>Nothing</v>
      </c>
      <c r="N3" s="14" t="str">
        <f>IFERROR(__xludf.DUMMYFUNCTION("""COMPUTED_VALUE"""),"Word Search")</f>
        <v>Word Search</v>
      </c>
      <c r="O3" s="14" t="str">
        <f>IFERROR(__xludf.DUMMYFUNCTION("""COMPUTED_VALUE"""),"Books")</f>
        <v>Books</v>
      </c>
      <c r="P3" s="14" t="str">
        <f>IFERROR(__xludf.DUMMYFUNCTION("""COMPUTED_VALUE"""),"A lot, reading skills have grown.")</f>
        <v>A lot, reading skills have grown.</v>
      </c>
      <c r="Q3" s="14" t="str">
        <f>IFERROR(__xludf.DUMMYFUNCTION("""COMPUTED_VALUE"""),"5 - Strongly Agree")</f>
        <v>5 - Strongly Agree</v>
      </c>
      <c r="R3" s="14" t="str">
        <f>IFERROR(__xludf.DUMMYFUNCTION("""COMPUTED_VALUE"""),"3 - Neutral")</f>
        <v>3 - Neutral</v>
      </c>
      <c r="S3" s="14" t="str">
        <f>IFERROR(__xludf.DUMMYFUNCTION("""COMPUTED_VALUE"""),"4 - Agree")</f>
        <v>4 - Agree</v>
      </c>
      <c r="T3" s="14" t="str">
        <f>IFERROR(__xludf.DUMMYFUNCTION("""COMPUTED_VALUE"""),"3 - Neutral")</f>
        <v>3 - Neutral</v>
      </c>
      <c r="U3" s="14" t="str">
        <f>IFERROR(__xludf.DUMMYFUNCTION("""COMPUTED_VALUE"""),"5 - Strongly Agree")</f>
        <v>5 - Strongly Agree</v>
      </c>
      <c r="V3" s="14" t="str">
        <f>IFERROR(__xludf.DUMMYFUNCTION("""COMPUTED_VALUE"""),"3 - Neutral")</f>
        <v>3 - Neutral</v>
      </c>
      <c r="W3" s="14" t="str">
        <f>IFERROR(__xludf.DUMMYFUNCTION("""COMPUTED_VALUE"""),"4 - Agree")</f>
        <v>4 - Agree</v>
      </c>
      <c r="X3" s="14" t="str">
        <f>IFERROR(__xludf.DUMMYFUNCTION("""COMPUTED_VALUE"""),"2 - Disagree")</f>
        <v>2 - Disagree</v>
      </c>
      <c r="Y3" s="14" t="str">
        <f>IFERROR(__xludf.DUMMYFUNCTION("""COMPUTED_VALUE"""),"4 - Agree")</f>
        <v>4 - Agree</v>
      </c>
      <c r="Z3" s="14" t="str">
        <f>IFERROR(__xludf.DUMMYFUNCTION("""COMPUTED_VALUE"""),"1 - Strongly Disagree")</f>
        <v>1 - Strongly Disagree</v>
      </c>
      <c r="AA3" s="14" t="str">
        <f>IFERROR(__xludf.DUMMYFUNCTION("""COMPUTED_VALUE"""),"4 - Agree")</f>
        <v>4 - Agree</v>
      </c>
      <c r="AB3" s="14" t="str">
        <f>IFERROR(__xludf.DUMMYFUNCTION("""COMPUTED_VALUE"""),"3 - Neutral")</f>
        <v>3 - Neutral</v>
      </c>
      <c r="AC3" s="14" t="str">
        <f>IFERROR(__xludf.DUMMYFUNCTION("""COMPUTED_VALUE"""),"nope")</f>
        <v>nope</v>
      </c>
    </row>
    <row r="4">
      <c r="A4" s="13">
        <f>IFERROR(__xludf.DUMMYFUNCTION("""COMPUTED_VALUE"""),45432.76405684027)</f>
        <v>45432.76406</v>
      </c>
      <c r="B4" s="14" t="str">
        <f>IFERROR(__xludf.DUMMYFUNCTION("""COMPUTED_VALUE"""),"Madonna- CFSN at Brilliant Detroit Southwest")</f>
        <v>Madonna- CFSN at Brilliant Detroit Southwest</v>
      </c>
      <c r="C4" s="14"/>
      <c r="D4" s="14" t="str">
        <f>IFERROR(__xludf.DUMMYFUNCTION("""COMPUTED_VALUE"""),"She likes to get in the lessons")</f>
        <v>She likes to get in the lessons</v>
      </c>
      <c r="E4" s="14"/>
      <c r="F4" s="14"/>
      <c r="G4" s="14"/>
      <c r="H4" s="14" t="str">
        <f>IFERROR(__xludf.DUMMYFUNCTION("""COMPUTED_VALUE"""),"she likes the cat one!")</f>
        <v>she likes the cat one!</v>
      </c>
      <c r="I4" s="14"/>
      <c r="J4" s="14"/>
      <c r="K4" s="14" t="str">
        <f>IFERROR(__xludf.DUMMYFUNCTION("""COMPUTED_VALUE"""),"Her mom keeps her safe")</f>
        <v>Her mom keeps her safe</v>
      </c>
      <c r="L4" s="14"/>
      <c r="M4" s="14"/>
      <c r="N4" s="14" t="str">
        <f>IFERROR(__xludf.DUMMYFUNCTION("""COMPUTED_VALUE"""),"Build a monster game")</f>
        <v>Build a monster game</v>
      </c>
      <c r="O4" s="14"/>
      <c r="P4" s="14"/>
      <c r="Q4" s="14" t="str">
        <f>IFERROR(__xludf.DUMMYFUNCTION("""COMPUTED_VALUE"""),"5 - Strongly Agree")</f>
        <v>5 - Strongly Agree</v>
      </c>
      <c r="R4" s="14" t="str">
        <f>IFERROR(__xludf.DUMMYFUNCTION("""COMPUTED_VALUE"""),"5 - Strongly Agree")</f>
        <v>5 - Strongly Agree</v>
      </c>
      <c r="S4" s="14" t="str">
        <f>IFERROR(__xludf.DUMMYFUNCTION("""COMPUTED_VALUE"""),"5 - Strongly Agree")</f>
        <v>5 - Strongly Agree</v>
      </c>
      <c r="T4" s="14" t="str">
        <f>IFERROR(__xludf.DUMMYFUNCTION("""COMPUTED_VALUE"""),"5 - Strongly Agree")</f>
        <v>5 - Strongly Agree</v>
      </c>
      <c r="U4" s="14" t="str">
        <f>IFERROR(__xludf.DUMMYFUNCTION("""COMPUTED_VALUE"""),"5 - Strongly Agree")</f>
        <v>5 - Strongly Agree</v>
      </c>
      <c r="V4" s="14" t="str">
        <f>IFERROR(__xludf.DUMMYFUNCTION("""COMPUTED_VALUE"""),"5 - Strongly Agree")</f>
        <v>5 - Strongly Agree</v>
      </c>
      <c r="W4" s="14" t="str">
        <f>IFERROR(__xludf.DUMMYFUNCTION("""COMPUTED_VALUE"""),"3 - Neutral")</f>
        <v>3 - Neutral</v>
      </c>
      <c r="X4" s="14"/>
      <c r="Y4" s="14"/>
      <c r="Z4" s="14"/>
      <c r="AA4" s="14"/>
      <c r="AB4" s="14"/>
      <c r="AC4" s="14"/>
    </row>
    <row r="5">
      <c r="A5" s="13">
        <f>IFERROR(__xludf.DUMMYFUNCTION("""COMPUTED_VALUE"""),45432.76554533565)</f>
        <v>45432.76555</v>
      </c>
      <c r="B5" s="14" t="str">
        <f>IFERROR(__xludf.DUMMYFUNCTION("""COMPUTED_VALUE"""),"Madonna- CFSN at Brilliant Detroit Southwest")</f>
        <v>Madonna- CFSN at Brilliant Detroit Southwest</v>
      </c>
      <c r="C5" s="14" t="str">
        <f>IFERROR(__xludf.DUMMYFUNCTION("""COMPUTED_VALUE"""),"Joel")</f>
        <v>Joel</v>
      </c>
      <c r="D5" s="14" t="str">
        <f>IFERROR(__xludf.DUMMYFUNCTION("""COMPUTED_VALUE"""),"learning")</f>
        <v>learning</v>
      </c>
      <c r="E5" s="14" t="str">
        <f>IFERROR(__xludf.DUMMYFUNCTION("""COMPUTED_VALUE"""),"reading")</f>
        <v>reading</v>
      </c>
      <c r="F5" s="14" t="str">
        <f>IFERROR(__xludf.DUMMYFUNCTION("""COMPUTED_VALUE"""),"idk")</f>
        <v>idk</v>
      </c>
      <c r="G5" s="14" t="str">
        <f>IFERROR(__xludf.DUMMYFUNCTION("""COMPUTED_VALUE"""),"hangman warm up game")</f>
        <v>hangman warm up game</v>
      </c>
      <c r="H5" s="14" t="str">
        <f>IFERROR(__xludf.DUMMYFUNCTION("""COMPUTED_VALUE"""),"diary of a wimpy kid")</f>
        <v>diary of a wimpy kid</v>
      </c>
      <c r="I5" s="14" t="str">
        <f>IFERROR(__xludf.DUMMYFUNCTION("""COMPUTED_VALUE"""),"hangman")</f>
        <v>hangman</v>
      </c>
      <c r="J5" s="14" t="str">
        <f>IFERROR(__xludf.DUMMYFUNCTION("""COMPUTED_VALUE"""),"learning")</f>
        <v>learning</v>
      </c>
      <c r="K5" s="14" t="str">
        <f>IFERROR(__xludf.DUMMYFUNCTION("""COMPUTED_VALUE"""),"games")</f>
        <v>games</v>
      </c>
      <c r="L5" s="14" t="str">
        <f>IFERROR(__xludf.DUMMYFUNCTION("""COMPUTED_VALUE"""),"more learning (maybe not just reading)")</f>
        <v>more learning (maybe not just reading)</v>
      </c>
      <c r="M5" s="14" t="str">
        <f>IFERROR(__xludf.DUMMYFUNCTION("""COMPUTED_VALUE"""),"tic-tac-toe")</f>
        <v>tic-tac-toe</v>
      </c>
      <c r="N5" s="14" t="str">
        <f>IFERROR(__xludf.DUMMYFUNCTION("""COMPUTED_VALUE"""),"hangman")</f>
        <v>hangman</v>
      </c>
      <c r="O5" s="14" t="str">
        <f>IFERROR(__xludf.DUMMYFUNCTION("""COMPUTED_VALUE"""),"its good")</f>
        <v>its good</v>
      </c>
      <c r="P5" s="14" t="str">
        <f>IFERROR(__xludf.DUMMYFUNCTION("""COMPUTED_VALUE"""),"very big")</f>
        <v>very big</v>
      </c>
      <c r="Q5" s="14" t="str">
        <f>IFERROR(__xludf.DUMMYFUNCTION("""COMPUTED_VALUE"""),"5 - Strongly Agree")</f>
        <v>5 - Strongly Agree</v>
      </c>
      <c r="R5" s="14" t="str">
        <f>IFERROR(__xludf.DUMMYFUNCTION("""COMPUTED_VALUE"""),"5 - Strongly Agree")</f>
        <v>5 - Strongly Agree</v>
      </c>
      <c r="S5" s="14" t="str">
        <f>IFERROR(__xludf.DUMMYFUNCTION("""COMPUTED_VALUE"""),"4 - Agree")</f>
        <v>4 - Agree</v>
      </c>
      <c r="T5" s="14" t="str">
        <f>IFERROR(__xludf.DUMMYFUNCTION("""COMPUTED_VALUE"""),"4 - Agree")</f>
        <v>4 - Agree</v>
      </c>
      <c r="U5" s="14" t="str">
        <f>IFERROR(__xludf.DUMMYFUNCTION("""COMPUTED_VALUE"""),"5 - Strongly Agree")</f>
        <v>5 - Strongly Agree</v>
      </c>
      <c r="V5" s="14" t="str">
        <f>IFERROR(__xludf.DUMMYFUNCTION("""COMPUTED_VALUE"""),"5 - Strongly Agree")</f>
        <v>5 - Strongly Agree</v>
      </c>
      <c r="W5" s="14" t="str">
        <f>IFERROR(__xludf.DUMMYFUNCTION("""COMPUTED_VALUE"""),"5 - Strongly Agree")</f>
        <v>5 - Strongly Agree</v>
      </c>
      <c r="X5" s="14" t="str">
        <f>IFERROR(__xludf.DUMMYFUNCTION("""COMPUTED_VALUE"""),"4 - Agree")</f>
        <v>4 - Agree</v>
      </c>
      <c r="Y5" s="14" t="str">
        <f>IFERROR(__xludf.DUMMYFUNCTION("""COMPUTED_VALUE"""),"5 - Strongly Agree")</f>
        <v>5 - Strongly Agree</v>
      </c>
      <c r="Z5" s="14" t="str">
        <f>IFERROR(__xludf.DUMMYFUNCTION("""COMPUTED_VALUE"""),"3 - Neutral")</f>
        <v>3 - Neutral</v>
      </c>
      <c r="AA5" s="14" t="str">
        <f>IFERROR(__xludf.DUMMYFUNCTION("""COMPUTED_VALUE"""),"5 - Strongly Agree")</f>
        <v>5 - Strongly Agree</v>
      </c>
      <c r="AB5" s="14" t="str">
        <f>IFERROR(__xludf.DUMMYFUNCTION("""COMPUTED_VALUE"""),"5 - Strongly Agree")</f>
        <v>5 - Strongly Agree</v>
      </c>
      <c r="AC5" s="14"/>
    </row>
    <row r="6">
      <c r="A6" s="13">
        <f>IFERROR(__xludf.DUMMYFUNCTION("""COMPUTED_VALUE"""),45433.75699320602)</f>
        <v>45433.75699</v>
      </c>
      <c r="B6" s="14" t="str">
        <f>IFERROR(__xludf.DUMMYFUNCTION("""COMPUTED_VALUE"""),"Madonna- CFSN at Brilliant Detroit Southwest")</f>
        <v>Madonna- CFSN at Brilliant Detroit Southwest</v>
      </c>
      <c r="C6" s="14" t="str">
        <f>IFERROR(__xludf.DUMMYFUNCTION("""COMPUTED_VALUE"""),"Jesus Campos-Orea")</f>
        <v>Jesus Campos-Orea</v>
      </c>
      <c r="D6" s="14" t="str">
        <f>IFERROR(__xludf.DUMMYFUNCTION("""COMPUTED_VALUE"""),"Wanting to learn")</f>
        <v>Wanting to learn</v>
      </c>
      <c r="E6" s="14" t="str">
        <f>IFERROR(__xludf.DUMMYFUNCTION("""COMPUTED_VALUE"""),"Reading books with my mentor")</f>
        <v>Reading books with my mentor</v>
      </c>
      <c r="F6" s="14" t="str">
        <f>IFERROR(__xludf.DUMMYFUNCTION("""COMPUTED_VALUE"""),"Reading with my mentor")</f>
        <v>Reading with my mentor</v>
      </c>
      <c r="G6" s="14" t="str">
        <f>IFERROR(__xludf.DUMMYFUNCTION("""COMPUTED_VALUE"""),"Seeing the story on the screen")</f>
        <v>Seeing the story on the screen</v>
      </c>
      <c r="H6" s="14" t="str">
        <f>IFERROR(__xludf.DUMMYFUNCTION("""COMPUTED_VALUE"""),"The Fish book")</f>
        <v>The Fish book</v>
      </c>
      <c r="I6" s="14" t="str">
        <f>IFERROR(__xludf.DUMMYFUNCTION("""COMPUTED_VALUE"""),"When Dylan would repeat after me and make me laugh")</f>
        <v>When Dylan would repeat after me and make me laugh</v>
      </c>
      <c r="J6" s="14" t="str">
        <f>IFERROR(__xludf.DUMMYFUNCTION("""COMPUTED_VALUE"""),"Reading all of the many books")</f>
        <v>Reading all of the many books</v>
      </c>
      <c r="K6" s="14" t="str">
        <f>IFERROR(__xludf.DUMMYFUNCTION("""COMPUTED_VALUE"""),"I feel safe when the teachers close the doors at school")</f>
        <v>I feel safe when the teachers close the doors at school</v>
      </c>
      <c r="L6" s="14" t="str">
        <f>IFERROR(__xludf.DUMMYFUNCTION("""COMPUTED_VALUE"""),"I want more books to read")</f>
        <v>I want more books to read</v>
      </c>
      <c r="M6" s="14" t="str">
        <f>IFERROR(__xludf.DUMMYFUNCTION("""COMPUTED_VALUE"""),"No")</f>
        <v>No</v>
      </c>
      <c r="N6" s="14" t="str">
        <f>IFERROR(__xludf.DUMMYFUNCTION("""COMPUTED_VALUE"""),"Tic tac toe")</f>
        <v>Tic tac toe</v>
      </c>
      <c r="O6" s="14" t="str">
        <f>IFERROR(__xludf.DUMMYFUNCTION("""COMPUTED_VALUE"""),"More reading")</f>
        <v>More reading</v>
      </c>
      <c r="P6" s="14" t="str">
        <f>IFERROR(__xludf.DUMMYFUNCTION("""COMPUTED_VALUE"""),"I know how to read now")</f>
        <v>I know how to read now</v>
      </c>
      <c r="Q6" s="14" t="str">
        <f>IFERROR(__xludf.DUMMYFUNCTION("""COMPUTED_VALUE"""),"5 - Strongly Agree")</f>
        <v>5 - Strongly Agree</v>
      </c>
      <c r="R6" s="14" t="str">
        <f>IFERROR(__xludf.DUMMYFUNCTION("""COMPUTED_VALUE"""),"5 - Strongly Agree")</f>
        <v>5 - Strongly Agree</v>
      </c>
      <c r="S6" s="14" t="str">
        <f>IFERROR(__xludf.DUMMYFUNCTION("""COMPUTED_VALUE"""),"5 - Strongly Agree")</f>
        <v>5 - Strongly Agree</v>
      </c>
      <c r="T6" s="14" t="str">
        <f>IFERROR(__xludf.DUMMYFUNCTION("""COMPUTED_VALUE"""),"4 - Agree")</f>
        <v>4 - Agree</v>
      </c>
      <c r="U6" s="14" t="str">
        <f>IFERROR(__xludf.DUMMYFUNCTION("""COMPUTED_VALUE"""),"5 - Strongly Agree")</f>
        <v>5 - Strongly Agree</v>
      </c>
      <c r="V6" s="14" t="str">
        <f>IFERROR(__xludf.DUMMYFUNCTION("""COMPUTED_VALUE"""),"5 - Strongly Agree")</f>
        <v>5 - Strongly Agree</v>
      </c>
      <c r="W6" s="14" t="str">
        <f>IFERROR(__xludf.DUMMYFUNCTION("""COMPUTED_VALUE"""),"4 - Agree")</f>
        <v>4 - Agree</v>
      </c>
      <c r="X6" s="14" t="str">
        <f>IFERROR(__xludf.DUMMYFUNCTION("""COMPUTED_VALUE"""),"3 - Neutral")</f>
        <v>3 - Neutral</v>
      </c>
      <c r="Y6" s="14" t="str">
        <f>IFERROR(__xludf.DUMMYFUNCTION("""COMPUTED_VALUE"""),"5 - Strongly Agree")</f>
        <v>5 - Strongly Agree</v>
      </c>
      <c r="Z6" s="14" t="str">
        <f>IFERROR(__xludf.DUMMYFUNCTION("""COMPUTED_VALUE"""),"5 - Strongly Agree")</f>
        <v>5 - Strongly Agree</v>
      </c>
      <c r="AA6" s="14" t="str">
        <f>IFERROR(__xludf.DUMMYFUNCTION("""COMPUTED_VALUE"""),"5 - Strongly Agree")</f>
        <v>5 - Strongly Agree</v>
      </c>
      <c r="AB6" s="14" t="str">
        <f>IFERROR(__xludf.DUMMYFUNCTION("""COMPUTED_VALUE"""),"5 - Strongly Agree")</f>
        <v>5 - Strongly Agree</v>
      </c>
      <c r="AC6" s="14"/>
    </row>
    <row r="7">
      <c r="A7" s="13">
        <f>IFERROR(__xludf.DUMMYFUNCTION("""COMPUTED_VALUE"""),45433.77433390046)</f>
        <v>45433.77433</v>
      </c>
      <c r="B7" s="14" t="str">
        <f>IFERROR(__xludf.DUMMYFUNCTION("""COMPUTED_VALUE"""),"Madonna- CFSN at Brilliant Detroit Southwest")</f>
        <v>Madonna- CFSN at Brilliant Detroit Southwest</v>
      </c>
      <c r="C7" s="14" t="str">
        <f>IFERROR(__xludf.DUMMYFUNCTION("""COMPUTED_VALUE"""),"Gustavo Campos ")</f>
        <v>Gustavo Campos </v>
      </c>
      <c r="D7" s="14" t="str">
        <f>IFERROR(__xludf.DUMMYFUNCTION("""COMPUTED_VALUE"""),"Reading ")</f>
        <v>Reading </v>
      </c>
      <c r="E7" s="14" t="str">
        <f>IFERROR(__xludf.DUMMYFUNCTION("""COMPUTED_VALUE"""),"Reading Percy Jackson")</f>
        <v>Reading Percy Jackson</v>
      </c>
      <c r="F7" s="14" t="str">
        <f>IFERROR(__xludf.DUMMYFUNCTION("""COMPUTED_VALUE"""),"Reading ")</f>
        <v>Reading </v>
      </c>
      <c r="G7" s="14" t="str">
        <f>IFERROR(__xludf.DUMMYFUNCTION("""COMPUTED_VALUE"""),"Nothing")</f>
        <v>Nothing</v>
      </c>
      <c r="H7" s="14" t="str">
        <f>IFERROR(__xludf.DUMMYFUNCTION("""COMPUTED_VALUE"""),"Books about sharks ")</f>
        <v>Books about sharks </v>
      </c>
      <c r="I7" s="14" t="str">
        <f>IFERROR(__xludf.DUMMYFUNCTION("""COMPUTED_VALUE"""),"The books ")</f>
        <v>The books </v>
      </c>
      <c r="J7" s="14" t="str">
        <f>IFERROR(__xludf.DUMMYFUNCTION("""COMPUTED_VALUE"""),"Reading")</f>
        <v>Reading</v>
      </c>
      <c r="K7" s="14"/>
      <c r="L7" s="14" t="str">
        <f>IFERROR(__xludf.DUMMYFUNCTION("""COMPUTED_VALUE"""),"No feedback from Gustavo ")</f>
        <v>No feedback from Gustavo </v>
      </c>
      <c r="M7" s="14" t="str">
        <f>IFERROR(__xludf.DUMMYFUNCTION("""COMPUTED_VALUE"""),"Nothing! Everything is good")</f>
        <v>Nothing! Everything is good</v>
      </c>
      <c r="N7" s="14" t="str">
        <f>IFERROR(__xludf.DUMMYFUNCTION("""COMPUTED_VALUE"""),"End of session Tic Tac Toe games ")</f>
        <v>End of session Tic Tac Toe games </v>
      </c>
      <c r="O7" s="14" t="str">
        <f>IFERROR(__xludf.DUMMYFUNCTION("""COMPUTED_VALUE"""),"nope ")</f>
        <v>nope </v>
      </c>
      <c r="P7" s="14" t="str">
        <f>IFERROR(__xludf.DUMMYFUNCTION("""COMPUTED_VALUE"""),"I've grown a lot because of reading a lot ")</f>
        <v>I've grown a lot because of reading a lot </v>
      </c>
      <c r="Q7" s="14" t="str">
        <f>IFERROR(__xludf.DUMMYFUNCTION("""COMPUTED_VALUE"""),"5 - Strongly Agree")</f>
        <v>5 - Strongly Agree</v>
      </c>
      <c r="R7" s="14" t="str">
        <f>IFERROR(__xludf.DUMMYFUNCTION("""COMPUTED_VALUE"""),"5 - Strongly Agree")</f>
        <v>5 - Strongly Agree</v>
      </c>
      <c r="S7" s="14" t="str">
        <f>IFERROR(__xludf.DUMMYFUNCTION("""COMPUTED_VALUE"""),"5 - Strongly Agree")</f>
        <v>5 - Strongly Agree</v>
      </c>
      <c r="T7" s="14" t="str">
        <f>IFERROR(__xludf.DUMMYFUNCTION("""COMPUTED_VALUE"""),"5 - Strongly Agree")</f>
        <v>5 - Strongly Agree</v>
      </c>
      <c r="U7" s="14" t="str">
        <f>IFERROR(__xludf.DUMMYFUNCTION("""COMPUTED_VALUE"""),"5 - Strongly Agree")</f>
        <v>5 - Strongly Agree</v>
      </c>
      <c r="V7" s="14" t="str">
        <f>IFERROR(__xludf.DUMMYFUNCTION("""COMPUTED_VALUE"""),"5 - Strongly Agree")</f>
        <v>5 - Strongly Agree</v>
      </c>
      <c r="W7" s="14" t="str">
        <f>IFERROR(__xludf.DUMMYFUNCTION("""COMPUTED_VALUE"""),"5 - Strongly Agree")</f>
        <v>5 - Strongly Agree</v>
      </c>
      <c r="X7" s="14" t="str">
        <f>IFERROR(__xludf.DUMMYFUNCTION("""COMPUTED_VALUE"""),"5 - Strongly Agree")</f>
        <v>5 - Strongly Agree</v>
      </c>
      <c r="Y7" s="14" t="str">
        <f>IFERROR(__xludf.DUMMYFUNCTION("""COMPUTED_VALUE"""),"5 - Strongly Agree")</f>
        <v>5 - Strongly Agree</v>
      </c>
      <c r="Z7" s="14" t="str">
        <f>IFERROR(__xludf.DUMMYFUNCTION("""COMPUTED_VALUE"""),"5 - Strongly Agree")</f>
        <v>5 - Strongly Agree</v>
      </c>
      <c r="AA7" s="14" t="str">
        <f>IFERROR(__xludf.DUMMYFUNCTION("""COMPUTED_VALUE"""),"5 - Strongly Agree")</f>
        <v>5 - Strongly Agree</v>
      </c>
      <c r="AB7" s="14" t="str">
        <f>IFERROR(__xludf.DUMMYFUNCTION("""COMPUTED_VALUE"""),"5 - Strongly Agree")</f>
        <v>5 - Strongly Agree</v>
      </c>
      <c r="AC7" s="14"/>
    </row>
    <row r="8">
      <c r="A8" s="13">
        <f>IFERROR(__xludf.DUMMYFUNCTION("""COMPUTED_VALUE"""),45434.71482284722)</f>
        <v>45434.71482</v>
      </c>
      <c r="B8" s="14" t="str">
        <f>IFERROR(__xludf.DUMMYFUNCTION("""COMPUTED_VALUE"""),"Madonna- CFSN at Brilliant Detroit Southwest")</f>
        <v>Madonna- CFSN at Brilliant Detroit Southwest</v>
      </c>
      <c r="C8" s="14" t="str">
        <f>IFERROR(__xludf.DUMMYFUNCTION("""COMPUTED_VALUE"""),"Mario Alberto Martinez")</f>
        <v>Mario Alberto Martinez</v>
      </c>
      <c r="D8" s="14" t="str">
        <f>IFERROR(__xludf.DUMMYFUNCTION("""COMPUTED_VALUE"""),"""I love you Jazzman"", ""Mucho Mucho"" ")</f>
        <v>"I love you Jazzman", "Mucho Mucho" </v>
      </c>
      <c r="E8" s="14" t="str">
        <f>IFERROR(__xludf.DUMMYFUNCTION("""COMPUTED_VALUE"""),"Playing literacy games and reading books, learning tic tac toe and drawing cars")</f>
        <v>Playing literacy games and reading books, learning tic tac toe and drawing cars</v>
      </c>
      <c r="F8" s="14" t="str">
        <f>IFERROR(__xludf.DUMMYFUNCTION("""COMPUTED_VALUE"""),"mentoring is more advanced with the words, letters, Mario has a positive attitude with language, music ")</f>
        <v>mentoring is more advanced with the words, letters, Mario has a positive attitude with language, music </v>
      </c>
      <c r="G8" s="14" t="str">
        <f>IFERROR(__xludf.DUMMYFUNCTION("""COMPUTED_VALUE"""),"Music, More toys and trucks, ")</f>
        <v>Music, More toys and trucks, </v>
      </c>
      <c r="H8" s="14" t="str">
        <f>IFERROR(__xludf.DUMMYFUNCTION("""COMPUTED_VALUE"""),"Lightning McQueen (Cars), Dinosaurs, Airplanes, Cartoons, Smurfs")</f>
        <v>Lightning McQueen (Cars), Dinosaurs, Airplanes, Cartoons, Smurfs</v>
      </c>
      <c r="I8" s="14" t="str">
        <f>IFERROR(__xludf.DUMMYFUNCTION("""COMPUTED_VALUE"""),"Jazzman is very nice, like family. She is patient and pays attention to Mario")</f>
        <v>Jazzman is very nice, like family. She is patient and pays attention to Mario</v>
      </c>
      <c r="J8" s="14" t="str">
        <f>IFERROR(__xludf.DUMMYFUNCTION("""COMPUTED_VALUE"""),"Mario can comprehend the books, Jazzman works with him well")</f>
        <v>Mario can comprehend the books, Jazzman works with him well</v>
      </c>
      <c r="K8" s="14" t="str">
        <f>IFERROR(__xludf.DUMMYFUNCTION("""COMPUTED_VALUE"""),"Home, Mentoring, Mom")</f>
        <v>Home, Mentoring, Mom</v>
      </c>
      <c r="L8" s="14" t="str">
        <f>IFERROR(__xludf.DUMMYFUNCTION("""COMPUTED_VALUE"""),"Going from 2 days a week to 3 days would be perfect. ")</f>
        <v>Going from 2 days a week to 3 days would be perfect. </v>
      </c>
      <c r="M8" s="14" t="str">
        <f>IFERROR(__xludf.DUMMYFUNCTION("""COMPUTED_VALUE"""),"Nada! Jazzman and Madonna is very nice!")</f>
        <v>Nada! Jazzman and Madonna is very nice!</v>
      </c>
      <c r="N8" s="14" t="str">
        <f>IFERROR(__xludf.DUMMYFUNCTION("""COMPUTED_VALUE"""),"Drawing a picture on whiteboard and guessing what letter the word starts with ")</f>
        <v>Drawing a picture on whiteboard and guessing what letter the word starts with </v>
      </c>
      <c r="O8" s="14" t="str">
        <f>IFERROR(__xludf.DUMMYFUNCTION("""COMPUTED_VALUE"""),"One day more a week. 3 days a week mentoring. ")</f>
        <v>One day more a week. 3 days a week mentoring. </v>
      </c>
      <c r="P8" s="14" t="str">
        <f>IFERROR(__xludf.DUMMYFUNCTION("""COMPUTED_VALUE"""),"Very much!! Better in comprehension. ")</f>
        <v>Very much!! Better in comprehension. </v>
      </c>
      <c r="Q8" s="14" t="str">
        <f>IFERROR(__xludf.DUMMYFUNCTION("""COMPUTED_VALUE"""),"5 - Strongly Agree")</f>
        <v>5 - Strongly Agree</v>
      </c>
      <c r="R8" s="14" t="str">
        <f>IFERROR(__xludf.DUMMYFUNCTION("""COMPUTED_VALUE"""),"5 - Strongly Agree")</f>
        <v>5 - Strongly Agree</v>
      </c>
      <c r="S8" s="14" t="str">
        <f>IFERROR(__xludf.DUMMYFUNCTION("""COMPUTED_VALUE"""),"5 - Strongly Agree")</f>
        <v>5 - Strongly Agree</v>
      </c>
      <c r="T8" s="14" t="str">
        <f>IFERROR(__xludf.DUMMYFUNCTION("""COMPUTED_VALUE"""),"5 - Strongly Agree")</f>
        <v>5 - Strongly Agree</v>
      </c>
      <c r="U8" s="14" t="str">
        <f>IFERROR(__xludf.DUMMYFUNCTION("""COMPUTED_VALUE"""),"5 - Strongly Agree")</f>
        <v>5 - Strongly Agree</v>
      </c>
      <c r="V8" s="14" t="str">
        <f>IFERROR(__xludf.DUMMYFUNCTION("""COMPUTED_VALUE"""),"5 - Strongly Agree")</f>
        <v>5 - Strongly Agree</v>
      </c>
      <c r="W8" s="14" t="str">
        <f>IFERROR(__xludf.DUMMYFUNCTION("""COMPUTED_VALUE"""),"5 - Strongly Agree")</f>
        <v>5 - Strongly Agree</v>
      </c>
      <c r="X8" s="14" t="str">
        <f>IFERROR(__xludf.DUMMYFUNCTION("""COMPUTED_VALUE"""),"5 - Strongly Agree")</f>
        <v>5 - Strongly Agree</v>
      </c>
      <c r="Y8" s="14" t="str">
        <f>IFERROR(__xludf.DUMMYFUNCTION("""COMPUTED_VALUE"""),"5 - Strongly Agree")</f>
        <v>5 - Strongly Agree</v>
      </c>
      <c r="Z8" s="14" t="str">
        <f>IFERROR(__xludf.DUMMYFUNCTION("""COMPUTED_VALUE"""),"5 - Strongly Agree")</f>
        <v>5 - Strongly Agree</v>
      </c>
      <c r="AA8" s="14" t="str">
        <f>IFERROR(__xludf.DUMMYFUNCTION("""COMPUTED_VALUE"""),"5 - Strongly Agree")</f>
        <v>5 - Strongly Agree</v>
      </c>
      <c r="AB8" s="14" t="str">
        <f>IFERROR(__xludf.DUMMYFUNCTION("""COMPUTED_VALUE"""),"5 - Strongly Agree")</f>
        <v>5 - Strongly Agree</v>
      </c>
      <c r="AC8" s="14" t="str">
        <f>IFERROR(__xludf.DUMMYFUNCTION("""COMPUTED_VALUE"""),"Thank you for everything!!!! The program is great!")</f>
        <v>Thank you for everything!!!! The program is great!</v>
      </c>
    </row>
    <row r="9">
      <c r="A9" s="13">
        <f>IFERROR(__xludf.DUMMYFUNCTION("""COMPUTED_VALUE"""),45434.74891148148)</f>
        <v>45434.74891</v>
      </c>
      <c r="B9" s="14" t="str">
        <f>IFERROR(__xludf.DUMMYFUNCTION("""COMPUTED_VALUE"""),"Madonna- CFSN at Brilliant Detroit Southwest")</f>
        <v>Madonna- CFSN at Brilliant Detroit Southwest</v>
      </c>
      <c r="C9" s="14" t="str">
        <f>IFERROR(__xludf.DUMMYFUNCTION("""COMPUTED_VALUE"""),"Adan Campos")</f>
        <v>Adan Campos</v>
      </c>
      <c r="D9" s="14" t="str">
        <f>IFERROR(__xludf.DUMMYFUNCTION("""COMPUTED_VALUE"""),"Everything")</f>
        <v>Everything</v>
      </c>
      <c r="E9" s="14" t="str">
        <f>IFERROR(__xludf.DUMMYFUNCTION("""COMPUTED_VALUE"""),"Playing a game in the beginning and reading after")</f>
        <v>Playing a game in the beginning and reading after</v>
      </c>
      <c r="F9" s="14" t="str">
        <f>IFERROR(__xludf.DUMMYFUNCTION("""COMPUTED_VALUE"""),"Doing something after school")</f>
        <v>Doing something after school</v>
      </c>
      <c r="G9" s="14" t="str">
        <f>IFERROR(__xludf.DUMMYFUNCTION("""COMPUTED_VALUE"""),"The games in the beginning helped me focus")</f>
        <v>The games in the beginning helped me focus</v>
      </c>
      <c r="H9" s="14" t="str">
        <f>IFERROR(__xludf.DUMMYFUNCTION("""COMPUTED_VALUE"""),"How Chocolate's Made")</f>
        <v>How Chocolate's Made</v>
      </c>
      <c r="I9" s="14" t="str">
        <f>IFERROR(__xludf.DUMMYFUNCTION("""COMPUTED_VALUE"""),"The games at the end of the session.")</f>
        <v>The games at the end of the session.</v>
      </c>
      <c r="J9" s="14" t="str">
        <f>IFERROR(__xludf.DUMMYFUNCTION("""COMPUTED_VALUE"""),"Actually doing something after school")</f>
        <v>Actually doing something after school</v>
      </c>
      <c r="K9" s="14" t="str">
        <f>IFERROR(__xludf.DUMMYFUNCTION("""COMPUTED_VALUE"""),"I feel safe on the computer")</f>
        <v>I feel safe on the computer</v>
      </c>
      <c r="L9" s="14" t="str">
        <f>IFERROR(__xludf.DUMMYFUNCTION("""COMPUTED_VALUE"""),"Nothing, it's good the way it is")</f>
        <v>Nothing, it's good the way it is</v>
      </c>
      <c r="M9" s="14" t="str">
        <f>IFERROR(__xludf.DUMMYFUNCTION("""COMPUTED_VALUE"""),"I like everything")</f>
        <v>I like everything</v>
      </c>
      <c r="N9" s="14" t="str">
        <f>IFERROR(__xludf.DUMMYFUNCTION("""COMPUTED_VALUE"""),"Nouns and adjective story making game")</f>
        <v>Nouns and adjective story making game</v>
      </c>
      <c r="O9" s="14" t="str">
        <f>IFERROR(__xludf.DUMMYFUNCTION("""COMPUTED_VALUE"""),"Nothing")</f>
        <v>Nothing</v>
      </c>
      <c r="P9" s="14" t="str">
        <f>IFERROR(__xludf.DUMMYFUNCTION("""COMPUTED_VALUE"""),"A lot... My reading has gotten better")</f>
        <v>A lot... My reading has gotten better</v>
      </c>
      <c r="Q9" s="14" t="str">
        <f>IFERROR(__xludf.DUMMYFUNCTION("""COMPUTED_VALUE"""),"5 - Strongly Agree")</f>
        <v>5 - Strongly Agree</v>
      </c>
      <c r="R9" s="14" t="str">
        <f>IFERROR(__xludf.DUMMYFUNCTION("""COMPUTED_VALUE"""),"4 - Agree")</f>
        <v>4 - Agree</v>
      </c>
      <c r="S9" s="14" t="str">
        <f>IFERROR(__xludf.DUMMYFUNCTION("""COMPUTED_VALUE"""),"5 - Strongly Agree")</f>
        <v>5 - Strongly Agree</v>
      </c>
      <c r="T9" s="14" t="str">
        <f>IFERROR(__xludf.DUMMYFUNCTION("""COMPUTED_VALUE"""),"5 - Strongly Agree")</f>
        <v>5 - Strongly Agree</v>
      </c>
      <c r="U9" s="14" t="str">
        <f>IFERROR(__xludf.DUMMYFUNCTION("""COMPUTED_VALUE"""),"5 - Strongly Agree")</f>
        <v>5 - Strongly Agree</v>
      </c>
      <c r="V9" s="14" t="str">
        <f>IFERROR(__xludf.DUMMYFUNCTION("""COMPUTED_VALUE"""),"5 - Strongly Agree")</f>
        <v>5 - Strongly Agree</v>
      </c>
      <c r="W9" s="14" t="str">
        <f>IFERROR(__xludf.DUMMYFUNCTION("""COMPUTED_VALUE"""),"5 - Strongly Agree")</f>
        <v>5 - Strongly Agree</v>
      </c>
      <c r="X9" s="14" t="str">
        <f>IFERROR(__xludf.DUMMYFUNCTION("""COMPUTED_VALUE"""),"5 - Strongly Agree")</f>
        <v>5 - Strongly Agree</v>
      </c>
      <c r="Y9" s="14" t="str">
        <f>IFERROR(__xludf.DUMMYFUNCTION("""COMPUTED_VALUE"""),"5 - Strongly Agree")</f>
        <v>5 - Strongly Agree</v>
      </c>
      <c r="Z9" s="14" t="str">
        <f>IFERROR(__xludf.DUMMYFUNCTION("""COMPUTED_VALUE"""),"5 - Strongly Agree")</f>
        <v>5 - Strongly Agree</v>
      </c>
      <c r="AA9" s="14" t="str">
        <f>IFERROR(__xludf.DUMMYFUNCTION("""COMPUTED_VALUE"""),"5 - Strongly Agree")</f>
        <v>5 - Strongly Agree</v>
      </c>
      <c r="AB9" s="14" t="str">
        <f>IFERROR(__xludf.DUMMYFUNCTION("""COMPUTED_VALUE"""),"5 - Strongly Agree")</f>
        <v>5 - Strongly Agree</v>
      </c>
      <c r="AC9" s="14"/>
    </row>
    <row r="10">
      <c r="A10" s="13">
        <f>IFERROR(__xludf.DUMMYFUNCTION("""COMPUTED_VALUE"""),45434.74989894676)</f>
        <v>45434.7499</v>
      </c>
      <c r="B10" s="14" t="str">
        <f>IFERROR(__xludf.DUMMYFUNCTION("""COMPUTED_VALUE"""),"Madonna- CFSN at Brilliant Detroit Southwest")</f>
        <v>Madonna- CFSN at Brilliant Detroit Southwest</v>
      </c>
      <c r="C10" s="14" t="str">
        <f>IFERROR(__xludf.DUMMYFUNCTION("""COMPUTED_VALUE"""),"Michael")</f>
        <v>Michael</v>
      </c>
      <c r="D10" s="14" t="str">
        <f>IFERROR(__xludf.DUMMYFUNCTION("""COMPUTED_VALUE"""),"It's helping me learn to read and spell.")</f>
        <v>It's helping me learn to read and spell.</v>
      </c>
      <c r="E10" s="14" t="str">
        <f>IFERROR(__xludf.DUMMYFUNCTION("""COMPUTED_VALUE"""),"Read fairy tale stories with me, quizzes")</f>
        <v>Read fairy tale stories with me, quizzes</v>
      </c>
      <c r="F10" s="14" t="str">
        <f>IFERROR(__xludf.DUMMYFUNCTION("""COMPUTED_VALUE"""),"Pretty satisfied in general with the books, games, and quizzes. ")</f>
        <v>Pretty satisfied in general with the books, games, and quizzes. </v>
      </c>
      <c r="G10" s="14" t="str">
        <f>IFERROR(__xludf.DUMMYFUNCTION("""COMPUTED_VALUE"""),"Encourage brother to learn how to read")</f>
        <v>Encourage brother to learn how to read</v>
      </c>
      <c r="H10" s="14" t="str">
        <f>IFERROR(__xludf.DUMMYFUNCTION("""COMPUTED_VALUE"""),"Fairy Tales, imagination, ninja")</f>
        <v>Fairy Tales, imagination, ninja</v>
      </c>
      <c r="I10" s="14" t="str">
        <f>IFERROR(__xludf.DUMMYFUNCTION("""COMPUTED_VALUE"""),"When we have fun, when there is a funny moment (generally)")</f>
        <v>When we have fun, when there is a funny moment (generally)</v>
      </c>
      <c r="J10" s="14" t="str">
        <f>IFERROR(__xludf.DUMMYFUNCTION("""COMPUTED_VALUE"""),"The stories and games - everything ")</f>
        <v>The stories and games - everything </v>
      </c>
      <c r="K10" s="14" t="str">
        <f>IFERROR(__xludf.DUMMYFUNCTION("""COMPUTED_VALUE"""),"at home ")</f>
        <v>at home </v>
      </c>
      <c r="L10" s="14" t="str">
        <f>IFERROR(__xludf.DUMMYFUNCTION("""COMPUTED_VALUE"""),"Read one extra book after the first book we read like a small story, games that are about learning and fun (balance between fun and learning)")</f>
        <v>Read one extra book after the first book we read like a small story, games that are about learning and fun (balance between fun and learning)</v>
      </c>
      <c r="M10" s="14" t="str">
        <f>IFERROR(__xludf.DUMMYFUNCTION("""COMPUTED_VALUE"""),"When the internet goes bad")</f>
        <v>When the internet goes bad</v>
      </c>
      <c r="N10" s="14" t="str">
        <f>IFERROR(__xludf.DUMMYFUNCTION("""COMPUTED_VALUE"""),"quizzes, favorite game is the slimezilla versus compound words")</f>
        <v>quizzes, favorite game is the slimezilla versus compound words</v>
      </c>
      <c r="O10" s="14" t="str">
        <f>IFERROR(__xludf.DUMMYFUNCTION("""COMPUTED_VALUE"""),"no suggestions ")</f>
        <v>no suggestions </v>
      </c>
      <c r="P10" s="14" t="str">
        <f>IFERROR(__xludf.DUMMYFUNCTION("""COMPUTED_VALUE"""),"doing better in reading, starting to read big books/chapter books")</f>
        <v>doing better in reading, starting to read big books/chapter books</v>
      </c>
      <c r="Q10" s="14" t="str">
        <f>IFERROR(__xludf.DUMMYFUNCTION("""COMPUTED_VALUE"""),"5 - Strongly Agree")</f>
        <v>5 - Strongly Agree</v>
      </c>
      <c r="R10" s="14" t="str">
        <f>IFERROR(__xludf.DUMMYFUNCTION("""COMPUTED_VALUE"""),"4 - Agree")</f>
        <v>4 - Agree</v>
      </c>
      <c r="S10" s="14" t="str">
        <f>IFERROR(__xludf.DUMMYFUNCTION("""COMPUTED_VALUE"""),"5 - Strongly Agree")</f>
        <v>5 - Strongly Agree</v>
      </c>
      <c r="T10" s="14" t="str">
        <f>IFERROR(__xludf.DUMMYFUNCTION("""COMPUTED_VALUE"""),"4 - Agree")</f>
        <v>4 - Agree</v>
      </c>
      <c r="U10" s="14" t="str">
        <f>IFERROR(__xludf.DUMMYFUNCTION("""COMPUTED_VALUE"""),"5 - Strongly Agree")</f>
        <v>5 - Strongly Agree</v>
      </c>
      <c r="V10" s="14" t="str">
        <f>IFERROR(__xludf.DUMMYFUNCTION("""COMPUTED_VALUE"""),"5 - Strongly Agree")</f>
        <v>5 - Strongly Agree</v>
      </c>
      <c r="W10" s="14" t="str">
        <f>IFERROR(__xludf.DUMMYFUNCTION("""COMPUTED_VALUE"""),"5 - Strongly Agree")</f>
        <v>5 - Strongly Agree</v>
      </c>
      <c r="X10" s="14" t="str">
        <f>IFERROR(__xludf.DUMMYFUNCTION("""COMPUTED_VALUE"""),"4 - Agree")</f>
        <v>4 - Agree</v>
      </c>
      <c r="Y10" s="14" t="str">
        <f>IFERROR(__xludf.DUMMYFUNCTION("""COMPUTED_VALUE"""),"5 - Strongly Agree")</f>
        <v>5 - Strongly Agree</v>
      </c>
      <c r="Z10" s="14" t="str">
        <f>IFERROR(__xludf.DUMMYFUNCTION("""COMPUTED_VALUE"""),"5 - Strongly Agree")</f>
        <v>5 - Strongly Agree</v>
      </c>
      <c r="AA10" s="14" t="str">
        <f>IFERROR(__xludf.DUMMYFUNCTION("""COMPUTED_VALUE"""),"5 - Strongly Agree")</f>
        <v>5 - Strongly Agree</v>
      </c>
      <c r="AB10" s="14" t="str">
        <f>IFERROR(__xludf.DUMMYFUNCTION("""COMPUTED_VALUE"""),"5 - Strongly Agree")</f>
        <v>5 - Strongly Agree</v>
      </c>
      <c r="AC10" s="14" t="str">
        <f>IFERROR(__xludf.DUMMYFUNCTION("""COMPUTED_VALUE"""),"Very good, very like the program. Like the games we play. ")</f>
        <v>Very good, very like the program. Like the games we play. </v>
      </c>
    </row>
    <row r="11">
      <c r="A11" s="13">
        <f>IFERROR(__xludf.DUMMYFUNCTION("""COMPUTED_VALUE"""),45434.76612116898)</f>
        <v>45434.76612</v>
      </c>
      <c r="B11" s="14" t="str">
        <f>IFERROR(__xludf.DUMMYFUNCTION("""COMPUTED_VALUE"""),"Madonna- CFSN at Brilliant Detroit Southwest")</f>
        <v>Madonna- CFSN at Brilliant Detroit Southwest</v>
      </c>
      <c r="C11" s="14" t="str">
        <f>IFERROR(__xludf.DUMMYFUNCTION("""COMPUTED_VALUE"""),"Frida")</f>
        <v>Frida</v>
      </c>
      <c r="D11" s="14" t="str">
        <f>IFERROR(__xludf.DUMMYFUNCTION("""COMPUTED_VALUE"""),"It makes me happy!")</f>
        <v>It makes me happy!</v>
      </c>
      <c r="E11" s="14" t="str">
        <f>IFERROR(__xludf.DUMMYFUNCTION("""COMPUTED_VALUE"""),"Coloring together ")</f>
        <v>Coloring together </v>
      </c>
      <c r="F11" s="14" t="str">
        <f>IFERROR(__xludf.DUMMYFUNCTION("""COMPUTED_VALUE"""),"She just said ""Happy"" ")</f>
        <v>She just said "Happy" </v>
      </c>
      <c r="G11" s="14" t="str">
        <f>IFERROR(__xludf.DUMMYFUNCTION("""COMPUTED_VALUE"""),"""When we read books and play games""")</f>
        <v>"When we read books and play games"</v>
      </c>
      <c r="H11" s="14" t="str">
        <f>IFERROR(__xludf.DUMMYFUNCTION("""COMPUTED_VALUE"""),"The egg and color book ")</f>
        <v>The egg and color book </v>
      </c>
      <c r="I11" s="14" t="str">
        <f>IFERROR(__xludf.DUMMYFUNCTION("""COMPUTED_VALUE"""),"Playing games ")</f>
        <v>Playing games </v>
      </c>
      <c r="J11" s="14" t="str">
        <f>IFERROR(__xludf.DUMMYFUNCTION("""COMPUTED_VALUE"""),"Playing games ")</f>
        <v>Playing games </v>
      </c>
      <c r="K11" s="14" t="str">
        <f>IFERROR(__xludf.DUMMYFUNCTION("""COMPUTED_VALUE"""),"When I go to this class")</f>
        <v>When I go to this class</v>
      </c>
      <c r="L11" s="14" t="str">
        <f>IFERROR(__xludf.DUMMYFUNCTION("""COMPUTED_VALUE"""),"N/A")</f>
        <v>N/A</v>
      </c>
      <c r="M11" s="14" t="str">
        <f>IFERROR(__xludf.DUMMYFUNCTION("""COMPUTED_VALUE"""),"I like everything")</f>
        <v>I like everything</v>
      </c>
      <c r="N11" s="14" t="str">
        <f>IFERROR(__xludf.DUMMYFUNCTION("""COMPUTED_VALUE"""),"The ice cream game ")</f>
        <v>The ice cream game </v>
      </c>
      <c r="O11" s="14" t="str">
        <f>IFERROR(__xludf.DUMMYFUNCTION("""COMPUTED_VALUE"""),"N/A")</f>
        <v>N/A</v>
      </c>
      <c r="P11" s="14" t="str">
        <f>IFERROR(__xludf.DUMMYFUNCTION("""COMPUTED_VALUE"""),"It has helped me read ")</f>
        <v>It has helped me read </v>
      </c>
      <c r="Q11" s="14" t="str">
        <f>IFERROR(__xludf.DUMMYFUNCTION("""COMPUTED_VALUE"""),"5 - Strongly Agree")</f>
        <v>5 - Strongly Agree</v>
      </c>
      <c r="R11" s="14" t="str">
        <f>IFERROR(__xludf.DUMMYFUNCTION("""COMPUTED_VALUE"""),"5 - Strongly Agree")</f>
        <v>5 - Strongly Agree</v>
      </c>
      <c r="S11" s="14" t="str">
        <f>IFERROR(__xludf.DUMMYFUNCTION("""COMPUTED_VALUE"""),"5 - Strongly Agree")</f>
        <v>5 - Strongly Agree</v>
      </c>
      <c r="T11" s="14" t="str">
        <f>IFERROR(__xludf.DUMMYFUNCTION("""COMPUTED_VALUE"""),"5 - Strongly Agree")</f>
        <v>5 - Strongly Agree</v>
      </c>
      <c r="U11" s="14" t="str">
        <f>IFERROR(__xludf.DUMMYFUNCTION("""COMPUTED_VALUE"""),"5 - Strongly Agree")</f>
        <v>5 - Strongly Agree</v>
      </c>
      <c r="V11" s="14" t="str">
        <f>IFERROR(__xludf.DUMMYFUNCTION("""COMPUTED_VALUE"""),"5 - Strongly Agree")</f>
        <v>5 - Strongly Agree</v>
      </c>
      <c r="W11" s="14" t="str">
        <f>IFERROR(__xludf.DUMMYFUNCTION("""COMPUTED_VALUE"""),"5 - Strongly Agree")</f>
        <v>5 - Strongly Agree</v>
      </c>
      <c r="X11" s="14" t="str">
        <f>IFERROR(__xludf.DUMMYFUNCTION("""COMPUTED_VALUE"""),"1 - Strongly Disagree")</f>
        <v>1 - Strongly Disagree</v>
      </c>
      <c r="Y11" s="14" t="str">
        <f>IFERROR(__xludf.DUMMYFUNCTION("""COMPUTED_VALUE"""),"5 - Strongly Agree")</f>
        <v>5 - Strongly Agree</v>
      </c>
      <c r="Z11" s="14" t="str">
        <f>IFERROR(__xludf.DUMMYFUNCTION("""COMPUTED_VALUE"""),"1 - Strongly Disagree")</f>
        <v>1 - Strongly Disagree</v>
      </c>
      <c r="AA11" s="14" t="str">
        <f>IFERROR(__xludf.DUMMYFUNCTION("""COMPUTED_VALUE"""),"5 - Strongly Agree")</f>
        <v>5 - Strongly Agree</v>
      </c>
      <c r="AB11" s="14" t="str">
        <f>IFERROR(__xludf.DUMMYFUNCTION("""COMPUTED_VALUE"""),"4 - Agree")</f>
        <v>4 - Agree</v>
      </c>
      <c r="AC11" s="14"/>
    </row>
    <row r="12">
      <c r="A12" s="13">
        <f>IFERROR(__xludf.DUMMYFUNCTION("""COMPUTED_VALUE"""),45435.7068144213)</f>
        <v>45435.70681</v>
      </c>
      <c r="B12" s="14" t="str">
        <f>IFERROR(__xludf.DUMMYFUNCTION("""COMPUTED_VALUE"""),"Madonna- CFSN at Brilliant Detroit Southwest")</f>
        <v>Madonna- CFSN at Brilliant Detroit Southwest</v>
      </c>
      <c r="C12" s="14" t="str">
        <f>IFERROR(__xludf.DUMMYFUNCTION("""COMPUTED_VALUE"""),"Nayeli Torres")</f>
        <v>Nayeli Torres</v>
      </c>
      <c r="D12" s="14" t="str">
        <f>IFERROR(__xludf.DUMMYFUNCTION("""COMPUTED_VALUE"""),"Because I get to learn and play games")</f>
        <v>Because I get to learn and play games</v>
      </c>
      <c r="E12" s="14" t="str">
        <f>IFERROR(__xludf.DUMMYFUNCTION("""COMPUTED_VALUE"""),"Playing games")</f>
        <v>Playing games</v>
      </c>
      <c r="F12" s="14" t="str">
        <f>IFERROR(__xludf.DUMMYFUNCTION("""COMPUTED_VALUE"""),"Play")</f>
        <v>Play</v>
      </c>
      <c r="G12" s="14" t="str">
        <f>IFERROR(__xludf.DUMMYFUNCTION("""COMPUTED_VALUE"""),"Nothing")</f>
        <v>Nothing</v>
      </c>
      <c r="H12" s="14" t="str">
        <f>IFERROR(__xludf.DUMMYFUNCTION("""COMPUTED_VALUE"""),"Any kind of book")</f>
        <v>Any kind of book</v>
      </c>
      <c r="I12" s="14" t="str">
        <f>IFERROR(__xludf.DUMMYFUNCTION("""COMPUTED_VALUE"""),"When Imani laughs")</f>
        <v>When Imani laughs</v>
      </c>
      <c r="J12" s="14" t="str">
        <f>IFERROR(__xludf.DUMMYFUNCTION("""COMPUTED_VALUE"""),"Got to play games")</f>
        <v>Got to play games</v>
      </c>
      <c r="K12" s="14" t="str">
        <f>IFERROR(__xludf.DUMMYFUNCTION("""COMPUTED_VALUE"""),"I feel safe when I play")</f>
        <v>I feel safe when I play</v>
      </c>
      <c r="L12" s="14" t="str">
        <f>IFERROR(__xludf.DUMMYFUNCTION("""COMPUTED_VALUE"""),"Add more play time")</f>
        <v>Add more play time</v>
      </c>
      <c r="M12" s="14" t="str">
        <f>IFERROR(__xludf.DUMMYFUNCTION("""COMPUTED_VALUE"""),"I don't like reading that much")</f>
        <v>I don't like reading that much</v>
      </c>
      <c r="N12" s="14" t="str">
        <f>IFERROR(__xludf.DUMMYFUNCTION("""COMPUTED_VALUE"""),"Playing")</f>
        <v>Playing</v>
      </c>
      <c r="O12" s="14" t="str">
        <f>IFERROR(__xludf.DUMMYFUNCTION("""COMPUTED_VALUE"""),"Real life sessions")</f>
        <v>Real life sessions</v>
      </c>
      <c r="P12" s="14" t="str">
        <f>IFERROR(__xludf.DUMMYFUNCTION("""COMPUTED_VALUE"""),"Reading")</f>
        <v>Reading</v>
      </c>
      <c r="Q12" s="14" t="str">
        <f>IFERROR(__xludf.DUMMYFUNCTION("""COMPUTED_VALUE"""),"5 - Strongly Agree")</f>
        <v>5 - Strongly Agree</v>
      </c>
      <c r="R12" s="14" t="str">
        <f>IFERROR(__xludf.DUMMYFUNCTION("""COMPUTED_VALUE"""),"5 - Strongly Agree")</f>
        <v>5 - Strongly Agree</v>
      </c>
      <c r="S12" s="14" t="str">
        <f>IFERROR(__xludf.DUMMYFUNCTION("""COMPUTED_VALUE"""),"5 - Strongly Agree")</f>
        <v>5 - Strongly Agree</v>
      </c>
      <c r="T12" s="14" t="str">
        <f>IFERROR(__xludf.DUMMYFUNCTION("""COMPUTED_VALUE"""),"5 - Strongly Agree")</f>
        <v>5 - Strongly Agree</v>
      </c>
      <c r="U12" s="14" t="str">
        <f>IFERROR(__xludf.DUMMYFUNCTION("""COMPUTED_VALUE"""),"5 - Strongly Agree")</f>
        <v>5 - Strongly Agree</v>
      </c>
      <c r="V12" s="14" t="str">
        <f>IFERROR(__xludf.DUMMYFUNCTION("""COMPUTED_VALUE"""),"5 - Strongly Agree")</f>
        <v>5 - Strongly Agree</v>
      </c>
      <c r="W12" s="14" t="str">
        <f>IFERROR(__xludf.DUMMYFUNCTION("""COMPUTED_VALUE"""),"5 - Strongly Agree")</f>
        <v>5 - Strongly Agree</v>
      </c>
      <c r="X12" s="14" t="str">
        <f>IFERROR(__xludf.DUMMYFUNCTION("""COMPUTED_VALUE"""),"5 - Strongly Agree")</f>
        <v>5 - Strongly Agree</v>
      </c>
      <c r="Y12" s="14" t="str">
        <f>IFERROR(__xludf.DUMMYFUNCTION("""COMPUTED_VALUE"""),"5 - Strongly Agree")</f>
        <v>5 - Strongly Agree</v>
      </c>
      <c r="Z12" s="14" t="str">
        <f>IFERROR(__xludf.DUMMYFUNCTION("""COMPUTED_VALUE"""),"5 - Strongly Agree")</f>
        <v>5 - Strongly Agree</v>
      </c>
      <c r="AA12" s="14" t="str">
        <f>IFERROR(__xludf.DUMMYFUNCTION("""COMPUTED_VALUE"""),"5 - Strongly Agree")</f>
        <v>5 - Strongly Agree</v>
      </c>
      <c r="AB12" s="14" t="str">
        <f>IFERROR(__xludf.DUMMYFUNCTION("""COMPUTED_VALUE"""),"5 - Strongly Agree")</f>
        <v>5 - Strongly Agree</v>
      </c>
      <c r="AC12" s="14"/>
    </row>
    <row r="13">
      <c r="A13" s="13">
        <f>IFERROR(__xludf.DUMMYFUNCTION("""COMPUTED_VALUE"""),45435.75521826388)</f>
        <v>45435.75522</v>
      </c>
      <c r="B13" s="14" t="str">
        <f>IFERROR(__xludf.DUMMYFUNCTION("""COMPUTED_VALUE"""),"Madonna- CFSN at Brilliant Detroit Southwest")</f>
        <v>Madonna- CFSN at Brilliant Detroit Southwest</v>
      </c>
      <c r="C13" s="14" t="str">
        <f>IFERROR(__xludf.DUMMYFUNCTION("""COMPUTED_VALUE"""),"Evolet Rojo Avila")</f>
        <v>Evolet Rojo Avila</v>
      </c>
      <c r="D13" s="14" t="str">
        <f>IFERROR(__xludf.DUMMYFUNCTION("""COMPUTED_VALUE"""),"Evolet loves reading books and watching videos/read along. ")</f>
        <v>Evolet loves reading books and watching videos/read along. </v>
      </c>
      <c r="E13" s="14" t="str">
        <f>IFERROR(__xludf.DUMMYFUNCTION("""COMPUTED_VALUE"""),"Evolet's favorite memory is reading the book ""Carla's Sandwich"" and discussing her favorite crazy sandwich recipes. ")</f>
        <v>Evolet's favorite memory is reading the book "Carla's Sandwich" and discussing her favorite crazy sandwich recipes. </v>
      </c>
      <c r="F13" s="14" t="str">
        <f>IFERROR(__xludf.DUMMYFUNCTION("""COMPUTED_VALUE"""),"Evolet loves reading books and talking to her mentors about their common interests. ")</f>
        <v>Evolet loves reading books and talking to her mentors about their common interests. </v>
      </c>
      <c r="G13" s="14" t="str">
        <f>IFERROR(__xludf.DUMMYFUNCTION("""COMPUTED_VALUE"""),"Evolet states that background music will help her focus during our sessions. ")</f>
        <v>Evolet states that background music will help her focus during our sessions. </v>
      </c>
      <c r="H13" s="14" t="str">
        <f>IFERROR(__xludf.DUMMYFUNCTION("""COMPUTED_VALUE"""),"""Carla's Sandwich"" and ""The Creepy Crayon""")</f>
        <v>"Carla's Sandwich" and "The Creepy Crayon"</v>
      </c>
      <c r="I13" s="14" t="str">
        <f>IFERROR(__xludf.DUMMYFUNCTION("""COMPUTED_VALUE"""),"Reading the book ""Zombies Don't Eat Veggies"" ")</f>
        <v>Reading the book "Zombies Don't Eat Veggies" </v>
      </c>
      <c r="J13" s="14" t="str">
        <f>IFERROR(__xludf.DUMMYFUNCTION("""COMPUTED_VALUE"""),"Evolet's favorite part of the program is reading. ")</f>
        <v>Evolet's favorite part of the program is reading. </v>
      </c>
      <c r="K13" s="14" t="str">
        <f>IFERROR(__xludf.DUMMYFUNCTION("""COMPUTED_VALUE"""),"Evolet feels safe and happy when she is with her cousins. ")</f>
        <v>Evolet feels safe and happy when she is with her cousins. </v>
      </c>
      <c r="L13" s="14" t="str">
        <f>IFERROR(__xludf.DUMMYFUNCTION("""COMPUTED_VALUE"""),"Incorporate more videos and games. Have more discussions about school. ")</f>
        <v>Incorporate more videos and games. Have more discussions about school. </v>
      </c>
      <c r="M13" s="14" t="str">
        <f>IFERROR(__xludf.DUMMYFUNCTION("""COMPUTED_VALUE"""),"Evolet enjoys all parts of the program. ")</f>
        <v>Evolet enjoys all parts of the program. </v>
      </c>
      <c r="N13" s="14" t="str">
        <f>IFERROR(__xludf.DUMMYFUNCTION("""COMPUTED_VALUE"""),"Evolet enjoys watching read along videos. ")</f>
        <v>Evolet enjoys watching read along videos. </v>
      </c>
      <c r="O13" s="14"/>
      <c r="P13" s="14" t="str">
        <f>IFERROR(__xludf.DUMMYFUNCTION("""COMPUTED_VALUE"""),"Evolet believes she has grown in her reading skills. ")</f>
        <v>Evolet believes she has grown in her reading skills. </v>
      </c>
      <c r="Q13" s="14" t="str">
        <f>IFERROR(__xludf.DUMMYFUNCTION("""COMPUTED_VALUE"""),"4 - Agree")</f>
        <v>4 - Agree</v>
      </c>
      <c r="R13" s="14" t="str">
        <f>IFERROR(__xludf.DUMMYFUNCTION("""COMPUTED_VALUE"""),"4 - Agree")</f>
        <v>4 - Agree</v>
      </c>
      <c r="S13" s="14" t="str">
        <f>IFERROR(__xludf.DUMMYFUNCTION("""COMPUTED_VALUE"""),"5 - Strongly Agree")</f>
        <v>5 - Strongly Agree</v>
      </c>
      <c r="T13" s="14" t="str">
        <f>IFERROR(__xludf.DUMMYFUNCTION("""COMPUTED_VALUE"""),"5 - Strongly Agree")</f>
        <v>5 - Strongly Agree</v>
      </c>
      <c r="U13" s="14" t="str">
        <f>IFERROR(__xludf.DUMMYFUNCTION("""COMPUTED_VALUE"""),"5 - Strongly Agree")</f>
        <v>5 - Strongly Agree</v>
      </c>
      <c r="V13" s="14" t="str">
        <f>IFERROR(__xludf.DUMMYFUNCTION("""COMPUTED_VALUE"""),"5 - Strongly Agree")</f>
        <v>5 - Strongly Agree</v>
      </c>
      <c r="W13" s="14" t="str">
        <f>IFERROR(__xludf.DUMMYFUNCTION("""COMPUTED_VALUE"""),"5 - Strongly Agree")</f>
        <v>5 - Strongly Agree</v>
      </c>
      <c r="X13" s="14" t="str">
        <f>IFERROR(__xludf.DUMMYFUNCTION("""COMPUTED_VALUE"""),"5 - Strongly Agree")</f>
        <v>5 - Strongly Agree</v>
      </c>
      <c r="Y13" s="14" t="str">
        <f>IFERROR(__xludf.DUMMYFUNCTION("""COMPUTED_VALUE"""),"5 - Strongly Agree")</f>
        <v>5 - Strongly Agree</v>
      </c>
      <c r="Z13" s="14" t="str">
        <f>IFERROR(__xludf.DUMMYFUNCTION("""COMPUTED_VALUE"""),"5 - Strongly Agree")</f>
        <v>5 - Strongly Agree</v>
      </c>
      <c r="AA13" s="14" t="str">
        <f>IFERROR(__xludf.DUMMYFUNCTION("""COMPUTED_VALUE"""),"5 - Strongly Agree")</f>
        <v>5 - Strongly Agree</v>
      </c>
      <c r="AB13" s="14" t="str">
        <f>IFERROR(__xludf.DUMMYFUNCTION("""COMPUTED_VALUE"""),"5 - Strongly Agree")</f>
        <v>5 - Strongly Agree</v>
      </c>
      <c r="AC13" s="14" t="str">
        <f>IFERROR(__xludf.DUMMYFUNCTION("""COMPUTED_VALUE"""),":)")</f>
        <v>:)</v>
      </c>
    </row>
    <row r="14">
      <c r="A14" s="13">
        <f>IFERROR(__xludf.DUMMYFUNCTION("""COMPUTED_VALUE"""),45435.76112565972)</f>
        <v>45435.76113</v>
      </c>
      <c r="B14" s="14" t="str">
        <f>IFERROR(__xludf.DUMMYFUNCTION("""COMPUTED_VALUE"""),"Madonna- CFSN at Brilliant Detroit Southwest")</f>
        <v>Madonna- CFSN at Brilliant Detroit Southwest</v>
      </c>
      <c r="C14" s="14" t="str">
        <f>IFERROR(__xludf.DUMMYFUNCTION("""COMPUTED_VALUE"""),"Camila ")</f>
        <v>Camila </v>
      </c>
      <c r="D14" s="14" t="str">
        <f>IFERROR(__xludf.DUMMYFUNCTION("""COMPUTED_VALUE"""),"Camila said she keeps coming back to each session because she likes to draw on the whiteboard on Zoom, reading books, and writing. ")</f>
        <v>Camila said she keeps coming back to each session because she likes to draw on the whiteboard on Zoom, reading books, and writing. </v>
      </c>
      <c r="E14" s="14" t="str">
        <f>IFERROR(__xludf.DUMMYFUNCTION("""COMPUTED_VALUE"""),"Camila said her favorite memory from mentoring this year was playing hangman with her mentor. ")</f>
        <v>Camila said her favorite memory from mentoring this year was playing hangman with her mentor. </v>
      </c>
      <c r="F14" s="14" t="str">
        <f>IFERROR(__xludf.DUMMYFUNCTION("""COMPUTED_VALUE"""),"Camila is unsure. ")</f>
        <v>Camila is unsure. </v>
      </c>
      <c r="G14" s="14" t="str">
        <f>IFERROR(__xludf.DUMMYFUNCTION("""COMPUTED_VALUE"""),"Camila feels math would help her focus during her sessions. ")</f>
        <v>Camila feels math would help her focus during her sessions. </v>
      </c>
      <c r="H14" s="14" t="str">
        <f>IFERROR(__xludf.DUMMYFUNCTION("""COMPUTED_VALUE"""),"Her favorite book is ""Dog Man a Tale of Two Kitties."" ")</f>
        <v>Her favorite book is "Dog Man a Tale of Two Kitties." </v>
      </c>
      <c r="I14" s="14" t="str">
        <f>IFERROR(__xludf.DUMMYFUNCTION("""COMPUTED_VALUE"""),"Her mentor made her laugh this year during mentoring. ")</f>
        <v>Her mentor made her laugh this year during mentoring. </v>
      </c>
      <c r="J14" s="14" t="str">
        <f>IFERROR(__xludf.DUMMYFUNCTION("""COMPUTED_VALUE"""),"Her favorite part of the mentoring program is laughing together with her mentor during reading time. ")</f>
        <v>Her favorite part of the mentoring program is laughing together with her mentor during reading time. </v>
      </c>
      <c r="K14" s="14" t="str">
        <f>IFERROR(__xludf.DUMMYFUNCTION("""COMPUTED_VALUE"""),"Camila feels happy when she gives a hug to her mom or her dad. ")</f>
        <v>Camila feels happy when she gives a hug to her mom or her dad. </v>
      </c>
      <c r="L14" s="14" t="str">
        <f>IFERROR(__xludf.DUMMYFUNCTION("""COMPUTED_VALUE"""),"Camila said playing more hangman could improve the mentoring program and allotting more time for games. ")</f>
        <v>Camila said playing more hangman could improve the mentoring program and allotting more time for games. </v>
      </c>
      <c r="M14" s="14" t="str">
        <f>IFERROR(__xludf.DUMMYFUNCTION("""COMPUTED_VALUE"""),"No ")</f>
        <v>No </v>
      </c>
      <c r="N14" s="14" t="str">
        <f>IFERROR(__xludf.DUMMYFUNCTION("""COMPUTED_VALUE"""),"Camila likes hangman and drawing on the Zoom whiteboard. ")</f>
        <v>Camila likes hangman and drawing on the Zoom whiteboard. </v>
      </c>
      <c r="O14" s="14" t="str">
        <f>IFERROR(__xludf.DUMMYFUNCTION("""COMPUTED_VALUE"""),"No ")</f>
        <v>No </v>
      </c>
      <c r="P14" s="14" t="str">
        <f>IFERROR(__xludf.DUMMYFUNCTION("""COMPUTED_VALUE"""),"Yes by reading more. ")</f>
        <v>Yes by reading more. </v>
      </c>
      <c r="Q14" s="14" t="str">
        <f>IFERROR(__xludf.DUMMYFUNCTION("""COMPUTED_VALUE"""),"3 - Neutral")</f>
        <v>3 - Neutral</v>
      </c>
      <c r="R14" s="14" t="str">
        <f>IFERROR(__xludf.DUMMYFUNCTION("""COMPUTED_VALUE"""),"4 - Agree")</f>
        <v>4 - Agree</v>
      </c>
      <c r="S14" s="14" t="str">
        <f>IFERROR(__xludf.DUMMYFUNCTION("""COMPUTED_VALUE"""),"4 - Agree")</f>
        <v>4 - Agree</v>
      </c>
      <c r="T14" s="14" t="str">
        <f>IFERROR(__xludf.DUMMYFUNCTION("""COMPUTED_VALUE"""),"4 - Agree")</f>
        <v>4 - Agree</v>
      </c>
      <c r="U14" s="14" t="str">
        <f>IFERROR(__xludf.DUMMYFUNCTION("""COMPUTED_VALUE"""),"4 - Agree")</f>
        <v>4 - Agree</v>
      </c>
      <c r="V14" s="14" t="str">
        <f>IFERROR(__xludf.DUMMYFUNCTION("""COMPUTED_VALUE"""),"4 - Agree")</f>
        <v>4 - Agree</v>
      </c>
      <c r="W14" s="14" t="str">
        <f>IFERROR(__xludf.DUMMYFUNCTION("""COMPUTED_VALUE"""),"4 - Agree")</f>
        <v>4 - Agree</v>
      </c>
      <c r="X14" s="14" t="str">
        <f>IFERROR(__xludf.DUMMYFUNCTION("""COMPUTED_VALUE"""),"2 - Disagree")</f>
        <v>2 - Disagree</v>
      </c>
      <c r="Y14" s="14" t="str">
        <f>IFERROR(__xludf.DUMMYFUNCTION("""COMPUTED_VALUE"""),"3 - Neutral")</f>
        <v>3 - Neutral</v>
      </c>
      <c r="Z14" s="14" t="str">
        <f>IFERROR(__xludf.DUMMYFUNCTION("""COMPUTED_VALUE"""),"3 - Neutral")</f>
        <v>3 - Neutral</v>
      </c>
      <c r="AA14" s="14" t="str">
        <f>IFERROR(__xludf.DUMMYFUNCTION("""COMPUTED_VALUE"""),"3 - Neutral")</f>
        <v>3 - Neutral</v>
      </c>
      <c r="AB14" s="14" t="str">
        <f>IFERROR(__xludf.DUMMYFUNCTION("""COMPUTED_VALUE"""),"4 - Agree")</f>
        <v>4 - Agree</v>
      </c>
      <c r="AC14" s="1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1" t="s">
        <v>1169</v>
      </c>
      <c r="R1" s="11" t="s">
        <v>1170</v>
      </c>
      <c r="S1" s="11" t="s">
        <v>1171</v>
      </c>
      <c r="T1" s="11" t="s">
        <v>1172</v>
      </c>
      <c r="U1" s="11" t="s">
        <v>1173</v>
      </c>
      <c r="V1" s="11" t="s">
        <v>1174</v>
      </c>
      <c r="W1" s="11" t="s">
        <v>1175</v>
      </c>
      <c r="X1" s="11" t="s">
        <v>1176</v>
      </c>
      <c r="Y1" s="11" t="s">
        <v>1177</v>
      </c>
      <c r="Z1" s="11" t="s">
        <v>1178</v>
      </c>
      <c r="AA1" s="11" t="s">
        <v>1179</v>
      </c>
      <c r="AB1" s="11" t="s">
        <v>1180</v>
      </c>
      <c r="AC1" s="10" t="s">
        <v>28</v>
      </c>
      <c r="AD1" s="12"/>
      <c r="AE1" s="12"/>
      <c r="AF1" s="12"/>
      <c r="AG1" s="12"/>
      <c r="AH1" s="12"/>
      <c r="AI1" s="12"/>
    </row>
    <row r="2">
      <c r="A2" s="13">
        <f>IFERROR(__xludf.DUMMYFUNCTION("QUERY('Form Responses 1'!A2:AC1001,""Select * where B = 'Hawra/Shanelle/Lydia - CFSN at Brilliant Detroit Fitzgerald'"")"),45426.73879385417)</f>
        <v>45426.73879</v>
      </c>
      <c r="B2" s="14" t="str">
        <f>IFERROR(__xludf.DUMMYFUNCTION("""COMPUTED_VALUE"""),"Hawra/Shanelle/Lydia - CFSN at Brilliant Detroit Fitzgerald")</f>
        <v>Hawra/Shanelle/Lydia - CFSN at Brilliant Detroit Fitzgerald</v>
      </c>
      <c r="C2" s="14" t="str">
        <f>IFERROR(__xludf.DUMMYFUNCTION("""COMPUTED_VALUE"""),"Xavier ")</f>
        <v>Xavier </v>
      </c>
      <c r="D2" s="14" t="str">
        <f>IFERROR(__xludf.DUMMYFUNCTION("""COMPUTED_VALUE"""),"because i  have a session ")</f>
        <v>because i  have a session </v>
      </c>
      <c r="E2" s="14" t="str">
        <f>IFERROR(__xludf.DUMMYFUNCTION("""COMPUTED_VALUE"""),"dont know ")</f>
        <v>dont know </v>
      </c>
      <c r="F2" s="14" t="str">
        <f>IFERROR(__xludf.DUMMYFUNCTION("""COMPUTED_VALUE"""),"playing games ")</f>
        <v>playing games </v>
      </c>
      <c r="G2" s="14" t="str">
        <f>IFERROR(__xludf.DUMMYFUNCTION("""COMPUTED_VALUE"""),"the teacher ")</f>
        <v>the teacher </v>
      </c>
      <c r="H2" s="14" t="str">
        <f>IFERROR(__xludf.DUMMYFUNCTION("""COMPUTED_VALUE"""),"cars")</f>
        <v>cars</v>
      </c>
      <c r="I2" s="14" t="str">
        <f>IFERROR(__xludf.DUMMYFUNCTION("""COMPUTED_VALUE"""),"games")</f>
        <v>games</v>
      </c>
      <c r="J2" s="14" t="str">
        <f>IFERROR(__xludf.DUMMYFUNCTION("""COMPUTED_VALUE"""),"reading books ")</f>
        <v>reading books </v>
      </c>
      <c r="K2" s="14" t="str">
        <f>IFERROR(__xludf.DUMMYFUNCTION("""COMPUTED_VALUE"""),"playing games ")</f>
        <v>playing games </v>
      </c>
      <c r="L2" s="14" t="str">
        <f>IFERROR(__xludf.DUMMYFUNCTION("""COMPUTED_VALUE"""),"nothing")</f>
        <v>nothing</v>
      </c>
      <c r="M2" s="14" t="str">
        <f>IFERROR(__xludf.DUMMYFUNCTION("""COMPUTED_VALUE"""),"no")</f>
        <v>no</v>
      </c>
      <c r="N2" s="14" t="str">
        <f>IFERROR(__xludf.DUMMYFUNCTION("""COMPUTED_VALUE"""),"playing games ")</f>
        <v>playing games </v>
      </c>
      <c r="O2" s="14" t="str">
        <f>IFERROR(__xludf.DUMMYFUNCTION("""COMPUTED_VALUE"""),"don't know ")</f>
        <v>don't know </v>
      </c>
      <c r="P2" s="14" t="str">
        <f>IFERROR(__xludf.DUMMYFUNCTION("""COMPUTED_VALUE"""),"read better ")</f>
        <v>read better </v>
      </c>
      <c r="Q2" s="14" t="str">
        <f>IFERROR(__xludf.DUMMYFUNCTION("""COMPUTED_VALUE"""),"5 - Strongly Agree")</f>
        <v>5 - Strongly Agree</v>
      </c>
      <c r="R2" s="14" t="str">
        <f>IFERROR(__xludf.DUMMYFUNCTION("""COMPUTED_VALUE"""),"5 - Strongly Agree")</f>
        <v>5 - Strongly Agree</v>
      </c>
      <c r="S2" s="14" t="str">
        <f>IFERROR(__xludf.DUMMYFUNCTION("""COMPUTED_VALUE"""),"5 - Strongly Agree")</f>
        <v>5 - Strongly Agree</v>
      </c>
      <c r="T2" s="14" t="str">
        <f>IFERROR(__xludf.DUMMYFUNCTION("""COMPUTED_VALUE"""),"1 - Strongly Disagree")</f>
        <v>1 - Strongly Disagree</v>
      </c>
      <c r="U2" s="14" t="str">
        <f>IFERROR(__xludf.DUMMYFUNCTION("""COMPUTED_VALUE"""),"5 - Strongly Agree")</f>
        <v>5 - Strongly Agree</v>
      </c>
      <c r="V2" s="14" t="str">
        <f>IFERROR(__xludf.DUMMYFUNCTION("""COMPUTED_VALUE"""),"5 - Strongly Agree")</f>
        <v>5 - Strongly Agree</v>
      </c>
      <c r="W2" s="14" t="str">
        <f>IFERROR(__xludf.DUMMYFUNCTION("""COMPUTED_VALUE"""),"5 - Strongly Agree")</f>
        <v>5 - Strongly Agree</v>
      </c>
      <c r="X2" s="14" t="str">
        <f>IFERROR(__xludf.DUMMYFUNCTION("""COMPUTED_VALUE"""),"5 - Strongly Agree")</f>
        <v>5 - Strongly Agree</v>
      </c>
      <c r="Y2" s="14" t="str">
        <f>IFERROR(__xludf.DUMMYFUNCTION("""COMPUTED_VALUE"""),"5 - Strongly Agree")</f>
        <v>5 - Strongly Agree</v>
      </c>
      <c r="Z2" s="14" t="str">
        <f>IFERROR(__xludf.DUMMYFUNCTION("""COMPUTED_VALUE"""),"4 - Agree")</f>
        <v>4 - Agree</v>
      </c>
      <c r="AA2" s="14" t="str">
        <f>IFERROR(__xludf.DUMMYFUNCTION("""COMPUTED_VALUE"""),"4 - Agree")</f>
        <v>4 - Agree</v>
      </c>
      <c r="AB2" s="14" t="str">
        <f>IFERROR(__xludf.DUMMYFUNCTION("""COMPUTED_VALUE"""),"2 - Disagree")</f>
        <v>2 - Disagree</v>
      </c>
      <c r="AC2" s="14"/>
    </row>
    <row r="3">
      <c r="A3" s="13">
        <f>IFERROR(__xludf.DUMMYFUNCTION("""COMPUTED_VALUE"""),45428.75941030092)</f>
        <v>45428.75941</v>
      </c>
      <c r="B3" s="14" t="str">
        <f>IFERROR(__xludf.DUMMYFUNCTION("""COMPUTED_VALUE"""),"Hawra/Shanelle/Lydia - CFSN at Brilliant Detroit Fitzgerald")</f>
        <v>Hawra/Shanelle/Lydia - CFSN at Brilliant Detroit Fitzgerald</v>
      </c>
      <c r="C3" s="14" t="str">
        <f>IFERROR(__xludf.DUMMYFUNCTION("""COMPUTED_VALUE"""),"Khairi ")</f>
        <v>Khairi </v>
      </c>
      <c r="D3" s="14" t="str">
        <f>IFERROR(__xludf.DUMMYFUNCTION("""COMPUTED_VALUE"""),"Teachers ")</f>
        <v>Teachers </v>
      </c>
      <c r="E3" s="14" t="str">
        <f>IFERROR(__xludf.DUMMYFUNCTION("""COMPUTED_VALUE"""),"reading ")</f>
        <v>reading </v>
      </c>
      <c r="F3" s="14" t="str">
        <f>IFERROR(__xludf.DUMMYFUNCTION("""COMPUTED_VALUE"""),"i like reading ")</f>
        <v>i like reading </v>
      </c>
      <c r="G3" s="14" t="str">
        <f>IFERROR(__xludf.DUMMYFUNCTION("""COMPUTED_VALUE"""),"if i was in the corner ")</f>
        <v>if i was in the corner </v>
      </c>
      <c r="H3" s="14" t="str">
        <f>IFERROR(__xludf.DUMMYFUNCTION("""COMPUTED_VALUE"""),"i like to read Dog man books ")</f>
        <v>i like to read Dog man books </v>
      </c>
      <c r="I3" s="14" t="str">
        <f>IFERROR(__xludf.DUMMYFUNCTION("""COMPUTED_VALUE"""),"when the book says something funny ")</f>
        <v>when the book says something funny </v>
      </c>
      <c r="J3" s="14" t="str">
        <f>IFERROR(__xludf.DUMMYFUNCTION("""COMPUTED_VALUE"""),"reading ")</f>
        <v>reading </v>
      </c>
      <c r="K3" s="14" t="str">
        <f>IFERROR(__xludf.DUMMYFUNCTION("""COMPUTED_VALUE"""),"i feel safe with my mom ")</f>
        <v>i feel safe with my mom </v>
      </c>
      <c r="L3" s="14" t="str">
        <f>IFERROR(__xludf.DUMMYFUNCTION("""COMPUTED_VALUE"""),"i dont know ")</f>
        <v>i dont know </v>
      </c>
      <c r="M3" s="14" t="str">
        <f>IFERROR(__xludf.DUMMYFUNCTION("""COMPUTED_VALUE"""),"no i get frustrated when i get the word wrong ")</f>
        <v>no i get frustrated when i get the word wrong </v>
      </c>
      <c r="N3" s="14" t="str">
        <f>IFERROR(__xludf.DUMMYFUNCTION("""COMPUTED_VALUE"""),"i enjoy playing marco polo ")</f>
        <v>i enjoy playing marco polo </v>
      </c>
      <c r="O3" s="14" t="str">
        <f>IFERROR(__xludf.DUMMYFUNCTION("""COMPUTED_VALUE"""),"i think it is good ")</f>
        <v>i think it is good </v>
      </c>
      <c r="P3" s="14" t="str">
        <f>IFERROR(__xludf.DUMMYFUNCTION("""COMPUTED_VALUE"""),"a little bit ")</f>
        <v>a little bit </v>
      </c>
      <c r="Q3" s="14" t="str">
        <f>IFERROR(__xludf.DUMMYFUNCTION("""COMPUTED_VALUE"""),"4 - Agree")</f>
        <v>4 - Agree</v>
      </c>
      <c r="R3" s="14" t="str">
        <f>IFERROR(__xludf.DUMMYFUNCTION("""COMPUTED_VALUE"""),"4 - Agree")</f>
        <v>4 - Agree</v>
      </c>
      <c r="S3" s="14" t="str">
        <f>IFERROR(__xludf.DUMMYFUNCTION("""COMPUTED_VALUE"""),"5 - Strongly Agree")</f>
        <v>5 - Strongly Agree</v>
      </c>
      <c r="T3" s="14" t="str">
        <f>IFERROR(__xludf.DUMMYFUNCTION("""COMPUTED_VALUE"""),"3 - Neutral")</f>
        <v>3 - Neutral</v>
      </c>
      <c r="U3" s="14" t="str">
        <f>IFERROR(__xludf.DUMMYFUNCTION("""COMPUTED_VALUE"""),"4 - Agree")</f>
        <v>4 - Agree</v>
      </c>
      <c r="V3" s="14" t="str">
        <f>IFERROR(__xludf.DUMMYFUNCTION("""COMPUTED_VALUE"""),"4 - Agree")</f>
        <v>4 - Agree</v>
      </c>
      <c r="W3" s="14" t="str">
        <f>IFERROR(__xludf.DUMMYFUNCTION("""COMPUTED_VALUE"""),"5 - Strongly Agree")</f>
        <v>5 - Strongly Agree</v>
      </c>
      <c r="X3" s="14" t="str">
        <f>IFERROR(__xludf.DUMMYFUNCTION("""COMPUTED_VALUE"""),"5 - Strongly Agree")</f>
        <v>5 - Strongly Agree</v>
      </c>
      <c r="Y3" s="14" t="str">
        <f>IFERROR(__xludf.DUMMYFUNCTION("""COMPUTED_VALUE"""),"4 - Agree")</f>
        <v>4 - Agree</v>
      </c>
      <c r="Z3" s="14" t="str">
        <f>IFERROR(__xludf.DUMMYFUNCTION("""COMPUTED_VALUE"""),"3 - Neutral")</f>
        <v>3 - Neutral</v>
      </c>
      <c r="AA3" s="14" t="str">
        <f>IFERROR(__xludf.DUMMYFUNCTION("""COMPUTED_VALUE"""),"3 - Neutral")</f>
        <v>3 - Neutral</v>
      </c>
      <c r="AB3" s="14" t="str">
        <f>IFERROR(__xludf.DUMMYFUNCTION("""COMPUTED_VALUE"""),"5 - Strongly Agree")</f>
        <v>5 - Strongly Agree</v>
      </c>
      <c r="AC3" s="14"/>
    </row>
    <row r="4">
      <c r="A4" s="13">
        <f>IFERROR(__xludf.DUMMYFUNCTION("""COMPUTED_VALUE"""),45433.7674616088)</f>
        <v>45433.76746</v>
      </c>
      <c r="B4" s="14" t="str">
        <f>IFERROR(__xludf.DUMMYFUNCTION("""COMPUTED_VALUE"""),"Hawra/Shanelle/Lydia - CFSN at Brilliant Detroit Fitzgerald")</f>
        <v>Hawra/Shanelle/Lydia - CFSN at Brilliant Detroit Fitzgerald</v>
      </c>
      <c r="C4" s="14" t="str">
        <f>IFERROR(__xludf.DUMMYFUNCTION("""COMPUTED_VALUE"""),"Eric")</f>
        <v>Eric</v>
      </c>
      <c r="D4" s="14" t="str">
        <f>IFERROR(__xludf.DUMMYFUNCTION("""COMPUTED_VALUE"""),"Doing all the activties.")</f>
        <v>Doing all the activties.</v>
      </c>
      <c r="E4" s="14" t="str">
        <f>IFERROR(__xludf.DUMMYFUNCTION("""COMPUTED_VALUE"""),"playing all the games and having fun.")</f>
        <v>playing all the games and having fun.</v>
      </c>
      <c r="F4" s="14" t="str">
        <f>IFERROR(__xludf.DUMMYFUNCTION("""COMPUTED_VALUE"""),"to have fun and play games.")</f>
        <v>to have fun and play games.</v>
      </c>
      <c r="G4" s="14" t="str">
        <f>IFERROR(__xludf.DUMMYFUNCTION("""COMPUTED_VALUE"""),"taking little breaks")</f>
        <v>taking little breaks</v>
      </c>
      <c r="H4" s="14" t="str">
        <f>IFERROR(__xludf.DUMMYFUNCTION("""COMPUTED_VALUE"""),"rickky roiccta")</f>
        <v>rickky roiccta</v>
      </c>
      <c r="I4" s="14" t="str">
        <f>IFERROR(__xludf.DUMMYFUNCTION("""COMPUTED_VALUE"""),"reading silly books")</f>
        <v>reading silly books</v>
      </c>
      <c r="J4" s="14" t="str">
        <f>IFERROR(__xludf.DUMMYFUNCTION("""COMPUTED_VALUE"""),"doing all the activites, such as drawing, free drawing, play games, and reading")</f>
        <v>doing all the activites, such as drawing, free drawing, play games, and reading</v>
      </c>
      <c r="K4" s="14" t="str">
        <f>IFERROR(__xludf.DUMMYFUNCTION("""COMPUTED_VALUE"""),"during mentoring ")</f>
        <v>during mentoring </v>
      </c>
      <c r="L4" s="14" t="str">
        <f>IFERROR(__xludf.DUMMYFUNCTION("""COMPUTED_VALUE"""),"more fun game options")</f>
        <v>more fun game options</v>
      </c>
      <c r="M4" s="14" t="str">
        <f>IFERROR(__xludf.DUMMYFUNCTION("""COMPUTED_VALUE"""),"no!")</f>
        <v>no!</v>
      </c>
      <c r="N4" s="14" t="str">
        <f>IFERROR(__xludf.DUMMYFUNCTION("""COMPUTED_VALUE"""),"math games, and learning game.")</f>
        <v>math games, and learning game.</v>
      </c>
      <c r="O4" s="14" t="str">
        <f>IFERROR(__xludf.DUMMYFUNCTION("""COMPUTED_VALUE"""),"nothing")</f>
        <v>nothing</v>
      </c>
      <c r="P4" s="14" t="str">
        <f>IFERROR(__xludf.DUMMYFUNCTION("""COMPUTED_VALUE"""),"understanding how to say words, and saying things properly.")</f>
        <v>understanding how to say words, and saying things properly.</v>
      </c>
      <c r="Q4" s="14" t="str">
        <f>IFERROR(__xludf.DUMMYFUNCTION("""COMPUTED_VALUE"""),"5 - Strongly Agree")</f>
        <v>5 - Strongly Agree</v>
      </c>
      <c r="R4" s="14" t="str">
        <f>IFERROR(__xludf.DUMMYFUNCTION("""COMPUTED_VALUE"""),"4 - Agree")</f>
        <v>4 - Agree</v>
      </c>
      <c r="S4" s="14" t="str">
        <f>IFERROR(__xludf.DUMMYFUNCTION("""COMPUTED_VALUE"""),"4 - Agree")</f>
        <v>4 - Agree</v>
      </c>
      <c r="T4" s="14" t="str">
        <f>IFERROR(__xludf.DUMMYFUNCTION("""COMPUTED_VALUE"""),"3 - Neutral")</f>
        <v>3 - Neutral</v>
      </c>
      <c r="U4" s="14" t="str">
        <f>IFERROR(__xludf.DUMMYFUNCTION("""COMPUTED_VALUE"""),"5 - Strongly Agree")</f>
        <v>5 - Strongly Agree</v>
      </c>
      <c r="V4" s="14" t="str">
        <f>IFERROR(__xludf.DUMMYFUNCTION("""COMPUTED_VALUE"""),"5 - Strongly Agree")</f>
        <v>5 - Strongly Agree</v>
      </c>
      <c r="W4" s="14" t="str">
        <f>IFERROR(__xludf.DUMMYFUNCTION("""COMPUTED_VALUE"""),"5 - Strongly Agree")</f>
        <v>5 - Strongly Agree</v>
      </c>
      <c r="X4" s="14" t="str">
        <f>IFERROR(__xludf.DUMMYFUNCTION("""COMPUTED_VALUE"""),"1 - Strongly Disagree")</f>
        <v>1 - Strongly Disagree</v>
      </c>
      <c r="Y4" s="14" t="str">
        <f>IFERROR(__xludf.DUMMYFUNCTION("""COMPUTED_VALUE"""),"5 - Strongly Agree")</f>
        <v>5 - Strongly Agree</v>
      </c>
      <c r="Z4" s="14" t="str">
        <f>IFERROR(__xludf.DUMMYFUNCTION("""COMPUTED_VALUE"""),"5 - Strongly Agree")</f>
        <v>5 - Strongly Agree</v>
      </c>
      <c r="AA4" s="14" t="str">
        <f>IFERROR(__xludf.DUMMYFUNCTION("""COMPUTED_VALUE"""),"3 - Neutral")</f>
        <v>3 - Neutral</v>
      </c>
      <c r="AB4" s="14" t="str">
        <f>IFERROR(__xludf.DUMMYFUNCTION("""COMPUTED_VALUE"""),"5 - Strongly Agree")</f>
        <v>5 - Strongly Agree</v>
      </c>
      <c r="AC4" s="1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21.5"/>
    <col customWidth="1" min="5" max="5" width="17.0"/>
    <col customWidth="1" min="12" max="12" width="33.5"/>
    <col customWidth="1" min="13" max="13" width="30.5"/>
  </cols>
  <sheetData>
    <row r="1">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1" t="s">
        <v>1169</v>
      </c>
      <c r="R1" s="11" t="s">
        <v>1170</v>
      </c>
      <c r="S1" s="11" t="s">
        <v>1171</v>
      </c>
      <c r="T1" s="11" t="s">
        <v>1172</v>
      </c>
      <c r="U1" s="11" t="s">
        <v>1173</v>
      </c>
      <c r="V1" s="11" t="s">
        <v>1174</v>
      </c>
      <c r="W1" s="11" t="s">
        <v>1175</v>
      </c>
      <c r="X1" s="11" t="s">
        <v>1176</v>
      </c>
      <c r="Y1" s="11" t="s">
        <v>1177</v>
      </c>
      <c r="Z1" s="11" t="s">
        <v>1178</v>
      </c>
      <c r="AA1" s="11" t="s">
        <v>1179</v>
      </c>
      <c r="AB1" s="11" t="s">
        <v>1180</v>
      </c>
      <c r="AC1" s="10" t="s">
        <v>28</v>
      </c>
      <c r="AD1" s="12"/>
      <c r="AE1" s="12"/>
      <c r="AF1" s="12"/>
      <c r="AG1" s="12"/>
      <c r="AH1" s="12"/>
      <c r="AI1" s="12"/>
    </row>
    <row r="2">
      <c r="A2" s="15">
        <f>IFERROR(__xludf.DUMMYFUNCTION("QUERY('Form Responses 1'!A2:AC1001,""Select * where B = 'Amy - CFSN at Downtown Boxing Gym'"")"),45419.70209289352)</f>
        <v>45419.70209</v>
      </c>
      <c r="B2" s="5" t="str">
        <f>IFERROR(__xludf.DUMMYFUNCTION("""COMPUTED_VALUE"""),"Amy - CFSN at Downtown Boxing Gym")</f>
        <v>Amy - CFSN at Downtown Boxing Gym</v>
      </c>
      <c r="C2" s="5" t="str">
        <f>IFERROR(__xludf.DUMMYFUNCTION("""COMPUTED_VALUE"""),"Martez Mullen")</f>
        <v>Martez Mullen</v>
      </c>
      <c r="D2" s="5" t="str">
        <f>IFERROR(__xludf.DUMMYFUNCTION("""COMPUTED_VALUE"""),"I like it here, I like answering questions at CFS")</f>
        <v>I like it here, I like answering questions at CFS</v>
      </c>
      <c r="E2" s="5" t="str">
        <f>IFERROR(__xludf.DUMMYFUNCTION("""COMPUTED_VALUE"""),"I liked answering questions with my mentor")</f>
        <v>I liked answering questions with my mentor</v>
      </c>
      <c r="F2" s="5" t="str">
        <f>IFERROR(__xludf.DUMMYFUNCTION("""COMPUTED_VALUE"""),"I am treated with respect")</f>
        <v>I am treated with respect</v>
      </c>
      <c r="G2" s="5" t="str">
        <f>IFERROR(__xludf.DUMMYFUNCTION("""COMPUTED_VALUE"""),"when its quiet so i can focus")</f>
        <v>when its quiet so i can focus</v>
      </c>
      <c r="H2" s="5" t="str">
        <f>IFERROR(__xludf.DUMMYFUNCTION("""COMPUTED_VALUE"""),"A diary of a wimpy  kid")</f>
        <v>A diary of a wimpy  kid</v>
      </c>
      <c r="I2" s="5" t="str">
        <f>IFERROR(__xludf.DUMMYFUNCTION("""COMPUTED_VALUE"""),"nothing")</f>
        <v>nothing</v>
      </c>
      <c r="J2" s="5" t="str">
        <f>IFERROR(__xludf.DUMMYFUNCTION("""COMPUTED_VALUE"""),"when i get to read stories")</f>
        <v>when i get to read stories</v>
      </c>
      <c r="K2" s="5" t="str">
        <f>IFERROR(__xludf.DUMMYFUNCTION("""COMPUTED_VALUE"""),"playing fortnite")</f>
        <v>playing fortnite</v>
      </c>
      <c r="L2" s="5" t="str">
        <f>IFERROR(__xludf.DUMMYFUNCTION("""COMPUTED_VALUE"""),"nothing")</f>
        <v>nothing</v>
      </c>
      <c r="M2" s="5" t="str">
        <f>IFERROR(__xludf.DUMMYFUNCTION("""COMPUTED_VALUE"""),"The length of time it takes to finish a book")</f>
        <v>The length of time it takes to finish a book</v>
      </c>
      <c r="N2" s="5" t="str">
        <f>IFERROR(__xludf.DUMMYFUNCTION("""COMPUTED_VALUE"""),"answering questions")</f>
        <v>answering questions</v>
      </c>
      <c r="O2" s="5" t="str">
        <f>IFERROR(__xludf.DUMMYFUNCTION("""COMPUTED_VALUE"""),"nothing")</f>
        <v>nothing</v>
      </c>
      <c r="P2" s="5" t="str">
        <f>IFERROR(__xludf.DUMMYFUNCTION("""COMPUTED_VALUE"""),"I feel like my reading has improved")</f>
        <v>I feel like my reading has improved</v>
      </c>
      <c r="Q2" s="5" t="str">
        <f>IFERROR(__xludf.DUMMYFUNCTION("""COMPUTED_VALUE"""),"4 - Agree")</f>
        <v>4 - Agree</v>
      </c>
      <c r="R2" s="5" t="str">
        <f>IFERROR(__xludf.DUMMYFUNCTION("""COMPUTED_VALUE"""),"4 - Agree")</f>
        <v>4 - Agree</v>
      </c>
      <c r="S2" s="5" t="str">
        <f>IFERROR(__xludf.DUMMYFUNCTION("""COMPUTED_VALUE"""),"3 - Neutral")</f>
        <v>3 - Neutral</v>
      </c>
      <c r="T2" s="5" t="str">
        <f>IFERROR(__xludf.DUMMYFUNCTION("""COMPUTED_VALUE"""),"5 - Strongly Agree")</f>
        <v>5 - Strongly Agree</v>
      </c>
      <c r="U2" s="5" t="str">
        <f>IFERROR(__xludf.DUMMYFUNCTION("""COMPUTED_VALUE"""),"3 - Neutral")</f>
        <v>3 - Neutral</v>
      </c>
      <c r="V2" s="5" t="str">
        <f>IFERROR(__xludf.DUMMYFUNCTION("""COMPUTED_VALUE"""),"4 - Agree")</f>
        <v>4 - Agree</v>
      </c>
      <c r="W2" s="5" t="str">
        <f>IFERROR(__xludf.DUMMYFUNCTION("""COMPUTED_VALUE"""),"3 - Neutral")</f>
        <v>3 - Neutral</v>
      </c>
      <c r="X2" s="5" t="str">
        <f>IFERROR(__xludf.DUMMYFUNCTION("""COMPUTED_VALUE"""),"2 - Disagree")</f>
        <v>2 - Disagree</v>
      </c>
      <c r="Y2" s="5" t="str">
        <f>IFERROR(__xludf.DUMMYFUNCTION("""COMPUTED_VALUE"""),"4 - Agree")</f>
        <v>4 - Agree</v>
      </c>
      <c r="Z2" s="5" t="str">
        <f>IFERROR(__xludf.DUMMYFUNCTION("""COMPUTED_VALUE"""),"5 - Strongly Agree")</f>
        <v>5 - Strongly Agree</v>
      </c>
      <c r="AA2" s="5" t="str">
        <f>IFERROR(__xludf.DUMMYFUNCTION("""COMPUTED_VALUE"""),"5 - Strongly Agree")</f>
        <v>5 - Strongly Agree</v>
      </c>
      <c r="AB2" s="5" t="str">
        <f>IFERROR(__xludf.DUMMYFUNCTION("""COMPUTED_VALUE"""),"4 - Agree")</f>
        <v>4 - Agree</v>
      </c>
      <c r="AC2" s="5" t="str">
        <f>IFERROR(__xludf.DUMMYFUNCTION("""COMPUTED_VALUE"""),"im good thanks")</f>
        <v>im good thanks</v>
      </c>
      <c r="AD2" s="5"/>
      <c r="AE2" s="5"/>
      <c r="AF2" s="5"/>
      <c r="AG2" s="5"/>
      <c r="AH2" s="5"/>
      <c r="AI2" s="5"/>
    </row>
    <row r="3">
      <c r="A3" s="15">
        <f>IFERROR(__xludf.DUMMYFUNCTION("""COMPUTED_VALUE"""),45419.7072078125)</f>
        <v>45419.70721</v>
      </c>
      <c r="B3" s="5" t="str">
        <f>IFERROR(__xludf.DUMMYFUNCTION("""COMPUTED_VALUE"""),"Amy - CFSN at Downtown Boxing Gym")</f>
        <v>Amy - CFSN at Downtown Boxing Gym</v>
      </c>
      <c r="C3" s="5" t="str">
        <f>IFERROR(__xludf.DUMMYFUNCTION("""COMPUTED_VALUE"""),"Maddison")</f>
        <v>Maddison</v>
      </c>
      <c r="D3" s="5" t="str">
        <f>IFERROR(__xludf.DUMMYFUNCTION("""COMPUTED_VALUE"""),"The fun games and reading.")</f>
        <v>The fun games and reading.</v>
      </c>
      <c r="E3" s="5" t="str">
        <f>IFERROR(__xludf.DUMMYFUNCTION("""COMPUTED_VALUE"""),"Reading fun books, and games, and tic tac toe. ")</f>
        <v>Reading fun books, and games, and tic tac toe. </v>
      </c>
      <c r="F3" s="5" t="str">
        <f>IFERROR(__xludf.DUMMYFUNCTION("""COMPUTED_VALUE"""),"If we got to have one day no reading and just playing games")</f>
        <v>If we got to have one day no reading and just playing games</v>
      </c>
      <c r="G3" s="5" t="str">
        <f>IFERROR(__xludf.DUMMYFUNCTION("""COMPUTED_VALUE"""),"Peace and quiet")</f>
        <v>Peace and quiet</v>
      </c>
      <c r="H3" s="5" t="str">
        <f>IFERROR(__xludf.DUMMYFUNCTION("""COMPUTED_VALUE"""),"I like to read Judy Mood")</f>
        <v>I like to read Judy Mood</v>
      </c>
      <c r="I3" s="5" t="str">
        <f>IFERROR(__xludf.DUMMYFUNCTION("""COMPUTED_VALUE"""),"When my mentor let me accidently let me win in tic tac toe")</f>
        <v>When my mentor let me accidently let me win in tic tac toe</v>
      </c>
      <c r="J3" s="5" t="str">
        <f>IFERROR(__xludf.DUMMYFUNCTION("""COMPUTED_VALUE"""),"You get to be with nice mentors")</f>
        <v>You get to be with nice mentors</v>
      </c>
      <c r="K3" s="5" t="str">
        <f>IFERROR(__xludf.DUMMYFUNCTION("""COMPUTED_VALUE"""),"Peace and quiet and friends and tic tac toe")</f>
        <v>Peace and quiet and friends and tic tac toe</v>
      </c>
      <c r="L3" s="5" t="str">
        <f>IFERROR(__xludf.DUMMYFUNCTION("""COMPUTED_VALUE"""),"It could improve by if you have two days of CFS one day it could be in person and one day could be in person and if you have one day like me on Tuesday one Tuesday can be in person and one Tuesday can be on the computer. ")</f>
        <v>It could improve by if you have two days of CFS one day it could be in person and one day could be in person and if you have one day like me on Tuesday one Tuesday can be in person and one Tuesday can be on the computer. </v>
      </c>
      <c r="M3" s="5" t="str">
        <f>IFERROR(__xludf.DUMMYFUNCTION("""COMPUTED_VALUE"""),"No nothing ")</f>
        <v>No nothing </v>
      </c>
      <c r="N3" s="5" t="str">
        <f>IFERROR(__xludf.DUMMYFUNCTION("""COMPUTED_VALUE"""),"Context clues ")</f>
        <v>Context clues </v>
      </c>
      <c r="O3" s="5" t="str">
        <f>IFERROR(__xludf.DUMMYFUNCTION("""COMPUTED_VALUE"""),"Having more fun everyday ")</f>
        <v>Having more fun everyday </v>
      </c>
      <c r="P3" s="5" t="str">
        <f>IFERROR(__xludf.DUMMYFUNCTION("""COMPUTED_VALUE"""),"I've grown by learning a lot of context clues and reading a lot. ")</f>
        <v>I've grown by learning a lot of context clues and reading a lot. </v>
      </c>
      <c r="Q3" s="5" t="str">
        <f>IFERROR(__xludf.DUMMYFUNCTION("""COMPUTED_VALUE"""),"5 - Strongly Agree")</f>
        <v>5 - Strongly Agree</v>
      </c>
      <c r="R3" s="5" t="str">
        <f>IFERROR(__xludf.DUMMYFUNCTION("""COMPUTED_VALUE"""),"5 - Strongly Agree")</f>
        <v>5 - Strongly Agree</v>
      </c>
      <c r="S3" s="5" t="str">
        <f>IFERROR(__xludf.DUMMYFUNCTION("""COMPUTED_VALUE"""),"5 - Strongly Agree")</f>
        <v>5 - Strongly Agree</v>
      </c>
      <c r="T3" s="5" t="str">
        <f>IFERROR(__xludf.DUMMYFUNCTION("""COMPUTED_VALUE"""),"5 - Strongly Agree")</f>
        <v>5 - Strongly Agree</v>
      </c>
      <c r="U3" s="5" t="str">
        <f>IFERROR(__xludf.DUMMYFUNCTION("""COMPUTED_VALUE"""),"5 - Strongly Agree")</f>
        <v>5 - Strongly Agree</v>
      </c>
      <c r="V3" s="5" t="str">
        <f>IFERROR(__xludf.DUMMYFUNCTION("""COMPUTED_VALUE"""),"5 - Strongly Agree")</f>
        <v>5 - Strongly Agree</v>
      </c>
      <c r="W3" s="5" t="str">
        <f>IFERROR(__xludf.DUMMYFUNCTION("""COMPUTED_VALUE"""),"5 - Strongly Agree")</f>
        <v>5 - Strongly Agree</v>
      </c>
      <c r="X3" s="5" t="str">
        <f>IFERROR(__xludf.DUMMYFUNCTION("""COMPUTED_VALUE"""),"5 - Strongly Agree")</f>
        <v>5 - Strongly Agree</v>
      </c>
      <c r="Y3" s="5" t="str">
        <f>IFERROR(__xludf.DUMMYFUNCTION("""COMPUTED_VALUE"""),"5 - Strongly Agree")</f>
        <v>5 - Strongly Agree</v>
      </c>
      <c r="Z3" s="5" t="str">
        <f>IFERROR(__xludf.DUMMYFUNCTION("""COMPUTED_VALUE"""),"5 - Strongly Agree")</f>
        <v>5 - Strongly Agree</v>
      </c>
      <c r="AA3" s="5" t="str">
        <f>IFERROR(__xludf.DUMMYFUNCTION("""COMPUTED_VALUE"""),"5 - Strongly Agree")</f>
        <v>5 - Strongly Agree</v>
      </c>
      <c r="AB3" s="5" t="str">
        <f>IFERROR(__xludf.DUMMYFUNCTION("""COMPUTED_VALUE"""),"5 - Strongly Agree")</f>
        <v>5 - Strongly Agree</v>
      </c>
      <c r="AC3" s="5"/>
      <c r="AD3" s="5"/>
      <c r="AE3" s="5"/>
      <c r="AF3" s="5"/>
      <c r="AG3" s="5"/>
      <c r="AH3" s="5"/>
      <c r="AI3" s="5"/>
    </row>
    <row r="4">
      <c r="A4" s="15">
        <f>IFERROR(__xludf.DUMMYFUNCTION("""COMPUTED_VALUE"""),45419.71076233796)</f>
        <v>45419.71076</v>
      </c>
      <c r="B4" s="5" t="str">
        <f>IFERROR(__xludf.DUMMYFUNCTION("""COMPUTED_VALUE"""),"Amy - CFSN at Downtown Boxing Gym")</f>
        <v>Amy - CFSN at Downtown Boxing Gym</v>
      </c>
      <c r="C4" s="5" t="str">
        <f>IFERROR(__xludf.DUMMYFUNCTION("""COMPUTED_VALUE"""),"Emory")</f>
        <v>Emory</v>
      </c>
      <c r="D4" s="5" t="str">
        <f>IFERROR(__xludf.DUMMYFUNCTION("""COMPUTED_VALUE"""),"I don't really know.")</f>
        <v>I don't really know.</v>
      </c>
      <c r="E4" s="5" t="str">
        <f>IFERROR(__xludf.DUMMYFUNCTION("""COMPUTED_VALUE"""),"Playing games.")</f>
        <v>Playing games.</v>
      </c>
      <c r="F4" s="5" t="str">
        <f>IFERROR(__xludf.DUMMYFUNCTION("""COMPUTED_VALUE"""),"I should just be able to do the sessions.")</f>
        <v>I should just be able to do the sessions.</v>
      </c>
      <c r="G4" s="5" t="str">
        <f>IFERROR(__xludf.DUMMYFUNCTION("""COMPUTED_VALUE"""),"Nothing really. I focus.")</f>
        <v>Nothing really. I focus.</v>
      </c>
      <c r="H4" s="5" t="str">
        <f>IFERROR(__xludf.DUMMYFUNCTION("""COMPUTED_VALUE"""),"Science books")</f>
        <v>Science books</v>
      </c>
      <c r="I4" s="5" t="str">
        <f>IFERROR(__xludf.DUMMYFUNCTION("""COMPUTED_VALUE"""),"Ms. Abria telling me funny jokes.")</f>
        <v>Ms. Abria telling me funny jokes.</v>
      </c>
      <c r="J4" s="5" t="str">
        <f>IFERROR(__xludf.DUMMYFUNCTION("""COMPUTED_VALUE"""),"Being able to spend time with Coach Abria.")</f>
        <v>Being able to spend time with Coach Abria.</v>
      </c>
      <c r="K4" s="5" t="str">
        <f>IFERROR(__xludf.DUMMYFUNCTION("""COMPUTED_VALUE"""),"Going to Urban Air, a trampoline park.")</f>
        <v>Going to Urban Air, a trampoline park.</v>
      </c>
      <c r="L4" s="5" t="str">
        <f>IFERROR(__xludf.DUMMYFUNCTION("""COMPUTED_VALUE"""),"Nothing really.  It's already really good.")</f>
        <v>Nothing really.  It's already really good.</v>
      </c>
      <c r="M4" s="5" t="str">
        <f>IFERROR(__xludf.DUMMYFUNCTION("""COMPUTED_VALUE"""),"No, there isn't anything I didn't like about mentoring.")</f>
        <v>No, there isn't anything I didn't like about mentoring.</v>
      </c>
      <c r="N4" s="5" t="str">
        <f>IFERROR(__xludf.DUMMYFUNCTION("""COMPUTED_VALUE"""),"I enjoyed the jokes.")</f>
        <v>I enjoyed the jokes.</v>
      </c>
      <c r="O4" s="5" t="str">
        <f>IFERROR(__xludf.DUMMYFUNCTION("""COMPUTED_VALUE"""),"No suggestions")</f>
        <v>No suggestions</v>
      </c>
      <c r="P4" s="5" t="str">
        <f>IFERROR(__xludf.DUMMYFUNCTION("""COMPUTED_VALUE"""),"Not really that much.")</f>
        <v>Not really that much.</v>
      </c>
      <c r="Q4" s="5" t="str">
        <f>IFERROR(__xludf.DUMMYFUNCTION("""COMPUTED_VALUE"""),"4 - Agree")</f>
        <v>4 - Agree</v>
      </c>
      <c r="R4" s="5" t="str">
        <f>IFERROR(__xludf.DUMMYFUNCTION("""COMPUTED_VALUE"""),"5 - Strongly Agree")</f>
        <v>5 - Strongly Agree</v>
      </c>
      <c r="S4" s="5" t="str">
        <f>IFERROR(__xludf.DUMMYFUNCTION("""COMPUTED_VALUE"""),"5 - Strongly Agree")</f>
        <v>5 - Strongly Agree</v>
      </c>
      <c r="T4" s="5" t="str">
        <f>IFERROR(__xludf.DUMMYFUNCTION("""COMPUTED_VALUE"""),"5 - Strongly Agree")</f>
        <v>5 - Strongly Agree</v>
      </c>
      <c r="U4" s="5" t="str">
        <f>IFERROR(__xludf.DUMMYFUNCTION("""COMPUTED_VALUE"""),"5 - Strongly Agree")</f>
        <v>5 - Strongly Agree</v>
      </c>
      <c r="V4" s="5" t="str">
        <f>IFERROR(__xludf.DUMMYFUNCTION("""COMPUTED_VALUE"""),"5 - Strongly Agree")</f>
        <v>5 - Strongly Agree</v>
      </c>
      <c r="W4" s="5" t="str">
        <f>IFERROR(__xludf.DUMMYFUNCTION("""COMPUTED_VALUE"""),"5 - Strongly Agree")</f>
        <v>5 - Strongly Agree</v>
      </c>
      <c r="X4" s="5" t="str">
        <f>IFERROR(__xludf.DUMMYFUNCTION("""COMPUTED_VALUE"""),"4 - Agree")</f>
        <v>4 - Agree</v>
      </c>
      <c r="Y4" s="5" t="str">
        <f>IFERROR(__xludf.DUMMYFUNCTION("""COMPUTED_VALUE"""),"5 - Strongly Agree")</f>
        <v>5 - Strongly Agree</v>
      </c>
      <c r="Z4" s="5" t="str">
        <f>IFERROR(__xludf.DUMMYFUNCTION("""COMPUTED_VALUE"""),"1 - Strongly Disagree")</f>
        <v>1 - Strongly Disagree</v>
      </c>
      <c r="AA4" s="5" t="str">
        <f>IFERROR(__xludf.DUMMYFUNCTION("""COMPUTED_VALUE"""),"4 - Agree")</f>
        <v>4 - Agree</v>
      </c>
      <c r="AB4" s="5" t="str">
        <f>IFERROR(__xludf.DUMMYFUNCTION("""COMPUTED_VALUE"""),"5 - Strongly Agree")</f>
        <v>5 - Strongly Agree</v>
      </c>
      <c r="AC4" s="5" t="str">
        <f>IFERROR(__xludf.DUMMYFUNCTION("""COMPUTED_VALUE"""),"None")</f>
        <v>None</v>
      </c>
      <c r="AD4" s="5"/>
      <c r="AE4" s="5"/>
      <c r="AF4" s="5"/>
      <c r="AG4" s="5"/>
      <c r="AH4" s="5"/>
      <c r="AI4" s="5"/>
    </row>
    <row r="5">
      <c r="A5" s="15">
        <f>IFERROR(__xludf.DUMMYFUNCTION("""COMPUTED_VALUE"""),45419.71392607639)</f>
        <v>45419.71393</v>
      </c>
      <c r="B5" s="5" t="str">
        <f>IFERROR(__xludf.DUMMYFUNCTION("""COMPUTED_VALUE"""),"Amy - CFSN at Downtown Boxing Gym")</f>
        <v>Amy - CFSN at Downtown Boxing Gym</v>
      </c>
      <c r="C5" s="5" t="str">
        <f>IFERROR(__xludf.DUMMYFUNCTION("""COMPUTED_VALUE"""),"Ean Wade")</f>
        <v>Ean Wade</v>
      </c>
      <c r="D5" s="5" t="str">
        <f>IFERROR(__xludf.DUMMYFUNCTION("""COMPUTED_VALUE"""),"""I have to and I like playing games and sometimes I like to read.""")</f>
        <v>"I have to and I like playing games and sometimes I like to read."</v>
      </c>
      <c r="E5" s="5" t="str">
        <f>IFERROR(__xludf.DUMMYFUNCTION("""COMPUTED_VALUE"""),"Reading about sports and animals. ")</f>
        <v>Reading about sports and animals. </v>
      </c>
      <c r="F5" s="5" t="str">
        <f>IFERROR(__xludf.DUMMYFUNCTION("""COMPUTED_VALUE"""),"So he can get better at reading! ")</f>
        <v>So he can get better at reading! </v>
      </c>
      <c r="G5" s="5" t="str">
        <f>IFERROR(__xludf.DUMMYFUNCTION("""COMPUTED_VALUE"""),"Reading something more scary and playing different games.")</f>
        <v>Reading something more scary and playing different games.</v>
      </c>
      <c r="H5" s="5" t="str">
        <f>IFERROR(__xludf.DUMMYFUNCTION("""COMPUTED_VALUE"""),"A Chapter book or a comic book. ")</f>
        <v>A Chapter book or a comic book. </v>
      </c>
      <c r="I5" s="5" t="str">
        <f>IFERROR(__xludf.DUMMYFUNCTION("""COMPUTED_VALUE"""),"Hangman! ")</f>
        <v>Hangman! </v>
      </c>
      <c r="J5" s="5" t="str">
        <f>IFERROR(__xludf.DUMMYFUNCTION("""COMPUTED_VALUE"""),"Getting better at reading and playing games. ")</f>
        <v>Getting better at reading and playing games. </v>
      </c>
      <c r="K5" s="5" t="str">
        <f>IFERROR(__xludf.DUMMYFUNCTION("""COMPUTED_VALUE"""),"His doggy! (a pitbull!)")</f>
        <v>His doggy! (a pitbull!)</v>
      </c>
      <c r="L5" s="5" t="str">
        <f>IFERROR(__xludf.DUMMYFUNCTION("""COMPUTED_VALUE"""),"Having more games and playing roblox. ")</f>
        <v>Having more games and playing roblox. </v>
      </c>
      <c r="M5" s="5" t="str">
        <f>IFERROR(__xludf.DUMMYFUNCTION("""COMPUTED_VALUE"""),"Hearing everyone screaming in the background when he is trying to listen. Asking the other kids to be more quiet. ")</f>
        <v>Hearing everyone screaming in the background when he is trying to listen. Asking the other kids to be more quiet. </v>
      </c>
      <c r="N5" s="5" t="str">
        <f>IFERROR(__xludf.DUMMYFUNCTION("""COMPUTED_VALUE"""),"Hangman (helps with spelling). We should play more roblox in the future. ")</f>
        <v>Hangman (helps with spelling). We should play more roblox in the future. </v>
      </c>
      <c r="O5" s="5" t="str">
        <f>IFERROR(__xludf.DUMMYFUNCTION("""COMPUTED_VALUE"""),"They should get a dog. ")</f>
        <v>They should get a dog. </v>
      </c>
      <c r="P5" s="5" t="str">
        <f>IFERROR(__xludf.DUMMYFUNCTION("""COMPUTED_VALUE"""),"80% in math. He learned how to do fractions. 90% in reading. He got better in spelling. ")</f>
        <v>80% in math. He learned how to do fractions. 90% in reading. He got better in spelling. </v>
      </c>
      <c r="Q5" s="5" t="str">
        <f>IFERROR(__xludf.DUMMYFUNCTION("""COMPUTED_VALUE"""),"5 - Strongly Agree")</f>
        <v>5 - Strongly Agree</v>
      </c>
      <c r="R5" s="5" t="str">
        <f>IFERROR(__xludf.DUMMYFUNCTION("""COMPUTED_VALUE"""),"4 - Agree")</f>
        <v>4 - Agree</v>
      </c>
      <c r="S5" s="5" t="str">
        <f>IFERROR(__xludf.DUMMYFUNCTION("""COMPUTED_VALUE"""),"5 - Strongly Agree")</f>
        <v>5 - Strongly Agree</v>
      </c>
      <c r="T5" s="5" t="str">
        <f>IFERROR(__xludf.DUMMYFUNCTION("""COMPUTED_VALUE"""),"4 - Agree")</f>
        <v>4 - Agree</v>
      </c>
      <c r="U5" s="5" t="str">
        <f>IFERROR(__xludf.DUMMYFUNCTION("""COMPUTED_VALUE"""),"4 - Agree")</f>
        <v>4 - Agree</v>
      </c>
      <c r="V5" s="5" t="str">
        <f>IFERROR(__xludf.DUMMYFUNCTION("""COMPUTED_VALUE"""),"5 - Strongly Agree")</f>
        <v>5 - Strongly Agree</v>
      </c>
      <c r="W5" s="5" t="str">
        <f>IFERROR(__xludf.DUMMYFUNCTION("""COMPUTED_VALUE"""),"4 - Agree")</f>
        <v>4 - Agree</v>
      </c>
      <c r="X5" s="5" t="str">
        <f>IFERROR(__xludf.DUMMYFUNCTION("""COMPUTED_VALUE"""),"3 - Neutral")</f>
        <v>3 - Neutral</v>
      </c>
      <c r="Y5" s="5" t="str">
        <f>IFERROR(__xludf.DUMMYFUNCTION("""COMPUTED_VALUE"""),"4 - Agree")</f>
        <v>4 - Agree</v>
      </c>
      <c r="Z5" s="5" t="str">
        <f>IFERROR(__xludf.DUMMYFUNCTION("""COMPUTED_VALUE"""),"5 - Strongly Agree")</f>
        <v>5 - Strongly Agree</v>
      </c>
      <c r="AA5" s="5" t="str">
        <f>IFERROR(__xludf.DUMMYFUNCTION("""COMPUTED_VALUE"""),"3 - Neutral")</f>
        <v>3 - Neutral</v>
      </c>
      <c r="AB5" s="5" t="str">
        <f>IFERROR(__xludf.DUMMYFUNCTION("""COMPUTED_VALUE"""),"4 - Agree")</f>
        <v>4 - Agree</v>
      </c>
      <c r="AC5" s="5" t="str">
        <f>IFERROR(__xludf.DUMMYFUNCTION("""COMPUTED_VALUE"""),"no")</f>
        <v>no</v>
      </c>
      <c r="AD5" s="5"/>
      <c r="AE5" s="5"/>
      <c r="AF5" s="5"/>
      <c r="AG5" s="5"/>
      <c r="AH5" s="5"/>
      <c r="AI5" s="5"/>
    </row>
    <row r="6">
      <c r="A6" s="15">
        <f>IFERROR(__xludf.DUMMYFUNCTION("""COMPUTED_VALUE"""),45419.71598231481)</f>
        <v>45419.71598</v>
      </c>
      <c r="B6" s="5" t="str">
        <f>IFERROR(__xludf.DUMMYFUNCTION("""COMPUTED_VALUE"""),"Amy - CFSN at Downtown Boxing Gym")</f>
        <v>Amy - CFSN at Downtown Boxing Gym</v>
      </c>
      <c r="C6" s="5" t="str">
        <f>IFERROR(__xludf.DUMMYFUNCTION("""COMPUTED_VALUE"""),"Malachi")</f>
        <v>Malachi</v>
      </c>
      <c r="D6" s="5" t="str">
        <f>IFERROR(__xludf.DUMMYFUNCTION("""COMPUTED_VALUE"""),"I love learning things and I like reading.")</f>
        <v>I love learning things and I like reading.</v>
      </c>
      <c r="E6" s="5" t="str">
        <f>IFERROR(__xludf.DUMMYFUNCTION("""COMPUTED_VALUE"""),"I enjoyed getting to meet my mentor and playing some fun games.")</f>
        <v>I enjoyed getting to meet my mentor and playing some fun games.</v>
      </c>
      <c r="F6" s="5" t="str">
        <f>IFERROR(__xludf.DUMMYFUNCTION("""COMPUTED_VALUE"""),"Time to play video games, food.")</f>
        <v>Time to play video games, food.</v>
      </c>
      <c r="G6" s="5" t="str">
        <f>IFERROR(__xludf.DUMMYFUNCTION("""COMPUTED_VALUE"""),"My mom keeps me focused.")</f>
        <v>My mom keeps me focused.</v>
      </c>
      <c r="H6" s="5" t="str">
        <f>IFERROR(__xludf.DUMMYFUNCTION("""COMPUTED_VALUE"""),"Dr. Seuss' ""Green Eggs and Ham""")</f>
        <v>Dr. Seuss' "Green Eggs and Ham"</v>
      </c>
      <c r="I6" s="5" t="str">
        <f>IFERROR(__xludf.DUMMYFUNCTION("""COMPUTED_VALUE"""),"My mom")</f>
        <v>My mom</v>
      </c>
      <c r="J6" s="5" t="str">
        <f>IFERROR(__xludf.DUMMYFUNCTION("""COMPUTED_VALUE"""),"My mentor helping me learn new stuff.")</f>
        <v>My mentor helping me learn new stuff.</v>
      </c>
      <c r="K6" s="5" t="str">
        <f>IFERROR(__xludf.DUMMYFUNCTION("""COMPUTED_VALUE"""),"Video games and mom")</f>
        <v>Video games and mom</v>
      </c>
      <c r="L6" s="5" t="str">
        <f>IFERROR(__xludf.DUMMYFUNCTION("""COMPUTED_VALUE"""),"Make more games!")</f>
        <v>Make more games!</v>
      </c>
      <c r="M6" s="5" t="str">
        <f>IFERROR(__xludf.DUMMYFUNCTION("""COMPUTED_VALUE"""),"I have to pay attention; make mentoring more entertaining")</f>
        <v>I have to pay attention; make mentoring more entertaining</v>
      </c>
      <c r="N6" s="5" t="str">
        <f>IFERROR(__xludf.DUMMYFUNCTION("""COMPUTED_VALUE"""),"Chatting and having fun")</f>
        <v>Chatting and having fun</v>
      </c>
      <c r="O6" s="5" t="str">
        <f>IFERROR(__xludf.DUMMYFUNCTION("""COMPUTED_VALUE"""),"none")</f>
        <v>none</v>
      </c>
      <c r="P6" s="5" t="str">
        <f>IFERROR(__xludf.DUMMYFUNCTION("""COMPUTED_VALUE"""),"I got a lot smarter and made many new friends!")</f>
        <v>I got a lot smarter and made many new friends!</v>
      </c>
      <c r="Q6" s="5" t="str">
        <f>IFERROR(__xludf.DUMMYFUNCTION("""COMPUTED_VALUE"""),"3 - Neutral")</f>
        <v>3 - Neutral</v>
      </c>
      <c r="R6" s="5" t="str">
        <f>IFERROR(__xludf.DUMMYFUNCTION("""COMPUTED_VALUE"""),"5 - Strongly Agree")</f>
        <v>5 - Strongly Agree</v>
      </c>
      <c r="S6" s="5" t="str">
        <f>IFERROR(__xludf.DUMMYFUNCTION("""COMPUTED_VALUE"""),"4 - Agree")</f>
        <v>4 - Agree</v>
      </c>
      <c r="T6" s="5" t="str">
        <f>IFERROR(__xludf.DUMMYFUNCTION("""COMPUTED_VALUE"""),"4 - Agree")</f>
        <v>4 - Agree</v>
      </c>
      <c r="U6" s="5" t="str">
        <f>IFERROR(__xludf.DUMMYFUNCTION("""COMPUTED_VALUE"""),"4 - Agree")</f>
        <v>4 - Agree</v>
      </c>
      <c r="V6" s="5" t="str">
        <f>IFERROR(__xludf.DUMMYFUNCTION("""COMPUTED_VALUE"""),"5 - Strongly Agree")</f>
        <v>5 - Strongly Agree</v>
      </c>
      <c r="W6" s="5" t="str">
        <f>IFERROR(__xludf.DUMMYFUNCTION("""COMPUTED_VALUE"""),"5 - Strongly Agree")</f>
        <v>5 - Strongly Agree</v>
      </c>
      <c r="X6" s="5" t="str">
        <f>IFERROR(__xludf.DUMMYFUNCTION("""COMPUTED_VALUE"""),"5 - Strongly Agree")</f>
        <v>5 - Strongly Agree</v>
      </c>
      <c r="Y6" s="5" t="str">
        <f>IFERROR(__xludf.DUMMYFUNCTION("""COMPUTED_VALUE"""),"4 - Agree")</f>
        <v>4 - Agree</v>
      </c>
      <c r="Z6" s="5" t="str">
        <f>IFERROR(__xludf.DUMMYFUNCTION("""COMPUTED_VALUE"""),"5 - Strongly Agree")</f>
        <v>5 - Strongly Agree</v>
      </c>
      <c r="AA6" s="5" t="str">
        <f>IFERROR(__xludf.DUMMYFUNCTION("""COMPUTED_VALUE"""),"4 - Agree")</f>
        <v>4 - Agree</v>
      </c>
      <c r="AB6" s="5" t="str">
        <f>IFERROR(__xludf.DUMMYFUNCTION("""COMPUTED_VALUE"""),"4 - Agree")</f>
        <v>4 - Agree</v>
      </c>
      <c r="AC6" s="5"/>
      <c r="AD6" s="5"/>
      <c r="AE6" s="5"/>
      <c r="AF6" s="5"/>
      <c r="AG6" s="5"/>
      <c r="AH6" s="5"/>
      <c r="AI6" s="5"/>
    </row>
    <row r="7">
      <c r="A7" s="15">
        <f>IFERROR(__xludf.DUMMYFUNCTION("""COMPUTED_VALUE"""),45419.73876057871)</f>
        <v>45419.73876</v>
      </c>
      <c r="B7" s="5" t="str">
        <f>IFERROR(__xludf.DUMMYFUNCTION("""COMPUTED_VALUE"""),"Amy - CFSN at Downtown Boxing Gym")</f>
        <v>Amy - CFSN at Downtown Boxing Gym</v>
      </c>
      <c r="C7" s="5" t="str">
        <f>IFERROR(__xludf.DUMMYFUNCTION("""COMPUTED_VALUE"""),"Connor")</f>
        <v>Connor</v>
      </c>
      <c r="D7" s="5" t="str">
        <f>IFERROR(__xludf.DUMMYFUNCTION("""COMPUTED_VALUE"""),"Nothing.")</f>
        <v>Nothing.</v>
      </c>
      <c r="E7" s="5" t="str">
        <f>IFERROR(__xludf.DUMMYFUNCTION("""COMPUTED_VALUE"""),"Guessing animals outside.")</f>
        <v>Guessing animals outside.</v>
      </c>
      <c r="F7" s="5" t="str">
        <f>IFERROR(__xludf.DUMMYFUNCTION("""COMPUTED_VALUE"""),"Nothing")</f>
        <v>Nothing</v>
      </c>
      <c r="G7" s="5" t="str">
        <f>IFERROR(__xludf.DUMMYFUNCTION("""COMPUTED_VALUE"""),"Music")</f>
        <v>Music</v>
      </c>
      <c r="H7" s="5" t="str">
        <f>IFERROR(__xludf.DUMMYFUNCTION("""COMPUTED_VALUE"""),"The blue dot.")</f>
        <v>The blue dot.</v>
      </c>
      <c r="I7" s="5" t="str">
        <f>IFERROR(__xludf.DUMMYFUNCTION("""COMPUTED_VALUE"""),"When me and my mentor play guessing games.")</f>
        <v>When me and my mentor play guessing games.</v>
      </c>
      <c r="J7" s="5" t="str">
        <f>IFERROR(__xludf.DUMMYFUNCTION("""COMPUTED_VALUE"""),"Playing games.")</f>
        <v>Playing games.</v>
      </c>
      <c r="K7" s="5" t="str">
        <f>IFERROR(__xludf.DUMMYFUNCTION("""COMPUTED_VALUE"""),"DBG")</f>
        <v>DBG</v>
      </c>
      <c r="L7" s="5" t="str">
        <f>IFERROR(__xludf.DUMMYFUNCTION("""COMPUTED_VALUE"""),"Nothing")</f>
        <v>Nothing</v>
      </c>
      <c r="M7" s="5" t="str">
        <f>IFERROR(__xludf.DUMMYFUNCTION("""COMPUTED_VALUE"""),"No.")</f>
        <v>No.</v>
      </c>
      <c r="N7" s="5" t="str">
        <f>IFERROR(__xludf.DUMMYFUNCTION("""COMPUTED_VALUE"""),"Chicken game.")</f>
        <v>Chicken game.</v>
      </c>
      <c r="O7" s="5" t="str">
        <f>IFERROR(__xludf.DUMMYFUNCTION("""COMPUTED_VALUE"""),"No.")</f>
        <v>No.</v>
      </c>
      <c r="P7" s="5" t="str">
        <f>IFERROR(__xludf.DUMMYFUNCTION("""COMPUTED_VALUE"""),"I dont know.")</f>
        <v>I dont know.</v>
      </c>
      <c r="Q7" s="5" t="str">
        <f>IFERROR(__xludf.DUMMYFUNCTION("""COMPUTED_VALUE"""),"3 - Neutral")</f>
        <v>3 - Neutral</v>
      </c>
      <c r="R7" s="5" t="str">
        <f>IFERROR(__xludf.DUMMYFUNCTION("""COMPUTED_VALUE"""),"4 - Agree")</f>
        <v>4 - Agree</v>
      </c>
      <c r="S7" s="5" t="str">
        <f>IFERROR(__xludf.DUMMYFUNCTION("""COMPUTED_VALUE"""),"5 - Strongly Agree")</f>
        <v>5 - Strongly Agree</v>
      </c>
      <c r="T7" s="5" t="str">
        <f>IFERROR(__xludf.DUMMYFUNCTION("""COMPUTED_VALUE"""),"5 - Strongly Agree")</f>
        <v>5 - Strongly Agree</v>
      </c>
      <c r="U7" s="5" t="str">
        <f>IFERROR(__xludf.DUMMYFUNCTION("""COMPUTED_VALUE"""),"4 - Agree")</f>
        <v>4 - Agree</v>
      </c>
      <c r="V7" s="5" t="str">
        <f>IFERROR(__xludf.DUMMYFUNCTION("""COMPUTED_VALUE"""),"5 - Strongly Agree")</f>
        <v>5 - Strongly Agree</v>
      </c>
      <c r="W7" s="5" t="str">
        <f>IFERROR(__xludf.DUMMYFUNCTION("""COMPUTED_VALUE"""),"2 - Disagree")</f>
        <v>2 - Disagree</v>
      </c>
      <c r="X7" s="5" t="str">
        <f>IFERROR(__xludf.DUMMYFUNCTION("""COMPUTED_VALUE"""),"5 - Strongly Agree")</f>
        <v>5 - Strongly Agree</v>
      </c>
      <c r="Y7" s="5" t="str">
        <f>IFERROR(__xludf.DUMMYFUNCTION("""COMPUTED_VALUE"""),"5 - Strongly Agree")</f>
        <v>5 - Strongly Agree</v>
      </c>
      <c r="Z7" s="5" t="str">
        <f>IFERROR(__xludf.DUMMYFUNCTION("""COMPUTED_VALUE"""),"5 - Strongly Agree")</f>
        <v>5 - Strongly Agree</v>
      </c>
      <c r="AA7" s="5" t="str">
        <f>IFERROR(__xludf.DUMMYFUNCTION("""COMPUTED_VALUE"""),"4 - Agree")</f>
        <v>4 - Agree</v>
      </c>
      <c r="AB7" s="5" t="str">
        <f>IFERROR(__xludf.DUMMYFUNCTION("""COMPUTED_VALUE"""),"5 - Strongly Agree")</f>
        <v>5 - Strongly Agree</v>
      </c>
      <c r="AC7" s="5"/>
      <c r="AD7" s="5"/>
      <c r="AE7" s="5"/>
      <c r="AF7" s="5"/>
      <c r="AG7" s="5"/>
      <c r="AH7" s="5"/>
      <c r="AI7" s="5"/>
    </row>
    <row r="8">
      <c r="A8" s="15">
        <f>IFERROR(__xludf.DUMMYFUNCTION("""COMPUTED_VALUE"""),45419.74890381944)</f>
        <v>45419.7489</v>
      </c>
      <c r="B8" s="5" t="str">
        <f>IFERROR(__xludf.DUMMYFUNCTION("""COMPUTED_VALUE"""),"Amy - CFSN at Downtown Boxing Gym")</f>
        <v>Amy - CFSN at Downtown Boxing Gym</v>
      </c>
      <c r="C8" s="5" t="str">
        <f>IFERROR(__xludf.DUMMYFUNCTION("""COMPUTED_VALUE"""),"Amir Hunt")</f>
        <v>Amir Hunt</v>
      </c>
      <c r="D8" s="5" t="str">
        <f>IFERROR(__xludf.DUMMYFUNCTION("""COMPUTED_VALUE"""),"Because my Mentor helps me a lot")</f>
        <v>Because my Mentor helps me a lot</v>
      </c>
      <c r="E8" s="5" t="str">
        <f>IFERROR(__xludf.DUMMYFUNCTION("""COMPUTED_VALUE"""),"Reading the book The cat in the hat")</f>
        <v>Reading the book The cat in the hat</v>
      </c>
      <c r="F8" s="5" t="str">
        <f>IFERROR(__xludf.DUMMYFUNCTION("""COMPUTED_VALUE"""),"No")</f>
        <v>No</v>
      </c>
      <c r="G8" s="5" t="str">
        <f>IFERROR(__xludf.DUMMYFUNCTION("""COMPUTED_VALUE"""),"it being quiter")</f>
        <v>it being quiter</v>
      </c>
      <c r="H8" s="5" t="str">
        <f>IFERROR(__xludf.DUMMYFUNCTION("""COMPUTED_VALUE"""),"Adventure books, Ninja books or Pirate ")</f>
        <v>Adventure books, Ninja books or Pirate </v>
      </c>
      <c r="I8" s="5" t="str">
        <f>IFERROR(__xludf.DUMMYFUNCTION("""COMPUTED_VALUE"""),"Multiplication Duck")</f>
        <v>Multiplication Duck</v>
      </c>
      <c r="J8" s="5" t="str">
        <f>IFERROR(__xludf.DUMMYFUNCTION("""COMPUTED_VALUE"""),"When my mentor helps me with words I don't know")</f>
        <v>When my mentor helps me with words I don't know</v>
      </c>
      <c r="K8" s="5" t="str">
        <f>IFERROR(__xludf.DUMMYFUNCTION("""COMPUTED_VALUE"""),"Being at DBG")</f>
        <v>Being at DBG</v>
      </c>
      <c r="L8" s="5" t="str">
        <f>IFERROR(__xludf.DUMMYFUNCTION("""COMPUTED_VALUE"""),"Having it quieter during the session")</f>
        <v>Having it quieter during the session</v>
      </c>
      <c r="M8" s="5" t="str">
        <f>IFERROR(__xludf.DUMMYFUNCTION("""COMPUTED_VALUE"""),"I liked my Mentoring sessions")</f>
        <v>I liked my Mentoring sessions</v>
      </c>
      <c r="N8" s="5" t="str">
        <f>IFERROR(__xludf.DUMMYFUNCTION("""COMPUTED_VALUE"""),"playing games")</f>
        <v>playing games</v>
      </c>
      <c r="O8" s="5" t="str">
        <f>IFERROR(__xludf.DUMMYFUNCTION("""COMPUTED_VALUE"""),"I think it's good the way it is")</f>
        <v>I think it's good the way it is</v>
      </c>
      <c r="P8" s="5" t="str">
        <f>IFERROR(__xludf.DUMMYFUNCTION("""COMPUTED_VALUE"""),"My math and reading has gotten better")</f>
        <v>My math and reading has gotten better</v>
      </c>
      <c r="Q8" s="5" t="str">
        <f>IFERROR(__xludf.DUMMYFUNCTION("""COMPUTED_VALUE"""),"4 - Agree")</f>
        <v>4 - Agree</v>
      </c>
      <c r="R8" s="5" t="str">
        <f>IFERROR(__xludf.DUMMYFUNCTION("""COMPUTED_VALUE"""),"4 - Agree")</f>
        <v>4 - Agree</v>
      </c>
      <c r="S8" s="5" t="str">
        <f>IFERROR(__xludf.DUMMYFUNCTION("""COMPUTED_VALUE"""),"3 - Neutral")</f>
        <v>3 - Neutral</v>
      </c>
      <c r="T8" s="5" t="str">
        <f>IFERROR(__xludf.DUMMYFUNCTION("""COMPUTED_VALUE"""),"4 - Agree")</f>
        <v>4 - Agree</v>
      </c>
      <c r="U8" s="5" t="str">
        <f>IFERROR(__xludf.DUMMYFUNCTION("""COMPUTED_VALUE"""),"4 - Agree")</f>
        <v>4 - Agree</v>
      </c>
      <c r="V8" s="5" t="str">
        <f>IFERROR(__xludf.DUMMYFUNCTION("""COMPUTED_VALUE"""),"4 - Agree")</f>
        <v>4 - Agree</v>
      </c>
      <c r="W8" s="5" t="str">
        <f>IFERROR(__xludf.DUMMYFUNCTION("""COMPUTED_VALUE"""),"5 - Strongly Agree")</f>
        <v>5 - Strongly Agree</v>
      </c>
      <c r="X8" s="5" t="str">
        <f>IFERROR(__xludf.DUMMYFUNCTION("""COMPUTED_VALUE"""),"4 - Agree")</f>
        <v>4 - Agree</v>
      </c>
      <c r="Y8" s="5" t="str">
        <f>IFERROR(__xludf.DUMMYFUNCTION("""COMPUTED_VALUE"""),"4 - Agree")</f>
        <v>4 - Agree</v>
      </c>
      <c r="Z8" s="5" t="str">
        <f>IFERROR(__xludf.DUMMYFUNCTION("""COMPUTED_VALUE"""),"5 - Strongly Agree")</f>
        <v>5 - Strongly Agree</v>
      </c>
      <c r="AA8" s="5" t="str">
        <f>IFERROR(__xludf.DUMMYFUNCTION("""COMPUTED_VALUE"""),"4 - Agree")</f>
        <v>4 - Agree</v>
      </c>
      <c r="AB8" s="5" t="str">
        <f>IFERROR(__xludf.DUMMYFUNCTION("""COMPUTED_VALUE"""),"5 - Strongly Agree")</f>
        <v>5 - Strongly Agree</v>
      </c>
      <c r="AC8" s="5"/>
      <c r="AD8" s="5"/>
      <c r="AE8" s="5"/>
      <c r="AF8" s="5"/>
      <c r="AG8" s="5"/>
      <c r="AH8" s="5"/>
      <c r="AI8" s="5"/>
    </row>
    <row r="9">
      <c r="A9" s="15">
        <f>IFERROR(__xludf.DUMMYFUNCTION("""COMPUTED_VALUE"""),45419.75028944445)</f>
        <v>45419.75029</v>
      </c>
      <c r="B9" s="5" t="str">
        <f>IFERROR(__xludf.DUMMYFUNCTION("""COMPUTED_VALUE"""),"Amy - CFSN at Downtown Boxing Gym")</f>
        <v>Amy - CFSN at Downtown Boxing Gym</v>
      </c>
      <c r="C9" s="5" t="str">
        <f>IFERROR(__xludf.DUMMYFUNCTION("""COMPUTED_VALUE"""),"Taraji ")</f>
        <v>Taraji </v>
      </c>
      <c r="D9" s="5" t="str">
        <f>IFERROR(__xludf.DUMMYFUNCTION("""COMPUTED_VALUE"""),"Cause I'm forced to")</f>
        <v>Cause I'm forced to</v>
      </c>
      <c r="E9" s="5" t="str">
        <f>IFERROR(__xludf.DUMMYFUNCTION("""COMPUTED_VALUE"""),"Talking and reading and writing")</f>
        <v>Talking and reading and writing</v>
      </c>
      <c r="F9" s="5" t="str">
        <f>IFERROR(__xludf.DUMMYFUNCTION("""COMPUTED_VALUE"""),"I don't want to attend every session")</f>
        <v>I don't want to attend every session</v>
      </c>
      <c r="G9" s="5" t="str">
        <f>IFERROR(__xludf.DUMMYFUNCTION("""COMPUTED_VALUE"""),"Writing and reading helps me feel focused")</f>
        <v>Writing and reading helps me feel focused</v>
      </c>
      <c r="H9" s="5" t="str">
        <f>IFERROR(__xludf.DUMMYFUNCTION("""COMPUTED_VALUE"""),"Babysitters club, dork diaries, Long way down, mysteries")</f>
        <v>Babysitters club, dork diaries, Long way down, mysteries</v>
      </c>
      <c r="I9" s="5" t="str">
        <f>IFERROR(__xludf.DUMMYFUNCTION("""COMPUTED_VALUE"""),"Tic tac toe games")</f>
        <v>Tic tac toe games</v>
      </c>
      <c r="J9" s="5" t="str">
        <f>IFERROR(__xludf.DUMMYFUNCTION("""COMPUTED_VALUE"""),"games")</f>
        <v>games</v>
      </c>
      <c r="K9" s="5" t="str">
        <f>IFERROR(__xludf.DUMMYFUNCTION("""COMPUTED_VALUE"""),"Happy at the gym because I get to see my friends")</f>
        <v>Happy at the gym because I get to see my friends</v>
      </c>
      <c r="L9" s="5" t="str">
        <f>IFERROR(__xludf.DUMMYFUNCTION("""COMPUTED_VALUE"""),"Play more games")</f>
        <v>Play more games</v>
      </c>
      <c r="M9" s="5" t="str">
        <f>IFERROR(__xludf.DUMMYFUNCTION("""COMPUTED_VALUE"""),"I don't like reading or math. Maybe playing games to split up time would help. ")</f>
        <v>I don't like reading or math. Maybe playing games to split up time would help. </v>
      </c>
      <c r="N9" s="5" t="str">
        <f>IFERROR(__xludf.DUMMYFUNCTION("""COMPUTED_VALUE"""),"Writing stories")</f>
        <v>Writing stories</v>
      </c>
      <c r="O9" s="5" t="str">
        <f>IFERROR(__xludf.DUMMYFUNCTION("""COMPUTED_VALUE"""),"I like hanging out with friends, playing games outside/sports, talking to the coaches")</f>
        <v>I like hanging out with friends, playing games outside/sports, talking to the coaches</v>
      </c>
      <c r="P9" s="5" t="str">
        <f>IFERROR(__xludf.DUMMYFUNCTION("""COMPUTED_VALUE"""),"I grew a lot. I improved in reading and math and am understanding stuff better.")</f>
        <v>I grew a lot. I improved in reading and math and am understanding stuff better.</v>
      </c>
      <c r="Q9" s="5" t="str">
        <f>IFERROR(__xludf.DUMMYFUNCTION("""COMPUTED_VALUE"""),"4 - Agree")</f>
        <v>4 - Agree</v>
      </c>
      <c r="R9" s="5" t="str">
        <f>IFERROR(__xludf.DUMMYFUNCTION("""COMPUTED_VALUE"""),"4 - Agree")</f>
        <v>4 - Agree</v>
      </c>
      <c r="S9" s="5" t="str">
        <f>IFERROR(__xludf.DUMMYFUNCTION("""COMPUTED_VALUE"""),"4 - Agree")</f>
        <v>4 - Agree</v>
      </c>
      <c r="T9" s="5" t="str">
        <f>IFERROR(__xludf.DUMMYFUNCTION("""COMPUTED_VALUE"""),"3 - Neutral")</f>
        <v>3 - Neutral</v>
      </c>
      <c r="U9" s="5" t="str">
        <f>IFERROR(__xludf.DUMMYFUNCTION("""COMPUTED_VALUE"""),"3 - Neutral")</f>
        <v>3 - Neutral</v>
      </c>
      <c r="V9" s="5" t="str">
        <f>IFERROR(__xludf.DUMMYFUNCTION("""COMPUTED_VALUE"""),"5 - Strongly Agree")</f>
        <v>5 - Strongly Agree</v>
      </c>
      <c r="W9" s="5" t="str">
        <f>IFERROR(__xludf.DUMMYFUNCTION("""COMPUTED_VALUE"""),"4 - Agree")</f>
        <v>4 - Agree</v>
      </c>
      <c r="X9" s="5" t="str">
        <f>IFERROR(__xludf.DUMMYFUNCTION("""COMPUTED_VALUE"""),"4 - Agree")</f>
        <v>4 - Agree</v>
      </c>
      <c r="Y9" s="5" t="str">
        <f>IFERROR(__xludf.DUMMYFUNCTION("""COMPUTED_VALUE"""),"4 - Agree")</f>
        <v>4 - Agree</v>
      </c>
      <c r="Z9" s="5" t="str">
        <f>IFERROR(__xludf.DUMMYFUNCTION("""COMPUTED_VALUE"""),"5 - Strongly Agree")</f>
        <v>5 - Strongly Agree</v>
      </c>
      <c r="AA9" s="5" t="str">
        <f>IFERROR(__xludf.DUMMYFUNCTION("""COMPUTED_VALUE"""),"4 - Agree")</f>
        <v>4 - Agree</v>
      </c>
      <c r="AB9" s="5" t="str">
        <f>IFERROR(__xludf.DUMMYFUNCTION("""COMPUTED_VALUE"""),"5 - Strongly Agree")</f>
        <v>5 - Strongly Agree</v>
      </c>
      <c r="AC9" s="5"/>
      <c r="AD9" s="5"/>
      <c r="AE9" s="5"/>
      <c r="AF9" s="5"/>
      <c r="AG9" s="5"/>
      <c r="AH9" s="5"/>
      <c r="AI9" s="5"/>
    </row>
    <row r="10">
      <c r="A10" s="15">
        <f>IFERROR(__xludf.DUMMYFUNCTION("""COMPUTED_VALUE"""),45419.75179805556)</f>
        <v>45419.7518</v>
      </c>
      <c r="B10" s="5" t="str">
        <f>IFERROR(__xludf.DUMMYFUNCTION("""COMPUTED_VALUE"""),"Amy - CFSN at Downtown Boxing Gym")</f>
        <v>Amy - CFSN at Downtown Boxing Gym</v>
      </c>
      <c r="C10" s="5" t="str">
        <f>IFERROR(__xludf.DUMMYFUNCTION("""COMPUTED_VALUE"""),"Samiya Harvey ")</f>
        <v>Samiya Harvey </v>
      </c>
      <c r="D10" s="5" t="str">
        <f>IFERROR(__xludf.DUMMYFUNCTION("""COMPUTED_VALUE"""),"Forced to come back, can't refuse to come back ")</f>
        <v>Forced to come back, can't refuse to come back </v>
      </c>
      <c r="E10" s="5" t="str">
        <f>IFERROR(__xludf.DUMMYFUNCTION("""COMPUTED_VALUE"""),"our sea drawing ")</f>
        <v>our sea drawing </v>
      </c>
      <c r="F10" s="5" t="str">
        <f>IFERROR(__xludf.DUMMYFUNCTION("""COMPUTED_VALUE"""),"help with work ")</f>
        <v>help with work </v>
      </c>
      <c r="G10" s="5" t="str">
        <f>IFERROR(__xludf.DUMMYFUNCTION("""COMPUTED_VALUE"""),"if mentor comes in person ")</f>
        <v>if mentor comes in person </v>
      </c>
      <c r="H10" s="5" t="str">
        <f>IFERROR(__xludf.DUMMYFUNCTION("""COMPUTED_VALUE"""),"mo willems")</f>
        <v>mo willems</v>
      </c>
      <c r="I10" s="5" t="str">
        <f>IFERROR(__xludf.DUMMYFUNCTION("""COMPUTED_VALUE"""),"origami ")</f>
        <v>origami </v>
      </c>
      <c r="J10" s="5" t="str">
        <f>IFERROR(__xludf.DUMMYFUNCTION("""COMPUTED_VALUE"""),"to interact with mentor and log off ")</f>
        <v>to interact with mentor and log off </v>
      </c>
      <c r="K10" s="5" t="str">
        <f>IFERROR(__xludf.DUMMYFUNCTION("""COMPUTED_VALUE"""),"cooking makes samiya feel happy ")</f>
        <v>cooking makes samiya feel happy </v>
      </c>
      <c r="L10" s="5" t="str">
        <f>IFERROR(__xludf.DUMMYFUNCTION("""COMPUTED_VALUE"""),"let us choose which days to do CFS ")</f>
        <v>let us choose which days to do CFS </v>
      </c>
      <c r="M10" s="5" t="str">
        <f>IFERROR(__xludf.DUMMYFUNCTION("""COMPUTED_VALUE"""),"don't like logging on or mentoring; make it better by not having to do it ")</f>
        <v>don't like logging on or mentoring; make it better by not having to do it </v>
      </c>
      <c r="N10" s="5" t="str">
        <f>IFERROR(__xludf.DUMMYFUNCTION("""COMPUTED_VALUE"""),"playing PBS games")</f>
        <v>playing PBS games</v>
      </c>
      <c r="O10" s="5" t="str">
        <f>IFERROR(__xludf.DUMMYFUNCTION("""COMPUTED_VALUE"""),"lets us choose which days for mentoring and choose the mentor ")</f>
        <v>lets us choose which days for mentoring and choose the mentor </v>
      </c>
      <c r="P10" s="5" t="str">
        <f>IFERROR(__xludf.DUMMYFUNCTION("""COMPUTED_VALUE"""),"grown overall ")</f>
        <v>grown overall </v>
      </c>
      <c r="Q10" s="5" t="str">
        <f>IFERROR(__xludf.DUMMYFUNCTION("""COMPUTED_VALUE"""),"4 - Agree")</f>
        <v>4 - Agree</v>
      </c>
      <c r="R10" s="5" t="str">
        <f>IFERROR(__xludf.DUMMYFUNCTION("""COMPUTED_VALUE"""),"3 - Neutral")</f>
        <v>3 - Neutral</v>
      </c>
      <c r="S10" s="5" t="str">
        <f>IFERROR(__xludf.DUMMYFUNCTION("""COMPUTED_VALUE"""),"2 - Disagree")</f>
        <v>2 - Disagree</v>
      </c>
      <c r="T10" s="5" t="str">
        <f>IFERROR(__xludf.DUMMYFUNCTION("""COMPUTED_VALUE"""),"3 - Neutral")</f>
        <v>3 - Neutral</v>
      </c>
      <c r="U10" s="5" t="str">
        <f>IFERROR(__xludf.DUMMYFUNCTION("""COMPUTED_VALUE"""),"3 - Neutral")</f>
        <v>3 - Neutral</v>
      </c>
      <c r="V10" s="5" t="str">
        <f>IFERROR(__xludf.DUMMYFUNCTION("""COMPUTED_VALUE"""),"4 - Agree")</f>
        <v>4 - Agree</v>
      </c>
      <c r="W10" s="5" t="str">
        <f>IFERROR(__xludf.DUMMYFUNCTION("""COMPUTED_VALUE"""),"5 - Strongly Agree")</f>
        <v>5 - Strongly Agree</v>
      </c>
      <c r="X10" s="5" t="str">
        <f>IFERROR(__xludf.DUMMYFUNCTION("""COMPUTED_VALUE"""),"4 - Agree")</f>
        <v>4 - Agree</v>
      </c>
      <c r="Y10" s="5" t="str">
        <f>IFERROR(__xludf.DUMMYFUNCTION("""COMPUTED_VALUE"""),"4 - Agree")</f>
        <v>4 - Agree</v>
      </c>
      <c r="Z10" s="5" t="str">
        <f>IFERROR(__xludf.DUMMYFUNCTION("""COMPUTED_VALUE"""),"5 - Strongly Agree")</f>
        <v>5 - Strongly Agree</v>
      </c>
      <c r="AA10" s="5" t="str">
        <f>IFERROR(__xludf.DUMMYFUNCTION("""COMPUTED_VALUE"""),"4 - Agree")</f>
        <v>4 - Agree</v>
      </c>
      <c r="AB10" s="5" t="str">
        <f>IFERROR(__xludf.DUMMYFUNCTION("""COMPUTED_VALUE"""),"5 - Strongly Agree")</f>
        <v>5 - Strongly Agree</v>
      </c>
      <c r="AC10" s="5"/>
      <c r="AD10" s="5"/>
      <c r="AE10" s="5"/>
      <c r="AF10" s="5"/>
      <c r="AG10" s="5"/>
      <c r="AH10" s="5"/>
      <c r="AI10" s="5"/>
    </row>
    <row r="11">
      <c r="A11" s="15">
        <f>IFERROR(__xludf.DUMMYFUNCTION("""COMPUTED_VALUE"""),45420.70020961806)</f>
        <v>45420.70021</v>
      </c>
      <c r="B11" s="5" t="str">
        <f>IFERROR(__xludf.DUMMYFUNCTION("""COMPUTED_VALUE"""),"Amy - CFSN at Downtown Boxing Gym")</f>
        <v>Amy - CFSN at Downtown Boxing Gym</v>
      </c>
      <c r="C11" s="5" t="str">
        <f>IFERROR(__xludf.DUMMYFUNCTION("""COMPUTED_VALUE"""),"Marko A.")</f>
        <v>Marko A.</v>
      </c>
      <c r="D11" s="5" t="str">
        <f>IFERROR(__xludf.DUMMYFUNCTION("""COMPUTED_VALUE"""),"CFS helps me learn my best.")</f>
        <v>CFS helps me learn my best.</v>
      </c>
      <c r="E11" s="5" t="str">
        <f>IFERROR(__xludf.DUMMYFUNCTION("""COMPUTED_VALUE"""),"When i came to learn my hardest.")</f>
        <v>When i came to learn my hardest.</v>
      </c>
      <c r="F11" s="5" t="str">
        <f>IFERROR(__xludf.DUMMYFUNCTION("""COMPUTED_VALUE"""),"So i can read better.")</f>
        <v>So i can read better.</v>
      </c>
      <c r="G11" s="5" t="str">
        <f>IFERROR(__xludf.DUMMYFUNCTION("""COMPUTED_VALUE"""),"When my mentor teaches me.")</f>
        <v>When my mentor teaches me.</v>
      </c>
      <c r="H11" s="5" t="str">
        <f>IFERROR(__xludf.DUMMYFUNCTION("""COMPUTED_VALUE"""),"I dont remember. ")</f>
        <v>I dont remember. </v>
      </c>
      <c r="I11" s="5" t="str">
        <f>IFERROR(__xludf.DUMMYFUNCTION("""COMPUTED_VALUE"""),"nothing. ")</f>
        <v>nothing. </v>
      </c>
      <c r="J11" s="5" t="str">
        <f>IFERROR(__xludf.DUMMYFUNCTION("""COMPUTED_VALUE"""),"Reading.")</f>
        <v>Reading.</v>
      </c>
      <c r="K11" s="5" t="str">
        <f>IFERROR(__xludf.DUMMYFUNCTION("""COMPUTED_VALUE"""),"My mentor.")</f>
        <v>My mentor.</v>
      </c>
      <c r="L11" s="5" t="str">
        <f>IFERROR(__xludf.DUMMYFUNCTION("""COMPUTED_VALUE"""),"Myself")</f>
        <v>Myself</v>
      </c>
      <c r="M11" s="5" t="str">
        <f>IFERROR(__xludf.DUMMYFUNCTION("""COMPUTED_VALUE"""),"Nothing.")</f>
        <v>Nothing.</v>
      </c>
      <c r="N11" s="5" t="str">
        <f>IFERROR(__xludf.DUMMYFUNCTION("""COMPUTED_VALUE"""),"ISpy.")</f>
        <v>ISpy.</v>
      </c>
      <c r="O11" s="5" t="str">
        <f>IFERROR(__xludf.DUMMYFUNCTION("""COMPUTED_VALUE"""),"No.")</f>
        <v>No.</v>
      </c>
      <c r="P11" s="5" t="str">
        <f>IFERROR(__xludf.DUMMYFUNCTION("""COMPUTED_VALUE"""),"Good.")</f>
        <v>Good.</v>
      </c>
      <c r="Q11" s="5" t="str">
        <f>IFERROR(__xludf.DUMMYFUNCTION("""COMPUTED_VALUE"""),"5 - Strongly Agree")</f>
        <v>5 - Strongly Agree</v>
      </c>
      <c r="R11" s="5" t="str">
        <f>IFERROR(__xludf.DUMMYFUNCTION("""COMPUTED_VALUE"""),"5 - Strongly Agree")</f>
        <v>5 - Strongly Agree</v>
      </c>
      <c r="S11" s="5" t="str">
        <f>IFERROR(__xludf.DUMMYFUNCTION("""COMPUTED_VALUE"""),"5 - Strongly Agree")</f>
        <v>5 - Strongly Agree</v>
      </c>
      <c r="T11" s="5" t="str">
        <f>IFERROR(__xludf.DUMMYFUNCTION("""COMPUTED_VALUE"""),"5 - Strongly Agree")</f>
        <v>5 - Strongly Agree</v>
      </c>
      <c r="U11" s="5" t="str">
        <f>IFERROR(__xludf.DUMMYFUNCTION("""COMPUTED_VALUE"""),"5 - Strongly Agree")</f>
        <v>5 - Strongly Agree</v>
      </c>
      <c r="V11" s="5" t="str">
        <f>IFERROR(__xludf.DUMMYFUNCTION("""COMPUTED_VALUE"""),"5 - Strongly Agree")</f>
        <v>5 - Strongly Agree</v>
      </c>
      <c r="W11" s="5" t="str">
        <f>IFERROR(__xludf.DUMMYFUNCTION("""COMPUTED_VALUE"""),"5 - Strongly Agree")</f>
        <v>5 - Strongly Agree</v>
      </c>
      <c r="X11" s="5" t="str">
        <f>IFERROR(__xludf.DUMMYFUNCTION("""COMPUTED_VALUE"""),"5 - Strongly Agree")</f>
        <v>5 - Strongly Agree</v>
      </c>
      <c r="Y11" s="5" t="str">
        <f>IFERROR(__xludf.DUMMYFUNCTION("""COMPUTED_VALUE"""),"5 - Strongly Agree")</f>
        <v>5 - Strongly Agree</v>
      </c>
      <c r="Z11" s="5" t="str">
        <f>IFERROR(__xludf.DUMMYFUNCTION("""COMPUTED_VALUE"""),"2 - Disagree")</f>
        <v>2 - Disagree</v>
      </c>
      <c r="AA11" s="5" t="str">
        <f>IFERROR(__xludf.DUMMYFUNCTION("""COMPUTED_VALUE"""),"5 - Strongly Agree")</f>
        <v>5 - Strongly Agree</v>
      </c>
      <c r="AB11" s="5" t="str">
        <f>IFERROR(__xludf.DUMMYFUNCTION("""COMPUTED_VALUE"""),"5 - Strongly Agree")</f>
        <v>5 - Strongly Agree</v>
      </c>
      <c r="AC11" s="5"/>
      <c r="AD11" s="5"/>
      <c r="AE11" s="5"/>
      <c r="AF11" s="5"/>
      <c r="AG11" s="5"/>
      <c r="AH11" s="5"/>
      <c r="AI11" s="5"/>
    </row>
    <row r="12">
      <c r="A12" s="15">
        <f>IFERROR(__xludf.DUMMYFUNCTION("""COMPUTED_VALUE"""),45420.70448334491)</f>
        <v>45420.70448</v>
      </c>
      <c r="B12" s="5" t="str">
        <f>IFERROR(__xludf.DUMMYFUNCTION("""COMPUTED_VALUE"""),"Amy - CFSN at Downtown Boxing Gym")</f>
        <v>Amy - CFSN at Downtown Boxing Gym</v>
      </c>
      <c r="C12" s="5" t="str">
        <f>IFERROR(__xludf.DUMMYFUNCTION("""COMPUTED_VALUE"""),"Khiana R.")</f>
        <v>Khiana R.</v>
      </c>
      <c r="D12" s="5" t="str">
        <f>IFERROR(__xludf.DUMMYFUNCTION("""COMPUTED_VALUE"""),"It's fun")</f>
        <v>It's fun</v>
      </c>
      <c r="E12" s="5" t="str">
        <f>IFERROR(__xludf.DUMMYFUNCTION("""COMPUTED_VALUE"""),"The games")</f>
        <v>The games</v>
      </c>
      <c r="F12" s="5" t="str">
        <f>IFERROR(__xludf.DUMMYFUNCTION("""COMPUTED_VALUE"""),"Practicing reading")</f>
        <v>Practicing reading</v>
      </c>
      <c r="G12" s="5" t="str">
        <f>IFERROR(__xludf.DUMMYFUNCTION("""COMPUTED_VALUE"""),"If it was quieter where I had my meetings")</f>
        <v>If it was quieter where I had my meetings</v>
      </c>
      <c r="H12" s="5" t="str">
        <f>IFERROR(__xludf.DUMMYFUNCTION("""COMPUTED_VALUE"""),"Right now: The Wild Robot")</f>
        <v>Right now: The Wild Robot</v>
      </c>
      <c r="I12" s="5" t="str">
        <f>IFERROR(__xludf.DUMMYFUNCTION("""COMPUTED_VALUE"""),"When I knew I could beat the Uno computer")</f>
        <v>When I knew I could beat the Uno computer</v>
      </c>
      <c r="J12" s="5" t="str">
        <f>IFERROR(__xludf.DUMMYFUNCTION("""COMPUTED_VALUE"""),"It makes learning stuff more fun, it's kind of like a game")</f>
        <v>It makes learning stuff more fun, it's kind of like a game</v>
      </c>
      <c r="K12" s="5" t="str">
        <f>IFERROR(__xludf.DUMMYFUNCTION("""COMPUTED_VALUE"""),"At school: Fluency Friday (we win prizes for doing math)")</f>
        <v>At school: Fluency Friday (we win prizes for doing math)</v>
      </c>
      <c r="L12" s="5" t="str">
        <f>IFERROR(__xludf.DUMMYFUNCTION("""COMPUTED_VALUE"""),"nope")</f>
        <v>nope</v>
      </c>
      <c r="M12" s="5" t="str">
        <f>IFERROR(__xludf.DUMMYFUNCTION("""COMPUTED_VALUE"""),"nope")</f>
        <v>nope</v>
      </c>
      <c r="N12" s="5" t="str">
        <f>IFERROR(__xludf.DUMMYFUNCTION("""COMPUTED_VALUE"""),"word search")</f>
        <v>word search</v>
      </c>
      <c r="O12" s="5" t="str">
        <f>IFERROR(__xludf.DUMMYFUNCTION("""COMPUTED_VALUE"""),"nope")</f>
        <v>nope</v>
      </c>
      <c r="P12" s="5" t="str">
        <f>IFERROR(__xludf.DUMMYFUNCTION("""COMPUTED_VALUE"""),"Using the word (like around) to figure out what it means")</f>
        <v>Using the word (like around) to figure out what it means</v>
      </c>
      <c r="Q12" s="5" t="str">
        <f>IFERROR(__xludf.DUMMYFUNCTION("""COMPUTED_VALUE"""),"4 - Agree")</f>
        <v>4 - Agree</v>
      </c>
      <c r="R12" s="5" t="str">
        <f>IFERROR(__xludf.DUMMYFUNCTION("""COMPUTED_VALUE"""),"4 - Agree")</f>
        <v>4 - Agree</v>
      </c>
      <c r="S12" s="5" t="str">
        <f>IFERROR(__xludf.DUMMYFUNCTION("""COMPUTED_VALUE"""),"4 - Agree")</f>
        <v>4 - Agree</v>
      </c>
      <c r="T12" s="5" t="str">
        <f>IFERROR(__xludf.DUMMYFUNCTION("""COMPUTED_VALUE"""),"4 - Agree")</f>
        <v>4 - Agree</v>
      </c>
      <c r="U12" s="5" t="str">
        <f>IFERROR(__xludf.DUMMYFUNCTION("""COMPUTED_VALUE"""),"4 - Agree")</f>
        <v>4 - Agree</v>
      </c>
      <c r="V12" s="5" t="str">
        <f>IFERROR(__xludf.DUMMYFUNCTION("""COMPUTED_VALUE"""),"5 - Strongly Agree")</f>
        <v>5 - Strongly Agree</v>
      </c>
      <c r="W12" s="5" t="str">
        <f>IFERROR(__xludf.DUMMYFUNCTION("""COMPUTED_VALUE"""),"5 - Strongly Agree")</f>
        <v>5 - Strongly Agree</v>
      </c>
      <c r="X12" s="5" t="str">
        <f>IFERROR(__xludf.DUMMYFUNCTION("""COMPUTED_VALUE"""),"5 - Strongly Agree")</f>
        <v>5 - Strongly Agree</v>
      </c>
      <c r="Y12" s="5" t="str">
        <f>IFERROR(__xludf.DUMMYFUNCTION("""COMPUTED_VALUE"""),"5 - Strongly Agree")</f>
        <v>5 - Strongly Agree</v>
      </c>
      <c r="Z12" s="5" t="str">
        <f>IFERROR(__xludf.DUMMYFUNCTION("""COMPUTED_VALUE"""),"5 - Strongly Agree")</f>
        <v>5 - Strongly Agree</v>
      </c>
      <c r="AA12" s="5" t="str">
        <f>IFERROR(__xludf.DUMMYFUNCTION("""COMPUTED_VALUE"""),"4 - Agree")</f>
        <v>4 - Agree</v>
      </c>
      <c r="AB12" s="5" t="str">
        <f>IFERROR(__xludf.DUMMYFUNCTION("""COMPUTED_VALUE"""),"5 - Strongly Agree")</f>
        <v>5 - Strongly Agree</v>
      </c>
      <c r="AC12" s="5" t="str">
        <f>IFERROR(__xludf.DUMMYFUNCTION("""COMPUTED_VALUE"""),"nope")</f>
        <v>nope</v>
      </c>
      <c r="AD12" s="5"/>
      <c r="AE12" s="5"/>
      <c r="AF12" s="5"/>
      <c r="AG12" s="5"/>
      <c r="AH12" s="5"/>
      <c r="AI12" s="5"/>
    </row>
    <row r="13">
      <c r="A13" s="15">
        <f>IFERROR(__xludf.DUMMYFUNCTION("""COMPUTED_VALUE"""),45420.70703199074)</f>
        <v>45420.70703</v>
      </c>
      <c r="B13" s="5" t="str">
        <f>IFERROR(__xludf.DUMMYFUNCTION("""COMPUTED_VALUE"""),"Amy - CFSN at Downtown Boxing Gym")</f>
        <v>Amy - CFSN at Downtown Boxing Gym</v>
      </c>
      <c r="C13" s="5" t="str">
        <f>IFERROR(__xludf.DUMMYFUNCTION("""COMPUTED_VALUE"""),"Kayla Anderson")</f>
        <v>Kayla Anderson</v>
      </c>
      <c r="D13" s="5" t="str">
        <f>IFERROR(__xludf.DUMMYFUNCTION("""COMPUTED_VALUE"""),"Reading")</f>
        <v>Reading</v>
      </c>
      <c r="E13" s="5" t="str">
        <f>IFERROR(__xludf.DUMMYFUNCTION("""COMPUTED_VALUE"""),"Playing word search")</f>
        <v>Playing word search</v>
      </c>
      <c r="F13" s="5" t="str">
        <f>IFERROR(__xludf.DUMMYFUNCTION("""COMPUTED_VALUE"""),"Takis or candy")</f>
        <v>Takis or candy</v>
      </c>
      <c r="G13" s="5" t="str">
        <f>IFERROR(__xludf.DUMMYFUNCTION("""COMPUTED_VALUE"""),"Im always focused")</f>
        <v>Im always focused</v>
      </c>
      <c r="H13" s="5" t="str">
        <f>IFERROR(__xludf.DUMMYFUNCTION("""COMPUTED_VALUE"""),"Adventures")</f>
        <v>Adventures</v>
      </c>
      <c r="I13" s="5" t="str">
        <f>IFERROR(__xludf.DUMMYFUNCTION("""COMPUTED_VALUE"""),"Reading funny books")</f>
        <v>Reading funny books</v>
      </c>
      <c r="J13" s="5" t="str">
        <f>IFERROR(__xludf.DUMMYFUNCTION("""COMPUTED_VALUE"""),"Everything")</f>
        <v>Everything</v>
      </c>
      <c r="K13" s="5" t="str">
        <f>IFERROR(__xludf.DUMMYFUNCTION("""COMPUTED_VALUE"""),"My Dog sueeze")</f>
        <v>My Dog sueeze</v>
      </c>
      <c r="L13" s="5" t="str">
        <f>IFERROR(__xludf.DUMMYFUNCTION("""COMPUTED_VALUE"""),"give chips and candy out after session")</f>
        <v>give chips and candy out after session</v>
      </c>
      <c r="M13" s="5" t="str">
        <f>IFERROR(__xludf.DUMMYFUNCTION("""COMPUTED_VALUE"""),"i like everything")</f>
        <v>i like everything</v>
      </c>
      <c r="N13" s="5" t="str">
        <f>IFERROR(__xludf.DUMMYFUNCTION("""COMPUTED_VALUE"""),"word search")</f>
        <v>word search</v>
      </c>
      <c r="O13" s="5" t="str">
        <f>IFERROR(__xludf.DUMMYFUNCTION("""COMPUTED_VALUE"""),"i don't have any")</f>
        <v>i don't have any</v>
      </c>
      <c r="P13" s="5" t="str">
        <f>IFERROR(__xludf.DUMMYFUNCTION("""COMPUTED_VALUE"""),"reading more and liking it")</f>
        <v>reading more and liking it</v>
      </c>
      <c r="Q13" s="5" t="str">
        <f>IFERROR(__xludf.DUMMYFUNCTION("""COMPUTED_VALUE"""),"5 - Strongly Agree")</f>
        <v>5 - Strongly Agree</v>
      </c>
      <c r="R13" s="5" t="str">
        <f>IFERROR(__xludf.DUMMYFUNCTION("""COMPUTED_VALUE"""),"5 - Strongly Agree")</f>
        <v>5 - Strongly Agree</v>
      </c>
      <c r="S13" s="5" t="str">
        <f>IFERROR(__xludf.DUMMYFUNCTION("""COMPUTED_VALUE"""),"5 - Strongly Agree")</f>
        <v>5 - Strongly Agree</v>
      </c>
      <c r="T13" s="5" t="str">
        <f>IFERROR(__xludf.DUMMYFUNCTION("""COMPUTED_VALUE"""),"3 - Neutral")</f>
        <v>3 - Neutral</v>
      </c>
      <c r="U13" s="5" t="str">
        <f>IFERROR(__xludf.DUMMYFUNCTION("""COMPUTED_VALUE"""),"5 - Strongly Agree")</f>
        <v>5 - Strongly Agree</v>
      </c>
      <c r="V13" s="5" t="str">
        <f>IFERROR(__xludf.DUMMYFUNCTION("""COMPUTED_VALUE"""),"5 - Strongly Agree")</f>
        <v>5 - Strongly Agree</v>
      </c>
      <c r="W13" s="5" t="str">
        <f>IFERROR(__xludf.DUMMYFUNCTION("""COMPUTED_VALUE"""),"5 - Strongly Agree")</f>
        <v>5 - Strongly Agree</v>
      </c>
      <c r="X13" s="5" t="str">
        <f>IFERROR(__xludf.DUMMYFUNCTION("""COMPUTED_VALUE"""),"4 - Agree")</f>
        <v>4 - Agree</v>
      </c>
      <c r="Y13" s="5" t="str">
        <f>IFERROR(__xludf.DUMMYFUNCTION("""COMPUTED_VALUE"""),"4 - Agree")</f>
        <v>4 - Agree</v>
      </c>
      <c r="Z13" s="5" t="str">
        <f>IFERROR(__xludf.DUMMYFUNCTION("""COMPUTED_VALUE"""),"5 - Strongly Agree")</f>
        <v>5 - Strongly Agree</v>
      </c>
      <c r="AA13" s="5" t="str">
        <f>IFERROR(__xludf.DUMMYFUNCTION("""COMPUTED_VALUE"""),"5 - Strongly Agree")</f>
        <v>5 - Strongly Agree</v>
      </c>
      <c r="AB13" s="5" t="str">
        <f>IFERROR(__xludf.DUMMYFUNCTION("""COMPUTED_VALUE"""),"4 - Agree")</f>
        <v>4 - Agree</v>
      </c>
      <c r="AC13" s="5"/>
      <c r="AD13" s="5"/>
      <c r="AE13" s="5"/>
      <c r="AF13" s="5"/>
      <c r="AG13" s="5"/>
      <c r="AH13" s="5"/>
      <c r="AI13" s="5"/>
    </row>
    <row r="14">
      <c r="A14" s="15">
        <f>IFERROR(__xludf.DUMMYFUNCTION("""COMPUTED_VALUE"""),45420.70749631945)</f>
        <v>45420.7075</v>
      </c>
      <c r="B14" s="5" t="str">
        <f>IFERROR(__xludf.DUMMYFUNCTION("""COMPUTED_VALUE"""),"Amy - CFSN at Downtown Boxing Gym")</f>
        <v>Amy - CFSN at Downtown Boxing Gym</v>
      </c>
      <c r="C14" s="5" t="str">
        <f>IFERROR(__xludf.DUMMYFUNCTION("""COMPUTED_VALUE"""),"Seth")</f>
        <v>Seth</v>
      </c>
      <c r="D14" s="5" t="str">
        <f>IFERROR(__xludf.DUMMYFUNCTION("""COMPUTED_VALUE"""),"To keep reading")</f>
        <v>To keep reading</v>
      </c>
      <c r="E14" s="5" t="str">
        <f>IFERROR(__xludf.DUMMYFUNCTION("""COMPUTED_VALUE"""),"The ""What's Next"" mini-book and playing Catchphrase")</f>
        <v>The "What's Next" mini-book and playing Catchphrase</v>
      </c>
      <c r="F14" s="5" t="str">
        <f>IFERROR(__xludf.DUMMYFUNCTION("""COMPUTED_VALUE"""),"The blue box where you can get supplies")</f>
        <v>The blue box where you can get supplies</v>
      </c>
      <c r="G14" s="5" t="str">
        <f>IFERROR(__xludf.DUMMYFUNCTION("""COMPUTED_VALUE"""),"Reading, the stories I read have to be interesting")</f>
        <v>Reading, the stories I read have to be interesting</v>
      </c>
      <c r="H14" s="5" t="str">
        <f>IFERROR(__xludf.DUMMYFUNCTION("""COMPUTED_VALUE"""),"The Hope Chest, mystery stories")</f>
        <v>The Hope Chest, mystery stories</v>
      </c>
      <c r="I14" s="5" t="str">
        <f>IFERROR(__xludf.DUMMYFUNCTION("""COMPUTED_VALUE"""),"Don't know")</f>
        <v>Don't know</v>
      </c>
      <c r="J14" s="5" t="str">
        <f>IFERROR(__xludf.DUMMYFUNCTION("""COMPUTED_VALUE"""),"Reading")</f>
        <v>Reading</v>
      </c>
      <c r="K14" s="5" t="str">
        <f>IFERROR(__xludf.DUMMYFUNCTION("""COMPUTED_VALUE"""),"My mom")</f>
        <v>My mom</v>
      </c>
      <c r="L14" s="5" t="str">
        <f>IFERROR(__xludf.DUMMYFUNCTION("""COMPUTED_VALUE"""),"Put it in ads")</f>
        <v>Put it in ads</v>
      </c>
      <c r="M14" s="5" t="str">
        <f>IFERROR(__xludf.DUMMYFUNCTION("""COMPUTED_VALUE"""),"Math, math is stressful. I don't know.")</f>
        <v>Math, math is stressful. I don't know.</v>
      </c>
      <c r="N14" s="5" t="str">
        <f>IFERROR(__xludf.DUMMYFUNCTION("""COMPUTED_VALUE"""),"Catchphrase, Radley the Readbot")</f>
        <v>Catchphrase, Radley the Readbot</v>
      </c>
      <c r="O14" s="5" t="str">
        <f>IFERROR(__xludf.DUMMYFUNCTION("""COMPUTED_VALUE"""),"No")</f>
        <v>No</v>
      </c>
      <c r="P14" s="5" t="str">
        <f>IFERROR(__xludf.DUMMYFUNCTION("""COMPUTED_VALUE"""),"Not a lot")</f>
        <v>Not a lot</v>
      </c>
      <c r="Q14" s="5" t="str">
        <f>IFERROR(__xludf.DUMMYFUNCTION("""COMPUTED_VALUE"""),"3 - Neutral")</f>
        <v>3 - Neutral</v>
      </c>
      <c r="R14" s="5" t="str">
        <f>IFERROR(__xludf.DUMMYFUNCTION("""COMPUTED_VALUE"""),"5 - Strongly Agree")</f>
        <v>5 - Strongly Agree</v>
      </c>
      <c r="S14" s="5" t="str">
        <f>IFERROR(__xludf.DUMMYFUNCTION("""COMPUTED_VALUE"""),"5 - Strongly Agree")</f>
        <v>5 - Strongly Agree</v>
      </c>
      <c r="T14" s="5" t="str">
        <f>IFERROR(__xludf.DUMMYFUNCTION("""COMPUTED_VALUE"""),"3 - Neutral")</f>
        <v>3 - Neutral</v>
      </c>
      <c r="U14" s="5" t="str">
        <f>IFERROR(__xludf.DUMMYFUNCTION("""COMPUTED_VALUE"""),"5 - Strongly Agree")</f>
        <v>5 - Strongly Agree</v>
      </c>
      <c r="V14" s="5" t="str">
        <f>IFERROR(__xludf.DUMMYFUNCTION("""COMPUTED_VALUE"""),"4 - Agree")</f>
        <v>4 - Agree</v>
      </c>
      <c r="W14" s="5" t="str">
        <f>IFERROR(__xludf.DUMMYFUNCTION("""COMPUTED_VALUE"""),"5 - Strongly Agree")</f>
        <v>5 - Strongly Agree</v>
      </c>
      <c r="X14" s="5" t="str">
        <f>IFERROR(__xludf.DUMMYFUNCTION("""COMPUTED_VALUE"""),"3 - Neutral")</f>
        <v>3 - Neutral</v>
      </c>
      <c r="Y14" s="5" t="str">
        <f>IFERROR(__xludf.DUMMYFUNCTION("""COMPUTED_VALUE"""),"5 - Strongly Agree")</f>
        <v>5 - Strongly Agree</v>
      </c>
      <c r="Z14" s="5" t="str">
        <f>IFERROR(__xludf.DUMMYFUNCTION("""COMPUTED_VALUE"""),"5 - Strongly Agree")</f>
        <v>5 - Strongly Agree</v>
      </c>
      <c r="AA14" s="5" t="str">
        <f>IFERROR(__xludf.DUMMYFUNCTION("""COMPUTED_VALUE"""),"5 - Strongly Agree")</f>
        <v>5 - Strongly Agree</v>
      </c>
      <c r="AB14" s="5" t="str">
        <f>IFERROR(__xludf.DUMMYFUNCTION("""COMPUTED_VALUE"""),"5 - Strongly Agree")</f>
        <v>5 - Strongly Agree</v>
      </c>
      <c r="AC14" s="5" t="str">
        <f>IFERROR(__xludf.DUMMYFUNCTION("""COMPUTED_VALUE"""),"No")</f>
        <v>No</v>
      </c>
      <c r="AD14" s="5"/>
      <c r="AE14" s="5"/>
      <c r="AF14" s="5"/>
      <c r="AG14" s="5"/>
      <c r="AH14" s="5"/>
      <c r="AI14" s="5"/>
    </row>
    <row r="15">
      <c r="A15" s="15">
        <f>IFERROR(__xludf.DUMMYFUNCTION("""COMPUTED_VALUE"""),45420.74968880787)</f>
        <v>45420.74969</v>
      </c>
      <c r="B15" s="5" t="str">
        <f>IFERROR(__xludf.DUMMYFUNCTION("""COMPUTED_VALUE"""),"Amy - CFSN at Downtown Boxing Gym")</f>
        <v>Amy - CFSN at Downtown Boxing Gym</v>
      </c>
      <c r="C15" s="5" t="str">
        <f>IFERROR(__xludf.DUMMYFUNCTION("""COMPUTED_VALUE"""),"Jace")</f>
        <v>Jace</v>
      </c>
      <c r="D15" s="5" t="str">
        <f>IFERROR(__xludf.DUMMYFUNCTION("""COMPUTED_VALUE"""),"To read - and get treats ! ")</f>
        <v>To read - and get treats ! </v>
      </c>
      <c r="E15" s="5" t="str">
        <f>IFERROR(__xludf.DUMMYFUNCTION("""COMPUTED_VALUE"""),"Playing outside with friends")</f>
        <v>Playing outside with friends</v>
      </c>
      <c r="F15" s="5" t="str">
        <f>IFERROR(__xludf.DUMMYFUNCTION("""COMPUTED_VALUE"""),"Chips - Takis &amp; Candy - sour patch ")</f>
        <v>Chips - Takis &amp; Candy - sour patch </v>
      </c>
      <c r="G15" s="5" t="str">
        <f>IFERROR(__xludf.DUMMYFUNCTION("""COMPUTED_VALUE"""),"Good sleep and not feeling hungry ")</f>
        <v>Good sleep and not feeling hungry </v>
      </c>
      <c r="H15" s="5" t="str">
        <f>IFERROR(__xludf.DUMMYFUNCTION("""COMPUTED_VALUE"""),"Dogmann series")</f>
        <v>Dogmann series</v>
      </c>
      <c r="I15" s="5" t="str">
        <f>IFERROR(__xludf.DUMMYFUNCTION("""COMPUTED_VALUE"""),"Nothing specific")</f>
        <v>Nothing specific</v>
      </c>
      <c r="J15" s="5" t="str">
        <f>IFERROR(__xludf.DUMMYFUNCTION("""COMPUTED_VALUE"""),"You can read any book you want.")</f>
        <v>You can read any book you want.</v>
      </c>
      <c r="K15" s="5" t="str">
        <f>IFERROR(__xludf.DUMMYFUNCTION("""COMPUTED_VALUE"""),"Being around friends &amp; family.")</f>
        <v>Being around friends &amp; family.</v>
      </c>
      <c r="L15" s="5" t="str">
        <f>IFERROR(__xludf.DUMMYFUNCTION("""COMPUTED_VALUE"""),"None")</f>
        <v>None</v>
      </c>
      <c r="M15" s="5" t="str">
        <f>IFERROR(__xludf.DUMMYFUNCTION("""COMPUTED_VALUE"""),"None")</f>
        <v>None</v>
      </c>
      <c r="N15" s="5" t="str">
        <f>IFERROR(__xludf.DUMMYFUNCTION("""COMPUTED_VALUE"""),"Playing games - tic tac toe or hang man")</f>
        <v>Playing games - tic tac toe or hang man</v>
      </c>
      <c r="O15" s="5" t="str">
        <f>IFERROR(__xludf.DUMMYFUNCTION("""COMPUTED_VALUE"""),"None")</f>
        <v>None</v>
      </c>
      <c r="P15" s="5" t="str">
        <f>IFERROR(__xludf.DUMMYFUNCTION("""COMPUTED_VALUE"""),"Learned a lot in Math and improved reading skills.")</f>
        <v>Learned a lot in Math and improved reading skills.</v>
      </c>
      <c r="Q15" s="5" t="str">
        <f>IFERROR(__xludf.DUMMYFUNCTION("""COMPUTED_VALUE"""),"4 - Agree")</f>
        <v>4 - Agree</v>
      </c>
      <c r="R15" s="5" t="str">
        <f>IFERROR(__xludf.DUMMYFUNCTION("""COMPUTED_VALUE"""),"4 - Agree")</f>
        <v>4 - Agree</v>
      </c>
      <c r="S15" s="5" t="str">
        <f>IFERROR(__xludf.DUMMYFUNCTION("""COMPUTED_VALUE"""),"3 - Neutral")</f>
        <v>3 - Neutral</v>
      </c>
      <c r="T15" s="5" t="str">
        <f>IFERROR(__xludf.DUMMYFUNCTION("""COMPUTED_VALUE"""),"3 - Neutral")</f>
        <v>3 - Neutral</v>
      </c>
      <c r="U15" s="5" t="str">
        <f>IFERROR(__xludf.DUMMYFUNCTION("""COMPUTED_VALUE"""),"4 - Agree")</f>
        <v>4 - Agree</v>
      </c>
      <c r="V15" s="5" t="str">
        <f>IFERROR(__xludf.DUMMYFUNCTION("""COMPUTED_VALUE"""),"5 - Strongly Agree")</f>
        <v>5 - Strongly Agree</v>
      </c>
      <c r="W15" s="5" t="str">
        <f>IFERROR(__xludf.DUMMYFUNCTION("""COMPUTED_VALUE"""),"5 - Strongly Agree")</f>
        <v>5 - Strongly Agree</v>
      </c>
      <c r="X15" s="5" t="str">
        <f>IFERROR(__xludf.DUMMYFUNCTION("""COMPUTED_VALUE"""),"5 - Strongly Agree")</f>
        <v>5 - Strongly Agree</v>
      </c>
      <c r="Y15" s="5" t="str">
        <f>IFERROR(__xludf.DUMMYFUNCTION("""COMPUTED_VALUE"""),"4 - Agree")</f>
        <v>4 - Agree</v>
      </c>
      <c r="Z15" s="5" t="str">
        <f>IFERROR(__xludf.DUMMYFUNCTION("""COMPUTED_VALUE"""),"5 - Strongly Agree")</f>
        <v>5 - Strongly Agree</v>
      </c>
      <c r="AA15" s="5" t="str">
        <f>IFERROR(__xludf.DUMMYFUNCTION("""COMPUTED_VALUE"""),"4 - Agree")</f>
        <v>4 - Agree</v>
      </c>
      <c r="AB15" s="5" t="str">
        <f>IFERROR(__xludf.DUMMYFUNCTION("""COMPUTED_VALUE"""),"5 - Strongly Agree")</f>
        <v>5 - Strongly Agree</v>
      </c>
      <c r="AC15" s="5" t="str">
        <f>IFERROR(__xludf.DUMMYFUNCTION("""COMPUTED_VALUE"""),"Thank you for doing this.")</f>
        <v>Thank you for doing this.</v>
      </c>
      <c r="AD15" s="5"/>
      <c r="AE15" s="5"/>
      <c r="AF15" s="5"/>
      <c r="AG15" s="5"/>
      <c r="AH15" s="5"/>
      <c r="AI15" s="5"/>
    </row>
    <row r="16">
      <c r="A16" s="15">
        <f>IFERROR(__xludf.DUMMYFUNCTION("""COMPUTED_VALUE"""),45420.75090185185)</f>
        <v>45420.7509</v>
      </c>
      <c r="B16" s="5" t="str">
        <f>IFERROR(__xludf.DUMMYFUNCTION("""COMPUTED_VALUE"""),"Amy - CFSN at Downtown Boxing Gym")</f>
        <v>Amy - CFSN at Downtown Boxing Gym</v>
      </c>
      <c r="C16" s="5" t="str">
        <f>IFERROR(__xludf.DUMMYFUNCTION("""COMPUTED_VALUE"""),"Messiah Taylor")</f>
        <v>Messiah Taylor</v>
      </c>
      <c r="D16" s="5" t="str">
        <f>IFERROR(__xludf.DUMMYFUNCTION("""COMPUTED_VALUE"""),"The ELA")</f>
        <v>The ELA</v>
      </c>
      <c r="E16" s="5" t="str">
        <f>IFERROR(__xludf.DUMMYFUNCTION("""COMPUTED_VALUE"""),"The Ixl's")</f>
        <v>The Ixl's</v>
      </c>
      <c r="F16" s="5" t="str">
        <f>IFERROR(__xludf.DUMMYFUNCTION("""COMPUTED_VALUE"""),"The games")</f>
        <v>The games</v>
      </c>
      <c r="G16" s="5" t="str">
        <f>IFERROR(__xludf.DUMMYFUNCTION("""COMPUTED_VALUE"""),"Calming down ")</f>
        <v>Calming down </v>
      </c>
      <c r="H16" s="5" t="str">
        <f>IFERROR(__xludf.DUMMYFUNCTION("""COMPUTED_VALUE"""),"Diary of a wimpy kid")</f>
        <v>Diary of a wimpy kid</v>
      </c>
      <c r="I16" s="5" t="str">
        <f>IFERROR(__xludf.DUMMYFUNCTION("""COMPUTED_VALUE"""),"The games")</f>
        <v>The games</v>
      </c>
      <c r="J16" s="5" t="str">
        <f>IFERROR(__xludf.DUMMYFUNCTION("""COMPUTED_VALUE"""),"The ixl's")</f>
        <v>The ixl's</v>
      </c>
      <c r="K16" s="5" t="str">
        <f>IFERROR(__xludf.DUMMYFUNCTION("""COMPUTED_VALUE"""),"When im in my room")</f>
        <v>When im in my room</v>
      </c>
      <c r="L16" s="5" t="str">
        <f>IFERROR(__xludf.DUMMYFUNCTION("""COMPUTED_VALUE"""),"The games ")</f>
        <v>The games </v>
      </c>
      <c r="M16" s="5" t="str">
        <f>IFERROR(__xludf.DUMMYFUNCTION("""COMPUTED_VALUE"""),"nothing ")</f>
        <v>nothing </v>
      </c>
      <c r="N16" s="5" t="str">
        <f>IFERROR(__xludf.DUMMYFUNCTION("""COMPUTED_VALUE"""),"The ixl's")</f>
        <v>The ixl's</v>
      </c>
      <c r="O16" s="5" t="str">
        <f>IFERROR(__xludf.DUMMYFUNCTION("""COMPUTED_VALUE"""),"To add more games")</f>
        <v>To add more games</v>
      </c>
      <c r="P16" s="5" t="str">
        <f>IFERROR(__xludf.DUMMYFUNCTION("""COMPUTED_VALUE"""),"i think ive grown alot ")</f>
        <v>i think ive grown alot </v>
      </c>
      <c r="Q16" s="5" t="str">
        <f>IFERROR(__xludf.DUMMYFUNCTION("""COMPUTED_VALUE"""),"3 - Neutral")</f>
        <v>3 - Neutral</v>
      </c>
      <c r="R16" s="5" t="str">
        <f>IFERROR(__xludf.DUMMYFUNCTION("""COMPUTED_VALUE"""),"3 - Neutral")</f>
        <v>3 - Neutral</v>
      </c>
      <c r="S16" s="5" t="str">
        <f>IFERROR(__xludf.DUMMYFUNCTION("""COMPUTED_VALUE"""),"4 - Agree")</f>
        <v>4 - Agree</v>
      </c>
      <c r="T16" s="5" t="str">
        <f>IFERROR(__xludf.DUMMYFUNCTION("""COMPUTED_VALUE"""),"3 - Neutral")</f>
        <v>3 - Neutral</v>
      </c>
      <c r="U16" s="5" t="str">
        <f>IFERROR(__xludf.DUMMYFUNCTION("""COMPUTED_VALUE"""),"3 - Neutral")</f>
        <v>3 - Neutral</v>
      </c>
      <c r="V16" s="5" t="str">
        <f>IFERROR(__xludf.DUMMYFUNCTION("""COMPUTED_VALUE"""),"4 - Agree")</f>
        <v>4 - Agree</v>
      </c>
      <c r="W16" s="5" t="str">
        <f>IFERROR(__xludf.DUMMYFUNCTION("""COMPUTED_VALUE"""),"4 - Agree")</f>
        <v>4 - Agree</v>
      </c>
      <c r="X16" s="5" t="str">
        <f>IFERROR(__xludf.DUMMYFUNCTION("""COMPUTED_VALUE"""),"3 - Neutral")</f>
        <v>3 - Neutral</v>
      </c>
      <c r="Y16" s="5" t="str">
        <f>IFERROR(__xludf.DUMMYFUNCTION("""COMPUTED_VALUE"""),"3 - Neutral")</f>
        <v>3 - Neutral</v>
      </c>
      <c r="Z16" s="5" t="str">
        <f>IFERROR(__xludf.DUMMYFUNCTION("""COMPUTED_VALUE"""),"3 - Neutral")</f>
        <v>3 - Neutral</v>
      </c>
      <c r="AA16" s="5" t="str">
        <f>IFERROR(__xludf.DUMMYFUNCTION("""COMPUTED_VALUE"""),"3 - Neutral")</f>
        <v>3 - Neutral</v>
      </c>
      <c r="AB16" s="5" t="str">
        <f>IFERROR(__xludf.DUMMYFUNCTION("""COMPUTED_VALUE"""),"3 - Neutral")</f>
        <v>3 - Neutral</v>
      </c>
      <c r="AC16" s="5" t="str">
        <f>IFERROR(__xludf.DUMMYFUNCTION("""COMPUTED_VALUE"""),"nothing at all")</f>
        <v>nothing at all</v>
      </c>
      <c r="AD16" s="5"/>
      <c r="AE16" s="5"/>
      <c r="AF16" s="5"/>
      <c r="AG16" s="5"/>
      <c r="AH16" s="5"/>
      <c r="AI16" s="5"/>
    </row>
    <row r="17">
      <c r="A17" s="15">
        <f>IFERROR(__xludf.DUMMYFUNCTION("""COMPUTED_VALUE"""),45420.751390289355)</f>
        <v>45420.75139</v>
      </c>
      <c r="B17" s="5" t="str">
        <f>IFERROR(__xludf.DUMMYFUNCTION("""COMPUTED_VALUE"""),"Amy - CFSN at Downtown Boxing Gym")</f>
        <v>Amy - CFSN at Downtown Boxing Gym</v>
      </c>
      <c r="C17" s="5" t="str">
        <f>IFERROR(__xludf.DUMMYFUNCTION("""COMPUTED_VALUE"""),"Roman Kyan Alexander")</f>
        <v>Roman Kyan Alexander</v>
      </c>
      <c r="D17" s="5" t="str">
        <f>IFERROR(__xludf.DUMMYFUNCTION("""COMPUTED_VALUE"""),"Ever since I started CFS at DBG, I have been reading way better. So that is why I want to keep doing it")</f>
        <v>Ever since I started CFS at DBG, I have been reading way better. So that is why I want to keep doing it</v>
      </c>
      <c r="E17" s="5" t="str">
        <f>IFERROR(__xludf.DUMMYFUNCTION("""COMPUTED_VALUE"""),"My favorite memory is reading the Fly Guy story with the picnic!")</f>
        <v>My favorite memory is reading the Fly Guy story with the picnic!</v>
      </c>
      <c r="F17" s="5" t="str">
        <f>IFERROR(__xludf.DUMMYFUNCTION("""COMPUTED_VALUE"""),"It has been helping with spelling (the main incentive is that I get better at reading!)")</f>
        <v>It has been helping with spelling (the main incentive is that I get better at reading!)</v>
      </c>
      <c r="G17" s="5" t="str">
        <f>IFERROR(__xludf.DUMMYFUNCTION("""COMPUTED_VALUE"""),"I like the quiet; it helps me focus on reading")</f>
        <v>I like the quiet; it helps me focus on reading</v>
      </c>
      <c r="H17" s="5" t="str">
        <f>IFERROR(__xludf.DUMMYFUNCTION("""COMPUTED_VALUE"""),"FLY GUY!")</f>
        <v>FLY GUY!</v>
      </c>
      <c r="I17" s="5" t="str">
        <f>IFERROR(__xludf.DUMMYFUNCTION("""COMPUTED_VALUE"""),"FLY GUY!")</f>
        <v>FLY GUY!</v>
      </c>
      <c r="J17" s="5" t="str">
        <f>IFERROR(__xludf.DUMMYFUNCTION("""COMPUTED_VALUE"""),"FLY GUY!")</f>
        <v>FLY GUY!</v>
      </c>
      <c r="K17" s="5" t="str">
        <f>IFERROR(__xludf.DUMMYFUNCTION("""COMPUTED_VALUE"""),"That this program cares about me :)")</f>
        <v>That this program cares about me :)</v>
      </c>
      <c r="L17" s="5" t="str">
        <f>IFERROR(__xludf.DUMMYFUNCTION("""COMPUTED_VALUE"""),"I don't really see any way it could be better")</f>
        <v>I don't really see any way it could be better</v>
      </c>
      <c r="M17" s="5" t="str">
        <f>IFERROR(__xludf.DUMMYFUNCTION("""COMPUTED_VALUE"""),"No; I like everything about this program!")</f>
        <v>No; I like everything about this program!</v>
      </c>
      <c r="N17" s="5" t="str">
        <f>IFERROR(__xludf.DUMMYFUNCTION("""COMPUTED_VALUE"""),"I just like reading Fly Guy")</f>
        <v>I just like reading Fly Guy</v>
      </c>
      <c r="O17" s="5" t="str">
        <f>IFERROR(__xludf.DUMMYFUNCTION("""COMPUTED_VALUE"""),"Not at this time")</f>
        <v>Not at this time</v>
      </c>
      <c r="P17" s="5" t="str">
        <f>IFERROR(__xludf.DUMMYFUNCTION("""COMPUTED_VALUE"""),"10/10 I have been reading way better ever since DBG")</f>
        <v>10/10 I have been reading way better ever since DBG</v>
      </c>
      <c r="Q17" s="5" t="str">
        <f>IFERROR(__xludf.DUMMYFUNCTION("""COMPUTED_VALUE"""),"5 - Strongly Agree")</f>
        <v>5 - Strongly Agree</v>
      </c>
      <c r="R17" s="5" t="str">
        <f>IFERROR(__xludf.DUMMYFUNCTION("""COMPUTED_VALUE"""),"5 - Strongly Agree")</f>
        <v>5 - Strongly Agree</v>
      </c>
      <c r="S17" s="5" t="str">
        <f>IFERROR(__xludf.DUMMYFUNCTION("""COMPUTED_VALUE"""),"5 - Strongly Agree")</f>
        <v>5 - Strongly Agree</v>
      </c>
      <c r="T17" s="5" t="str">
        <f>IFERROR(__xludf.DUMMYFUNCTION("""COMPUTED_VALUE"""),"4 - Agree")</f>
        <v>4 - Agree</v>
      </c>
      <c r="U17" s="5" t="str">
        <f>IFERROR(__xludf.DUMMYFUNCTION("""COMPUTED_VALUE"""),"5 - Strongly Agree")</f>
        <v>5 - Strongly Agree</v>
      </c>
      <c r="V17" s="5" t="str">
        <f>IFERROR(__xludf.DUMMYFUNCTION("""COMPUTED_VALUE"""),"5 - Strongly Agree")</f>
        <v>5 - Strongly Agree</v>
      </c>
      <c r="W17" s="5" t="str">
        <f>IFERROR(__xludf.DUMMYFUNCTION("""COMPUTED_VALUE"""),"5 - Strongly Agree")</f>
        <v>5 - Strongly Agree</v>
      </c>
      <c r="X17" s="5" t="str">
        <f>IFERROR(__xludf.DUMMYFUNCTION("""COMPUTED_VALUE"""),"5 - Strongly Agree")</f>
        <v>5 - Strongly Agree</v>
      </c>
      <c r="Y17" s="5" t="str">
        <f>IFERROR(__xludf.DUMMYFUNCTION("""COMPUTED_VALUE"""),"5 - Strongly Agree")</f>
        <v>5 - Strongly Agree</v>
      </c>
      <c r="Z17" s="5" t="str">
        <f>IFERROR(__xludf.DUMMYFUNCTION("""COMPUTED_VALUE"""),"5 - Strongly Agree")</f>
        <v>5 - Strongly Agree</v>
      </c>
      <c r="AA17" s="5" t="str">
        <f>IFERROR(__xludf.DUMMYFUNCTION("""COMPUTED_VALUE"""),"5 - Strongly Agree")</f>
        <v>5 - Strongly Agree</v>
      </c>
      <c r="AB17" s="5" t="str">
        <f>IFERROR(__xludf.DUMMYFUNCTION("""COMPUTED_VALUE"""),"5 - Strongly Agree")</f>
        <v>5 - Strongly Agree</v>
      </c>
      <c r="AC17" s="5" t="str">
        <f>IFERROR(__xludf.DUMMYFUNCTION("""COMPUTED_VALUE"""),"FLY GUY")</f>
        <v>FLY GUY</v>
      </c>
      <c r="AD17" s="5"/>
      <c r="AE17" s="5"/>
      <c r="AF17" s="5"/>
      <c r="AG17" s="5"/>
      <c r="AH17" s="5"/>
      <c r="AI17" s="5"/>
    </row>
    <row r="18">
      <c r="A18" s="13">
        <f>IFERROR(__xludf.DUMMYFUNCTION("""COMPUTED_VALUE"""),45421.71516489584)</f>
        <v>45421.71516</v>
      </c>
      <c r="B18" s="14" t="str">
        <f>IFERROR(__xludf.DUMMYFUNCTION("""COMPUTED_VALUE"""),"Amy - CFSN at Downtown Boxing Gym")</f>
        <v>Amy - CFSN at Downtown Boxing Gym</v>
      </c>
      <c r="C18" s="14" t="str">
        <f>IFERROR(__xludf.DUMMYFUNCTION("""COMPUTED_VALUE"""),"Lamar Taylor")</f>
        <v>Lamar Taylor</v>
      </c>
      <c r="D18" s="14" t="str">
        <f>IFERROR(__xludf.DUMMYFUNCTION("""COMPUTED_VALUE"""),"To learn")</f>
        <v>To learn</v>
      </c>
      <c r="E18" s="14" t="str">
        <f>IFERROR(__xludf.DUMMYFUNCTION("""COMPUTED_VALUE"""),"Meeting different people")</f>
        <v>Meeting different people</v>
      </c>
      <c r="F18" s="14" t="str">
        <f>IFERROR(__xludf.DUMMYFUNCTION("""COMPUTED_VALUE"""),"Candy")</f>
        <v>Candy</v>
      </c>
      <c r="G18" s="14" t="str">
        <f>IFERROR(__xludf.DUMMYFUNCTION("""COMPUTED_VALUE"""),"Listening")</f>
        <v>Listening</v>
      </c>
      <c r="H18" s="14" t="str">
        <f>IFERROR(__xludf.DUMMYFUNCTION("""COMPUTED_VALUE"""),"I survive")</f>
        <v>I survive</v>
      </c>
      <c r="I18" s="14" t="str">
        <f>IFERROR(__xludf.DUMMYFUNCTION("""COMPUTED_VALUE"""),"Jokes")</f>
        <v>Jokes</v>
      </c>
      <c r="J18" s="14" t="str">
        <f>IFERROR(__xludf.DUMMYFUNCTION("""COMPUTED_VALUE"""),"Learning different things")</f>
        <v>Learning different things</v>
      </c>
      <c r="K18" s="14" t="str">
        <f>IFERROR(__xludf.DUMMYFUNCTION("""COMPUTED_VALUE"""),"going to the carnival")</f>
        <v>going to the carnival</v>
      </c>
      <c r="L18" s="14" t="str">
        <f>IFERROR(__xludf.DUMMYFUNCTION("""COMPUTED_VALUE"""),"Helping people")</f>
        <v>Helping people</v>
      </c>
      <c r="M18" s="14" t="str">
        <f>IFERROR(__xludf.DUMMYFUNCTION("""COMPUTED_VALUE"""),"I like everything")</f>
        <v>I like everything</v>
      </c>
      <c r="N18" s="14" t="str">
        <f>IFERROR(__xludf.DUMMYFUNCTION("""COMPUTED_VALUE"""),"Chess")</f>
        <v>Chess</v>
      </c>
      <c r="O18" s="14" t="str">
        <f>IFERROR(__xludf.DUMMYFUNCTION("""COMPUTED_VALUE"""),"Longer sessions")</f>
        <v>Longer sessions</v>
      </c>
      <c r="P18" s="14" t="str">
        <f>IFERROR(__xludf.DUMMYFUNCTION("""COMPUTED_VALUE"""),"Reading")</f>
        <v>Reading</v>
      </c>
      <c r="Q18" s="14" t="str">
        <f>IFERROR(__xludf.DUMMYFUNCTION("""COMPUTED_VALUE"""),"4 - Agree")</f>
        <v>4 - Agree</v>
      </c>
      <c r="R18" s="14" t="str">
        <f>IFERROR(__xludf.DUMMYFUNCTION("""COMPUTED_VALUE"""),"5 - Strongly Agree")</f>
        <v>5 - Strongly Agree</v>
      </c>
      <c r="S18" s="14" t="str">
        <f>IFERROR(__xludf.DUMMYFUNCTION("""COMPUTED_VALUE"""),"5 - Strongly Agree")</f>
        <v>5 - Strongly Agree</v>
      </c>
      <c r="T18" s="14" t="str">
        <f>IFERROR(__xludf.DUMMYFUNCTION("""COMPUTED_VALUE"""),"4 - Agree")</f>
        <v>4 - Agree</v>
      </c>
      <c r="U18" s="14" t="str">
        <f>IFERROR(__xludf.DUMMYFUNCTION("""COMPUTED_VALUE"""),"5 - Strongly Agree")</f>
        <v>5 - Strongly Agree</v>
      </c>
      <c r="V18" s="14" t="str">
        <f>IFERROR(__xludf.DUMMYFUNCTION("""COMPUTED_VALUE"""),"5 - Strongly Agree")</f>
        <v>5 - Strongly Agree</v>
      </c>
      <c r="W18" s="14" t="str">
        <f>IFERROR(__xludf.DUMMYFUNCTION("""COMPUTED_VALUE"""),"5 - Strongly Agree")</f>
        <v>5 - Strongly Agree</v>
      </c>
      <c r="X18" s="14" t="str">
        <f>IFERROR(__xludf.DUMMYFUNCTION("""COMPUTED_VALUE"""),"4 - Agree")</f>
        <v>4 - Agree</v>
      </c>
      <c r="Y18" s="14" t="str">
        <f>IFERROR(__xludf.DUMMYFUNCTION("""COMPUTED_VALUE"""),"5 - Strongly Agree")</f>
        <v>5 - Strongly Agree</v>
      </c>
      <c r="Z18" s="14" t="str">
        <f>IFERROR(__xludf.DUMMYFUNCTION("""COMPUTED_VALUE"""),"4 - Agree")</f>
        <v>4 - Agree</v>
      </c>
      <c r="AA18" s="14" t="str">
        <f>IFERROR(__xludf.DUMMYFUNCTION("""COMPUTED_VALUE"""),"4 - Agree")</f>
        <v>4 - Agree</v>
      </c>
      <c r="AB18" s="14" t="str">
        <f>IFERROR(__xludf.DUMMYFUNCTION("""COMPUTED_VALUE"""),"1 - Strongly Disagree")</f>
        <v>1 - Strongly Disagree</v>
      </c>
      <c r="AC18" s="14"/>
    </row>
    <row r="19">
      <c r="A19" s="13">
        <f>IFERROR(__xludf.DUMMYFUNCTION("""COMPUTED_VALUE"""),45425.753244618056)</f>
        <v>45425.75324</v>
      </c>
      <c r="B19" s="14" t="str">
        <f>IFERROR(__xludf.DUMMYFUNCTION("""COMPUTED_VALUE"""),"Amy - CFSN at Downtown Boxing Gym")</f>
        <v>Amy - CFSN at Downtown Boxing Gym</v>
      </c>
      <c r="C19" s="14" t="str">
        <f>IFERROR(__xludf.DUMMYFUNCTION("""COMPUTED_VALUE"""),"Cassidy")</f>
        <v>Cassidy</v>
      </c>
      <c r="D19" s="14" t="str">
        <f>IFERROR(__xludf.DUMMYFUNCTION("""COMPUTED_VALUE"""),"playing online games")</f>
        <v>playing online games</v>
      </c>
      <c r="E19" s="14" t="str">
        <f>IFERROR(__xludf.DUMMYFUNCTION("""COMPUTED_VALUE"""),"Word searches")</f>
        <v>Word searches</v>
      </c>
      <c r="F19" s="14" t="str">
        <f>IFERROR(__xludf.DUMMYFUNCTION("""COMPUTED_VALUE"""),"How fun my mentor was")</f>
        <v>How fun my mentor was</v>
      </c>
      <c r="G19" s="14" t="str">
        <f>IFERROR(__xludf.DUMMYFUNCTION("""COMPUTED_VALUE"""),"Squishy toy")</f>
        <v>Squishy toy</v>
      </c>
      <c r="H19" s="14" t="str">
        <f>IFERROR(__xludf.DUMMYFUNCTION("""COMPUTED_VALUE"""),"The Chocolate Factory")</f>
        <v>The Chocolate Factory</v>
      </c>
      <c r="I19" s="14" t="str">
        <f>IFERROR(__xludf.DUMMYFUNCTION("""COMPUTED_VALUE"""),"The mouse and the cheese game")</f>
        <v>The mouse and the cheese game</v>
      </c>
      <c r="J19" s="14" t="str">
        <f>IFERROR(__xludf.DUMMYFUNCTION("""COMPUTED_VALUE"""),"Everything")</f>
        <v>Everything</v>
      </c>
      <c r="K19" s="14" t="str">
        <f>IFERROR(__xludf.DUMMYFUNCTION("""COMPUTED_VALUE"""),"When my mentor encourages me to do word searches")</f>
        <v>When my mentor encourages me to do word searches</v>
      </c>
      <c r="L19" s="14" t="str">
        <f>IFERROR(__xludf.DUMMYFUNCTION("""COMPUTED_VALUE"""),"Let us play more games")</f>
        <v>Let us play more games</v>
      </c>
      <c r="M19" s="14" t="str">
        <f>IFERROR(__xludf.DUMMYFUNCTION("""COMPUTED_VALUE"""),"Nothing")</f>
        <v>Nothing</v>
      </c>
      <c r="N19" s="14" t="str">
        <f>IFERROR(__xludf.DUMMYFUNCTION("""COMPUTED_VALUE"""),"Word searches ")</f>
        <v>Word searches </v>
      </c>
      <c r="O19" s="14" t="str">
        <f>IFERROR(__xludf.DUMMYFUNCTION("""COMPUTED_VALUE"""),"No")</f>
        <v>No</v>
      </c>
      <c r="P19" s="14" t="str">
        <f>IFERROR(__xludf.DUMMYFUNCTION("""COMPUTED_VALUE"""),"Improved in math and reading skills ")</f>
        <v>Improved in math and reading skills </v>
      </c>
      <c r="Q19" s="14" t="str">
        <f>IFERROR(__xludf.DUMMYFUNCTION("""COMPUTED_VALUE"""),"3 - Neutral")</f>
        <v>3 - Neutral</v>
      </c>
      <c r="R19" s="14" t="str">
        <f>IFERROR(__xludf.DUMMYFUNCTION("""COMPUTED_VALUE"""),"4 - Agree")</f>
        <v>4 - Agree</v>
      </c>
      <c r="S19" s="14" t="str">
        <f>IFERROR(__xludf.DUMMYFUNCTION("""COMPUTED_VALUE"""),"5 - Strongly Agree")</f>
        <v>5 - Strongly Agree</v>
      </c>
      <c r="T19" s="14" t="str">
        <f>IFERROR(__xludf.DUMMYFUNCTION("""COMPUTED_VALUE"""),"5 - Strongly Agree")</f>
        <v>5 - Strongly Agree</v>
      </c>
      <c r="U19" s="14" t="str">
        <f>IFERROR(__xludf.DUMMYFUNCTION("""COMPUTED_VALUE"""),"5 - Strongly Agree")</f>
        <v>5 - Strongly Agree</v>
      </c>
      <c r="V19" s="14" t="str">
        <f>IFERROR(__xludf.DUMMYFUNCTION("""COMPUTED_VALUE"""),"4 - Agree")</f>
        <v>4 - Agree</v>
      </c>
      <c r="W19" s="14" t="str">
        <f>IFERROR(__xludf.DUMMYFUNCTION("""COMPUTED_VALUE"""),"4 - Agree")</f>
        <v>4 - Agree</v>
      </c>
      <c r="X19" s="14" t="str">
        <f>IFERROR(__xludf.DUMMYFUNCTION("""COMPUTED_VALUE"""),"5 - Strongly Agree")</f>
        <v>5 - Strongly Agree</v>
      </c>
      <c r="Y19" s="14" t="str">
        <f>IFERROR(__xludf.DUMMYFUNCTION("""COMPUTED_VALUE"""),"4 - Agree")</f>
        <v>4 - Agree</v>
      </c>
      <c r="Z19" s="14" t="str">
        <f>IFERROR(__xludf.DUMMYFUNCTION("""COMPUTED_VALUE"""),"5 - Strongly Agree")</f>
        <v>5 - Strongly Agree</v>
      </c>
      <c r="AA19" s="14" t="str">
        <f>IFERROR(__xludf.DUMMYFUNCTION("""COMPUTED_VALUE"""),"4 - Agree")</f>
        <v>4 - Agree</v>
      </c>
      <c r="AB19" s="14" t="str">
        <f>IFERROR(__xludf.DUMMYFUNCTION("""COMPUTED_VALUE"""),"5 - Strongly Agree")</f>
        <v>5 - Strongly Agree</v>
      </c>
      <c r="AC19" s="14" t="str">
        <f>IFERROR(__xludf.DUMMYFUNCTION("""COMPUTED_VALUE"""),"No")</f>
        <v>No</v>
      </c>
    </row>
    <row r="20">
      <c r="A20" s="13">
        <f>IFERROR(__xludf.DUMMYFUNCTION("""COMPUTED_VALUE"""),45425.75486475695)</f>
        <v>45425.75486</v>
      </c>
      <c r="B20" s="14" t="str">
        <f>IFERROR(__xludf.DUMMYFUNCTION("""COMPUTED_VALUE"""),"Amy - CFSN at Downtown Boxing Gym")</f>
        <v>Amy - CFSN at Downtown Boxing Gym</v>
      </c>
      <c r="C20" s="14" t="str">
        <f>IFERROR(__xludf.DUMMYFUNCTION("""COMPUTED_VALUE"""),"MJ")</f>
        <v>MJ</v>
      </c>
      <c r="D20" s="14" t="str">
        <f>IFERROR(__xludf.DUMMYFUNCTION("""COMPUTED_VALUE"""),"Like reading fun books such as sports books.")</f>
        <v>Like reading fun books such as sports books.</v>
      </c>
      <c r="E20" s="14" t="str">
        <f>IFERROR(__xludf.DUMMYFUNCTION("""COMPUTED_VALUE"""),"Reading a book about football.")</f>
        <v>Reading a book about football.</v>
      </c>
      <c r="F20" s="14" t="str">
        <f>IFERROR(__xludf.DUMMYFUNCTION("""COMPUTED_VALUE"""),"More stickers for prizes and ice cream.")</f>
        <v>More stickers for prizes and ice cream.</v>
      </c>
      <c r="G20" s="14" t="str">
        <f>IFERROR(__xludf.DUMMYFUNCTION("""COMPUTED_VALUE"""),"Better headphones")</f>
        <v>Better headphones</v>
      </c>
      <c r="H20" s="14" t="str">
        <f>IFERROR(__xludf.DUMMYFUNCTION("""COMPUTED_VALUE"""),"Sports books")</f>
        <v>Sports books</v>
      </c>
      <c r="I20" s="14" t="str">
        <f>IFERROR(__xludf.DUMMYFUNCTION("""COMPUTED_VALUE"""),"Playing Turkey Touchdown on brain break.")</f>
        <v>Playing Turkey Touchdown on brain break.</v>
      </c>
      <c r="J20" s="14" t="str">
        <f>IFERROR(__xludf.DUMMYFUNCTION("""COMPUTED_VALUE"""),"Reading about sports is fun and brain breaks are cool.")</f>
        <v>Reading about sports is fun and brain breaks are cool.</v>
      </c>
      <c r="K20" s="14" t="str">
        <f>IFERROR(__xludf.DUMMYFUNCTION("""COMPUTED_VALUE"""),"Playing on Playstation 5")</f>
        <v>Playing on Playstation 5</v>
      </c>
      <c r="L20" s="14" t="str">
        <f>IFERROR(__xludf.DUMMYFUNCTION("""COMPUTED_VALUE"""),"Playing any game during brain breaks to relax.")</f>
        <v>Playing any game during brain breaks to relax.</v>
      </c>
      <c r="M20" s="14" t="str">
        <f>IFERROR(__xludf.DUMMYFUNCTION("""COMPUTED_VALUE"""),"No")</f>
        <v>No</v>
      </c>
      <c r="N20" s="14" t="str">
        <f>IFERROR(__xludf.DUMMYFUNCTION("""COMPUTED_VALUE"""),"Turkey Touchdown during breaks")</f>
        <v>Turkey Touchdown during breaks</v>
      </c>
      <c r="O20" s="14" t="str">
        <f>IFERROR(__xludf.DUMMYFUNCTION("""COMPUTED_VALUE"""),"Bigger laptop and better mouse")</f>
        <v>Bigger laptop and better mouse</v>
      </c>
      <c r="P20" s="14" t="str">
        <f>IFERROR(__xludf.DUMMYFUNCTION("""COMPUTED_VALUE"""),"Better at listening and raised reading level.")</f>
        <v>Better at listening and raised reading level.</v>
      </c>
      <c r="Q20" s="14" t="str">
        <f>IFERROR(__xludf.DUMMYFUNCTION("""COMPUTED_VALUE"""),"5 - Strongly Agree")</f>
        <v>5 - Strongly Agree</v>
      </c>
      <c r="R20" s="14" t="str">
        <f>IFERROR(__xludf.DUMMYFUNCTION("""COMPUTED_VALUE"""),"5 - Strongly Agree")</f>
        <v>5 - Strongly Agree</v>
      </c>
      <c r="S20" s="14" t="str">
        <f>IFERROR(__xludf.DUMMYFUNCTION("""COMPUTED_VALUE"""),"4 - Agree")</f>
        <v>4 - Agree</v>
      </c>
      <c r="T20" s="14" t="str">
        <f>IFERROR(__xludf.DUMMYFUNCTION("""COMPUTED_VALUE"""),"4 - Agree")</f>
        <v>4 - Agree</v>
      </c>
      <c r="U20" s="14" t="str">
        <f>IFERROR(__xludf.DUMMYFUNCTION("""COMPUTED_VALUE"""),"4 - Agree")</f>
        <v>4 - Agree</v>
      </c>
      <c r="V20" s="14" t="str">
        <f>IFERROR(__xludf.DUMMYFUNCTION("""COMPUTED_VALUE"""),"4 - Agree")</f>
        <v>4 - Agree</v>
      </c>
      <c r="W20" s="14" t="str">
        <f>IFERROR(__xludf.DUMMYFUNCTION("""COMPUTED_VALUE"""),"4 - Agree")</f>
        <v>4 - Agree</v>
      </c>
      <c r="X20" s="14" t="str">
        <f>IFERROR(__xludf.DUMMYFUNCTION("""COMPUTED_VALUE"""),"2 - Disagree")</f>
        <v>2 - Disagree</v>
      </c>
      <c r="Y20" s="14" t="str">
        <f>IFERROR(__xludf.DUMMYFUNCTION("""COMPUTED_VALUE"""),"4 - Agree")</f>
        <v>4 - Agree</v>
      </c>
      <c r="Z20" s="14" t="str">
        <f>IFERROR(__xludf.DUMMYFUNCTION("""COMPUTED_VALUE"""),"4 - Agree")</f>
        <v>4 - Agree</v>
      </c>
      <c r="AA20" s="14" t="str">
        <f>IFERROR(__xludf.DUMMYFUNCTION("""COMPUTED_VALUE"""),"4 - Agree")</f>
        <v>4 - Agree</v>
      </c>
      <c r="AB20" s="14" t="str">
        <f>IFERROR(__xludf.DUMMYFUNCTION("""COMPUTED_VALUE"""),"4 - Agree")</f>
        <v>4 - Agree</v>
      </c>
      <c r="AC20" s="14"/>
    </row>
    <row r="21">
      <c r="A21" s="13">
        <f>IFERROR(__xludf.DUMMYFUNCTION("""COMPUTED_VALUE"""),45425.75785258102)</f>
        <v>45425.75785</v>
      </c>
      <c r="B21" s="14" t="str">
        <f>IFERROR(__xludf.DUMMYFUNCTION("""COMPUTED_VALUE"""),"Amy - CFSN at Downtown Boxing Gym")</f>
        <v>Amy - CFSN at Downtown Boxing Gym</v>
      </c>
      <c r="C21" s="14" t="str">
        <f>IFERROR(__xludf.DUMMYFUNCTION("""COMPUTED_VALUE"""),"CJ")</f>
        <v>CJ</v>
      </c>
      <c r="D21" s="14" t="str">
        <f>IFERROR(__xludf.DUMMYFUNCTION("""COMPUTED_VALUE"""),"CJ enjoys playing educational games with me and spending time learning math and about new topics in our books.")</f>
        <v>CJ enjoys playing educational games with me and spending time learning math and about new topics in our books.</v>
      </c>
      <c r="E21" s="14" t="str">
        <f>IFERROR(__xludf.DUMMYFUNCTION("""COMPUTED_VALUE"""),"We enjoyed playing hangman together!")</f>
        <v>We enjoyed playing hangman together!</v>
      </c>
      <c r="F21" s="14" t="str">
        <f>IFERROR(__xludf.DUMMYFUNCTION("""COMPUTED_VALUE"""),"CJ would like to do the first 20 minutes to do work/school and the last 10 minutes for playing a new game.")</f>
        <v>CJ would like to do the first 20 minutes to do work/school and the last 10 minutes for playing a new game.</v>
      </c>
      <c r="G21" s="14" t="str">
        <f>IFERROR(__xludf.DUMMYFUNCTION("""COMPUTED_VALUE"""),"Having a quieter place to work.")</f>
        <v>Having a quieter place to work.</v>
      </c>
      <c r="H21" s="14" t="str">
        <f>IFERROR(__xludf.DUMMYFUNCTION("""COMPUTED_VALUE"""),"Any type of LEGO books, also, The Case of Stripes!")</f>
        <v>Any type of LEGO books, also, The Case of Stripes!</v>
      </c>
      <c r="I21" s="14" t="str">
        <f>IFERROR(__xludf.DUMMYFUNCTION("""COMPUTED_VALUE"""),"CJ smiles at every session!")</f>
        <v>CJ smiles at every session!</v>
      </c>
      <c r="J21" s="14" t="str">
        <f>IFERROR(__xludf.DUMMYFUNCTION("""COMPUTED_VALUE"""),"Reading!")</f>
        <v>Reading!</v>
      </c>
      <c r="K21" s="14" t="str">
        <f>IFERROR(__xludf.DUMMYFUNCTION("""COMPUTED_VALUE"""),"At home, CJ enjoys playing Fortnite!")</f>
        <v>At home, CJ enjoys playing Fortnite!</v>
      </c>
      <c r="L21" s="14" t="str">
        <f>IFERROR(__xludf.DUMMYFUNCTION("""COMPUTED_VALUE"""),"Add more math time.")</f>
        <v>Add more math time.</v>
      </c>
      <c r="M21" s="14" t="str">
        <f>IFERROR(__xludf.DUMMYFUNCTION("""COMPUTED_VALUE"""),"Allow students to choose which subject to work on.")</f>
        <v>Allow students to choose which subject to work on.</v>
      </c>
      <c r="N21" s="14" t="str">
        <f>IFERROR(__xludf.DUMMYFUNCTION("""COMPUTED_VALUE"""),"Hangman!")</f>
        <v>Hangman!</v>
      </c>
      <c r="O21" s="14" t="str">
        <f>IFERROR(__xludf.DUMMYFUNCTION("""COMPUTED_VALUE"""),"N/A")</f>
        <v>N/A</v>
      </c>
      <c r="P21" s="14" t="str">
        <f>IFERROR(__xludf.DUMMYFUNCTION("""COMPUTED_VALUE"""),"1000%")</f>
        <v>1000%</v>
      </c>
      <c r="Q21" s="14" t="str">
        <f>IFERROR(__xludf.DUMMYFUNCTION("""COMPUTED_VALUE"""),"5 - Strongly Agree")</f>
        <v>5 - Strongly Agree</v>
      </c>
      <c r="R21" s="14" t="str">
        <f>IFERROR(__xludf.DUMMYFUNCTION("""COMPUTED_VALUE"""),"4 - Agree")</f>
        <v>4 - Agree</v>
      </c>
      <c r="S21" s="14" t="str">
        <f>IFERROR(__xludf.DUMMYFUNCTION("""COMPUTED_VALUE"""),"5 - Strongly Agree")</f>
        <v>5 - Strongly Agree</v>
      </c>
      <c r="T21" s="14" t="str">
        <f>IFERROR(__xludf.DUMMYFUNCTION("""COMPUTED_VALUE"""),"5 - Strongly Agree")</f>
        <v>5 - Strongly Agree</v>
      </c>
      <c r="U21" s="14" t="str">
        <f>IFERROR(__xludf.DUMMYFUNCTION("""COMPUTED_VALUE"""),"2 - Disagree")</f>
        <v>2 - Disagree</v>
      </c>
      <c r="V21" s="14" t="str">
        <f>IFERROR(__xludf.DUMMYFUNCTION("""COMPUTED_VALUE"""),"5 - Strongly Agree")</f>
        <v>5 - Strongly Agree</v>
      </c>
      <c r="W21" s="14" t="str">
        <f>IFERROR(__xludf.DUMMYFUNCTION("""COMPUTED_VALUE"""),"5 - Strongly Agree")</f>
        <v>5 - Strongly Agree</v>
      </c>
      <c r="X21" s="14" t="str">
        <f>IFERROR(__xludf.DUMMYFUNCTION("""COMPUTED_VALUE"""),"3 - Neutral")</f>
        <v>3 - Neutral</v>
      </c>
      <c r="Y21" s="14" t="str">
        <f>IFERROR(__xludf.DUMMYFUNCTION("""COMPUTED_VALUE"""),"5 - Strongly Agree")</f>
        <v>5 - Strongly Agree</v>
      </c>
      <c r="Z21" s="14" t="str">
        <f>IFERROR(__xludf.DUMMYFUNCTION("""COMPUTED_VALUE"""),"5 - Strongly Agree")</f>
        <v>5 - Strongly Agree</v>
      </c>
      <c r="AA21" s="14" t="str">
        <f>IFERROR(__xludf.DUMMYFUNCTION("""COMPUTED_VALUE"""),"5 - Strongly Agree")</f>
        <v>5 - Strongly Agree</v>
      </c>
      <c r="AB21" s="14" t="str">
        <f>IFERROR(__xludf.DUMMYFUNCTION("""COMPUTED_VALUE"""),"5 - Strongly Agree")</f>
        <v>5 - Strongly Agree</v>
      </c>
      <c r="AC21" s="14"/>
    </row>
    <row r="22">
      <c r="A22" s="13">
        <f>IFERROR(__xludf.DUMMYFUNCTION("""COMPUTED_VALUE"""),45425.75849335648)</f>
        <v>45425.75849</v>
      </c>
      <c r="B22" s="14" t="str">
        <f>IFERROR(__xludf.DUMMYFUNCTION("""COMPUTED_VALUE"""),"Amy - CFSN at Downtown Boxing Gym")</f>
        <v>Amy - CFSN at Downtown Boxing Gym</v>
      </c>
      <c r="C22" s="14" t="str">
        <f>IFERROR(__xludf.DUMMYFUNCTION("""COMPUTED_VALUE"""),"Kourtney")</f>
        <v>Kourtney</v>
      </c>
      <c r="D22" s="14"/>
      <c r="E22" s="14" t="str">
        <f>IFERROR(__xludf.DUMMYFUNCTION("""COMPUTED_VALUE"""),"Her favorite memory was her birthday!")</f>
        <v>Her favorite memory was her birthday!</v>
      </c>
      <c r="F22" s="14" t="str">
        <f>IFERROR(__xludf.DUMMYFUNCTION("""COMPUTED_VALUE"""),"Glazed donuts and milky ways (candy).")</f>
        <v>Glazed donuts and milky ways (candy).</v>
      </c>
      <c r="G22" s="14"/>
      <c r="H22" s="14" t="str">
        <f>IFERROR(__xludf.DUMMYFUNCTION("""COMPUTED_VALUE"""),"She likes the The Day the Crayons Left and books by that author.")</f>
        <v>She likes the The Day the Crayons Left and books by that author.</v>
      </c>
      <c r="I22" s="14" t="str">
        <f>IFERROR(__xludf.DUMMYFUNCTION("""COMPUTED_VALUE"""),"Reading a joke from the Grumpy Cat book.")</f>
        <v>Reading a joke from the Grumpy Cat book.</v>
      </c>
      <c r="J22" s="14" t="str">
        <f>IFERROR(__xludf.DUMMYFUNCTION("""COMPUTED_VALUE"""),"When she gets to pick a book from home or DBG.")</f>
        <v>When she gets to pick a book from home or DBG.</v>
      </c>
      <c r="K22" s="14" t="str">
        <f>IFERROR(__xludf.DUMMYFUNCTION("""COMPUTED_VALUE"""),"Being at DBG and doing CFS.")</f>
        <v>Being at DBG and doing CFS.</v>
      </c>
      <c r="L22" s="14" t="str">
        <f>IFERROR(__xludf.DUMMYFUNCTION("""COMPUTED_VALUE"""),"Every kid should have a shelf with their favorite books or books they should read that are at their level.")</f>
        <v>Every kid should have a shelf with their favorite books or books they should read that are at their level.</v>
      </c>
      <c r="M22" s="14" t="str">
        <f>IFERROR(__xludf.DUMMYFUNCTION("""COMPUTED_VALUE"""),"Nothing wrong with it.")</f>
        <v>Nothing wrong with it.</v>
      </c>
      <c r="N22" s="14" t="str">
        <f>IFERROR(__xludf.DUMMYFUNCTION("""COMPUTED_VALUE"""),"Getting help with homework.")</f>
        <v>Getting help with homework.</v>
      </c>
      <c r="O22" s="14" t="str">
        <f>IFERROR(__xludf.DUMMYFUNCTION("""COMPUTED_VALUE"""),"Have a device that would be able to tell a mentor what the student would want to do before they meet for their session.")</f>
        <v>Have a device that would be able to tell a mentor what the student would want to do before they meet for their session.</v>
      </c>
      <c r="P22" s="14" t="str">
        <f>IFERROR(__xludf.DUMMYFUNCTION("""COMPUTED_VALUE"""),"Yes, she thinks she has grown in reading more fluently.")</f>
        <v>Yes, she thinks she has grown in reading more fluently.</v>
      </c>
      <c r="Q22" s="14" t="str">
        <f>IFERROR(__xludf.DUMMYFUNCTION("""COMPUTED_VALUE"""),"4 - Agree")</f>
        <v>4 - Agree</v>
      </c>
      <c r="R22" s="14" t="str">
        <f>IFERROR(__xludf.DUMMYFUNCTION("""COMPUTED_VALUE"""),"5 - Strongly Agree")</f>
        <v>5 - Strongly Agree</v>
      </c>
      <c r="S22" s="14" t="str">
        <f>IFERROR(__xludf.DUMMYFUNCTION("""COMPUTED_VALUE"""),"5 - Strongly Agree")</f>
        <v>5 - Strongly Agree</v>
      </c>
      <c r="T22" s="14" t="str">
        <f>IFERROR(__xludf.DUMMYFUNCTION("""COMPUTED_VALUE"""),"5 - Strongly Agree")</f>
        <v>5 - Strongly Agree</v>
      </c>
      <c r="U22" s="14" t="str">
        <f>IFERROR(__xludf.DUMMYFUNCTION("""COMPUTED_VALUE"""),"5 - Strongly Agree")</f>
        <v>5 - Strongly Agree</v>
      </c>
      <c r="V22" s="14" t="str">
        <f>IFERROR(__xludf.DUMMYFUNCTION("""COMPUTED_VALUE"""),"5 - Strongly Agree")</f>
        <v>5 - Strongly Agree</v>
      </c>
      <c r="W22" s="14" t="str">
        <f>IFERROR(__xludf.DUMMYFUNCTION("""COMPUTED_VALUE"""),"5 - Strongly Agree")</f>
        <v>5 - Strongly Agree</v>
      </c>
      <c r="X22" s="14" t="str">
        <f>IFERROR(__xludf.DUMMYFUNCTION("""COMPUTED_VALUE"""),"5 - Strongly Agree")</f>
        <v>5 - Strongly Agree</v>
      </c>
      <c r="Y22" s="14" t="str">
        <f>IFERROR(__xludf.DUMMYFUNCTION("""COMPUTED_VALUE"""),"5 - Strongly Agree")</f>
        <v>5 - Strongly Agree</v>
      </c>
      <c r="Z22" s="14" t="str">
        <f>IFERROR(__xludf.DUMMYFUNCTION("""COMPUTED_VALUE"""),"5 - Strongly Agree")</f>
        <v>5 - Strongly Agree</v>
      </c>
      <c r="AA22" s="14" t="str">
        <f>IFERROR(__xludf.DUMMYFUNCTION("""COMPUTED_VALUE"""),"4 - Agree")</f>
        <v>4 - Agree</v>
      </c>
      <c r="AB22" s="14" t="str">
        <f>IFERROR(__xludf.DUMMYFUNCTION("""COMPUTED_VALUE"""),"5 - Strongly Agree")</f>
        <v>5 - Strongly Agree</v>
      </c>
      <c r="AC22" s="14" t="str">
        <f>IFERROR(__xludf.DUMMYFUNCTION("""COMPUTED_VALUE"""),"Kourtney recommends that every kid that feels bored after they go to school to join here.")</f>
        <v>Kourtney recommends that every kid that feels bored after they go to school to join here.</v>
      </c>
    </row>
    <row r="23">
      <c r="A23" s="13">
        <f>IFERROR(__xludf.DUMMYFUNCTION("""COMPUTED_VALUE"""),45425.76655596065)</f>
        <v>45425.76656</v>
      </c>
      <c r="B23" s="14" t="str">
        <f>IFERROR(__xludf.DUMMYFUNCTION("""COMPUTED_VALUE"""),"Amy - CFSN at Downtown Boxing Gym")</f>
        <v>Amy - CFSN at Downtown Boxing Gym</v>
      </c>
      <c r="C23" s="14" t="str">
        <f>IFERROR(__xludf.DUMMYFUNCTION("""COMPUTED_VALUE"""),"MaSallah")</f>
        <v>MaSallah</v>
      </c>
      <c r="D23" s="14" t="str">
        <f>IFERROR(__xludf.DUMMYFUNCTION("""COMPUTED_VALUE"""),"You have to learn before you do anything. And I want to go to college.")</f>
        <v>You have to learn before you do anything. And I want to go to college.</v>
      </c>
      <c r="E23" s="14"/>
      <c r="F23" s="14" t="str">
        <f>IFERROR(__xludf.DUMMYFUNCTION("""COMPUTED_VALUE"""),"Being able to accomplish the stuff that I need to work on")</f>
        <v>Being able to accomplish the stuff that I need to work on</v>
      </c>
      <c r="G23" s="14"/>
      <c r="H23" s="14" t="str">
        <f>IFERROR(__xludf.DUMMYFUNCTION("""COMPUTED_VALUE"""),"Comics and anime")</f>
        <v>Comics and anime</v>
      </c>
      <c r="I23" s="14" t="str">
        <f>IFERROR(__xludf.DUMMYFUNCTION("""COMPUTED_VALUE"""),"Seeing my old teacher.")</f>
        <v>Seeing my old teacher.</v>
      </c>
      <c r="J23" s="14" t="str">
        <f>IFERROR(__xludf.DUMMYFUNCTION("""COMPUTED_VALUE"""),"Playing the games")</f>
        <v>Playing the games</v>
      </c>
      <c r="K23" s="14" t="str">
        <f>IFERROR(__xludf.DUMMYFUNCTION("""COMPUTED_VALUE"""),"My hands(for defense) Going out with friends makes me happy.")</f>
        <v>My hands(for defense) Going out with friends makes me happy.</v>
      </c>
      <c r="L23" s="14"/>
      <c r="M23" s="14"/>
      <c r="N23" s="14" t="str">
        <f>IFERROR(__xludf.DUMMYFUNCTION("""COMPUTED_VALUE"""),"The chicken game from ABCya")</f>
        <v>The chicken game from ABCya</v>
      </c>
      <c r="O23" s="14"/>
      <c r="P23" s="14" t="str">
        <f>IFERROR(__xludf.DUMMYFUNCTION("""COMPUTED_VALUE"""),"I'm pretty big, pretty thick. ")</f>
        <v>I'm pretty big, pretty thick. </v>
      </c>
      <c r="Q23" s="14" t="str">
        <f>IFERROR(__xludf.DUMMYFUNCTION("""COMPUTED_VALUE"""),"4 - Agree")</f>
        <v>4 - Agree</v>
      </c>
      <c r="R23" s="14" t="str">
        <f>IFERROR(__xludf.DUMMYFUNCTION("""COMPUTED_VALUE"""),"3 - Neutral")</f>
        <v>3 - Neutral</v>
      </c>
      <c r="S23" s="14" t="str">
        <f>IFERROR(__xludf.DUMMYFUNCTION("""COMPUTED_VALUE"""),"4 - Agree")</f>
        <v>4 - Agree</v>
      </c>
      <c r="T23" s="14" t="str">
        <f>IFERROR(__xludf.DUMMYFUNCTION("""COMPUTED_VALUE"""),"4 - Agree")</f>
        <v>4 - Agree</v>
      </c>
      <c r="U23" s="14" t="str">
        <f>IFERROR(__xludf.DUMMYFUNCTION("""COMPUTED_VALUE"""),"4 - Agree")</f>
        <v>4 - Agree</v>
      </c>
      <c r="V23" s="14" t="str">
        <f>IFERROR(__xludf.DUMMYFUNCTION("""COMPUTED_VALUE"""),"5 - Strongly Agree")</f>
        <v>5 - Strongly Agree</v>
      </c>
      <c r="W23" s="14" t="str">
        <f>IFERROR(__xludf.DUMMYFUNCTION("""COMPUTED_VALUE"""),"3 - Neutral")</f>
        <v>3 - Neutral</v>
      </c>
      <c r="X23" s="14" t="str">
        <f>IFERROR(__xludf.DUMMYFUNCTION("""COMPUTED_VALUE"""),"3 - Neutral")</f>
        <v>3 - Neutral</v>
      </c>
      <c r="Y23" s="14" t="str">
        <f>IFERROR(__xludf.DUMMYFUNCTION("""COMPUTED_VALUE"""),"3 - Neutral")</f>
        <v>3 - Neutral</v>
      </c>
      <c r="Z23" s="14" t="str">
        <f>IFERROR(__xludf.DUMMYFUNCTION("""COMPUTED_VALUE"""),"5 - Strongly Agree")</f>
        <v>5 - Strongly Agree</v>
      </c>
      <c r="AA23" s="14" t="str">
        <f>IFERROR(__xludf.DUMMYFUNCTION("""COMPUTED_VALUE"""),"5 - Strongly Agree")</f>
        <v>5 - Strongly Agree</v>
      </c>
      <c r="AB23" s="14" t="str">
        <f>IFERROR(__xludf.DUMMYFUNCTION("""COMPUTED_VALUE"""),"5 - Strongly Agree")</f>
        <v>5 - Strongly Agree</v>
      </c>
      <c r="AC23" s="14"/>
    </row>
    <row r="24">
      <c r="A24" s="13">
        <f>IFERROR(__xludf.DUMMYFUNCTION("""COMPUTED_VALUE"""),45427.70769753472)</f>
        <v>45427.7077</v>
      </c>
      <c r="B24" s="14" t="str">
        <f>IFERROR(__xludf.DUMMYFUNCTION("""COMPUTED_VALUE"""),"Amy - CFSN at Downtown Boxing Gym")</f>
        <v>Amy - CFSN at Downtown Boxing Gym</v>
      </c>
      <c r="C24" s="14" t="str">
        <f>IFERROR(__xludf.DUMMYFUNCTION("""COMPUTED_VALUE"""),"Nariah")</f>
        <v>Nariah</v>
      </c>
      <c r="D24" s="14" t="str">
        <f>IFERROR(__xludf.DUMMYFUNCTION("""COMPUTED_VALUE"""),"my friends i dont know")</f>
        <v>my friends i dont know</v>
      </c>
      <c r="E24" s="14" t="str">
        <f>IFERROR(__xludf.DUMMYFUNCTION("""COMPUTED_VALUE"""),"dont have one")</f>
        <v>dont have one</v>
      </c>
      <c r="F24" s="14" t="str">
        <f>IFERROR(__xludf.DUMMYFUNCTION("""COMPUTED_VALUE"""),"NOTHINGGGGGGGGGGGGGGG:[")</f>
        <v>NOTHINGGGGGGGGGGGGGGG:[</v>
      </c>
      <c r="G24" s="14" t="str">
        <f>IFERROR(__xludf.DUMMYFUNCTION("""COMPUTED_VALUE"""),"NOTHINGGGGGGGGGGGGGGGG :[")</f>
        <v>NOTHINGGGGGGGGGGGGGGGG :[</v>
      </c>
      <c r="H24" s="14" t="str">
        <f>IFERROR(__xludf.DUMMYFUNCTION("""COMPUTED_VALUE"""),"comic like books")</f>
        <v>comic like books</v>
      </c>
      <c r="I24" s="14" t="str">
        <f>IFERROR(__xludf.DUMMYFUNCTION("""COMPUTED_VALUE"""),"NOTHINGGGGGGGGGGGGGGGG:[")</f>
        <v>NOTHINGGGGGGGGGGGGGGGG:[</v>
      </c>
      <c r="J24" s="14" t="str">
        <f>IFERROR(__xludf.DUMMYFUNCTION("""COMPUTED_VALUE"""),"NOTHINGGGGGGGGGGGGGG:[")</f>
        <v>NOTHINGGGGGGGGGGGGGG:[</v>
      </c>
      <c r="K24" s="14" t="str">
        <f>IFERROR(__xludf.DUMMYFUNCTION("""COMPUTED_VALUE"""),"SLEEEEEEEEEEPPPPPPPPPPPPPPP")</f>
        <v>SLEEEEEEEEEEPPPPPPPPPPPPPPP</v>
      </c>
      <c r="L24" s="14" t="str">
        <f>IFERROR(__xludf.DUMMYFUNCTION("""COMPUTED_VALUE"""),"i would like to DRAWWWW")</f>
        <v>i would like to DRAWWWW</v>
      </c>
      <c r="M24" s="14" t="str">
        <f>IFERROR(__xludf.DUMMYFUNCTION("""COMPUTED_VALUE"""),"READING I WANT TO DRAWWWWWWWW:[[[[[[[[[[[[[[[[[[[[[[[[[[[[[[[[[[[[[[[[[[[[[[[[[[[[[[[[[[[[[[[[[[[[[[[[[")</f>
        <v>READING I WANT TO DRAWWWWWWWW:[[[[[[[[[[[[[[[[[[[[[[[[[[[[[[[[[[[[[[[[[[[[[[[[[[[[[[[[[[[[[[[[[[[[[[[[[</v>
      </c>
      <c r="N24" s="14" t="str">
        <f>IFERROR(__xludf.DUMMYFUNCTION("""COMPUTED_VALUE"""),"ANYTHING THATS NOT READING")</f>
        <v>ANYTHING THATS NOT READING</v>
      </c>
      <c r="O24" s="14" t="str">
        <f>IFERROR(__xludf.DUMMYFUNCTION("""COMPUTED_VALUE"""),"ARTTTT DRAWWWW")</f>
        <v>ARTTTT DRAWWWW</v>
      </c>
      <c r="P24" s="14" t="str">
        <f>IFERROR(__xludf.DUMMYFUNCTION("""COMPUTED_VALUE"""),"I HATE IT BUT YES ")</f>
        <v>I HATE IT BUT YES </v>
      </c>
      <c r="Q24" s="14" t="str">
        <f>IFERROR(__xludf.DUMMYFUNCTION("""COMPUTED_VALUE"""),"2 - Disagree")</f>
        <v>2 - Disagree</v>
      </c>
      <c r="R24" s="14" t="str">
        <f>IFERROR(__xludf.DUMMYFUNCTION("""COMPUTED_VALUE"""),"2 - Disagree")</f>
        <v>2 - Disagree</v>
      </c>
      <c r="S24" s="14" t="str">
        <f>IFERROR(__xludf.DUMMYFUNCTION("""COMPUTED_VALUE"""),"2 - Disagree")</f>
        <v>2 - Disagree</v>
      </c>
      <c r="T24" s="14" t="str">
        <f>IFERROR(__xludf.DUMMYFUNCTION("""COMPUTED_VALUE"""),"3 - Neutral")</f>
        <v>3 - Neutral</v>
      </c>
      <c r="U24" s="14" t="str">
        <f>IFERROR(__xludf.DUMMYFUNCTION("""COMPUTED_VALUE"""),"1 - Strongly Disagree")</f>
        <v>1 - Strongly Disagree</v>
      </c>
      <c r="V24" s="14" t="str">
        <f>IFERROR(__xludf.DUMMYFUNCTION("""COMPUTED_VALUE"""),"1 - Strongly Disagree")</f>
        <v>1 - Strongly Disagree</v>
      </c>
      <c r="W24" s="14" t="str">
        <f>IFERROR(__xludf.DUMMYFUNCTION("""COMPUTED_VALUE"""),"1 - Strongly Disagree")</f>
        <v>1 - Strongly Disagree</v>
      </c>
      <c r="X24" s="14" t="str">
        <f>IFERROR(__xludf.DUMMYFUNCTION("""COMPUTED_VALUE"""),"1 - Strongly Disagree")</f>
        <v>1 - Strongly Disagree</v>
      </c>
      <c r="Y24" s="14" t="str">
        <f>IFERROR(__xludf.DUMMYFUNCTION("""COMPUTED_VALUE"""),"2 - Disagree")</f>
        <v>2 - Disagree</v>
      </c>
      <c r="Z24" s="14" t="str">
        <f>IFERROR(__xludf.DUMMYFUNCTION("""COMPUTED_VALUE"""),"5 - Strongly Agree")</f>
        <v>5 - Strongly Agree</v>
      </c>
      <c r="AA24" s="14" t="str">
        <f>IFERROR(__xludf.DUMMYFUNCTION("""COMPUTED_VALUE"""),"3 - Neutral")</f>
        <v>3 - Neutral</v>
      </c>
      <c r="AB24" s="14" t="str">
        <f>IFERROR(__xludf.DUMMYFUNCTION("""COMPUTED_VALUE"""),"1 - Strongly Disagree")</f>
        <v>1 - Strongly Disagree</v>
      </c>
      <c r="AC24" s="14" t="str">
        <f>IFERROR(__xludf.DUMMYFUNCTION("""COMPUTED_VALUE"""),"LET ME DRAWW IF I TELL THESE PEOPLE THINGS THEY MAKE IT WORSEEEEEEEEEEEEEEEEEEEEEEEEEEEEEEEEEEEEEEEEEEEEEEEEEEEEEEEEEEEEEEEEEEEEEEEEEEEEEEEEEEEEEEEEEEEEEEEEEEEEEEEEEEEEEEEEEEEEEEEEEEEEEEEEEEEEEEEEEEEEEEEEEEEEEEEEEEEEEEEEEEEEEEEEEEE")</f>
        <v>LET ME DRAWW IF I TELL THESE PEOPLE THINGS THEY MAKE IT WORSEEEEEEEEEEEEEEEEEEEEEEEEEEEEEEEEEEEEEEEEEEEEEEEEEEEEEEEEEEEEEEEEEEEEEEEEEEEEEEEEEEEEEEEEEEEEEEEEEEEEEEEEEEEEEEEEEEEEEEEEEEEEEEEEEEEEEEEEEEEEEEEEEEEEEEEEEEEEEEEEEEEEEEEEEEE</v>
      </c>
    </row>
    <row r="25">
      <c r="A25" s="13">
        <f>IFERROR(__xludf.DUMMYFUNCTION("""COMPUTED_VALUE"""),45432.71706263888)</f>
        <v>45432.71706</v>
      </c>
      <c r="B25" s="14" t="str">
        <f>IFERROR(__xludf.DUMMYFUNCTION("""COMPUTED_VALUE"""),"Amy - CFSN at Downtown Boxing Gym")</f>
        <v>Amy - CFSN at Downtown Boxing Gym</v>
      </c>
      <c r="C25" s="14" t="str">
        <f>IFERROR(__xludf.DUMMYFUNCTION("""COMPUTED_VALUE"""),"Mhyanna Smith-Tait")</f>
        <v>Mhyanna Smith-Tait</v>
      </c>
      <c r="D25" s="14" t="str">
        <f>IFERROR(__xludf.DUMMYFUNCTION("""COMPUTED_VALUE"""),"getting help with homework and getting better at reading ")</f>
        <v>getting help with homework and getting better at reading </v>
      </c>
      <c r="E25" s="14" t="str">
        <f>IFERROR(__xludf.DUMMYFUNCTION("""COMPUTED_VALUE"""),"Valentine's Day")</f>
        <v>Valentine's Day</v>
      </c>
      <c r="F25" s="14" t="str">
        <f>IFERROR(__xludf.DUMMYFUNCTION("""COMPUTED_VALUE"""),"If we played more learning games every session, like ChessKid")</f>
        <v>If we played more learning games every session, like ChessKid</v>
      </c>
      <c r="G25" s="14" t="str">
        <f>IFERROR(__xludf.DUMMYFUNCTION("""COMPUTED_VALUE"""),"No sounds and no people walking around or banging on the door!")</f>
        <v>No sounds and no people walking around or banging on the door!</v>
      </c>
      <c r="H25" s="14" t="str">
        <f>IFERROR(__xludf.DUMMYFUNCTION("""COMPUTED_VALUE"""),"Hair Love!")</f>
        <v>Hair Love!</v>
      </c>
      <c r="I25" s="14" t="str">
        <f>IFERROR(__xludf.DUMMYFUNCTION("""COMPUTED_VALUE"""),"I was reading ""The Sour Grape"" and I said something that made me laugh")</f>
        <v>I was reading "The Sour Grape" and I said something that made me laugh</v>
      </c>
      <c r="J25" s="14" t="str">
        <f>IFERROR(__xludf.DUMMYFUNCTION("""COMPUTED_VALUE"""),"Picking out the books")</f>
        <v>Picking out the books</v>
      </c>
      <c r="K25" s="14" t="str">
        <f>IFERROR(__xludf.DUMMYFUNCTION("""COMPUTED_VALUE"""),"My house")</f>
        <v>My house</v>
      </c>
      <c r="L25" s="14" t="str">
        <f>IFERROR(__xludf.DUMMYFUNCTION("""COMPUTED_VALUE"""),"More hours")</f>
        <v>More hours</v>
      </c>
      <c r="M25" s="14" t="str">
        <f>IFERROR(__xludf.DUMMYFUNCTION("""COMPUTED_VALUE"""),"I wish there were more books at my reading level that were more fun to read")</f>
        <v>I wish there were more books at my reading level that were more fun to read</v>
      </c>
      <c r="N25" s="14" t="str">
        <f>IFERROR(__xludf.DUMMYFUNCTION("""COMPUTED_VALUE"""),"Crossword")</f>
        <v>Crossword</v>
      </c>
      <c r="O25" s="14" t="str">
        <f>IFERROR(__xludf.DUMMYFUNCTION("""COMPUTED_VALUE"""),"More surveys - as long as they are short!")</f>
        <v>More surveys - as long as they are short!</v>
      </c>
      <c r="P25" s="14" t="str">
        <f>IFERROR(__xludf.DUMMYFUNCTION("""COMPUTED_VALUE"""),"I have gotten better at reading - I am on chapter books")</f>
        <v>I have gotten better at reading - I am on chapter books</v>
      </c>
      <c r="Q25" s="14" t="str">
        <f>IFERROR(__xludf.DUMMYFUNCTION("""COMPUTED_VALUE"""),"5 - Strongly Agree")</f>
        <v>5 - Strongly Agree</v>
      </c>
      <c r="R25" s="14" t="str">
        <f>IFERROR(__xludf.DUMMYFUNCTION("""COMPUTED_VALUE"""),"5 - Strongly Agree")</f>
        <v>5 - Strongly Agree</v>
      </c>
      <c r="S25" s="14" t="str">
        <f>IFERROR(__xludf.DUMMYFUNCTION("""COMPUTED_VALUE"""),"4 - Agree")</f>
        <v>4 - Agree</v>
      </c>
      <c r="T25" s="14" t="str">
        <f>IFERROR(__xludf.DUMMYFUNCTION("""COMPUTED_VALUE"""),"5 - Strongly Agree")</f>
        <v>5 - Strongly Agree</v>
      </c>
      <c r="U25" s="14" t="str">
        <f>IFERROR(__xludf.DUMMYFUNCTION("""COMPUTED_VALUE"""),"5 - Strongly Agree")</f>
        <v>5 - Strongly Agree</v>
      </c>
      <c r="V25" s="14" t="str">
        <f>IFERROR(__xludf.DUMMYFUNCTION("""COMPUTED_VALUE"""),"5 - Strongly Agree")</f>
        <v>5 - Strongly Agree</v>
      </c>
      <c r="W25" s="14" t="str">
        <f>IFERROR(__xludf.DUMMYFUNCTION("""COMPUTED_VALUE"""),"3 - Neutral")</f>
        <v>3 - Neutral</v>
      </c>
      <c r="X25" s="14" t="str">
        <f>IFERROR(__xludf.DUMMYFUNCTION("""COMPUTED_VALUE"""),"3 - Neutral")</f>
        <v>3 - Neutral</v>
      </c>
      <c r="Y25" s="14" t="str">
        <f>IFERROR(__xludf.DUMMYFUNCTION("""COMPUTED_VALUE"""),"5 - Strongly Agree")</f>
        <v>5 - Strongly Agree</v>
      </c>
      <c r="Z25" s="14" t="str">
        <f>IFERROR(__xludf.DUMMYFUNCTION("""COMPUTED_VALUE"""),"5 - Strongly Agree")</f>
        <v>5 - Strongly Agree</v>
      </c>
      <c r="AA25" s="14" t="str">
        <f>IFERROR(__xludf.DUMMYFUNCTION("""COMPUTED_VALUE"""),"4 - Agree")</f>
        <v>4 - Agree</v>
      </c>
      <c r="AB25" s="14" t="str">
        <f>IFERROR(__xludf.DUMMYFUNCTION("""COMPUTED_VALUE"""),"5 - Strongly Agree")</f>
        <v>5 - Strongly Agree</v>
      </c>
      <c r="AC25" s="14"/>
    </row>
  </sheetData>
  <drawing r:id="rId1"/>
</worksheet>
</file>