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DT" sheetId="2" r:id="rId5"/>
    <sheet state="visible" name="PT" sheetId="3" r:id="rId6"/>
    <sheet state="visible" name="CR" sheetId="4" r:id="rId7"/>
    <sheet state="visible" name="CT" sheetId="5" r:id="rId8"/>
    <sheet state="visible" name="OB" sheetId="6" r:id="rId9"/>
    <sheet state="visible" name="SW" sheetId="7" r:id="rId10"/>
    <sheet state="visible" name="FG" sheetId="8" r:id="rId11"/>
    <sheet state="visible" name="DBG" sheetId="9" r:id="rId12"/>
  </sheets>
  <definedNames>
    <definedName hidden="1" localSheetId="0" name="_xlnm._FilterDatabase">'Form Responses 1'!$A$1:$AK$50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1">
      <text>
        <t xml:space="preserve">@andrea.meyer@center4success.org following up on the comment you raised during the culture survey debrief.   You can see mentors who said "yes" here.  Not sure who would be the one doing the outreach.
	-Heidi Miller</t>
      </text>
    </comment>
  </commentList>
</comments>
</file>

<file path=xl/sharedStrings.xml><?xml version="1.0" encoding="utf-8"?>
<sst xmlns="http://schemas.openxmlformats.org/spreadsheetml/2006/main" count="1299" uniqueCount="448">
  <si>
    <t>Timestamp</t>
  </si>
  <si>
    <t>Name (optional)</t>
  </si>
  <si>
    <t>Site (optional)</t>
  </si>
  <si>
    <t>: [My mentee has improved their reading skills.]</t>
  </si>
  <si>
    <t>[My mentee is increasing or has increased their confidence level.]</t>
  </si>
  <si>
    <t xml:space="preserve"> [My mentee has improved their outlook on learning and/or reading.]</t>
  </si>
  <si>
    <t xml:space="preserve"> [I am happy with my mentee's progress in the program.]</t>
  </si>
  <si>
    <t xml:space="preserve"> [After participating in the program, I feel more confident about mentoring a child in reading or literacy.]</t>
  </si>
  <si>
    <t>[After participating in the program, I have a deeper understanding of literacy.]</t>
  </si>
  <si>
    <t>[I feel supported, appreciated, and understood by CFSN staff.]</t>
  </si>
  <si>
    <t xml:space="preserve"> [I would tell my friends or family to volunteer as a mentor with CFSN.]</t>
  </si>
  <si>
    <t xml:space="preserve"> [During mentoring, I work to understand my mentee and value their voice and input.]</t>
  </si>
  <si>
    <t>: [I enjoy my mentoring sessions.]</t>
  </si>
  <si>
    <t xml:space="preserve"> [I am comfortable having diversity, equity, and inclusion conversations with my mentee]</t>
  </si>
  <si>
    <t>Overall, how has your virtual mentoring experience gone?</t>
  </si>
  <si>
    <t>What was the best part of your mentoring experience?</t>
  </si>
  <si>
    <t>What do you think should be changed, improved, or added?</t>
  </si>
  <si>
    <t>What was your favorite memory from mentoring?</t>
  </si>
  <si>
    <r>
      <t xml:space="preserve">Virtual Mentors Only: How often do you use the reading guides in the mentor resource folder? Example: </t>
    </r>
    <r>
      <rPr>
        <color rgb="FF1155CC"/>
        <u/>
      </rPr>
      <t>https://drive.google.com/drive/folders/1Q-_fq_hxFsHaCiX-3EXcSY8rDDAFzM5l?usp=sharing</t>
    </r>
  </si>
  <si>
    <t>What, if anything, would encourage you to use the reading guides more?</t>
  </si>
  <si>
    <r>
      <t xml:space="preserve">How often do you use the CFSN Virtual Mentoring Outline in the mentor resource folder? Example: </t>
    </r>
    <r>
      <rPr>
        <color rgb="FF1155CC"/>
        <u/>
      </rPr>
      <t>https://docs.google.com/document/d/1bu5w5mE-TILtYyQl7qaxKiM5lQLpTTXo0LyRozJ2YN8/edit?usp=sharing</t>
    </r>
  </si>
  <si>
    <t>What, if anything, would encourage you to use the CFSN Virtual Mentoring Outline more?</t>
  </si>
  <si>
    <t>What can CFSN do to better support you as a mentor?</t>
  </si>
  <si>
    <t>Did you attend the Mentoring for Equity training with Melanie or Charles as a part of your training?</t>
  </si>
  <si>
    <r>
      <t xml:space="preserve">Please sign up for the workshop here!  This is a required part of mentor training.   Link:  </t>
    </r>
    <r>
      <rPr>
        <color rgb="FF1155CC"/>
        <u/>
      </rPr>
      <t>https://forms.gle/VZAdRTmgGM5kUTGw9</t>
    </r>
  </si>
  <si>
    <t>After attending the Mentoring for Equity Workshop, what, if anything, has stuck with you or have you applied to your mentoring?</t>
  </si>
  <si>
    <r>
      <t xml:space="preserve">Do you follow CFSN on social media?  Why or why not? Facebook: </t>
    </r>
    <r>
      <rPr>
        <color rgb="FF1155CC"/>
        <u/>
      </rPr>
      <t>https://www.facebook.com/Center4SuccessNetwork</t>
    </r>
    <r>
      <rPr/>
      <t xml:space="preserve"> Instagram: </t>
    </r>
    <r>
      <rPr>
        <color rgb="FF1155CC"/>
        <u/>
      </rPr>
      <t>https://www.instagram.com/centerforsuccessnet/?hl=en</t>
    </r>
  </si>
  <si>
    <t>What would you like to see more of on our social media platforms?</t>
  </si>
  <si>
    <t>How have you seen growth of your mentee through Center for Success Network this school year? We'd love to hear about any growth about self confidence, reading, or any other growth you'd like to share!</t>
  </si>
  <si>
    <r>
      <t xml:space="preserve">If you shared a story or feedback in this survey, do you authorize the Center for Success Network (CFSN) to use your information/responses related to your experience with CFSN on their social media platforms and/or organization communications? If you have any questions, please email </t>
    </r>
    <r>
      <rPr>
        <color rgb="FF1155CC"/>
        <u/>
      </rPr>
      <t>info@center4sucess.org</t>
    </r>
    <r>
      <rPr/>
      <t>.</t>
    </r>
  </si>
  <si>
    <t>What other thoughts, ideas, concerns or feedback do you have in regards to the CFSN Literacy Program?   Thank you for your time!</t>
  </si>
  <si>
    <t>Yes</t>
  </si>
  <si>
    <t>test</t>
  </si>
  <si>
    <t>Julie Rayes</t>
  </si>
  <si>
    <t>Isabella - CFSN at Brilliant Detroit Cody Rouge</t>
  </si>
  <si>
    <t>4 - Agree</t>
  </si>
  <si>
    <t>3 - Neutral</t>
  </si>
  <si>
    <t>5 - Strongly Agree</t>
  </si>
  <si>
    <t>Overall, it has gone well.  I was hoping to help Josselyn's reading improve a bit more than it did.  I think the fact that English is her second language has a lot to do with her reading level.</t>
  </si>
  <si>
    <t>The best part was when Josselyn and I wrote a story about her favorite Christmas traditions and then we turned it into a Funny Fill-In.</t>
  </si>
  <si>
    <t>When the student is struggling with something, it would be helpful to receive specific direction and resources to help him/her improve.  For example, I would like to receive links to help me teach the topic, or receive links to games that will help in that area. This could be included in the facilitator's response in the Mentor Log.  Sometimes the Virtual Mentor Resources are a lot to search through.</t>
  </si>
  <si>
    <t>Hearing from the facilitator that Josselyn really enjoys working with me.</t>
  </si>
  <si>
    <t>Not at all</t>
  </si>
  <si>
    <t>At the beginning of each year, I review the Virtual Mentoring Outline and follow it to the best of my ability.  I feel there should be some flexibility in the sessions so the student does not get bored.</t>
  </si>
  <si>
    <t>I feel supported and am happy with the program.</t>
  </si>
  <si>
    <t>I don't believe I attended this workshop.</t>
  </si>
  <si>
    <t>No, I don't follow CFSN simply because I don't enjoy being on social media.</t>
  </si>
  <si>
    <t>n/a</t>
  </si>
  <si>
    <t>I have enjoyed seeing my mentee become more comfortable with reading and excited to read her favorite books, which are Junie B. Jones and Dogman.  All year long, she worked hard and only missed one session!</t>
  </si>
  <si>
    <t>Please use my first name only</t>
  </si>
  <si>
    <t>2 - Disagree</t>
  </si>
  <si>
    <t>At every/most sessions</t>
  </si>
  <si>
    <t>Yes, anonymously</t>
  </si>
  <si>
    <t>Very well</t>
  </si>
  <si>
    <t>Lydia has been very responsive to my feedback. My first mentee and I struggled, it concerned me for us both. My current mentee has a terrific attitude and she is a great fit for the program</t>
  </si>
  <si>
    <t>Children with certain special needs require trained professionals to help with reading. These students should not be put on the roster for layman.</t>
  </si>
  <si>
    <t>It's always a good time. But my mentees reaction to a flash card competition game was the best.</t>
  </si>
  <si>
    <t>On occasion</t>
  </si>
  <si>
    <t>Yes, I think my mentee has improved her reading skills and has increased confidence.</t>
  </si>
  <si>
    <t>No</t>
  </si>
  <si>
    <t>Tina Tripathi</t>
  </si>
  <si>
    <t>Lydia - CFSN at Brilliant Detroit Central</t>
  </si>
  <si>
    <t>It had gone very well! I’ve been lucky enough to have partnered with my student for 2 years now and I have really enjoyed getting to know him longitudinally.</t>
  </si>
  <si>
    <t>Definitely hanging out with my student and learning about what he likes!</t>
  </si>
  <si>
    <t>I think only trying to ensure that students are in a quieter area of their homes and if possible, have a decent internet connection in the room they’re in.</t>
  </si>
  <si>
    <t>Having my student open up to me!</t>
  </si>
  <si>
    <t>N/A</t>
  </si>
  <si>
    <t>He has significantly opened up and has improved with his reading comprehension.</t>
  </si>
  <si>
    <t>Nikita Sathiaprakash</t>
  </si>
  <si>
    <t>Very good! This is my 4th offical year I think of doing virtual mentoring and I just love the experience. The fact that it's virtual gives me some flexibility in that I don't have to travel to a CFS location to do the session and it was easier to fit with my medical school schedule and continue doing it for four years.</t>
  </si>
  <si>
    <t xml:space="preserve">Getting to know my mentee(s) each year. They really are the highlight of my week when I log on and get to chat with them. </t>
  </si>
  <si>
    <t>I know that some times parents have to cancel last minute when things come up and since my sessions have been virtual, that is certainly no big deal. I think if mentoring sessions were in person, there might have to be more clear guidelines for canceling sessions so that mentors are coming to the location just to have a parent cancel.</t>
  </si>
  <si>
    <t>Playing games like hangman and tic-tac-toe with my mentees. (Simple games where we just get to know each other).</t>
  </si>
  <si>
    <t>I wasn't aware of the reading guides</t>
  </si>
  <si>
    <t>An email at the beginning of the containing links to all the resources (and potentially short descriptions as to what each thing is). Or just periodic reminders of what things are available in the Drive.</t>
  </si>
  <si>
    <t>Nothing I can think of- I feel really well supported.</t>
  </si>
  <si>
    <t>Just really having open communication with my mentees</t>
  </si>
  <si>
    <t>No because I didn't know they has social media sites.</t>
  </si>
  <si>
    <t>I can't really think of anything</t>
  </si>
  <si>
    <t>I have definitely seen growth! She seems to have gotten more confidence and wants to read more often. In the beginning she seemed to never want to read and I had to encourage a lot in order to read a book. She also has opened up and feels more comfortable telling me how her day has gone and what is going on in her life.</t>
  </si>
  <si>
    <t>Nothing I can think of</t>
  </si>
  <si>
    <t>Super well! I love reading with my mentee because she also loves reading so that makes the overall experience enjoyable</t>
  </si>
  <si>
    <t>Having silly moments with my mentee</t>
  </si>
  <si>
    <t>During one session, my mentee and I read a book about gymnastics. We tried the gymnastics moves together as we read the story, which was fun and engaging for both of us!</t>
  </si>
  <si>
    <t>Yes!</t>
  </si>
  <si>
    <t>My mentee was really shy during our first session. As the weeks went on, my mentee began to share more and open up about herself!</t>
  </si>
  <si>
    <t>michael hannon</t>
  </si>
  <si>
    <t>Mori/Tina- CFSN Detroit</t>
  </si>
  <si>
    <t>its going good</t>
  </si>
  <si>
    <t>the child welcoming me into their lives</t>
  </si>
  <si>
    <t>lets try seperating the grade levels</t>
  </si>
  <si>
    <t>the child  improving their learning levels</t>
  </si>
  <si>
    <t>the diferent abilities in teaching the child</t>
  </si>
  <si>
    <t>no not yet</t>
  </si>
  <si>
    <t>his reading gets better and word pronunciation is improving</t>
  </si>
  <si>
    <t>Yes, with my name</t>
  </si>
  <si>
    <t>all is well this semester</t>
  </si>
  <si>
    <t>My mentoring experience has been very enjoyable</t>
  </si>
  <si>
    <t>Best part of my mentoring experience was the opportunity to work one-on-one with my mentee and grow together as an educator and learner</t>
  </si>
  <si>
    <t xml:space="preserve">One of my mentees I started with usually wasn't enthusiastic about reading / did not seem too interested in reading. However as time passed, he started to enjoy reading as he saw a fast progression in his skills. </t>
  </si>
  <si>
    <t>I started to listen more and talk less and it has improved communication between my mentee and I</t>
  </si>
  <si>
    <t xml:space="preserve">
In the quiet beginnings of our mentorship, Christian hesitated at the threshold of literacy. But as we worked together through the Center for Success Network, something amazing happened. As we learned more about one another, we found books that matched what Christian liked, and as we read them, he started feeling confident in himself. Reading became something he really enjoyed. With each book we finished, Christian felt stronger and more confident. Both Christian and I had come a long way, boosting my own confidence as a mentor in the process. Center for Success showed me how important it is to have a mentor/mentee pairing to help each other grow. </t>
  </si>
  <si>
    <t xml:space="preserve">Would love it if CFSN came to our school's campus and recruited more students. </t>
  </si>
  <si>
    <t>Nada</t>
  </si>
  <si>
    <t>Great</t>
  </si>
  <si>
    <t xml:space="preserve">flexibility and openness to do different activities for each tutoring session </t>
  </si>
  <si>
    <t xml:space="preserve">Exercising with my mentee </t>
  </si>
  <si>
    <t xml:space="preserve">diversity in topics </t>
  </si>
  <si>
    <t>Zahrah Abdullah</t>
  </si>
  <si>
    <t>Kendra + Maggie - CFSN Pontiac</t>
  </si>
  <si>
    <t>It has gone very well!</t>
  </si>
  <si>
    <t>The best part of my mentoring experience was seeing my mentees positive progress in reading and their confidence increasing.</t>
  </si>
  <si>
    <t>I think the program is very good.</t>
  </si>
  <si>
    <t>My favorite memory from mentoring is discussing the books we read together with my mentees.</t>
  </si>
  <si>
    <t>I wasn't aware of the CFSN Virtual Mentoring Outlines, and I'll use them next year if I'm able to continue being a mentor at this program.</t>
  </si>
  <si>
    <t>CFSN is supporting me very well as a mentor.</t>
  </si>
  <si>
    <t>I don't look at social media a lot and I don't have an account with those social media apps.</t>
  </si>
  <si>
    <t>I seen the growth of my mentees through the Center for Success Network by their increased confidence in their reading skills and determination.</t>
  </si>
  <si>
    <t>I have enjoyed my time as a mentor in this program and look forward to continuing next year.</t>
  </si>
  <si>
    <t>Katie Fisher</t>
  </si>
  <si>
    <t xml:space="preserve">The experience went well, I struggled to encourage Issac to focus at times and has some technical difficulties that got in the way of our learning (my fault). The inline resources were extremely helpful! </t>
  </si>
  <si>
    <t xml:space="preserve">I loved getting to know Issac and work with him. He worked so hard and was so sweet. </t>
  </si>
  <si>
    <t xml:space="preserve">I think more details about where the student stand academically would be helpful. More information about how to help the student improve would be helpful also </t>
  </si>
  <si>
    <t xml:space="preserve">I enjoyed the relationship that was formed with my mentee. Children that can work online should be the only children with an online mentor. </t>
  </si>
  <si>
    <t>Once a week</t>
  </si>
  <si>
    <t xml:space="preserve">I enjoyed it and would not need more encouragement. </t>
  </si>
  <si>
    <t>Give us more data about our child so we can find more resources to help them!</t>
  </si>
  <si>
    <t xml:space="preserve">The important relationship you build. </t>
  </si>
  <si>
    <t xml:space="preserve">No, I was not aware they has social media. </t>
  </si>
  <si>
    <t>He went from not wanting to read, to asking to help me read.</t>
  </si>
  <si>
    <t>Katrina Soucy</t>
  </si>
  <si>
    <t xml:space="preserve">Pretty well. My mentee was absent on a lot of days we were supposed to work together, so I'm not sure we were able to get as much progress as some of the others, but during our sessions we had a great time. </t>
  </si>
  <si>
    <t xml:space="preserve">Getting to know the littles, seeing how creative they are when we made it in for a story writing exercise. </t>
  </si>
  <si>
    <t xml:space="preserve">For the virtual mentoring, my student was listed as a few different reading levels on different pages. I would just make sure that all the pages are updated and accurate. We also heard about folders in person that I don't think we got to see so much online. If there was a way to upload their folders online that would be really helpful too. </t>
  </si>
  <si>
    <t xml:space="preserve">I loved getting to come in and work with the kids as a group. </t>
  </si>
  <si>
    <t>Easier access to mentee information, check ins with CFSN regularly to discuss where our student is at.</t>
  </si>
  <si>
    <t xml:space="preserve">I think overall you all are doing an amazing job! </t>
  </si>
  <si>
    <t xml:space="preserve">The importance of getting to know your mentees and for them to know you, diving into our many identities. </t>
  </si>
  <si>
    <t xml:space="preserve">I do not, I didn't know they were on social media! </t>
  </si>
  <si>
    <t xml:space="preserve">I think her voice developed a bit during our sessions, going from monotone to trying to add more inflection to her aloud reading. </t>
  </si>
  <si>
    <t>Marian</t>
  </si>
  <si>
    <t>It has gone very well.</t>
  </si>
  <si>
    <t>I really enjoyed mentoring Chrison.  He now enjoys reading which is great.</t>
  </si>
  <si>
    <t>It would be nice if the online sessions started on time.</t>
  </si>
  <si>
    <t>The day Chrison said he wanted to read first and said he liked reading now.</t>
  </si>
  <si>
    <t>I don't use it because it doesn't seem necessary.  I am fine with just reading with the kids.</t>
  </si>
  <si>
    <t>CFSN does a good job now.</t>
  </si>
  <si>
    <t>I've had a lot of equity training, so nothing really stood out to me.</t>
  </si>
  <si>
    <t>no</t>
  </si>
  <si>
    <t>Chrison is a lot more confident in reading.</t>
  </si>
  <si>
    <t>Bridget Diener</t>
  </si>
  <si>
    <t>I gained new ways to teach syllables and how to break the words apart.</t>
  </si>
  <si>
    <t>When my mentee was excited to work with me. The smile on the child face is up lighting and changes our mood when we see them.</t>
  </si>
  <si>
    <t xml:space="preserve">Additional literacy sessions 
Learn about the curriculum and standards from the center </t>
  </si>
  <si>
    <t>We learn how to work with students at different levels.
Learn how to  build relationships with the students.</t>
  </si>
  <si>
    <t xml:space="preserve">I did not know CFSN was part of the social media. </t>
  </si>
  <si>
    <t>Lessons of what the students learn</t>
  </si>
  <si>
    <t xml:space="preserve">  I can see that the student is feeling assured when reading and practicing pronunciation.  </t>
  </si>
  <si>
    <t>thank you for your time during this semester</t>
  </si>
  <si>
    <t>Monica</t>
  </si>
  <si>
    <t>My virtual experience was good. The student would have minimum distractions when tutoring from home.</t>
  </si>
  <si>
    <t>My mentee enjoyed working with me.</t>
  </si>
  <si>
    <t>I enjoyed learning.</t>
  </si>
  <si>
    <t>My favorite memory was when we met in person.</t>
  </si>
  <si>
    <t>It's good for guidance.</t>
  </si>
  <si>
    <t>We have more clarity the spring/summer semester at OU.</t>
  </si>
  <si>
    <t>Not sure.</t>
  </si>
  <si>
    <t>No. Not a social media person.</t>
  </si>
  <si>
    <t>My mentee is excited to learn new words and become a better reader.</t>
  </si>
  <si>
    <t>You're providing a great service.</t>
  </si>
  <si>
    <t xml:space="preserve">I really enjoyed mentoring. My student was great and it felt rewarding. </t>
  </si>
  <si>
    <t xml:space="preserve">The best part was noticing my student’s improvement </t>
  </si>
  <si>
    <t>Haley Nichols</t>
  </si>
  <si>
    <t>ok</t>
  </si>
  <si>
    <t>Consistent mentoring and working with the same person over time</t>
  </si>
  <si>
    <t xml:space="preserve">More emphasis on phonics and different reading resources. Reading resources are too repetitive in syntax, often only changing one word. Once the student picks up on this, they are quickly able to read the book, but it does not seem like they are actually reading. Seems like they are relying on the photos to guess what the words are versus sounding it out and making that sound to letter connection. </t>
  </si>
  <si>
    <t>When my mentee showed me his drawing and said he missed me after I had been absent for a while.</t>
  </si>
  <si>
    <t xml:space="preserve">Probably needs to be quarterly zoom/phone call/face to face check ins with the mentors to discuss the mentee progress. We have the online form to document how the session went, but it feels like it's either not being read, or there is a gap in communicating and understanding concerns with this method. </t>
  </si>
  <si>
    <t>Please listen to the podcast "Sold a Story." This explains a lot of my observations in mentoring and I think the reading resources need to be adjusted.</t>
  </si>
  <si>
    <t>Shobha Shashikumar</t>
  </si>
  <si>
    <t>It has been good so far!</t>
  </si>
  <si>
    <t>Seeing the mentee improve and gain confidence.</t>
  </si>
  <si>
    <t>When the mentee sets a goal for themselves!</t>
  </si>
  <si>
    <t>As needed</t>
  </si>
  <si>
    <t>I'm not on social media! lol</t>
  </si>
  <si>
    <t>It's hard to gauge this as I've had only a few sessions with my mentee.</t>
  </si>
  <si>
    <t>Getting to know my mentee and the other kids.</t>
  </si>
  <si>
    <t xml:space="preserve">Communication and follow up with staff. I filled out what we did each shift, but never had any feed back. Also I thought the folder games that were in mentee’s file, we either too advanced, didn’t have all the materials included or was too hard for me to understand. </t>
  </si>
  <si>
    <t xml:space="preserve">Seeing the smile on my mentee’s face when he saw me. </t>
  </si>
  <si>
    <t>See above. I would like to say that Kendra and Maggie were great with getting the kids back in line when they were getting restless.</t>
  </si>
  <si>
    <t>The visual of 3 people looking through a fence and it shows the difference between equality and equity. So good!</t>
  </si>
  <si>
    <t>No I  stopped Facebook and all other social media.</t>
  </si>
  <si>
    <t>I think he improved on his self control. Instead of rushing through a task, if I reminded him to slow down he did. Also he didn’t grab things from his friends hands as much. Might just be his maturity. But it was nice to see that growth.</t>
  </si>
  <si>
    <t>I would just like more follow up with staff. We really never had time to review and discuss our progress. Not their fault they were always busy with the kids. Maybe have one day a month set aside just for mentors to come in and have a discussion. Just a thought.</t>
  </si>
  <si>
    <t>Ingrid</t>
  </si>
  <si>
    <t>NA</t>
  </si>
  <si>
    <t xml:space="preserve">seeing Zander figure out the words he didn’t recognize at 1st. </t>
  </si>
  <si>
    <t>feedback on post-session Mentor forms.  This used to be weekly feedback, so I knew you were constantly watching &amp; trying to improve the mentor experience in working with our students.</t>
  </si>
  <si>
    <t>Zander’s deepening appreciation of me</t>
  </si>
  <si>
    <t>effective supervision of students whose mentors are absent, to prevent them from  interrupting mentoring sessions that are in progress with other students; complete snack-time &amp; bathroom breaks before mentors arrive; advise students to clean-up after themselves before leaving the facility e.g., supplies, books, crayons/pencils, empty plates, etc.</t>
  </si>
  <si>
    <t xml:space="preserve">frequently. </t>
  </si>
  <si>
    <t>Special notices for board members about the Center’s significant admin. &amp; HR matters, special student activities—things to connect us more fully with the life of the organization</t>
  </si>
  <si>
    <t xml:space="preserve">Zander’s self-confidence was outstanding from the start, but I expect it was validated by his positive interactions with a new set of students &amp; educational tools. Praise for his success pronouncing individual words seemed to mean a lot to him &amp; his willingness to read. </t>
  </si>
  <si>
    <t>See previous survey responses. Am seeing a much less structured approach to the mentoring program at the Detroit location.  I can see both value &amp; limitations of this approach.</t>
  </si>
  <si>
    <t xml:space="preserve">It was good! </t>
  </si>
  <si>
    <t xml:space="preserve">Better communication by the staff - a lot of the times, I did not hear a response and was out of the loop. </t>
  </si>
  <si>
    <t>Once a month</t>
  </si>
  <si>
    <t xml:space="preserve">Not active on social media </t>
  </si>
  <si>
    <t>I have really enjoyed my experience. It's very convenient for me and it works based on the schedule I picked. And I get to help students grow in their reading skills.  I love it</t>
  </si>
  <si>
    <t>I think that connecting with my mentee has been such a wonderful thing and we both have grown so much from it.</t>
  </si>
  <si>
    <t>I think that more regular communication, perhaps like weekly updates and notices, would help a lot with having everyone on the same page.</t>
  </si>
  <si>
    <t>Just being aware of what bias and perceptual sets I bring to any interaction with a mentee, and trying to adjust that to be more open and understanding.</t>
  </si>
  <si>
    <t>Kristen Crum</t>
  </si>
  <si>
    <t>It has gone pretty well. I do think it would be easier to get student engagement if we were in person.</t>
  </si>
  <si>
    <t>Working with Chassidy for a second year has been rewarding.</t>
  </si>
  <si>
    <t>Nothing</t>
  </si>
  <si>
    <t>My favorite memory is when Chassidy read 8-10 books to me without me having to push her too much.</t>
  </si>
  <si>
    <t>Regular prompting to use it</t>
  </si>
  <si>
    <t>I do not use social media</t>
  </si>
  <si>
    <t>Chassidy is way more confident with her reading and is starting to take more initiative.</t>
  </si>
  <si>
    <t>Derrick Roman</t>
  </si>
  <si>
    <t xml:space="preserve">Very well. </t>
  </si>
  <si>
    <t>Getting to know Naim</t>
  </si>
  <si>
    <t>Feedback from staff about how effective our sessions are and what we might do differently to get better results</t>
  </si>
  <si>
    <t>Naim sharing his comic books</t>
  </si>
  <si>
    <t>Excellent resources</t>
  </si>
  <si>
    <t>None</t>
  </si>
  <si>
    <t xml:space="preserve">Better understanding of literacy challenges and how people can help. </t>
  </si>
  <si>
    <t xml:space="preserve">Not for me. </t>
  </si>
  <si>
    <t xml:space="preserve">Naim was more comfortable and trusting with me as time went. He worked hard at the reading exercises we did together.  </t>
  </si>
  <si>
    <t xml:space="preserve">None...excellent program. </t>
  </si>
  <si>
    <t>Tanya Bhardwaj</t>
  </si>
  <si>
    <t xml:space="preserve">I have enjoyed it overall! It has provided me with the flexibility I needed while still being able to volunteer. </t>
  </si>
  <si>
    <t>The best part was seeing Isaiah become more comfortable with me throughout the sessions and seeing him enjoy reading!</t>
  </si>
  <si>
    <t xml:space="preserve">Sometimes communication with schedule changes like cancellations could have been prioritized a bit more. </t>
  </si>
  <si>
    <t xml:space="preserve">My favorite memory was teaching Isaiah how to play connect 4 and now he puts up quite the challenge! </t>
  </si>
  <si>
    <t xml:space="preserve">If someone told me when and why to use them or maybe if there was a sequential order I should be aware of. </t>
  </si>
  <si>
    <t>Nothing, it was great!</t>
  </si>
  <si>
    <t xml:space="preserve">I do not because I don't use either very much. </t>
  </si>
  <si>
    <t>Isaiah has improved on his reading skills tremendously. His speed and confidence has improved a lot and when he is interested in something, he genuinely tries his best. I am very proud of his growth this year!</t>
  </si>
  <si>
    <t>Rosemarie Reilly</t>
  </si>
  <si>
    <t>I did some virtual sessions while I was traveling. I had some issues with sharing the whiteboard at times using Zoom</t>
  </si>
  <si>
    <t>I liked the 1-1 in person time with the kids</t>
  </si>
  <si>
    <t>Every child should have a mentor!  If not enough mentor, have less kids. My mentee on M-W was not assigned until mid year and she made progress but could have made even more progress with someone from the beginning of the year</t>
  </si>
  <si>
    <t>Having my mentee give me a big smile &amp; hug when I arrive</t>
  </si>
  <si>
    <t>Have folders for all kids even if no mentor assigned!  I have filled in for many different students and most had no folders set up</t>
  </si>
  <si>
    <t>I</t>
  </si>
  <si>
    <t xml:space="preserve">No. Don’t use social media </t>
  </si>
  <si>
    <t>I saw my mentee on MW gain confidence allowing her to try new words. I’ve tried many different strategies to help her remember sight words and tackle different books</t>
  </si>
  <si>
    <t xml:space="preserve">Need some specific information for kids with dyslexia </t>
  </si>
  <si>
    <t>Jessica Sato</t>
  </si>
  <si>
    <t>Amy - CFSN at Downtown Boxing Gym</t>
  </si>
  <si>
    <t>Virtual mentoring sessions can be very difficult. Technical difficulties and late arrivals aside, my mentees are often distracted and find it hard to focus when signing on from home or at the gym, surrounded by others. But when my mentees do sign on on time and we are able to enjoy the full 30-35 minutes of allotted time for our session, it is much better. However, to utilize time efficiently, it is hard to do everything asked of us in the mentoring outline. On the best day, we are able to play a quick game, and then read a few pages of a book online. However, we need time to choose a book, and that can take a lot of time. So I do think it requires a little preparation where I find suitable books to read and games to play before signing on, so that I can make suggestions and keep things moving. But if my mentee isn't really into that then... time is lost. 
I have the privilege of being able to do my sessions in person a lot of the time, and this really allows for better use of time and connection with my mentees. They focus much better and our sessions are clearly more effective.</t>
  </si>
  <si>
    <t>This semester has been great; I've seen Mhyanna really improve her word recognition, ability sound out words, and her skipping over certain letters and words in sentences. And Roman... when I first met him he could barely get through reading a sentence without my help sounding out each word. But now he is reading full pages with some long, tricky words all by himself! I am very proud of both of them, especially for their constant positive attitudes</t>
  </si>
  <si>
    <t xml:space="preserve">The mentoring outline for the schedule per each day could be adjusted to be a bit more lenient. 30 minutes is not a ton of time to do everything on the list, especially if the session doesn't start exactly on time. If I'm lucky, I find I have time to play a game and read a few pages of a book with my mentees in a way that it feels we have had an effective session. </t>
  </si>
  <si>
    <t>I love how much Roman loves Fly Guy books and how enthusiastic he was about them every session we had! And I always love Mhyanna's sense of humor and the way she does silly voices sometimes when reading books to me</t>
  </si>
  <si>
    <t>I have just found that it doesn't work as well in practice, maybe because time is a limiting factor. It would be helpful if there were more books that were leveled in the resource folder; the ones that are currently in there just don't seem to appeal to my mentees. They won't even entertain them just by looking at them! Hoopla has the best selection for virtual sessions, but it's hard to level those books... if some of the hoopla books could make it into the resources with their levels, that would be helpful</t>
  </si>
  <si>
    <t>I think that my answers so far have given enough insight... I feel very supported as a mentor and am grateful to all of the coaches at CFS!</t>
  </si>
  <si>
    <t>that was a while ago for me, but simply understanding better what equity means, vs. equality, was really enlightening</t>
  </si>
  <si>
    <t>I don't know... but I am not very active on socail media so if not, that is why!</t>
  </si>
  <si>
    <t>not sure</t>
  </si>
  <si>
    <t>They are both much more confident, have shown a clear improvement, and always have such positive attitudes!</t>
  </si>
  <si>
    <t>Improved communication with mentors if mentees are present for their session ahead of time.</t>
  </si>
  <si>
    <t>Playing educational games that my mentee was excited about.</t>
  </si>
  <si>
    <t>Danielle Ochocki</t>
  </si>
  <si>
    <t>It was a positive experience. I feel like my mentee and I were able to get comfortable throughout the year.</t>
  </si>
  <si>
    <t xml:space="preserve">Seeing Ean get better at sounding out words he didn't know. </t>
  </si>
  <si>
    <t xml:space="preserve">new game ideas would be helpful! some of the suggested ones are just a little difficult to do via zoom. </t>
  </si>
  <si>
    <t>Ean getting excited to play hangman!</t>
  </si>
  <si>
    <t xml:space="preserve">I do use it sometimes, it can be hard to get your mentee to set goals. </t>
  </si>
  <si>
    <t xml:space="preserve">NA- I feel supported </t>
  </si>
  <si>
    <t>I don't think I went to this, at least not recently</t>
  </si>
  <si>
    <t xml:space="preserve">He seems more confident in his reading! Overall is more fluent than before. </t>
  </si>
  <si>
    <t>India Bailey</t>
  </si>
  <si>
    <t>Overall, my experience went really well I was able to still interact and connect with my mentee while being virtual.</t>
  </si>
  <si>
    <t>The best part about my mentor experience is being able to help someone and bring joy.</t>
  </si>
  <si>
    <t xml:space="preserve">I would like a hybrid option with my mentee, sometimes we meet virtual, and sometimes we meet in person. </t>
  </si>
  <si>
    <t>My favorite memory is seeing my mentee be able to complete task alone with little to no help, showing how they have improved greatly. In addition to the laughter moments while playing games.</t>
  </si>
  <si>
    <t xml:space="preserve">I use it based on the interest of the mentee and sometimes I find that using additional resources outside of the guideline helps the mentee be more engaged and active. </t>
  </si>
  <si>
    <t>Nothing, you guts are awesome and I will be returning.</t>
  </si>
  <si>
    <t xml:space="preserve"> The interactions you have with your mentee creates the environment and open relationship. </t>
  </si>
  <si>
    <t xml:space="preserve">I do not I didn't know they had social media </t>
  </si>
  <si>
    <t xml:space="preserve">I don't follow, I will add the Facebook </t>
  </si>
  <si>
    <t xml:space="preserve">She is more confident in taking on new challenges even if its above her grade or reading level. She does a phenomenal job each time and is willing to learn new things. </t>
  </si>
  <si>
    <t>This program is really great how can it be spread more throughout various cities?</t>
  </si>
  <si>
    <t>Sarah Lividini</t>
  </si>
  <si>
    <t>Hawra/Shanelle - CFSN at Brilliant Detroit Fitzgerald</t>
  </si>
  <si>
    <t xml:space="preserve">Decent. I think the program went through some changes that made it difficult to find stable footing but I enjoy just being able to log on and connect with students from home. </t>
  </si>
  <si>
    <t>Seeing my mentee grow in their literacy skills while reading books we picked out together!</t>
  </si>
  <si>
    <t>I use it each session!</t>
  </si>
  <si>
    <t>Small change, but I haven't played "hangman" in such a long time and opt for better alternatives. This highlighted for me the simple changes we can make as mentors to our language to reduce structural injustices.</t>
  </si>
  <si>
    <t>yes!</t>
  </si>
  <si>
    <t>My mentee went up a number of reading levels (M to Q) during our sessions which was amazing to see! More than that, my mentee also began recognizing what books would be interesting to her and which books were going to make reading more of a challenge because of the lack of interest. I loved seeing her discover her own passions through reading!</t>
  </si>
  <si>
    <t>Radia Islam</t>
  </si>
  <si>
    <t xml:space="preserve">it's been wonderful to work with Amy! I think there are some days where its difficult with Samiya because she wants to participate in other activities rather than this literacy program, but its always a pleasure to work with her. </t>
  </si>
  <si>
    <t xml:space="preserve">getting closer with samiya and working on our origami together! </t>
  </si>
  <si>
    <t xml:space="preserve">nothing </t>
  </si>
  <si>
    <t xml:space="preserve">having an art competition </t>
  </si>
  <si>
    <t xml:space="preserve">I think with samiya specifically there is an issue with her focus because she wants to go to the kitchen so often, so perhaps changing the schedule for the mentee to be more excited and engaged during out time together </t>
  </si>
  <si>
    <t xml:space="preserve">yes </t>
  </si>
  <si>
    <t>Lavanya</t>
  </si>
  <si>
    <t>The mentoring experience has been really fun!</t>
  </si>
  <si>
    <t>I really like seeing Ava improve and grow through each session; it not only makes me feel more confident as a mentor but it's amazing to see Ava improve in her literacy skills!</t>
  </si>
  <si>
    <t>I think that aside from knowing how to approach mentees when they're feeling down, it's good to know better methods of teaching that and to maybe briefly talk about a few teaching styles so mentors can experiment and see which ones best apply to mentees.</t>
  </si>
  <si>
    <t>Probably when playing games with Ava and seeing her light up when we make progress.</t>
  </si>
  <si>
    <t>I use it a lot especially for the links attached but if there were more activities built for teaching the basics of reading--like sounding out words as a whole, phonics, etc--that would definitely help me personally!</t>
  </si>
  <si>
    <t>Maybe go through more teaching styles during the training sessions</t>
  </si>
  <si>
    <t>I don't know if any words specifically have stuck with me, but I've definitely been going over books about culture and heritage with Ava!</t>
  </si>
  <si>
    <t>No because I wasn't aware it existed, but I'll make sure to do that now!</t>
  </si>
  <si>
    <t>I'm not sure.</t>
  </si>
  <si>
    <t>I definitely saw growth in Ava's confidence and and reading ability! Ava's slowly become better at identifying sounds and immediately being able to say new words solely from seeing their spelling alone. She hasn't mastered it yet but there's definitely been significant improvement!</t>
  </si>
  <si>
    <t>I have grown significantly from my mentoring experience. The experience, overall, has helped me see new ways to teach and learn information while continuing to help me adapt to the needs of the moment.</t>
  </si>
  <si>
    <t>I really enjoy the respect and connection formed between my mentee and I. Throughout the year, I feel as if we have been able to communicate better and adapt to what is needed at that time, which I really appreciated.</t>
  </si>
  <si>
    <t>Allen Song</t>
  </si>
  <si>
    <t>It has gone smoothly. I enjoy mentoring kids about subjects that I am passionate about, and I love building their passions as well.</t>
  </si>
  <si>
    <t>Getting to help kids in areas that I'm proficient at and getting to see them improve with my help.</t>
  </si>
  <si>
    <t>Being able to help some kids with some SAT prep even though I had just taken it this past fall. It was a pretty funny experience in my opinion :)</t>
  </si>
  <si>
    <t>Maybe just being able to still help someone out on days that my assigned student cannot participate in the program.</t>
  </si>
  <si>
    <t>No, I did not know about it.</t>
  </si>
  <si>
    <t>I've had several mentees this year. I've seen growth in all of them, from a greater love/interest for reading, improvement in their respective focus skills (grammar, math topics, etc.), etc.</t>
  </si>
  <si>
    <t>Ruma Barua</t>
  </si>
  <si>
    <t>The experience was good ( I had Isaiah for about two years and Ayris this past year)</t>
  </si>
  <si>
    <t>Seeing the mentee improve her reading skills</t>
  </si>
  <si>
    <t xml:space="preserve">I feel a lot of time is gone before we are in a breakout room. Sometimes, it is 15 - 20 minutes after I signed on at 5:20. This happened this year only. The fist two years with Isaiah, we were in our breakout rooms almost immediately after we signed in. That gave us more productive time.  
Also, with the mentoring done in the center itself, there is a lot of distractions, especially the sound of chatter in the background. I did not have the issue with Isaiah last year as he was at home. 
Feedback from the coordinators could also be more timely.  
Also, her assessment at the start of the program that she is at Level C was not really accurate as she struggled initially with Level A or B books (she did get to read Level B well at the end). 
This is not criticism , just constructive suggestions.
The resources were very good as was the online library of books.
</t>
  </si>
  <si>
    <t>Interacting with Ayris and seeing her improve. She is a very sweet girl.</t>
  </si>
  <si>
    <t>I think the guides, resources  and outlines were very good.</t>
  </si>
  <si>
    <t>See my suggestions above.</t>
  </si>
  <si>
    <t>I am very aware , even before the Equity Workshop of these issues and CFSN is doing a good job.</t>
  </si>
  <si>
    <t>I have not, I am not very active on social media</t>
  </si>
  <si>
    <t xml:space="preserve">In the beginning, she struggked with LKevel A books but was confidently reading Level B books and sometimes Level C with some help. </t>
  </si>
  <si>
    <t>Michael Lamping</t>
  </si>
  <si>
    <t>I mentored in person this year.</t>
  </si>
  <si>
    <t>I always enjoy building rapport with my mentees and helping them improve. People helped me achieve in life and I love returning the favor.</t>
  </si>
  <si>
    <t>We need to find more mentors.</t>
  </si>
  <si>
    <t>My mentee has just told me in one of our last sessions for the year how much he appreciated my help.  That is all I needed to hear.</t>
  </si>
  <si>
    <t>It might be helpful if there were a few more high-end books for the older, already high reading level kids to help catch their interest. Otherwise, things are great!</t>
  </si>
  <si>
    <t>I've made sure to consider broader perspectives beyond my personal experience in how I support and help my mentees.</t>
  </si>
  <si>
    <t>My mentee was already a very accomplished reader, but I think our work together has helped his confidence in expressing himself along with his ability to focus and concentrate.</t>
  </si>
  <si>
    <t>Olivia</t>
  </si>
  <si>
    <t>Overall good</t>
  </si>
  <si>
    <t xml:space="preserve">I love it when I see my mentee smiling and having fun </t>
  </si>
  <si>
    <t>To think of myself not as a teacher/instructor, but rather a support for the mentee</t>
  </si>
  <si>
    <t>No. Not on instagram, log in to FB once a year for birthday</t>
  </si>
  <si>
    <t>Mentee is still shy to read out loud but no longer seems as stressed or sad when asked to read</t>
  </si>
  <si>
    <t>Ronald Ilagan</t>
  </si>
  <si>
    <t>We started late and unfortunately didn’t have many sessions together to really dive deep. We began with reading passages and pivoted after Messiah mentioned he wanted to do vocabulary. We used an online resource for vocabulary exercises and were trying to find one that be a good fit for his level of competency. Some were too easy and some were pretty difficult.</t>
  </si>
  <si>
    <t>I think the most rewarding part is seeing my mentee try his hardest to solve a problem or work through a word. I appreciate the effort</t>
  </si>
  <si>
    <t>Although Coach Amy provided some great resources, I was asked to determine Messiah’s reading level and I wasn’t sure what materials would be best to do so and what metrics I should base them on. I wasn’t sure if vocabulary was an acceptable topic to work on given the center’s mission on improving literacy, but I did so since it’s what my mentee said he’d like to work on. Perhaps some more guidelines on what is best for our mentee would help going forward</t>
  </si>
  <si>
    <t>My favorite memory was the first session where we mostly just talked and got to know each other. I tried my hardest to find things we could relate to and he seemed like he warmed up a bit accordingly.</t>
  </si>
  <si>
    <t>I did a training when I first began as a mentor years ago and I haven’t since then. This was also the first time I worked with a teenager through the Center and it’s a bit more difficult than working with an elementary school kid. Perhaps we can have another training on how to work on the personability side of mentoring.</t>
  </si>
  <si>
    <t>I’m not sure it’s a small sign of more effort but I think he’s doing better at working words out and reading a little more slowly</t>
  </si>
  <si>
    <t>Justina Giglio</t>
  </si>
  <si>
    <t xml:space="preserve">I love it! I just finished my second year as a mentor and I plan on doing it next year too </t>
  </si>
  <si>
    <t>Getting to build a friendship with my mentee and see them grow throughout the school year</t>
  </si>
  <si>
    <t>N/a</t>
  </si>
  <si>
    <t>Getting to meet Khiana! She’s so bright and I can’t wait to see what the future has in store for her</t>
  </si>
  <si>
    <t xml:space="preserve">I use it for every meeting to keep a structure </t>
  </si>
  <si>
    <t>Everything is good so far!</t>
  </si>
  <si>
    <t>I believe I follow you guys on Instagram :)</t>
  </si>
  <si>
    <t xml:space="preserve">I’m unsure </t>
  </si>
  <si>
    <t>I definitely see a growth in Khiana’s confidence in telling me what she wants to learn. She’s really helped guide my mentoring the last couple weeks</t>
  </si>
  <si>
    <t>Nothing at this time :)</t>
  </si>
  <si>
    <t xml:space="preserve">Quinn </t>
  </si>
  <si>
    <t xml:space="preserve">So far it has been pretty good. </t>
  </si>
  <si>
    <t>When the mentee is excited about the topic we are working on together. Making a rhyming song together was fun.</t>
  </si>
  <si>
    <t>My mentee was easily distracted. Maybe having him put away his toys before we begin would have helped. The last time we met I used the toys (Jenga) as a reward for working hard and it was effective.</t>
  </si>
  <si>
    <t xml:space="preserve">Writing a song with my mentee. </t>
  </si>
  <si>
    <t xml:space="preserve">I think it is very helpful and have no insight on how to improve it. </t>
  </si>
  <si>
    <t>Nothing. Keep doing what you are doing!</t>
  </si>
  <si>
    <t xml:space="preserve">I do my best to engage in my mentee's interests and try to find reading topics that they request. </t>
  </si>
  <si>
    <t xml:space="preserve">No. I don't use socal media. </t>
  </si>
  <si>
    <t xml:space="preserve">My mentee has improved on their rhyming skills! </t>
  </si>
  <si>
    <t>Kamisha Higgins</t>
  </si>
  <si>
    <t xml:space="preserve">It has gone very well. </t>
  </si>
  <si>
    <t>My son was so excited to log on every Tues &amp; Thurs</t>
  </si>
  <si>
    <t>Potentially earlier log in times</t>
  </si>
  <si>
    <t xml:space="preserve">Hearing my som reading speed pick up &amp; hos confidence change </t>
  </si>
  <si>
    <t>Yes, his reading speed has picked up &amp; his confidence has grown</t>
  </si>
  <si>
    <t>Hariti</t>
  </si>
  <si>
    <t>I have had a great time with mentoring, and I learned a lot about working with students and literacy. I think towards the beginning, it was hard to gauge what would be interesting, and often times my student would get a little bored with the school work. As we kept talking, I could understand her interest in writing and playing games, so I worked to integrate that into our lessons which helped keep her interested.</t>
  </si>
  <si>
    <t xml:space="preserve">Playing tic tac toe together- it really brought out Taraji's competitive and silly side </t>
  </si>
  <si>
    <t>The only activities that are available for literacy improvement is reading or writing, which can get boring for the students. I wish there were some activities that we could work on together (perhaps some game or history activity or something spanning a session or two focusing on a topic).</t>
  </si>
  <si>
    <t>Taraji reading her stories out loud - they were really silly but she often read them in the same tone which was really funny :)</t>
  </si>
  <si>
    <t>Didn't know they had social media- I will definitely follow :)</t>
  </si>
  <si>
    <t>Taraji grew a lot and gained more confidence throughout mentoring. She became more honest about her opinions and things she was interested in which showed her confidence. Her interest in the more non fiction books also drove her to ask more questions about those topics (space, different countries, types of food, animals, etc.)</t>
  </si>
  <si>
    <t xml:space="preserve">Jo Siwik </t>
  </si>
  <si>
    <t xml:space="preserve">Getting to know the kids </t>
  </si>
  <si>
    <t xml:space="preserve">Nothing </t>
  </si>
  <si>
    <t>My student reading the stinky cheese book we laughed so hard</t>
  </si>
  <si>
    <t xml:space="preserve">No I don't like social media </t>
  </si>
  <si>
    <t xml:space="preserve">I think all of my students have improved </t>
  </si>
  <si>
    <t>Evelyn James</t>
  </si>
  <si>
    <t>I attended in person mentoring sessions</t>
  </si>
  <si>
    <t xml:space="preserve">Getting to know my mentee and the others in the program. Sometimes seeing that understanding in their eyes.  </t>
  </si>
  <si>
    <t>I feel Kendra and Maggie were understaffed and unable to do the job they needed to do. They were great with the kids.  They were supportive of them, compassionate, friendly, and firm when they had to be when I was there in person. I think because of a lack of volunteers when it came time for students to log on with their mentee, there were many that didn't have a mentor.  So, I would let them join me and my mentee, which was fine.  My issue was the communication log that I would fill out and the learning materials that were to be left in my mentee's folder were not followed up on.  There was no feedback on what I wrote in the log.  The learning materials (folder games) were either way to hard, unable to understand or didn't have the right items needed. I improvised and usually had books picked out or did flash cards with my mentee, so they still had a learning experience.  I DO NOT FAULT Kendra or Maggie with these issues, I just think they had alot of responsibility and needed some more support.</t>
  </si>
  <si>
    <t>Talking with my mentee while he was playing.  Telling me what he was building or drawing.  Watching him light up when he got the flash card word right.</t>
  </si>
  <si>
    <t>I am not on social media anymore.</t>
  </si>
  <si>
    <t>To what extent do you agree or disagree with the following statements: [My mentee has improved their reading skills.]</t>
  </si>
  <si>
    <t>To what extent do you agree or disagree with the following statements: [My mentee is increasing or has increased their confidence level.]</t>
  </si>
  <si>
    <t>To what extent do you agree or disagree with the following statements: [My mentee has improved their outlook on learning and/or reading.]</t>
  </si>
  <si>
    <t>To what extent do you agree or disagree with the following statements: [I am happy with my mentee's progress in the program.]</t>
  </si>
  <si>
    <t>To what extent do you agree or disagree with the following statements: [After participating in the program, I feel more confident about mentoring a child in reading or literacy.]</t>
  </si>
  <si>
    <t>To what extent do you agree or disagree with the following statements: [After participating in the program, I have a deeper understanding of literacy.]</t>
  </si>
  <si>
    <t>To what extent do you agree or disagree with the following statements: [I feel supported, appreciated, and understood by CFSN staff.]</t>
  </si>
  <si>
    <t>To what extent do you agree or disagree with the following statements: [I would tell my friends or family to volunteer as a mentor with CFSN.]</t>
  </si>
  <si>
    <t>To what extent do you agree or disagree with the following statements: [During mentoring, I work to understand my mentee and value their voice and input.]</t>
  </si>
  <si>
    <t>To what extent do you agree or disagree with the following statements: [I enjoy my mentoring sessions.]</t>
  </si>
  <si>
    <t>To what extent do you agree or disagree with the following statements: [I am comfortable having diversity, equity, and inclusion conversations with my mentee]</t>
  </si>
  <si>
    <r>
      <t xml:space="preserve">Virtual Mentors Only: How often do you use the reading guides in the mentor resource folder? Example: </t>
    </r>
    <r>
      <rPr>
        <b/>
        <color rgb="FF1155CC"/>
        <u/>
      </rPr>
      <t>https://drive.google.com/drive/folders/1Q-_fq_hxFsHaCiX-3EXcSY8rDDAFzM5l?usp=sharing</t>
    </r>
  </si>
  <si>
    <r>
      <t xml:space="preserve">How often do you use the CFSN Virtual Mentoring Outline in the mentor resource folder? Example: </t>
    </r>
    <r>
      <rPr>
        <b/>
        <color rgb="FF1155CC"/>
        <u/>
      </rPr>
      <t>https://docs.google.com/document/d/1bu5w5mE-TILtYyQl7qaxKiM5lQLpTTXo0LyRozJ2YN8/edit?usp=sharing</t>
    </r>
  </si>
  <si>
    <r>
      <t xml:space="preserve">Please sign up for the workshop here!  This is a required part of mentor training.   Link:  </t>
    </r>
    <r>
      <rPr>
        <b/>
        <color rgb="FF1155CC"/>
        <u/>
      </rPr>
      <t>https://forms.gle/VZAdRTmgGM5kUTGw9</t>
    </r>
  </si>
  <si>
    <r>
      <t xml:space="preserve">Do you follow CFSN on social media?  Why or why not? Facebook: </t>
    </r>
    <r>
      <rPr>
        <b/>
        <color rgb="FF1155CC"/>
        <u/>
      </rPr>
      <t>https://www.facebook.com/Center4SuccessNetwork</t>
    </r>
    <r>
      <rPr>
        <b/>
      </rPr>
      <t xml:space="preserve"> Instagram: </t>
    </r>
    <r>
      <rPr>
        <b/>
        <color rgb="FF1155CC"/>
        <u/>
      </rPr>
      <t>https://www.instagram.com/centerforsuccessnet/?hl=en</t>
    </r>
  </si>
  <si>
    <r>
      <t xml:space="preserve">If you shared a story or feedback in this survey, do you authorize the Center for Success Network (CFSN) to use your information/responses related to your experience with CFSN on their social media platforms and/or organization communications? If you have any questions, please email </t>
    </r>
    <r>
      <rPr>
        <b/>
        <color rgb="FF1155CC"/>
        <u/>
      </rPr>
      <t>info@center4sucess.org</t>
    </r>
    <r>
      <rPr>
        <b/>
      </rPr>
      <t>.</t>
    </r>
  </si>
  <si>
    <r>
      <t xml:space="preserve">Virtual Mentors Only: How often do you use the reading guides in the mentor resource folder? Example: </t>
    </r>
    <r>
      <rPr>
        <b/>
        <color rgb="FF1155CC"/>
        <u/>
      </rPr>
      <t>https://drive.google.com/drive/folders/1Q-_fq_hxFsHaCiX-3EXcSY8rDDAFzM5l?usp=sharing</t>
    </r>
  </si>
  <si>
    <r>
      <t xml:space="preserve">How often do you use the CFSN Virtual Mentoring Outline in the mentor resource folder? Example: </t>
    </r>
    <r>
      <rPr>
        <b/>
        <color rgb="FF1155CC"/>
        <u/>
      </rPr>
      <t>https://docs.google.com/document/d/1bu5w5mE-TILtYyQl7qaxKiM5lQLpTTXo0LyRozJ2YN8/edit?usp=sharing</t>
    </r>
  </si>
  <si>
    <r>
      <t xml:space="preserve">Please sign up for the workshop here!  This is a required part of mentor training.   Link:  </t>
    </r>
    <r>
      <rPr>
        <b/>
        <color rgb="FF1155CC"/>
        <u/>
      </rPr>
      <t>https://forms.gle/VZAdRTmgGM5kUTGw9</t>
    </r>
  </si>
  <si>
    <r>
      <t xml:space="preserve">Do you follow CFSN on social media?  Why or why not? Facebook: </t>
    </r>
    <r>
      <rPr>
        <b/>
        <color rgb="FF1155CC"/>
        <u/>
      </rPr>
      <t>https://www.facebook.com/Center4SuccessNetwork</t>
    </r>
    <r>
      <rPr>
        <b/>
      </rPr>
      <t xml:space="preserve"> Instagram: </t>
    </r>
    <r>
      <rPr>
        <b/>
        <color rgb="FF1155CC"/>
        <u/>
      </rPr>
      <t>https://www.instagram.com/centerforsuccessnet/?hl=en</t>
    </r>
  </si>
  <si>
    <r>
      <t xml:space="preserve">If you shared a story or feedback in this survey, do you authorize the Center for Success Network (CFSN) to use your information/responses related to your experience with CFSN on their social media platforms and/or organization communications? If you have any questions, please email </t>
    </r>
    <r>
      <rPr>
        <b/>
        <color rgb="FF1155CC"/>
        <u/>
      </rPr>
      <t>info@center4sucess.org</t>
    </r>
    <r>
      <rPr>
        <b/>
      </rPr>
      <t>.</t>
    </r>
  </si>
  <si>
    <r>
      <t xml:space="preserve">Virtual Mentors Only: How often do you use the reading guides in the mentor resource folder? Example: </t>
    </r>
    <r>
      <rPr>
        <b/>
        <color rgb="FF1155CC"/>
        <u/>
      </rPr>
      <t>https://drive.google.com/drive/folders/1Q-_fq_hxFsHaCiX-3EXcSY8rDDAFzM5l?usp=sharing</t>
    </r>
  </si>
  <si>
    <r>
      <t xml:space="preserve">How often do you use the CFSN Virtual Mentoring Outline in the mentor resource folder? Example: </t>
    </r>
    <r>
      <rPr>
        <b/>
        <color rgb="FF1155CC"/>
        <u/>
      </rPr>
      <t>https://docs.google.com/document/d/1bu5w5mE-TILtYyQl7qaxKiM5lQLpTTXo0LyRozJ2YN8/edit?usp=sharing</t>
    </r>
  </si>
  <si>
    <r>
      <t xml:space="preserve">Please sign up for the workshop here!  This is a required part of mentor training.   Link:  </t>
    </r>
    <r>
      <rPr>
        <b/>
        <color rgb="FF1155CC"/>
        <u/>
      </rPr>
      <t>https://forms.gle/VZAdRTmgGM5kUTGw9</t>
    </r>
  </si>
  <si>
    <r>
      <t xml:space="preserve">Do you follow CFSN on social media?  Why or why not? Facebook: </t>
    </r>
    <r>
      <rPr>
        <b/>
        <color rgb="FF1155CC"/>
        <u/>
      </rPr>
      <t>https://www.facebook.com/Center4SuccessNetwork</t>
    </r>
    <r>
      <rPr>
        <b/>
      </rPr>
      <t xml:space="preserve"> Instagram: </t>
    </r>
    <r>
      <rPr>
        <b/>
        <color rgb="FF1155CC"/>
        <u/>
      </rPr>
      <t>https://www.instagram.com/centerforsuccessnet/?hl=en</t>
    </r>
  </si>
  <si>
    <r>
      <t xml:space="preserve">If you shared a story or feedback in this survey, do you authorize the Center for Success Network (CFSN) to use your information/responses related to your experience with CFSN on their social media platforms and/or organization communications? If you have any questions, please email </t>
    </r>
    <r>
      <rPr>
        <b/>
        <color rgb="FF1155CC"/>
        <u/>
      </rPr>
      <t>info@center4sucess.org</t>
    </r>
    <r>
      <rPr>
        <b/>
      </rPr>
      <t>.</t>
    </r>
  </si>
  <si>
    <r>
      <t xml:space="preserve">Virtual Mentors Only: How often do you use the reading guides in the mentor resource folder? Example: </t>
    </r>
    <r>
      <rPr>
        <b/>
        <color rgb="FF1155CC"/>
        <u/>
      </rPr>
      <t>https://drive.google.com/drive/folders/1Q-_fq_hxFsHaCiX-3EXcSY8rDDAFzM5l?usp=sharing</t>
    </r>
  </si>
  <si>
    <r>
      <t xml:space="preserve">How often do you use the CFSN Virtual Mentoring Outline in the mentor resource folder? Example: </t>
    </r>
    <r>
      <rPr>
        <b/>
        <color rgb="FF1155CC"/>
        <u/>
      </rPr>
      <t>https://docs.google.com/document/d/1bu5w5mE-TILtYyQl7qaxKiM5lQLpTTXo0LyRozJ2YN8/edit?usp=sharing</t>
    </r>
  </si>
  <si>
    <r>
      <t xml:space="preserve">Please sign up for the workshop here!  This is a required part of mentor training.   Link:  </t>
    </r>
    <r>
      <rPr>
        <b/>
        <color rgb="FF1155CC"/>
        <u/>
      </rPr>
      <t>https://forms.gle/VZAdRTmgGM5kUTGw9</t>
    </r>
  </si>
  <si>
    <r>
      <t xml:space="preserve">Do you follow CFSN on social media?  Why or why not? Facebook: </t>
    </r>
    <r>
      <rPr>
        <b/>
        <color rgb="FF1155CC"/>
        <u/>
      </rPr>
      <t>https://www.facebook.com/Center4SuccessNetwork</t>
    </r>
    <r>
      <rPr>
        <b/>
      </rPr>
      <t xml:space="preserve"> Instagram: </t>
    </r>
    <r>
      <rPr>
        <b/>
        <color rgb="FF1155CC"/>
        <u/>
      </rPr>
      <t>https://www.instagram.com/centerforsuccessnet/?hl=en</t>
    </r>
  </si>
  <si>
    <r>
      <t xml:space="preserve">If you shared a story or feedback in this survey, do you authorize the Center for Success Network (CFSN) to use your information/responses related to your experience with CFSN on their social media platforms and/or organization communications? If you have any questions, please email </t>
    </r>
    <r>
      <rPr>
        <b/>
        <color rgb="FF1155CC"/>
        <u/>
      </rPr>
      <t>info@center4sucess.org</t>
    </r>
    <r>
      <rPr>
        <b/>
      </rPr>
      <t>.</t>
    </r>
  </si>
  <si>
    <r>
      <t xml:space="preserve">Virtual Mentors Only: How often do you use the reading guides in the mentor resource folder? Example: </t>
    </r>
    <r>
      <rPr>
        <b/>
        <color rgb="FF1155CC"/>
        <u/>
      </rPr>
      <t>https://drive.google.com/drive/folders/1Q-_fq_hxFsHaCiX-3EXcSY8rDDAFzM5l?usp=sharing</t>
    </r>
  </si>
  <si>
    <r>
      <t xml:space="preserve">How often do you use the CFSN Virtual Mentoring Outline in the mentor resource folder? Example: </t>
    </r>
    <r>
      <rPr>
        <b/>
        <color rgb="FF1155CC"/>
        <u/>
      </rPr>
      <t>https://docs.google.com/document/d/1bu5w5mE-TILtYyQl7qaxKiM5lQLpTTXo0LyRozJ2YN8/edit?usp=sharing</t>
    </r>
  </si>
  <si>
    <r>
      <t xml:space="preserve">Please sign up for the workshop here!  This is a required part of mentor training.   Link:  </t>
    </r>
    <r>
      <rPr>
        <b/>
        <color rgb="FF1155CC"/>
        <u/>
      </rPr>
      <t>https://forms.gle/VZAdRTmgGM5kUTGw9</t>
    </r>
  </si>
  <si>
    <r>
      <t xml:space="preserve">Do you follow CFSN on social media?  Why or why not? Facebook: </t>
    </r>
    <r>
      <rPr>
        <b/>
        <color rgb="FF1155CC"/>
        <u/>
      </rPr>
      <t>https://www.facebook.com/Center4SuccessNetwork</t>
    </r>
    <r>
      <rPr>
        <b/>
      </rPr>
      <t xml:space="preserve"> Instagram: </t>
    </r>
    <r>
      <rPr>
        <b/>
        <color rgb="FF1155CC"/>
        <u/>
      </rPr>
      <t>https://www.instagram.com/centerforsuccessnet/?hl=en</t>
    </r>
  </si>
  <si>
    <r>
      <t xml:space="preserve">If you shared a story or feedback in this survey, do you authorize the Center for Success Network (CFSN) to use your information/responses related to your experience with CFSN on their social media platforms and/or organization communications? If you have any questions, please email </t>
    </r>
    <r>
      <rPr>
        <b/>
        <color rgb="FF1155CC"/>
        <u/>
      </rPr>
      <t>info@center4sucess.org</t>
    </r>
    <r>
      <rPr>
        <b/>
      </rPr>
      <t>.</t>
    </r>
  </si>
  <si>
    <r>
      <t xml:space="preserve">Virtual Mentors Only: How often do you use the reading guides in the mentor resource folder? Example: </t>
    </r>
    <r>
      <rPr>
        <b/>
        <color rgb="FF1155CC"/>
        <u/>
      </rPr>
      <t>https://drive.google.com/drive/folders/1Q-_fq_hxFsHaCiX-3EXcSY8rDDAFzM5l?usp=sharing</t>
    </r>
  </si>
  <si>
    <r>
      <t xml:space="preserve">How often do you use the CFSN Virtual Mentoring Outline in the mentor resource folder? Example: </t>
    </r>
    <r>
      <rPr>
        <b/>
        <color rgb="FF1155CC"/>
        <u/>
      </rPr>
      <t>https://docs.google.com/document/d/1bu5w5mE-TILtYyQl7qaxKiM5lQLpTTXo0LyRozJ2YN8/edit?usp=sharing</t>
    </r>
  </si>
  <si>
    <r>
      <t xml:space="preserve">Please sign up for the workshop here!  This is a required part of mentor training.   Link:  </t>
    </r>
    <r>
      <rPr>
        <b/>
        <color rgb="FF1155CC"/>
        <u/>
      </rPr>
      <t>https://forms.gle/VZAdRTmgGM5kUTGw9</t>
    </r>
  </si>
  <si>
    <r>
      <t xml:space="preserve">Do you follow CFSN on social media?  Why or why not? Facebook: </t>
    </r>
    <r>
      <rPr>
        <b/>
        <color rgb="FF1155CC"/>
        <u/>
      </rPr>
      <t>https://www.facebook.com/Center4SuccessNetwork</t>
    </r>
    <r>
      <rPr>
        <b/>
      </rPr>
      <t xml:space="preserve"> Instagram: </t>
    </r>
    <r>
      <rPr>
        <b/>
        <color rgb="FF1155CC"/>
        <u/>
      </rPr>
      <t>https://www.instagram.com/centerforsuccessnet/?hl=en</t>
    </r>
  </si>
  <si>
    <r>
      <t xml:space="preserve">If you shared a story or feedback in this survey, do you authorize the Center for Success Network (CFSN) to use your information/responses related to your experience with CFSN on their social media platforms and/or organization communications? If you have any questions, please email </t>
    </r>
    <r>
      <rPr>
        <b/>
        <color rgb="FF1155CC"/>
        <u/>
      </rPr>
      <t>info@center4sucess.org</t>
    </r>
    <r>
      <rPr>
        <b/>
      </rPr>
      <t>.</t>
    </r>
  </si>
  <si>
    <r>
      <t xml:space="preserve">Virtual Mentors Only: How often do you use the reading guides in the mentor resource folder? Example: </t>
    </r>
    <r>
      <rPr>
        <b/>
        <color rgb="FF1155CC"/>
        <u/>
      </rPr>
      <t>https://drive.google.com/drive/folders/1Q-_fq_hxFsHaCiX-3EXcSY8rDDAFzM5l?usp=sharing</t>
    </r>
  </si>
  <si>
    <r>
      <t xml:space="preserve">How often do you use the CFSN Virtual Mentoring Outline in the mentor resource folder? Example: </t>
    </r>
    <r>
      <rPr>
        <b/>
        <color rgb="FF1155CC"/>
        <u/>
      </rPr>
      <t>https://docs.google.com/document/d/1bu5w5mE-TILtYyQl7qaxKiM5lQLpTTXo0LyRozJ2YN8/edit?usp=sharing</t>
    </r>
  </si>
  <si>
    <r>
      <t xml:space="preserve">Please sign up for the workshop here!  This is a required part of mentor training.   Link:  </t>
    </r>
    <r>
      <rPr>
        <b/>
        <color rgb="FF1155CC"/>
        <u/>
      </rPr>
      <t>https://forms.gle/VZAdRTmgGM5kUTGw9</t>
    </r>
  </si>
  <si>
    <r>
      <t xml:space="preserve">Do you follow CFSN on social media?  Why or why not? Facebook: </t>
    </r>
    <r>
      <rPr>
        <b/>
        <color rgb="FF1155CC"/>
        <u/>
      </rPr>
      <t>https://www.facebook.com/Center4SuccessNetwork</t>
    </r>
    <r>
      <rPr>
        <b/>
      </rPr>
      <t xml:space="preserve"> Instagram: </t>
    </r>
    <r>
      <rPr>
        <b/>
        <color rgb="FF1155CC"/>
        <u/>
      </rPr>
      <t>https://www.instagram.com/centerforsuccessnet/?hl=en</t>
    </r>
  </si>
  <si>
    <r>
      <t xml:space="preserve">If you shared a story or feedback in this survey, do you authorize the Center for Success Network (CFSN) to use your information/responses related to your experience with CFSN on their social media platforms and/or organization communications? If you have any questions, please email </t>
    </r>
    <r>
      <rPr>
        <b/>
        <color rgb="FF1155CC"/>
        <u/>
      </rPr>
      <t>info@center4sucess.org</t>
    </r>
    <r>
      <rPr>
        <b/>
      </rPr>
      <t>.</t>
    </r>
  </si>
  <si>
    <r>
      <t xml:space="preserve">Virtual Mentors Only: How often do you use the reading guides in the mentor resource folder? Example: </t>
    </r>
    <r>
      <rPr>
        <b/>
        <color rgb="FF1155CC"/>
        <u/>
      </rPr>
      <t>https://drive.google.com/drive/folders/1Q-_fq_hxFsHaCiX-3EXcSY8rDDAFzM5l?usp=sharing</t>
    </r>
  </si>
  <si>
    <r>
      <t xml:space="preserve">How often do you use the CFSN Virtual Mentoring Outline in the mentor resource folder? Example: </t>
    </r>
    <r>
      <rPr>
        <b/>
        <color rgb="FF1155CC"/>
        <u/>
      </rPr>
      <t>https://docs.google.com/document/d/1bu5w5mE-TILtYyQl7qaxKiM5lQLpTTXo0LyRozJ2YN8/edit?usp=sharing</t>
    </r>
  </si>
  <si>
    <r>
      <t xml:space="preserve">Please sign up for the workshop here!  This is a required part of mentor training.   Link:  </t>
    </r>
    <r>
      <rPr>
        <b/>
        <color rgb="FF1155CC"/>
        <u/>
      </rPr>
      <t>https://forms.gle/VZAdRTmgGM5kUTGw9</t>
    </r>
  </si>
  <si>
    <r>
      <t xml:space="preserve">Do you follow CFSN on social media?  Why or why not? Facebook: </t>
    </r>
    <r>
      <rPr>
        <b/>
        <color rgb="FF1155CC"/>
        <u/>
      </rPr>
      <t>https://www.facebook.com/Center4SuccessNetwork</t>
    </r>
    <r>
      <rPr>
        <b/>
      </rPr>
      <t xml:space="preserve"> Instagram: </t>
    </r>
    <r>
      <rPr>
        <b/>
        <color rgb="FF1155CC"/>
        <u/>
      </rPr>
      <t>https://www.instagram.com/centerforsuccessnet/?hl=en</t>
    </r>
  </si>
  <si>
    <r>
      <t xml:space="preserve">If you shared a story or feedback in this survey, do you authorize the Center for Success Network (CFSN) to use your information/responses related to your experience with CFSN on their social media platforms and/or organization communications? If you have any questions, please email </t>
    </r>
    <r>
      <rPr>
        <b/>
        <color rgb="FF1155CC"/>
        <u/>
      </rPr>
      <t>info@center4sucess.org</t>
    </r>
    <r>
      <rPr>
        <b/>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</si>
</sst>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
    <font>
      <sz val="10.0"/>
      <color rgb="FF000000"/>
      <name val="Arial"/>
      <scheme val="minor"/>
    </font>
    <font>
      <color theme="1"/>
      <name val="Arial"/>
      <scheme val="minor"/>
    </font>
    <font>
      <color rgb="FF0000FF"/>
    </font>
    <font>
      <b/>
      <color theme="1"/>
      <name val="Arial"/>
      <scheme val="minor"/>
    </font>
    <font>
      <b/>
      <color rgb="FF0000FF"/>
    </font>
  </fonts>
  <fills count="5">
    <fill>
      <patternFill patternType="none"/>
    </fill>
    <fill>
      <patternFill patternType="lightGray"/>
    </fill>
    <fill>
      <patternFill patternType="solid">
        <fgColor rgb="FFB6D7A8"/>
        <bgColor rgb="FFB6D7A8"/>
      </patternFill>
    </fill>
    <fill>
      <patternFill patternType="solid">
        <fgColor rgb="FFFFF2CC"/>
        <bgColor rgb="FFFFF2CC"/>
      </patternFill>
    </fill>
    <fill>
      <patternFill patternType="solid">
        <fgColor rgb="FFCFE2F3"/>
        <bgColor rgb="FFCFE2F3"/>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readingOrder="0" shrinkToFit="0" wrapText="1"/>
    </xf>
    <xf borderId="0" fillId="2" fontId="1" numFmtId="0" xfId="0" applyAlignment="1" applyFill="1" applyFont="1">
      <alignment readingOrder="0" shrinkToFit="0" wrapText="1"/>
    </xf>
    <xf borderId="0" fillId="0" fontId="1" numFmtId="0" xfId="0" applyAlignment="1" applyFont="1">
      <alignment shrinkToFit="0" wrapText="0"/>
    </xf>
    <xf borderId="0" fillId="0" fontId="2" numFmtId="0" xfId="0" applyAlignment="1" applyFont="1">
      <alignment shrinkToFit="0" wrapText="0"/>
    </xf>
    <xf borderId="0" fillId="0" fontId="1" numFmtId="0" xfId="0" applyAlignment="1" applyFont="1">
      <alignment shrinkToFit="0" wrapText="1"/>
    </xf>
    <xf borderId="0" fillId="0" fontId="1" numFmtId="164" xfId="0" applyAlignment="1" applyFont="1" applyNumberFormat="1">
      <alignment readingOrder="0"/>
    </xf>
    <xf borderId="0" fillId="0" fontId="1" numFmtId="0" xfId="0" applyAlignment="1" applyFont="1">
      <alignment readingOrder="0"/>
    </xf>
    <xf borderId="0" fillId="0" fontId="1" numFmtId="0" xfId="0" applyAlignment="1" applyFont="1">
      <alignment readingOrder="0" shrinkToFit="0" wrapText="1"/>
    </xf>
    <xf borderId="0" fillId="0" fontId="1" numFmtId="164" xfId="0" applyAlignment="1" applyFont="1" applyNumberFormat="1">
      <alignment readingOrder="0" shrinkToFit="0" wrapText="1"/>
    </xf>
    <xf borderId="0" fillId="3" fontId="1" numFmtId="0" xfId="0" applyAlignment="1" applyFill="1" applyFont="1">
      <alignment readingOrder="0" shrinkToFit="0" wrapText="1"/>
    </xf>
    <xf borderId="0" fillId="2" fontId="1" numFmtId="0" xfId="0" applyAlignment="1" applyFont="1">
      <alignment readingOrder="0"/>
    </xf>
    <xf borderId="0" fillId="3" fontId="1" numFmtId="0" xfId="0" applyAlignment="1" applyFont="1">
      <alignment readingOrder="0"/>
    </xf>
    <xf borderId="0" fillId="2" fontId="1" numFmtId="0" xfId="0" applyFont="1"/>
    <xf borderId="0" fillId="4" fontId="3" numFmtId="0" xfId="0" applyFill="1" applyFont="1"/>
    <xf borderId="0" fillId="4" fontId="4" numFmtId="0" xfId="0" applyFont="1"/>
    <xf borderId="0" fillId="4" fontId="3" numFmtId="0" xfId="0" applyFont="1"/>
    <xf borderId="0" fillId="0" fontId="1" numFmtId="164" xfId="0" applyFont="1" applyNumberForma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rive.google.com/drive/folders/1Q-_fq_hxFsHaCiX-3EXcSY8rDDAFzM5l?usp=sharing" TargetMode="External"/><Relationship Id="rId3" Type="http://schemas.openxmlformats.org/officeDocument/2006/relationships/hyperlink" Target="https://docs.google.com/document/d/1bu5w5mE-TILtYyQl7qaxKiM5lQLpTTXo0LyRozJ2YN8/edit?usp=sharing" TargetMode="External"/><Relationship Id="rId4" Type="http://schemas.openxmlformats.org/officeDocument/2006/relationships/hyperlink" Target="https://forms.gle/VZAdRTmgGM5kUTGw9" TargetMode="External"/><Relationship Id="rId5" Type="http://schemas.openxmlformats.org/officeDocument/2006/relationships/hyperlink" Target="https://www.facebook.com/Center4SuccessNetwork" TargetMode="External"/><Relationship Id="rId6" Type="http://schemas.openxmlformats.org/officeDocument/2006/relationships/hyperlink" Target="mailto:info@center4sucess.org" TargetMode="External"/><Relationship Id="rId7" Type="http://schemas.openxmlformats.org/officeDocument/2006/relationships/drawing" Target="../drawings/drawing1.xml"/><Relationship Id="rId8"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drive/folders/1Q-_fq_hxFsHaCiX-3EXcSY8rDDAFzM5l?usp=sharing" TargetMode="External"/><Relationship Id="rId2" Type="http://schemas.openxmlformats.org/officeDocument/2006/relationships/hyperlink" Target="https://docs.google.com/document/d/1bu5w5mE-TILtYyQl7qaxKiM5lQLpTTXo0LyRozJ2YN8/edit?usp=sharing" TargetMode="External"/><Relationship Id="rId3" Type="http://schemas.openxmlformats.org/officeDocument/2006/relationships/hyperlink" Target="https://forms.gle/VZAdRTmgGM5kUTGw9" TargetMode="External"/><Relationship Id="rId4" Type="http://schemas.openxmlformats.org/officeDocument/2006/relationships/hyperlink" Target="https://www.facebook.com/Center4SuccessNetwork" TargetMode="External"/><Relationship Id="rId5" Type="http://schemas.openxmlformats.org/officeDocument/2006/relationships/hyperlink" Target="mailto:info@center4sucess.org"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1Q-_fq_hxFsHaCiX-3EXcSY8rDDAFzM5l?usp=sharing" TargetMode="External"/><Relationship Id="rId2" Type="http://schemas.openxmlformats.org/officeDocument/2006/relationships/hyperlink" Target="https://docs.google.com/document/d/1bu5w5mE-TILtYyQl7qaxKiM5lQLpTTXo0LyRozJ2YN8/edit?usp=sharing" TargetMode="External"/><Relationship Id="rId3" Type="http://schemas.openxmlformats.org/officeDocument/2006/relationships/hyperlink" Target="https://forms.gle/VZAdRTmgGM5kUTGw9" TargetMode="External"/><Relationship Id="rId4" Type="http://schemas.openxmlformats.org/officeDocument/2006/relationships/hyperlink" Target="https://www.facebook.com/Center4SuccessNetwork" TargetMode="External"/><Relationship Id="rId5" Type="http://schemas.openxmlformats.org/officeDocument/2006/relationships/hyperlink" Target="mailto:info@center4sucess.org"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drive/folders/1Q-_fq_hxFsHaCiX-3EXcSY8rDDAFzM5l?usp=sharing" TargetMode="External"/><Relationship Id="rId2" Type="http://schemas.openxmlformats.org/officeDocument/2006/relationships/hyperlink" Target="https://docs.google.com/document/d/1bu5w5mE-TILtYyQl7qaxKiM5lQLpTTXo0LyRozJ2YN8/edit?usp=sharing" TargetMode="External"/><Relationship Id="rId3" Type="http://schemas.openxmlformats.org/officeDocument/2006/relationships/hyperlink" Target="https://forms.gle/VZAdRTmgGM5kUTGw9" TargetMode="External"/><Relationship Id="rId4" Type="http://schemas.openxmlformats.org/officeDocument/2006/relationships/hyperlink" Target="https://www.facebook.com/Center4SuccessNetwork" TargetMode="External"/><Relationship Id="rId5" Type="http://schemas.openxmlformats.org/officeDocument/2006/relationships/hyperlink" Target="mailto:info@center4sucess.org"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drive/folders/1Q-_fq_hxFsHaCiX-3EXcSY8rDDAFzM5l?usp=sharing" TargetMode="External"/><Relationship Id="rId2" Type="http://schemas.openxmlformats.org/officeDocument/2006/relationships/hyperlink" Target="https://docs.google.com/document/d/1bu5w5mE-TILtYyQl7qaxKiM5lQLpTTXo0LyRozJ2YN8/edit?usp=sharing" TargetMode="External"/><Relationship Id="rId3" Type="http://schemas.openxmlformats.org/officeDocument/2006/relationships/hyperlink" Target="https://forms.gle/VZAdRTmgGM5kUTGw9" TargetMode="External"/><Relationship Id="rId4" Type="http://schemas.openxmlformats.org/officeDocument/2006/relationships/hyperlink" Target="https://www.facebook.com/Center4SuccessNetwork" TargetMode="External"/><Relationship Id="rId5" Type="http://schemas.openxmlformats.org/officeDocument/2006/relationships/hyperlink" Target="mailto:info@center4sucess.org"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drive/folders/1Q-_fq_hxFsHaCiX-3EXcSY8rDDAFzM5l?usp=sharing" TargetMode="External"/><Relationship Id="rId2" Type="http://schemas.openxmlformats.org/officeDocument/2006/relationships/hyperlink" Target="https://docs.google.com/document/d/1bu5w5mE-TILtYyQl7qaxKiM5lQLpTTXo0LyRozJ2YN8/edit?usp=sharing" TargetMode="External"/><Relationship Id="rId3" Type="http://schemas.openxmlformats.org/officeDocument/2006/relationships/hyperlink" Target="https://forms.gle/VZAdRTmgGM5kUTGw9" TargetMode="External"/><Relationship Id="rId4" Type="http://schemas.openxmlformats.org/officeDocument/2006/relationships/hyperlink" Target="https://www.facebook.com/Center4SuccessNetwork" TargetMode="External"/><Relationship Id="rId5" Type="http://schemas.openxmlformats.org/officeDocument/2006/relationships/hyperlink" Target="mailto:info@center4sucess.org"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rive.google.com/drive/folders/1Q-_fq_hxFsHaCiX-3EXcSY8rDDAFzM5l?usp=sharing" TargetMode="External"/><Relationship Id="rId2" Type="http://schemas.openxmlformats.org/officeDocument/2006/relationships/hyperlink" Target="https://docs.google.com/document/d/1bu5w5mE-TILtYyQl7qaxKiM5lQLpTTXo0LyRozJ2YN8/edit?usp=sharing" TargetMode="External"/><Relationship Id="rId3" Type="http://schemas.openxmlformats.org/officeDocument/2006/relationships/hyperlink" Target="https://forms.gle/VZAdRTmgGM5kUTGw9" TargetMode="External"/><Relationship Id="rId4" Type="http://schemas.openxmlformats.org/officeDocument/2006/relationships/hyperlink" Target="https://www.facebook.com/Center4SuccessNetwork" TargetMode="External"/><Relationship Id="rId5" Type="http://schemas.openxmlformats.org/officeDocument/2006/relationships/hyperlink" Target="mailto:info@center4sucess.org" TargetMode="External"/><Relationship Id="rId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rive.google.com/drive/folders/1Q-_fq_hxFsHaCiX-3EXcSY8rDDAFzM5l?usp=sharing" TargetMode="External"/><Relationship Id="rId2" Type="http://schemas.openxmlformats.org/officeDocument/2006/relationships/hyperlink" Target="https://docs.google.com/document/d/1bu5w5mE-TILtYyQl7qaxKiM5lQLpTTXo0LyRozJ2YN8/edit?usp=sharing" TargetMode="External"/><Relationship Id="rId3" Type="http://schemas.openxmlformats.org/officeDocument/2006/relationships/hyperlink" Target="https://forms.gle/VZAdRTmgGM5kUTGw9" TargetMode="External"/><Relationship Id="rId4" Type="http://schemas.openxmlformats.org/officeDocument/2006/relationships/hyperlink" Target="https://www.facebook.com/Center4SuccessNetwork" TargetMode="External"/><Relationship Id="rId5" Type="http://schemas.openxmlformats.org/officeDocument/2006/relationships/hyperlink" Target="mailto:info@center4sucess.org" TargetMode="External"/><Relationship Id="rId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rive.google.com/drive/folders/1Q-_fq_hxFsHaCiX-3EXcSY8rDDAFzM5l?usp=sharing" TargetMode="External"/><Relationship Id="rId2" Type="http://schemas.openxmlformats.org/officeDocument/2006/relationships/hyperlink" Target="https://docs.google.com/document/d/1bu5w5mE-TILtYyQl7qaxKiM5lQLpTTXo0LyRozJ2YN8/edit?usp=sharing" TargetMode="External"/><Relationship Id="rId3" Type="http://schemas.openxmlformats.org/officeDocument/2006/relationships/hyperlink" Target="https://forms.gle/VZAdRTmgGM5kUTGw9" TargetMode="External"/><Relationship Id="rId4" Type="http://schemas.openxmlformats.org/officeDocument/2006/relationships/hyperlink" Target="https://www.facebook.com/Center4SuccessNetwork" TargetMode="External"/><Relationship Id="rId5" Type="http://schemas.openxmlformats.org/officeDocument/2006/relationships/hyperlink" Target="mailto:info@center4sucess.org" TargetMode="External"/><Relationship Id="rId6"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8" width="18.88"/>
    <col customWidth="1" min="29" max="29" width="38.0"/>
    <col customWidth="1" min="30" max="37" width="18.88"/>
  </cols>
  <sheetData>
    <row r="1">
      <c r="A1" s="1" t="s">
        <v>0</v>
      </c>
      <c r="B1" s="1" t="s">
        <v>1</v>
      </c>
      <c r="C1" s="1" t="s">
        <v>2</v>
      </c>
      <c r="D1" s="2" t="s">
        <v>3</v>
      </c>
      <c r="E1" s="2" t="s">
        <v>4</v>
      </c>
      <c r="F1" s="2" t="s">
        <v>5</v>
      </c>
      <c r="G1" s="2" t="s">
        <v>6</v>
      </c>
      <c r="H1" s="2" t="s">
        <v>7</v>
      </c>
      <c r="I1" s="2" t="s">
        <v>8</v>
      </c>
      <c r="J1" s="2" t="s">
        <v>9</v>
      </c>
      <c r="K1" s="3" t="s">
        <v>10</v>
      </c>
      <c r="L1" s="2" t="s">
        <v>11</v>
      </c>
      <c r="M1" s="2" t="s">
        <v>12</v>
      </c>
      <c r="N1" s="2" t="s">
        <v>13</v>
      </c>
      <c r="O1" s="4" t="s">
        <v>14</v>
      </c>
      <c r="P1" s="4" t="s">
        <v>15</v>
      </c>
      <c r="Q1" s="4" t="s">
        <v>16</v>
      </c>
      <c r="R1" s="4" t="s">
        <v>17</v>
      </c>
      <c r="S1" s="5" t="s">
        <v>18</v>
      </c>
      <c r="T1" s="4" t="s">
        <v>19</v>
      </c>
      <c r="U1" s="5" t="s">
        <v>20</v>
      </c>
      <c r="V1" s="4" t="s">
        <v>21</v>
      </c>
      <c r="W1" s="4" t="s">
        <v>22</v>
      </c>
      <c r="X1" s="4" t="s">
        <v>23</v>
      </c>
      <c r="Y1" s="5" t="s">
        <v>24</v>
      </c>
      <c r="Z1" s="4" t="s">
        <v>25</v>
      </c>
      <c r="AA1" s="5" t="s">
        <v>26</v>
      </c>
      <c r="AB1" s="4" t="s">
        <v>27</v>
      </c>
      <c r="AC1" s="4" t="s">
        <v>28</v>
      </c>
      <c r="AD1" s="5" t="s">
        <v>29</v>
      </c>
      <c r="AE1" s="4" t="s">
        <v>30</v>
      </c>
      <c r="AF1" s="6"/>
      <c r="AG1" s="6"/>
      <c r="AH1" s="6"/>
      <c r="AI1" s="6"/>
      <c r="AJ1" s="6"/>
      <c r="AK1" s="6"/>
    </row>
    <row r="2" hidden="1">
      <c r="A2" s="7">
        <v>45372.66607564814</v>
      </c>
      <c r="X2" s="8" t="s">
        <v>31</v>
      </c>
      <c r="AC2" s="6"/>
      <c r="AD2" s="8" t="s">
        <v>32</v>
      </c>
    </row>
    <row r="3">
      <c r="A3" s="7">
        <v>45420.73930313658</v>
      </c>
      <c r="B3" s="8" t="s">
        <v>33</v>
      </c>
      <c r="C3" s="8" t="s">
        <v>34</v>
      </c>
      <c r="D3" s="8" t="s">
        <v>35</v>
      </c>
      <c r="E3" s="8" t="s">
        <v>35</v>
      </c>
      <c r="F3" s="8" t="s">
        <v>35</v>
      </c>
      <c r="G3" s="8" t="s">
        <v>36</v>
      </c>
      <c r="H3" s="8" t="s">
        <v>35</v>
      </c>
      <c r="I3" s="8" t="s">
        <v>35</v>
      </c>
      <c r="J3" s="8" t="s">
        <v>37</v>
      </c>
      <c r="K3" s="8" t="s">
        <v>37</v>
      </c>
      <c r="L3" s="8" t="s">
        <v>37</v>
      </c>
      <c r="M3" s="8" t="s">
        <v>37</v>
      </c>
      <c r="N3" s="8" t="s">
        <v>37</v>
      </c>
      <c r="O3" s="8" t="s">
        <v>38</v>
      </c>
      <c r="P3" s="8" t="s">
        <v>39</v>
      </c>
      <c r="Q3" s="8" t="s">
        <v>40</v>
      </c>
      <c r="R3" s="8" t="s">
        <v>41</v>
      </c>
      <c r="S3" s="8" t="s">
        <v>42</v>
      </c>
      <c r="V3" s="8" t="s">
        <v>43</v>
      </c>
      <c r="W3" s="8" t="s">
        <v>44</v>
      </c>
      <c r="Z3" s="8" t="s">
        <v>45</v>
      </c>
      <c r="AA3" s="8" t="s">
        <v>46</v>
      </c>
      <c r="AB3" s="8" t="s">
        <v>47</v>
      </c>
      <c r="AC3" s="9" t="s">
        <v>48</v>
      </c>
      <c r="AD3" s="8" t="s">
        <v>49</v>
      </c>
      <c r="AE3" s="8" t="s">
        <v>47</v>
      </c>
    </row>
    <row r="4">
      <c r="A4" s="7">
        <v>45420.770849583336</v>
      </c>
      <c r="C4" s="8" t="s">
        <v>34</v>
      </c>
      <c r="D4" s="8" t="s">
        <v>35</v>
      </c>
      <c r="E4" s="8" t="s">
        <v>35</v>
      </c>
      <c r="F4" s="8" t="s">
        <v>50</v>
      </c>
      <c r="G4" s="8" t="s">
        <v>36</v>
      </c>
      <c r="H4" s="8" t="s">
        <v>37</v>
      </c>
      <c r="I4" s="8" t="s">
        <v>37</v>
      </c>
      <c r="J4" s="8" t="s">
        <v>35</v>
      </c>
      <c r="K4" s="8" t="s">
        <v>37</v>
      </c>
      <c r="L4" s="8" t="s">
        <v>35</v>
      </c>
      <c r="M4" s="8" t="s">
        <v>35</v>
      </c>
      <c r="N4" s="8" t="s">
        <v>37</v>
      </c>
      <c r="S4" s="8" t="s">
        <v>51</v>
      </c>
      <c r="AC4" s="6"/>
      <c r="AD4" s="8" t="s">
        <v>52</v>
      </c>
    </row>
    <row r="5">
      <c r="A5" s="10">
        <v>45421.36875603009</v>
      </c>
      <c r="B5" s="6"/>
      <c r="C5" s="6"/>
      <c r="D5" s="9" t="s">
        <v>35</v>
      </c>
      <c r="E5" s="9" t="s">
        <v>35</v>
      </c>
      <c r="F5" s="9" t="s">
        <v>36</v>
      </c>
      <c r="G5" s="9" t="s">
        <v>35</v>
      </c>
      <c r="H5" s="9" t="s">
        <v>36</v>
      </c>
      <c r="I5" s="9" t="s">
        <v>36</v>
      </c>
      <c r="J5" s="9" t="s">
        <v>37</v>
      </c>
      <c r="K5" s="9" t="s">
        <v>37</v>
      </c>
      <c r="L5" s="9" t="s">
        <v>37</v>
      </c>
      <c r="M5" s="9" t="s">
        <v>37</v>
      </c>
      <c r="N5" s="9" t="s">
        <v>37</v>
      </c>
      <c r="O5" s="9" t="s">
        <v>53</v>
      </c>
      <c r="P5" s="9" t="s">
        <v>54</v>
      </c>
      <c r="Q5" s="9" t="s">
        <v>55</v>
      </c>
      <c r="R5" s="9" t="s">
        <v>56</v>
      </c>
      <c r="S5" s="9" t="s">
        <v>57</v>
      </c>
      <c r="T5" s="6"/>
      <c r="U5" s="6"/>
      <c r="V5" s="6"/>
      <c r="W5" s="6"/>
      <c r="X5" s="6"/>
      <c r="Y5" s="6"/>
      <c r="Z5" s="6"/>
      <c r="AA5" s="6"/>
      <c r="AB5" s="6"/>
      <c r="AC5" s="9" t="s">
        <v>58</v>
      </c>
      <c r="AD5" s="9" t="s">
        <v>59</v>
      </c>
      <c r="AE5" s="6"/>
      <c r="AF5" s="6"/>
      <c r="AG5" s="6"/>
      <c r="AH5" s="6"/>
      <c r="AI5" s="6"/>
      <c r="AJ5" s="6"/>
      <c r="AK5" s="6"/>
    </row>
    <row r="6">
      <c r="A6" s="7">
        <v>45421.61200277778</v>
      </c>
      <c r="B6" s="8" t="s">
        <v>60</v>
      </c>
      <c r="C6" s="8" t="s">
        <v>61</v>
      </c>
      <c r="D6" s="8" t="s">
        <v>37</v>
      </c>
      <c r="E6" s="8" t="s">
        <v>37</v>
      </c>
      <c r="F6" s="8" t="s">
        <v>35</v>
      </c>
      <c r="G6" s="8" t="s">
        <v>37</v>
      </c>
      <c r="H6" s="8" t="s">
        <v>37</v>
      </c>
      <c r="I6" s="8" t="s">
        <v>37</v>
      </c>
      <c r="J6" s="8" t="s">
        <v>37</v>
      </c>
      <c r="K6" s="8" t="s">
        <v>37</v>
      </c>
      <c r="L6" s="8" t="s">
        <v>37</v>
      </c>
      <c r="M6" s="8" t="s">
        <v>37</v>
      </c>
      <c r="N6" s="8" t="s">
        <v>37</v>
      </c>
      <c r="O6" s="8" t="s">
        <v>62</v>
      </c>
      <c r="P6" s="8" t="s">
        <v>63</v>
      </c>
      <c r="Q6" s="8" t="s">
        <v>64</v>
      </c>
      <c r="R6" s="8" t="s">
        <v>65</v>
      </c>
      <c r="S6" s="8" t="s">
        <v>42</v>
      </c>
      <c r="V6" s="8" t="s">
        <v>66</v>
      </c>
      <c r="W6" s="8" t="s">
        <v>66</v>
      </c>
      <c r="AC6" s="9" t="s">
        <v>67</v>
      </c>
      <c r="AD6" s="8" t="s">
        <v>52</v>
      </c>
    </row>
    <row r="7">
      <c r="A7" s="7">
        <v>45421.754254583335</v>
      </c>
      <c r="B7" s="8" t="s">
        <v>68</v>
      </c>
      <c r="C7" s="8" t="s">
        <v>61</v>
      </c>
      <c r="D7" s="8" t="s">
        <v>37</v>
      </c>
      <c r="E7" s="8" t="s">
        <v>37</v>
      </c>
      <c r="F7" s="8" t="s">
        <v>37</v>
      </c>
      <c r="G7" s="8" t="s">
        <v>37</v>
      </c>
      <c r="H7" s="8" t="s">
        <v>37</v>
      </c>
      <c r="I7" s="8" t="s">
        <v>37</v>
      </c>
      <c r="J7" s="8" t="s">
        <v>37</v>
      </c>
      <c r="K7" s="8" t="s">
        <v>37</v>
      </c>
      <c r="L7" s="8" t="s">
        <v>37</v>
      </c>
      <c r="M7" s="8" t="s">
        <v>37</v>
      </c>
      <c r="N7" s="8" t="s">
        <v>37</v>
      </c>
      <c r="O7" s="8" t="s">
        <v>69</v>
      </c>
      <c r="P7" s="8" t="s">
        <v>70</v>
      </c>
      <c r="Q7" s="8" t="s">
        <v>71</v>
      </c>
      <c r="R7" s="8" t="s">
        <v>72</v>
      </c>
      <c r="S7" s="8" t="s">
        <v>73</v>
      </c>
      <c r="V7" s="8" t="s">
        <v>74</v>
      </c>
      <c r="W7" s="8" t="s">
        <v>75</v>
      </c>
      <c r="Z7" s="8" t="s">
        <v>76</v>
      </c>
      <c r="AA7" s="8" t="s">
        <v>77</v>
      </c>
      <c r="AB7" s="8" t="s">
        <v>78</v>
      </c>
      <c r="AC7" s="11" t="s">
        <v>79</v>
      </c>
      <c r="AD7" s="8" t="s">
        <v>52</v>
      </c>
      <c r="AE7" s="8" t="s">
        <v>80</v>
      </c>
    </row>
    <row r="8">
      <c r="A8" s="7">
        <v>45421.87939628473</v>
      </c>
      <c r="C8" s="8" t="s">
        <v>61</v>
      </c>
      <c r="D8" s="8" t="s">
        <v>37</v>
      </c>
      <c r="E8" s="8" t="s">
        <v>35</v>
      </c>
      <c r="F8" s="8" t="s">
        <v>35</v>
      </c>
      <c r="G8" s="8" t="s">
        <v>37</v>
      </c>
      <c r="H8" s="8" t="s">
        <v>37</v>
      </c>
      <c r="I8" s="8" t="s">
        <v>35</v>
      </c>
      <c r="J8" s="8" t="s">
        <v>37</v>
      </c>
      <c r="K8" s="8" t="s">
        <v>37</v>
      </c>
      <c r="L8" s="8" t="s">
        <v>37</v>
      </c>
      <c r="M8" s="8" t="s">
        <v>37</v>
      </c>
      <c r="N8" s="8" t="s">
        <v>37</v>
      </c>
      <c r="O8" s="8" t="s">
        <v>81</v>
      </c>
      <c r="P8" s="8" t="s">
        <v>82</v>
      </c>
      <c r="Q8" s="8" t="s">
        <v>66</v>
      </c>
      <c r="R8" s="8" t="s">
        <v>83</v>
      </c>
      <c r="S8" s="8" t="s">
        <v>42</v>
      </c>
      <c r="AA8" s="8" t="s">
        <v>84</v>
      </c>
      <c r="AC8" s="9" t="s">
        <v>85</v>
      </c>
      <c r="AD8" s="8" t="s">
        <v>52</v>
      </c>
    </row>
    <row r="9">
      <c r="A9" s="7">
        <v>45422.4047990625</v>
      </c>
      <c r="B9" s="8" t="s">
        <v>86</v>
      </c>
      <c r="C9" s="8" t="s">
        <v>87</v>
      </c>
      <c r="D9" s="8" t="s">
        <v>37</v>
      </c>
      <c r="E9" s="8" t="s">
        <v>37</v>
      </c>
      <c r="F9" s="8" t="s">
        <v>37</v>
      </c>
      <c r="G9" s="8" t="s">
        <v>35</v>
      </c>
      <c r="H9" s="8" t="s">
        <v>37</v>
      </c>
      <c r="I9" s="8" t="s">
        <v>35</v>
      </c>
      <c r="J9" s="8" t="s">
        <v>35</v>
      </c>
      <c r="K9" s="8" t="s">
        <v>35</v>
      </c>
      <c r="L9" s="8" t="s">
        <v>35</v>
      </c>
      <c r="M9" s="8" t="s">
        <v>37</v>
      </c>
      <c r="N9" s="8" t="s">
        <v>37</v>
      </c>
      <c r="O9" s="8" t="s">
        <v>88</v>
      </c>
      <c r="P9" s="8" t="s">
        <v>89</v>
      </c>
      <c r="Q9" s="8" t="s">
        <v>90</v>
      </c>
      <c r="R9" s="8" t="s">
        <v>91</v>
      </c>
      <c r="Z9" s="8" t="s">
        <v>92</v>
      </c>
      <c r="AA9" s="8" t="s">
        <v>93</v>
      </c>
      <c r="AC9" s="9" t="s">
        <v>94</v>
      </c>
      <c r="AD9" s="8" t="s">
        <v>95</v>
      </c>
      <c r="AE9" s="8" t="s">
        <v>96</v>
      </c>
    </row>
    <row r="10">
      <c r="A10" s="7">
        <v>45422.68547059028</v>
      </c>
      <c r="C10" s="8" t="s">
        <v>61</v>
      </c>
      <c r="D10" s="8" t="s">
        <v>35</v>
      </c>
      <c r="E10" s="8" t="s">
        <v>35</v>
      </c>
      <c r="F10" s="8" t="s">
        <v>35</v>
      </c>
      <c r="G10" s="8" t="s">
        <v>35</v>
      </c>
      <c r="H10" s="8" t="s">
        <v>35</v>
      </c>
      <c r="I10" s="8" t="s">
        <v>35</v>
      </c>
      <c r="J10" s="8" t="s">
        <v>37</v>
      </c>
      <c r="K10" s="8" t="s">
        <v>37</v>
      </c>
      <c r="L10" s="8" t="s">
        <v>35</v>
      </c>
      <c r="M10" s="8" t="s">
        <v>37</v>
      </c>
      <c r="N10" s="8" t="s">
        <v>35</v>
      </c>
      <c r="O10" s="8" t="s">
        <v>97</v>
      </c>
      <c r="P10" s="8" t="s">
        <v>98</v>
      </c>
      <c r="R10" s="8" t="s">
        <v>99</v>
      </c>
      <c r="S10" s="8" t="s">
        <v>73</v>
      </c>
      <c r="Z10" s="8" t="s">
        <v>100</v>
      </c>
      <c r="AC10" s="9" t="s">
        <v>101</v>
      </c>
      <c r="AD10" s="8" t="s">
        <v>95</v>
      </c>
      <c r="AE10" s="8" t="s">
        <v>102</v>
      </c>
    </row>
    <row r="11">
      <c r="A11" s="7">
        <v>45422.84338917824</v>
      </c>
      <c r="B11" s="8" t="s">
        <v>103</v>
      </c>
      <c r="C11" s="8" t="s">
        <v>61</v>
      </c>
      <c r="D11" s="8" t="s">
        <v>35</v>
      </c>
      <c r="E11" s="8" t="s">
        <v>35</v>
      </c>
      <c r="F11" s="8" t="s">
        <v>35</v>
      </c>
      <c r="G11" s="8" t="s">
        <v>35</v>
      </c>
      <c r="H11" s="8" t="s">
        <v>35</v>
      </c>
      <c r="I11" s="8" t="s">
        <v>35</v>
      </c>
      <c r="J11" s="8" t="s">
        <v>35</v>
      </c>
      <c r="K11" s="8" t="s">
        <v>35</v>
      </c>
      <c r="L11" s="8" t="s">
        <v>35</v>
      </c>
      <c r="M11" s="8" t="s">
        <v>35</v>
      </c>
      <c r="N11" s="8" t="s">
        <v>35</v>
      </c>
      <c r="O11" s="8" t="s">
        <v>104</v>
      </c>
      <c r="P11" s="8" t="s">
        <v>105</v>
      </c>
      <c r="R11" s="8" t="s">
        <v>106</v>
      </c>
      <c r="S11" s="8" t="s">
        <v>73</v>
      </c>
      <c r="V11" s="8" t="s">
        <v>107</v>
      </c>
      <c r="AC11" s="6"/>
      <c r="AD11" s="8" t="s">
        <v>52</v>
      </c>
    </row>
    <row r="12">
      <c r="A12" s="7">
        <v>45426.74033078704</v>
      </c>
      <c r="B12" s="8" t="s">
        <v>108</v>
      </c>
      <c r="C12" s="8" t="s">
        <v>109</v>
      </c>
      <c r="D12" s="8" t="s">
        <v>35</v>
      </c>
      <c r="E12" s="8" t="s">
        <v>37</v>
      </c>
      <c r="F12" s="8" t="s">
        <v>37</v>
      </c>
      <c r="G12" s="8" t="s">
        <v>37</v>
      </c>
      <c r="H12" s="8" t="s">
        <v>35</v>
      </c>
      <c r="I12" s="8" t="s">
        <v>37</v>
      </c>
      <c r="J12" s="8" t="s">
        <v>37</v>
      </c>
      <c r="K12" s="8" t="s">
        <v>37</v>
      </c>
      <c r="L12" s="8" t="s">
        <v>37</v>
      </c>
      <c r="M12" s="8" t="s">
        <v>37</v>
      </c>
      <c r="N12" s="8" t="s">
        <v>37</v>
      </c>
      <c r="O12" s="8" t="s">
        <v>110</v>
      </c>
      <c r="P12" s="8" t="s">
        <v>111</v>
      </c>
      <c r="Q12" s="8" t="s">
        <v>112</v>
      </c>
      <c r="R12" s="8" t="s">
        <v>113</v>
      </c>
      <c r="S12" s="8" t="s">
        <v>73</v>
      </c>
      <c r="V12" s="8" t="s">
        <v>114</v>
      </c>
      <c r="W12" s="8" t="s">
        <v>115</v>
      </c>
      <c r="AA12" s="8" t="s">
        <v>116</v>
      </c>
      <c r="AC12" s="9" t="s">
        <v>117</v>
      </c>
      <c r="AD12" s="8" t="s">
        <v>52</v>
      </c>
      <c r="AE12" s="8" t="s">
        <v>118</v>
      </c>
    </row>
    <row r="13">
      <c r="A13" s="7">
        <v>45426.740779224536</v>
      </c>
      <c r="B13" s="8" t="s">
        <v>119</v>
      </c>
      <c r="C13" s="8" t="s">
        <v>109</v>
      </c>
      <c r="D13" s="8" t="s">
        <v>35</v>
      </c>
      <c r="E13" s="8" t="s">
        <v>35</v>
      </c>
      <c r="F13" s="8" t="s">
        <v>36</v>
      </c>
      <c r="G13" s="8" t="s">
        <v>36</v>
      </c>
      <c r="H13" s="8" t="s">
        <v>36</v>
      </c>
      <c r="I13" s="8" t="s">
        <v>35</v>
      </c>
      <c r="J13" s="8" t="s">
        <v>35</v>
      </c>
      <c r="K13" s="8" t="s">
        <v>35</v>
      </c>
      <c r="L13" s="8" t="s">
        <v>37</v>
      </c>
      <c r="M13" s="8" t="s">
        <v>37</v>
      </c>
      <c r="N13" s="8" t="s">
        <v>37</v>
      </c>
      <c r="O13" s="8" t="s">
        <v>120</v>
      </c>
      <c r="P13" s="8" t="s">
        <v>121</v>
      </c>
      <c r="Q13" s="8" t="s">
        <v>122</v>
      </c>
      <c r="R13" s="8" t="s">
        <v>123</v>
      </c>
      <c r="S13" s="8" t="s">
        <v>124</v>
      </c>
      <c r="V13" s="8" t="s">
        <v>125</v>
      </c>
      <c r="W13" s="8" t="s">
        <v>126</v>
      </c>
      <c r="Z13" s="8" t="s">
        <v>127</v>
      </c>
      <c r="AA13" s="8" t="s">
        <v>128</v>
      </c>
      <c r="AB13" s="8" t="s">
        <v>66</v>
      </c>
      <c r="AC13" s="9" t="s">
        <v>129</v>
      </c>
      <c r="AD13" s="8" t="s">
        <v>95</v>
      </c>
    </row>
    <row r="14">
      <c r="A14" s="7">
        <v>45426.74283858796</v>
      </c>
      <c r="B14" s="8" t="s">
        <v>130</v>
      </c>
      <c r="C14" s="8" t="s">
        <v>109</v>
      </c>
      <c r="D14" s="8" t="s">
        <v>35</v>
      </c>
      <c r="E14" s="8" t="s">
        <v>35</v>
      </c>
      <c r="F14" s="8" t="s">
        <v>36</v>
      </c>
      <c r="G14" s="8" t="s">
        <v>35</v>
      </c>
      <c r="H14" s="8" t="s">
        <v>35</v>
      </c>
      <c r="I14" s="8" t="s">
        <v>35</v>
      </c>
      <c r="J14" s="8" t="s">
        <v>37</v>
      </c>
      <c r="K14" s="8" t="s">
        <v>37</v>
      </c>
      <c r="L14" s="8" t="s">
        <v>37</v>
      </c>
      <c r="M14" s="8" t="s">
        <v>37</v>
      </c>
      <c r="N14" s="8" t="s">
        <v>37</v>
      </c>
      <c r="O14" s="8" t="s">
        <v>131</v>
      </c>
      <c r="P14" s="8" t="s">
        <v>132</v>
      </c>
      <c r="Q14" s="8" t="s">
        <v>133</v>
      </c>
      <c r="R14" s="8" t="s">
        <v>134</v>
      </c>
      <c r="S14" s="8" t="s">
        <v>73</v>
      </c>
      <c r="V14" s="8" t="s">
        <v>135</v>
      </c>
      <c r="W14" s="8" t="s">
        <v>136</v>
      </c>
      <c r="Z14" s="8" t="s">
        <v>137</v>
      </c>
      <c r="AA14" s="8" t="s">
        <v>138</v>
      </c>
      <c r="AB14" s="8" t="s">
        <v>47</v>
      </c>
      <c r="AC14" s="9" t="s">
        <v>139</v>
      </c>
      <c r="AD14" s="8" t="s">
        <v>52</v>
      </c>
    </row>
    <row r="15">
      <c r="A15" s="7">
        <v>45426.8277833912</v>
      </c>
      <c r="B15" s="8" t="s">
        <v>140</v>
      </c>
      <c r="C15" s="8" t="s">
        <v>109</v>
      </c>
      <c r="D15" s="8" t="s">
        <v>37</v>
      </c>
      <c r="E15" s="8" t="s">
        <v>37</v>
      </c>
      <c r="F15" s="8" t="s">
        <v>37</v>
      </c>
      <c r="G15" s="8" t="s">
        <v>37</v>
      </c>
      <c r="H15" s="8" t="s">
        <v>35</v>
      </c>
      <c r="I15" s="8" t="s">
        <v>36</v>
      </c>
      <c r="J15" s="8" t="s">
        <v>35</v>
      </c>
      <c r="K15" s="8" t="s">
        <v>37</v>
      </c>
      <c r="L15" s="8" t="s">
        <v>37</v>
      </c>
      <c r="M15" s="8" t="s">
        <v>37</v>
      </c>
      <c r="N15" s="8" t="s">
        <v>35</v>
      </c>
      <c r="O15" s="8" t="s">
        <v>141</v>
      </c>
      <c r="P15" s="8" t="s">
        <v>142</v>
      </c>
      <c r="Q15" s="8" t="s">
        <v>143</v>
      </c>
      <c r="R15" s="8" t="s">
        <v>144</v>
      </c>
      <c r="S15" s="8" t="s">
        <v>42</v>
      </c>
      <c r="V15" s="8" t="s">
        <v>145</v>
      </c>
      <c r="W15" s="8" t="s">
        <v>146</v>
      </c>
      <c r="Z15" s="8" t="s">
        <v>147</v>
      </c>
      <c r="AA15" s="8" t="s">
        <v>148</v>
      </c>
      <c r="AC15" s="9" t="s">
        <v>149</v>
      </c>
      <c r="AD15" s="8" t="s">
        <v>95</v>
      </c>
    </row>
    <row r="16">
      <c r="A16" s="7">
        <v>45426.93514615741</v>
      </c>
      <c r="B16" s="8" t="s">
        <v>150</v>
      </c>
      <c r="C16" s="8" t="s">
        <v>109</v>
      </c>
      <c r="D16" s="8" t="s">
        <v>37</v>
      </c>
      <c r="E16" s="8" t="s">
        <v>37</v>
      </c>
      <c r="F16" s="8" t="s">
        <v>37</v>
      </c>
      <c r="G16" s="8" t="s">
        <v>37</v>
      </c>
      <c r="H16" s="8" t="s">
        <v>35</v>
      </c>
      <c r="I16" s="8" t="s">
        <v>35</v>
      </c>
      <c r="J16" s="8" t="s">
        <v>37</v>
      </c>
      <c r="K16" s="8" t="s">
        <v>35</v>
      </c>
      <c r="L16" s="8" t="s">
        <v>37</v>
      </c>
      <c r="M16" s="8" t="s">
        <v>37</v>
      </c>
      <c r="N16" s="8" t="s">
        <v>37</v>
      </c>
      <c r="P16" s="8" t="s">
        <v>151</v>
      </c>
      <c r="R16" s="8" t="s">
        <v>152</v>
      </c>
      <c r="W16" s="8" t="s">
        <v>153</v>
      </c>
      <c r="Z16" s="8" t="s">
        <v>154</v>
      </c>
      <c r="AA16" s="8" t="s">
        <v>155</v>
      </c>
      <c r="AB16" s="8" t="s">
        <v>156</v>
      </c>
      <c r="AC16" s="9" t="s">
        <v>157</v>
      </c>
      <c r="AD16" s="8" t="s">
        <v>59</v>
      </c>
      <c r="AE16" s="8" t="s">
        <v>158</v>
      </c>
    </row>
    <row r="17">
      <c r="A17" s="7">
        <v>45426.99816914352</v>
      </c>
      <c r="C17" s="8" t="s">
        <v>34</v>
      </c>
      <c r="D17" s="8" t="s">
        <v>35</v>
      </c>
      <c r="E17" s="8" t="s">
        <v>36</v>
      </c>
      <c r="F17" s="8" t="s">
        <v>35</v>
      </c>
      <c r="G17" s="8" t="s">
        <v>35</v>
      </c>
      <c r="H17" s="8" t="s">
        <v>35</v>
      </c>
      <c r="I17" s="8" t="s">
        <v>35</v>
      </c>
      <c r="J17" s="8" t="s">
        <v>35</v>
      </c>
      <c r="K17" s="8" t="s">
        <v>35</v>
      </c>
      <c r="L17" s="8" t="s">
        <v>35</v>
      </c>
      <c r="M17" s="8" t="s">
        <v>35</v>
      </c>
      <c r="N17" s="8" t="s">
        <v>35</v>
      </c>
      <c r="S17" s="8" t="s">
        <v>73</v>
      </c>
      <c r="AC17" s="6"/>
      <c r="AD17" s="8" t="s">
        <v>59</v>
      </c>
    </row>
    <row r="18">
      <c r="A18" s="7">
        <v>45427.56211490741</v>
      </c>
      <c r="B18" s="8" t="s">
        <v>159</v>
      </c>
      <c r="C18" s="8" t="s">
        <v>109</v>
      </c>
      <c r="D18" s="8" t="s">
        <v>35</v>
      </c>
      <c r="E18" s="8" t="s">
        <v>35</v>
      </c>
      <c r="F18" s="8" t="s">
        <v>35</v>
      </c>
      <c r="G18" s="8" t="s">
        <v>36</v>
      </c>
      <c r="H18" s="8" t="s">
        <v>35</v>
      </c>
      <c r="I18" s="8" t="s">
        <v>35</v>
      </c>
      <c r="J18" s="8" t="s">
        <v>35</v>
      </c>
      <c r="K18" s="8" t="s">
        <v>35</v>
      </c>
      <c r="L18" s="8" t="s">
        <v>37</v>
      </c>
      <c r="M18" s="8" t="s">
        <v>37</v>
      </c>
      <c r="N18" s="8" t="s">
        <v>35</v>
      </c>
      <c r="O18" s="8" t="s">
        <v>160</v>
      </c>
      <c r="P18" s="8" t="s">
        <v>161</v>
      </c>
      <c r="Q18" s="8" t="s">
        <v>162</v>
      </c>
      <c r="R18" s="8" t="s">
        <v>163</v>
      </c>
      <c r="S18" s="8" t="s">
        <v>51</v>
      </c>
      <c r="V18" s="8" t="s">
        <v>164</v>
      </c>
      <c r="W18" s="8" t="s">
        <v>165</v>
      </c>
      <c r="Z18" s="8" t="s">
        <v>166</v>
      </c>
      <c r="AA18" s="8" t="s">
        <v>167</v>
      </c>
      <c r="AB18" s="8" t="s">
        <v>66</v>
      </c>
      <c r="AC18" s="9" t="s">
        <v>168</v>
      </c>
      <c r="AD18" s="8" t="s">
        <v>52</v>
      </c>
      <c r="AE18" s="8" t="s">
        <v>169</v>
      </c>
    </row>
    <row r="19">
      <c r="A19" s="7">
        <v>45427.6387162037</v>
      </c>
      <c r="C19" s="8" t="s">
        <v>109</v>
      </c>
      <c r="D19" s="8" t="s">
        <v>37</v>
      </c>
      <c r="E19" s="8" t="s">
        <v>37</v>
      </c>
      <c r="F19" s="8" t="s">
        <v>37</v>
      </c>
      <c r="G19" s="8" t="s">
        <v>37</v>
      </c>
      <c r="H19" s="8" t="s">
        <v>37</v>
      </c>
      <c r="I19" s="8" t="s">
        <v>37</v>
      </c>
      <c r="J19" s="8" t="s">
        <v>35</v>
      </c>
      <c r="K19" s="8" t="s">
        <v>36</v>
      </c>
      <c r="L19" s="8" t="s">
        <v>37</v>
      </c>
      <c r="M19" s="8" t="s">
        <v>37</v>
      </c>
      <c r="N19" s="8" t="s">
        <v>37</v>
      </c>
      <c r="S19" s="8" t="s">
        <v>42</v>
      </c>
      <c r="AC19" s="6"/>
      <c r="AD19" s="8" t="s">
        <v>52</v>
      </c>
    </row>
    <row r="20">
      <c r="A20" s="7">
        <v>45427.701446238425</v>
      </c>
      <c r="C20" s="8" t="s">
        <v>109</v>
      </c>
      <c r="D20" s="8" t="s">
        <v>35</v>
      </c>
      <c r="E20" s="8" t="s">
        <v>36</v>
      </c>
      <c r="F20" s="8" t="s">
        <v>36</v>
      </c>
      <c r="G20" s="8" t="s">
        <v>35</v>
      </c>
      <c r="H20" s="8" t="s">
        <v>35</v>
      </c>
      <c r="I20" s="8" t="s">
        <v>36</v>
      </c>
      <c r="J20" s="8" t="s">
        <v>35</v>
      </c>
      <c r="K20" s="8" t="s">
        <v>35</v>
      </c>
      <c r="L20" s="8" t="s">
        <v>35</v>
      </c>
      <c r="M20" s="8" t="s">
        <v>35</v>
      </c>
      <c r="N20" s="8" t="s">
        <v>36</v>
      </c>
      <c r="O20" s="8" t="s">
        <v>170</v>
      </c>
      <c r="P20" s="8" t="s">
        <v>171</v>
      </c>
      <c r="S20" s="8" t="s">
        <v>73</v>
      </c>
      <c r="AC20" s="6"/>
      <c r="AD20" s="8" t="s">
        <v>52</v>
      </c>
    </row>
    <row r="21">
      <c r="A21" s="7">
        <v>45427.74897340278</v>
      </c>
      <c r="B21" s="8" t="s">
        <v>172</v>
      </c>
      <c r="C21" s="8" t="s">
        <v>109</v>
      </c>
      <c r="D21" s="8" t="s">
        <v>36</v>
      </c>
      <c r="E21" s="8" t="s">
        <v>36</v>
      </c>
      <c r="F21" s="8" t="s">
        <v>36</v>
      </c>
      <c r="G21" s="8" t="s">
        <v>36</v>
      </c>
      <c r="H21" s="8" t="s">
        <v>36</v>
      </c>
      <c r="I21" s="8" t="s">
        <v>36</v>
      </c>
      <c r="J21" s="8" t="s">
        <v>36</v>
      </c>
      <c r="K21" s="8" t="s">
        <v>36</v>
      </c>
      <c r="L21" s="8" t="s">
        <v>36</v>
      </c>
      <c r="M21" s="8" t="s">
        <v>35</v>
      </c>
      <c r="N21" s="8" t="s">
        <v>35</v>
      </c>
      <c r="O21" s="8" t="s">
        <v>173</v>
      </c>
      <c r="P21" s="8" t="s">
        <v>174</v>
      </c>
      <c r="Q21" s="8" t="s">
        <v>175</v>
      </c>
      <c r="R21" s="8" t="s">
        <v>176</v>
      </c>
      <c r="S21" s="8" t="s">
        <v>42</v>
      </c>
      <c r="W21" s="8" t="s">
        <v>177</v>
      </c>
      <c r="AC21" s="6"/>
      <c r="AD21" s="8" t="s">
        <v>52</v>
      </c>
      <c r="AE21" s="8" t="s">
        <v>178</v>
      </c>
    </row>
    <row r="22">
      <c r="A22" s="7">
        <v>45428.73883192129</v>
      </c>
      <c r="B22" s="8" t="s">
        <v>179</v>
      </c>
      <c r="C22" s="8" t="s">
        <v>61</v>
      </c>
      <c r="D22" s="8" t="s">
        <v>35</v>
      </c>
      <c r="E22" s="8" t="s">
        <v>37</v>
      </c>
      <c r="F22" s="8" t="s">
        <v>35</v>
      </c>
      <c r="G22" s="8" t="s">
        <v>35</v>
      </c>
      <c r="H22" s="8" t="s">
        <v>35</v>
      </c>
      <c r="I22" s="8" t="s">
        <v>37</v>
      </c>
      <c r="J22" s="8" t="s">
        <v>37</v>
      </c>
      <c r="K22" s="8" t="s">
        <v>37</v>
      </c>
      <c r="L22" s="8" t="s">
        <v>37</v>
      </c>
      <c r="M22" s="8" t="s">
        <v>37</v>
      </c>
      <c r="N22" s="8" t="s">
        <v>37</v>
      </c>
      <c r="O22" s="8" t="s">
        <v>180</v>
      </c>
      <c r="P22" s="8" t="s">
        <v>181</v>
      </c>
      <c r="R22" s="8" t="s">
        <v>182</v>
      </c>
      <c r="S22" s="8" t="s">
        <v>183</v>
      </c>
      <c r="AA22" s="8" t="s">
        <v>184</v>
      </c>
      <c r="AC22" s="9" t="s">
        <v>185</v>
      </c>
      <c r="AD22" s="8" t="s">
        <v>95</v>
      </c>
    </row>
    <row r="23">
      <c r="A23" s="7">
        <v>45430.7994865625</v>
      </c>
      <c r="C23" s="8" t="s">
        <v>109</v>
      </c>
      <c r="D23" s="8" t="s">
        <v>50</v>
      </c>
      <c r="E23" s="8" t="s">
        <v>36</v>
      </c>
      <c r="F23" s="8" t="s">
        <v>36</v>
      </c>
      <c r="G23" s="8" t="s">
        <v>50</v>
      </c>
      <c r="H23" s="8" t="s">
        <v>36</v>
      </c>
      <c r="I23" s="8" t="s">
        <v>36</v>
      </c>
      <c r="J23" s="8" t="s">
        <v>36</v>
      </c>
      <c r="K23" s="8" t="s">
        <v>36</v>
      </c>
      <c r="L23" s="8" t="s">
        <v>35</v>
      </c>
      <c r="M23" s="8" t="s">
        <v>35</v>
      </c>
      <c r="N23" s="8" t="s">
        <v>35</v>
      </c>
      <c r="P23" s="8" t="s">
        <v>186</v>
      </c>
      <c r="Q23" s="8" t="s">
        <v>187</v>
      </c>
      <c r="R23" s="8" t="s">
        <v>188</v>
      </c>
      <c r="W23" s="8" t="s">
        <v>189</v>
      </c>
      <c r="Z23" s="8" t="s">
        <v>190</v>
      </c>
      <c r="AA23" s="8" t="s">
        <v>191</v>
      </c>
      <c r="AC23" s="9" t="s">
        <v>192</v>
      </c>
      <c r="AD23" s="8" t="s">
        <v>52</v>
      </c>
      <c r="AE23" s="8" t="s">
        <v>193</v>
      </c>
    </row>
    <row r="24">
      <c r="A24" s="7">
        <v>45432.520526064814</v>
      </c>
      <c r="B24" s="8" t="s">
        <v>194</v>
      </c>
      <c r="C24" s="8" t="s">
        <v>87</v>
      </c>
      <c r="D24" s="8" t="s">
        <v>35</v>
      </c>
      <c r="E24" s="8" t="s">
        <v>35</v>
      </c>
      <c r="F24" s="8" t="s">
        <v>36</v>
      </c>
      <c r="G24" s="8" t="s">
        <v>35</v>
      </c>
      <c r="H24" s="8" t="s">
        <v>35</v>
      </c>
      <c r="I24" s="8" t="s">
        <v>35</v>
      </c>
      <c r="J24" s="8" t="s">
        <v>37</v>
      </c>
      <c r="K24" s="8" t="s">
        <v>35</v>
      </c>
      <c r="L24" s="8" t="s">
        <v>37</v>
      </c>
      <c r="M24" s="8" t="s">
        <v>37</v>
      </c>
      <c r="N24" s="8" t="s">
        <v>37</v>
      </c>
      <c r="O24" s="8" t="s">
        <v>195</v>
      </c>
      <c r="P24" s="8" t="s">
        <v>196</v>
      </c>
      <c r="Q24" s="8" t="s">
        <v>197</v>
      </c>
      <c r="R24" s="8" t="s">
        <v>198</v>
      </c>
      <c r="W24" s="8" t="s">
        <v>199</v>
      </c>
      <c r="AA24" s="8" t="s">
        <v>200</v>
      </c>
      <c r="AB24" s="8" t="s">
        <v>201</v>
      </c>
      <c r="AC24" s="9" t="s">
        <v>202</v>
      </c>
      <c r="AD24" s="8" t="s">
        <v>95</v>
      </c>
      <c r="AE24" s="8" t="s">
        <v>203</v>
      </c>
    </row>
    <row r="25">
      <c r="A25" s="7">
        <v>45432.73070726852</v>
      </c>
      <c r="C25" s="8" t="s">
        <v>109</v>
      </c>
      <c r="D25" s="8" t="s">
        <v>35</v>
      </c>
      <c r="E25" s="8" t="s">
        <v>35</v>
      </c>
      <c r="F25" s="8" t="s">
        <v>35</v>
      </c>
      <c r="G25" s="8" t="s">
        <v>35</v>
      </c>
      <c r="H25" s="8" t="s">
        <v>37</v>
      </c>
      <c r="I25" s="8" t="s">
        <v>37</v>
      </c>
      <c r="J25" s="8" t="s">
        <v>35</v>
      </c>
      <c r="K25" s="8" t="s">
        <v>37</v>
      </c>
      <c r="L25" s="8" t="s">
        <v>37</v>
      </c>
      <c r="M25" s="8" t="s">
        <v>37</v>
      </c>
      <c r="N25" s="8" t="s">
        <v>37</v>
      </c>
      <c r="O25" s="8" t="s">
        <v>204</v>
      </c>
      <c r="Q25" s="8" t="s">
        <v>205</v>
      </c>
      <c r="S25" s="8" t="s">
        <v>206</v>
      </c>
      <c r="AA25" s="8" t="s">
        <v>207</v>
      </c>
      <c r="AC25" s="6"/>
      <c r="AD25" s="8" t="s">
        <v>52</v>
      </c>
    </row>
    <row r="26">
      <c r="A26" s="7">
        <v>45432.732302476856</v>
      </c>
      <c r="C26" s="8" t="s">
        <v>109</v>
      </c>
      <c r="D26" s="8" t="s">
        <v>37</v>
      </c>
      <c r="E26" s="8" t="s">
        <v>37</v>
      </c>
      <c r="F26" s="8" t="s">
        <v>37</v>
      </c>
      <c r="G26" s="8" t="s">
        <v>37</v>
      </c>
      <c r="H26" s="8" t="s">
        <v>37</v>
      </c>
      <c r="I26" s="8" t="s">
        <v>37</v>
      </c>
      <c r="J26" s="8" t="s">
        <v>35</v>
      </c>
      <c r="K26" s="8" t="s">
        <v>36</v>
      </c>
      <c r="L26" s="8" t="s">
        <v>37</v>
      </c>
      <c r="M26" s="8" t="s">
        <v>37</v>
      </c>
      <c r="N26" s="8" t="s">
        <v>37</v>
      </c>
      <c r="O26" s="8" t="s">
        <v>208</v>
      </c>
      <c r="P26" s="8" t="s">
        <v>209</v>
      </c>
      <c r="Q26" s="8" t="s">
        <v>210</v>
      </c>
      <c r="S26" s="8" t="s">
        <v>42</v>
      </c>
      <c r="Z26" s="8" t="s">
        <v>211</v>
      </c>
      <c r="AC26" s="6"/>
      <c r="AD26" s="8" t="s">
        <v>52</v>
      </c>
    </row>
    <row r="27">
      <c r="A27" s="7">
        <v>45432.73775550926</v>
      </c>
      <c r="B27" s="8" t="s">
        <v>212</v>
      </c>
      <c r="C27" s="8" t="s">
        <v>109</v>
      </c>
      <c r="D27" s="8" t="s">
        <v>35</v>
      </c>
      <c r="E27" s="8" t="s">
        <v>35</v>
      </c>
      <c r="F27" s="8" t="s">
        <v>35</v>
      </c>
      <c r="G27" s="8" t="s">
        <v>37</v>
      </c>
      <c r="H27" s="8" t="s">
        <v>35</v>
      </c>
      <c r="I27" s="8" t="s">
        <v>36</v>
      </c>
      <c r="J27" s="8" t="s">
        <v>35</v>
      </c>
      <c r="K27" s="8" t="s">
        <v>35</v>
      </c>
      <c r="L27" s="8" t="s">
        <v>35</v>
      </c>
      <c r="M27" s="8" t="s">
        <v>37</v>
      </c>
      <c r="N27" s="8" t="s">
        <v>36</v>
      </c>
      <c r="O27" s="8" t="s">
        <v>213</v>
      </c>
      <c r="P27" s="8" t="s">
        <v>214</v>
      </c>
      <c r="Q27" s="8" t="s">
        <v>215</v>
      </c>
      <c r="R27" s="8" t="s">
        <v>216</v>
      </c>
      <c r="S27" s="8" t="s">
        <v>206</v>
      </c>
      <c r="V27" s="8" t="s">
        <v>217</v>
      </c>
      <c r="W27" s="8" t="s">
        <v>215</v>
      </c>
      <c r="Z27" s="8" t="s">
        <v>66</v>
      </c>
      <c r="AA27" s="8" t="s">
        <v>218</v>
      </c>
      <c r="AB27" s="8" t="s">
        <v>66</v>
      </c>
      <c r="AC27" s="9" t="s">
        <v>219</v>
      </c>
      <c r="AD27" s="8" t="s">
        <v>59</v>
      </c>
    </row>
    <row r="28">
      <c r="A28" s="7">
        <v>45432.770343993056</v>
      </c>
      <c r="B28" s="8" t="s">
        <v>220</v>
      </c>
      <c r="C28" s="8" t="s">
        <v>109</v>
      </c>
      <c r="D28" s="8" t="s">
        <v>35</v>
      </c>
      <c r="E28" s="8" t="s">
        <v>35</v>
      </c>
      <c r="F28" s="8" t="s">
        <v>35</v>
      </c>
      <c r="G28" s="8" t="s">
        <v>36</v>
      </c>
      <c r="H28" s="8" t="s">
        <v>35</v>
      </c>
      <c r="I28" s="8" t="s">
        <v>37</v>
      </c>
      <c r="J28" s="8" t="s">
        <v>35</v>
      </c>
      <c r="K28" s="8" t="s">
        <v>35</v>
      </c>
      <c r="L28" s="8" t="s">
        <v>37</v>
      </c>
      <c r="M28" s="8" t="s">
        <v>37</v>
      </c>
      <c r="N28" s="8" t="s">
        <v>35</v>
      </c>
      <c r="O28" s="8" t="s">
        <v>221</v>
      </c>
      <c r="P28" s="8" t="s">
        <v>222</v>
      </c>
      <c r="Q28" s="8" t="s">
        <v>223</v>
      </c>
      <c r="R28" s="8" t="s">
        <v>224</v>
      </c>
      <c r="S28" s="8" t="s">
        <v>51</v>
      </c>
      <c r="V28" s="8" t="s">
        <v>225</v>
      </c>
      <c r="W28" s="8" t="s">
        <v>226</v>
      </c>
      <c r="Z28" s="8" t="s">
        <v>227</v>
      </c>
      <c r="AA28" s="8" t="s">
        <v>59</v>
      </c>
      <c r="AB28" s="8" t="s">
        <v>228</v>
      </c>
      <c r="AC28" s="9" t="s">
        <v>229</v>
      </c>
      <c r="AD28" s="8" t="s">
        <v>95</v>
      </c>
      <c r="AE28" s="8" t="s">
        <v>230</v>
      </c>
    </row>
    <row r="29">
      <c r="A29" s="7">
        <v>45432.80824424769</v>
      </c>
      <c r="B29" s="8" t="s">
        <v>231</v>
      </c>
      <c r="C29" s="8" t="s">
        <v>109</v>
      </c>
      <c r="D29" s="8" t="s">
        <v>37</v>
      </c>
      <c r="E29" s="8" t="s">
        <v>35</v>
      </c>
      <c r="F29" s="8" t="s">
        <v>35</v>
      </c>
      <c r="G29" s="8" t="s">
        <v>37</v>
      </c>
      <c r="H29" s="8" t="s">
        <v>35</v>
      </c>
      <c r="I29" s="8" t="s">
        <v>35</v>
      </c>
      <c r="J29" s="8" t="s">
        <v>35</v>
      </c>
      <c r="K29" s="8" t="s">
        <v>35</v>
      </c>
      <c r="L29" s="8" t="s">
        <v>37</v>
      </c>
      <c r="M29" s="8" t="s">
        <v>37</v>
      </c>
      <c r="N29" s="8" t="s">
        <v>37</v>
      </c>
      <c r="O29" s="8" t="s">
        <v>232</v>
      </c>
      <c r="P29" s="8" t="s">
        <v>233</v>
      </c>
      <c r="Q29" s="8" t="s">
        <v>234</v>
      </c>
      <c r="R29" s="8" t="s">
        <v>235</v>
      </c>
      <c r="S29" s="8" t="s">
        <v>42</v>
      </c>
      <c r="V29" s="8" t="s">
        <v>236</v>
      </c>
      <c r="W29" s="8" t="s">
        <v>237</v>
      </c>
      <c r="Z29" s="8" t="s">
        <v>66</v>
      </c>
      <c r="AA29" s="8" t="s">
        <v>238</v>
      </c>
      <c r="AB29" s="8" t="s">
        <v>66</v>
      </c>
      <c r="AC29" s="9" t="s">
        <v>239</v>
      </c>
      <c r="AD29" s="8" t="s">
        <v>52</v>
      </c>
      <c r="AE29" s="8" t="s">
        <v>66</v>
      </c>
    </row>
    <row r="30">
      <c r="A30" s="7">
        <v>45432.81700686342</v>
      </c>
      <c r="B30" s="8" t="s">
        <v>240</v>
      </c>
      <c r="C30" s="8" t="s">
        <v>109</v>
      </c>
      <c r="D30" s="8" t="s">
        <v>37</v>
      </c>
      <c r="E30" s="8" t="s">
        <v>37</v>
      </c>
      <c r="F30" s="8" t="s">
        <v>37</v>
      </c>
      <c r="G30" s="8" t="s">
        <v>37</v>
      </c>
      <c r="H30" s="8" t="s">
        <v>37</v>
      </c>
      <c r="I30" s="8" t="s">
        <v>37</v>
      </c>
      <c r="K30" s="8" t="s">
        <v>37</v>
      </c>
      <c r="L30" s="8" t="s">
        <v>37</v>
      </c>
      <c r="M30" s="8" t="s">
        <v>37</v>
      </c>
      <c r="N30" s="8" t="s">
        <v>37</v>
      </c>
      <c r="O30" s="8" t="s">
        <v>241</v>
      </c>
      <c r="P30" s="8" t="s">
        <v>242</v>
      </c>
      <c r="Q30" s="8" t="s">
        <v>243</v>
      </c>
      <c r="R30" s="8" t="s">
        <v>244</v>
      </c>
      <c r="W30" s="8" t="s">
        <v>245</v>
      </c>
      <c r="Z30" s="8" t="s">
        <v>246</v>
      </c>
      <c r="AA30" s="8" t="s">
        <v>247</v>
      </c>
      <c r="AC30" s="9" t="s">
        <v>248</v>
      </c>
      <c r="AD30" s="8" t="s">
        <v>59</v>
      </c>
      <c r="AE30" s="8" t="s">
        <v>249</v>
      </c>
    </row>
    <row r="31">
      <c r="A31" s="7">
        <v>45432.869115995374</v>
      </c>
      <c r="B31" s="8" t="s">
        <v>250</v>
      </c>
      <c r="C31" s="8" t="s">
        <v>251</v>
      </c>
      <c r="D31" s="8" t="s">
        <v>35</v>
      </c>
      <c r="E31" s="8" t="s">
        <v>37</v>
      </c>
      <c r="F31" s="8" t="s">
        <v>35</v>
      </c>
      <c r="G31" s="8" t="s">
        <v>37</v>
      </c>
      <c r="H31" s="8" t="s">
        <v>35</v>
      </c>
      <c r="I31" s="8" t="s">
        <v>35</v>
      </c>
      <c r="J31" s="8" t="s">
        <v>37</v>
      </c>
      <c r="K31" s="12" t="s">
        <v>37</v>
      </c>
      <c r="L31" s="8" t="s">
        <v>37</v>
      </c>
      <c r="M31" s="8" t="s">
        <v>37</v>
      </c>
      <c r="N31" s="8" t="s">
        <v>35</v>
      </c>
      <c r="O31" s="8" t="s">
        <v>252</v>
      </c>
      <c r="P31" s="8" t="s">
        <v>253</v>
      </c>
      <c r="Q31" s="8" t="s">
        <v>254</v>
      </c>
      <c r="R31" s="8" t="s">
        <v>255</v>
      </c>
      <c r="S31" s="8" t="s">
        <v>42</v>
      </c>
      <c r="V31" s="8" t="s">
        <v>256</v>
      </c>
      <c r="W31" s="8" t="s">
        <v>257</v>
      </c>
      <c r="Z31" s="8" t="s">
        <v>258</v>
      </c>
      <c r="AA31" s="8" t="s">
        <v>259</v>
      </c>
      <c r="AB31" s="8" t="s">
        <v>260</v>
      </c>
      <c r="AC31" s="9" t="s">
        <v>261</v>
      </c>
      <c r="AD31" s="8" t="s">
        <v>95</v>
      </c>
    </row>
    <row r="32">
      <c r="A32" s="7">
        <v>45432.979365543986</v>
      </c>
      <c r="D32" s="8" t="s">
        <v>36</v>
      </c>
      <c r="E32" s="8" t="s">
        <v>35</v>
      </c>
      <c r="F32" s="8" t="s">
        <v>35</v>
      </c>
      <c r="G32" s="8" t="s">
        <v>35</v>
      </c>
      <c r="H32" s="8" t="s">
        <v>37</v>
      </c>
      <c r="I32" s="8" t="s">
        <v>37</v>
      </c>
      <c r="J32" s="8" t="s">
        <v>37</v>
      </c>
      <c r="K32" s="8" t="s">
        <v>37</v>
      </c>
      <c r="L32" s="8" t="s">
        <v>37</v>
      </c>
      <c r="M32" s="8" t="s">
        <v>35</v>
      </c>
      <c r="N32" s="8" t="s">
        <v>36</v>
      </c>
      <c r="Q32" s="8" t="s">
        <v>262</v>
      </c>
      <c r="R32" s="8" t="s">
        <v>263</v>
      </c>
      <c r="S32" s="8" t="s">
        <v>206</v>
      </c>
      <c r="AC32" s="6"/>
      <c r="AD32" s="8" t="s">
        <v>59</v>
      </c>
    </row>
    <row r="33">
      <c r="A33" s="7">
        <v>45433.72686628472</v>
      </c>
      <c r="B33" s="8" t="s">
        <v>264</v>
      </c>
      <c r="C33" s="8" t="s">
        <v>251</v>
      </c>
      <c r="D33" s="8" t="s">
        <v>37</v>
      </c>
      <c r="E33" s="8" t="s">
        <v>35</v>
      </c>
      <c r="F33" s="8" t="s">
        <v>36</v>
      </c>
      <c r="G33" s="8" t="s">
        <v>37</v>
      </c>
      <c r="H33" s="8" t="s">
        <v>35</v>
      </c>
      <c r="I33" s="8" t="s">
        <v>35</v>
      </c>
      <c r="J33" s="8" t="s">
        <v>37</v>
      </c>
      <c r="K33" s="12" t="s">
        <v>37</v>
      </c>
      <c r="L33" s="8" t="s">
        <v>37</v>
      </c>
      <c r="M33" s="8" t="s">
        <v>37</v>
      </c>
      <c r="N33" s="8" t="s">
        <v>35</v>
      </c>
      <c r="O33" s="8" t="s">
        <v>265</v>
      </c>
      <c r="P33" s="8" t="s">
        <v>266</v>
      </c>
      <c r="Q33" s="8" t="s">
        <v>267</v>
      </c>
      <c r="R33" s="8" t="s">
        <v>268</v>
      </c>
      <c r="S33" s="8" t="s">
        <v>73</v>
      </c>
      <c r="V33" s="8" t="s">
        <v>269</v>
      </c>
      <c r="W33" s="8" t="s">
        <v>270</v>
      </c>
      <c r="Z33" s="8" t="s">
        <v>271</v>
      </c>
      <c r="AC33" s="9" t="s">
        <v>272</v>
      </c>
      <c r="AD33" s="8" t="s">
        <v>95</v>
      </c>
    </row>
    <row r="34">
      <c r="A34" s="7">
        <v>45433.72900016204</v>
      </c>
      <c r="B34" s="8" t="s">
        <v>273</v>
      </c>
      <c r="C34" s="8" t="s">
        <v>251</v>
      </c>
      <c r="D34" s="8" t="s">
        <v>37</v>
      </c>
      <c r="E34" s="8" t="s">
        <v>37</v>
      </c>
      <c r="F34" s="8" t="s">
        <v>37</v>
      </c>
      <c r="G34" s="8" t="s">
        <v>37</v>
      </c>
      <c r="H34" s="8" t="s">
        <v>37</v>
      </c>
      <c r="I34" s="8" t="s">
        <v>35</v>
      </c>
      <c r="J34" s="8" t="s">
        <v>37</v>
      </c>
      <c r="K34" s="12" t="s">
        <v>37</v>
      </c>
      <c r="L34" s="8" t="s">
        <v>37</v>
      </c>
      <c r="M34" s="8" t="s">
        <v>37</v>
      </c>
      <c r="N34" s="8" t="s">
        <v>35</v>
      </c>
      <c r="O34" s="8" t="s">
        <v>274</v>
      </c>
      <c r="P34" s="8" t="s">
        <v>275</v>
      </c>
      <c r="Q34" s="8" t="s">
        <v>276</v>
      </c>
      <c r="R34" s="8" t="s">
        <v>277</v>
      </c>
      <c r="S34" s="8" t="s">
        <v>124</v>
      </c>
      <c r="V34" s="8" t="s">
        <v>278</v>
      </c>
      <c r="W34" s="8" t="s">
        <v>279</v>
      </c>
      <c r="Z34" s="8" t="s">
        <v>280</v>
      </c>
      <c r="AA34" s="8" t="s">
        <v>281</v>
      </c>
      <c r="AB34" s="8" t="s">
        <v>282</v>
      </c>
      <c r="AC34" s="11" t="s">
        <v>283</v>
      </c>
      <c r="AD34" s="8" t="s">
        <v>52</v>
      </c>
      <c r="AE34" s="8" t="s">
        <v>284</v>
      </c>
    </row>
    <row r="35">
      <c r="A35" s="7">
        <v>45433.75605138889</v>
      </c>
      <c r="B35" s="8" t="s">
        <v>285</v>
      </c>
      <c r="C35" s="8" t="s">
        <v>286</v>
      </c>
      <c r="D35" s="8" t="s">
        <v>37</v>
      </c>
      <c r="E35" s="8" t="s">
        <v>35</v>
      </c>
      <c r="F35" s="8" t="s">
        <v>35</v>
      </c>
      <c r="G35" s="8" t="s">
        <v>35</v>
      </c>
      <c r="H35" s="8" t="s">
        <v>37</v>
      </c>
      <c r="I35" s="8" t="s">
        <v>37</v>
      </c>
      <c r="J35" s="8" t="s">
        <v>37</v>
      </c>
      <c r="K35" s="8" t="s">
        <v>37</v>
      </c>
      <c r="L35" s="8" t="s">
        <v>37</v>
      </c>
      <c r="M35" s="8" t="s">
        <v>37</v>
      </c>
      <c r="N35" s="8" t="s">
        <v>35</v>
      </c>
      <c r="O35" s="8" t="s">
        <v>287</v>
      </c>
      <c r="P35" s="8" t="s">
        <v>288</v>
      </c>
      <c r="S35" s="8" t="s">
        <v>73</v>
      </c>
      <c r="V35" s="8" t="s">
        <v>289</v>
      </c>
      <c r="W35" s="8" t="s">
        <v>47</v>
      </c>
      <c r="Z35" s="8" t="s">
        <v>290</v>
      </c>
      <c r="AA35" s="8" t="s">
        <v>291</v>
      </c>
      <c r="AC35" s="9" t="s">
        <v>292</v>
      </c>
      <c r="AD35" s="8" t="s">
        <v>95</v>
      </c>
    </row>
    <row r="36">
      <c r="A36" s="7">
        <v>45433.76434070602</v>
      </c>
      <c r="B36" s="8" t="s">
        <v>293</v>
      </c>
      <c r="C36" s="8" t="s">
        <v>251</v>
      </c>
      <c r="D36" s="8" t="s">
        <v>35</v>
      </c>
      <c r="F36" s="8" t="s">
        <v>36</v>
      </c>
      <c r="G36" s="8" t="s">
        <v>35</v>
      </c>
      <c r="H36" s="8" t="s">
        <v>35</v>
      </c>
      <c r="I36" s="8" t="s">
        <v>37</v>
      </c>
      <c r="J36" s="8" t="s">
        <v>37</v>
      </c>
      <c r="K36" s="12" t="s">
        <v>37</v>
      </c>
      <c r="L36" s="8" t="s">
        <v>37</v>
      </c>
      <c r="M36" s="8" t="s">
        <v>37</v>
      </c>
      <c r="N36" s="8" t="s">
        <v>37</v>
      </c>
      <c r="O36" s="8" t="s">
        <v>294</v>
      </c>
      <c r="P36" s="8" t="s">
        <v>295</v>
      </c>
      <c r="Q36" s="8" t="s">
        <v>296</v>
      </c>
      <c r="R36" s="8" t="s">
        <v>297</v>
      </c>
      <c r="S36" s="8" t="s">
        <v>51</v>
      </c>
      <c r="W36" s="8" t="s">
        <v>298</v>
      </c>
      <c r="Z36" s="8" t="s">
        <v>66</v>
      </c>
      <c r="AA36" s="8" t="s">
        <v>299</v>
      </c>
      <c r="AC36" s="6"/>
      <c r="AD36" s="8" t="s">
        <v>52</v>
      </c>
    </row>
    <row r="37">
      <c r="A37" s="7">
        <v>45433.76664263889</v>
      </c>
      <c r="B37" s="8" t="s">
        <v>300</v>
      </c>
      <c r="C37" s="8" t="s">
        <v>61</v>
      </c>
      <c r="D37" s="8" t="s">
        <v>37</v>
      </c>
      <c r="E37" s="8" t="s">
        <v>35</v>
      </c>
      <c r="F37" s="8" t="s">
        <v>35</v>
      </c>
      <c r="G37" s="8" t="s">
        <v>37</v>
      </c>
      <c r="H37" s="8" t="s">
        <v>37</v>
      </c>
      <c r="I37" s="8" t="s">
        <v>37</v>
      </c>
      <c r="J37" s="8" t="s">
        <v>37</v>
      </c>
      <c r="K37" s="8" t="s">
        <v>37</v>
      </c>
      <c r="L37" s="8" t="s">
        <v>37</v>
      </c>
      <c r="M37" s="8" t="s">
        <v>37</v>
      </c>
      <c r="N37" s="8" t="s">
        <v>36</v>
      </c>
      <c r="O37" s="8" t="s">
        <v>301</v>
      </c>
      <c r="P37" s="8" t="s">
        <v>302</v>
      </c>
      <c r="Q37" s="8" t="s">
        <v>303</v>
      </c>
      <c r="R37" s="8" t="s">
        <v>304</v>
      </c>
      <c r="S37" s="8" t="s">
        <v>206</v>
      </c>
      <c r="V37" s="8" t="s">
        <v>305</v>
      </c>
      <c r="W37" s="8" t="s">
        <v>306</v>
      </c>
      <c r="Z37" s="8" t="s">
        <v>307</v>
      </c>
      <c r="AA37" s="8" t="s">
        <v>308</v>
      </c>
      <c r="AB37" s="8" t="s">
        <v>309</v>
      </c>
      <c r="AC37" s="9" t="s">
        <v>310</v>
      </c>
      <c r="AD37" s="8" t="s">
        <v>52</v>
      </c>
    </row>
    <row r="38">
      <c r="A38" s="7">
        <v>45433.885815057874</v>
      </c>
      <c r="C38" s="8" t="s">
        <v>251</v>
      </c>
      <c r="D38" s="8" t="s">
        <v>37</v>
      </c>
      <c r="E38" s="8" t="s">
        <v>37</v>
      </c>
      <c r="F38" s="8" t="s">
        <v>37</v>
      </c>
      <c r="G38" s="8" t="s">
        <v>37</v>
      </c>
      <c r="H38" s="8" t="s">
        <v>37</v>
      </c>
      <c r="I38" s="8" t="s">
        <v>37</v>
      </c>
      <c r="J38" s="8" t="s">
        <v>37</v>
      </c>
      <c r="K38" s="12" t="s">
        <v>37</v>
      </c>
      <c r="L38" s="8" t="s">
        <v>37</v>
      </c>
      <c r="M38" s="8" t="s">
        <v>37</v>
      </c>
      <c r="N38" s="8" t="s">
        <v>37</v>
      </c>
      <c r="O38" s="8" t="s">
        <v>311</v>
      </c>
      <c r="P38" s="8" t="s">
        <v>312</v>
      </c>
      <c r="S38" s="8" t="s">
        <v>73</v>
      </c>
      <c r="AC38" s="6"/>
      <c r="AD38" s="8" t="s">
        <v>52</v>
      </c>
    </row>
    <row r="39">
      <c r="A39" s="7">
        <v>45433.90080333334</v>
      </c>
      <c r="B39" s="8" t="s">
        <v>313</v>
      </c>
      <c r="C39" s="8" t="s">
        <v>251</v>
      </c>
      <c r="D39" s="8" t="s">
        <v>37</v>
      </c>
      <c r="E39" s="8" t="s">
        <v>35</v>
      </c>
      <c r="F39" s="8" t="s">
        <v>35</v>
      </c>
      <c r="G39" s="8" t="s">
        <v>37</v>
      </c>
      <c r="H39" s="8" t="s">
        <v>35</v>
      </c>
      <c r="I39" s="8" t="s">
        <v>37</v>
      </c>
      <c r="J39" s="8" t="s">
        <v>37</v>
      </c>
      <c r="K39" s="12" t="s">
        <v>35</v>
      </c>
      <c r="L39" s="8" t="s">
        <v>37</v>
      </c>
      <c r="M39" s="8" t="s">
        <v>37</v>
      </c>
      <c r="N39" s="8" t="s">
        <v>37</v>
      </c>
      <c r="O39" s="8" t="s">
        <v>314</v>
      </c>
      <c r="P39" s="8" t="s">
        <v>315</v>
      </c>
      <c r="R39" s="8" t="s">
        <v>316</v>
      </c>
      <c r="S39" s="8" t="s">
        <v>73</v>
      </c>
      <c r="W39" s="8" t="s">
        <v>317</v>
      </c>
      <c r="AA39" s="8" t="s">
        <v>318</v>
      </c>
      <c r="AC39" s="9" t="s">
        <v>319</v>
      </c>
      <c r="AD39" s="8" t="s">
        <v>52</v>
      </c>
    </row>
    <row r="40">
      <c r="A40" s="7">
        <v>45434.378113645835</v>
      </c>
      <c r="B40" s="8" t="s">
        <v>320</v>
      </c>
      <c r="C40" s="8" t="s">
        <v>109</v>
      </c>
      <c r="D40" s="8" t="s">
        <v>35</v>
      </c>
      <c r="E40" s="8" t="s">
        <v>35</v>
      </c>
      <c r="F40" s="8" t="s">
        <v>35</v>
      </c>
      <c r="G40" s="8" t="s">
        <v>35</v>
      </c>
      <c r="H40" s="8" t="s">
        <v>35</v>
      </c>
      <c r="I40" s="8" t="s">
        <v>35</v>
      </c>
      <c r="J40" s="8" t="s">
        <v>35</v>
      </c>
      <c r="K40" s="8" t="s">
        <v>36</v>
      </c>
      <c r="L40" s="8" t="s">
        <v>35</v>
      </c>
      <c r="M40" s="8" t="s">
        <v>35</v>
      </c>
      <c r="N40" s="8" t="s">
        <v>37</v>
      </c>
      <c r="O40" s="8" t="s">
        <v>321</v>
      </c>
      <c r="P40" s="8" t="s">
        <v>322</v>
      </c>
      <c r="Q40" s="8" t="s">
        <v>323</v>
      </c>
      <c r="R40" s="8" t="s">
        <v>324</v>
      </c>
      <c r="S40" s="8" t="s">
        <v>51</v>
      </c>
      <c r="V40" s="8" t="s">
        <v>325</v>
      </c>
      <c r="W40" s="8" t="s">
        <v>326</v>
      </c>
      <c r="Z40" s="8" t="s">
        <v>327</v>
      </c>
      <c r="AA40" s="8" t="s">
        <v>328</v>
      </c>
      <c r="AC40" s="9" t="s">
        <v>329</v>
      </c>
      <c r="AD40" s="8" t="s">
        <v>52</v>
      </c>
    </row>
    <row r="41">
      <c r="A41" s="7">
        <v>45434.51375571759</v>
      </c>
      <c r="B41" s="8" t="s">
        <v>330</v>
      </c>
      <c r="C41" s="8" t="s">
        <v>87</v>
      </c>
      <c r="D41" s="8" t="s">
        <v>35</v>
      </c>
      <c r="E41" s="8" t="s">
        <v>35</v>
      </c>
      <c r="F41" s="8" t="s">
        <v>35</v>
      </c>
      <c r="G41" s="8" t="s">
        <v>37</v>
      </c>
      <c r="H41" s="8" t="s">
        <v>36</v>
      </c>
      <c r="I41" s="8" t="s">
        <v>36</v>
      </c>
      <c r="J41" s="8" t="s">
        <v>37</v>
      </c>
      <c r="K41" s="8" t="s">
        <v>37</v>
      </c>
      <c r="L41" s="8" t="s">
        <v>37</v>
      </c>
      <c r="M41" s="8" t="s">
        <v>37</v>
      </c>
      <c r="N41" s="8" t="s">
        <v>37</v>
      </c>
      <c r="O41" s="8" t="s">
        <v>331</v>
      </c>
      <c r="P41" s="8" t="s">
        <v>332</v>
      </c>
      <c r="Q41" s="8" t="s">
        <v>333</v>
      </c>
      <c r="R41" s="8" t="s">
        <v>334</v>
      </c>
      <c r="W41" s="8" t="s">
        <v>335</v>
      </c>
      <c r="Z41" s="8" t="s">
        <v>336</v>
      </c>
      <c r="AA41" s="8" t="s">
        <v>59</v>
      </c>
      <c r="AC41" s="8" t="s">
        <v>337</v>
      </c>
      <c r="AD41" s="8" t="s">
        <v>95</v>
      </c>
    </row>
    <row r="42">
      <c r="A42" s="7">
        <v>45434.64394834491</v>
      </c>
      <c r="B42" s="8" t="s">
        <v>338</v>
      </c>
      <c r="C42" s="8" t="s">
        <v>251</v>
      </c>
      <c r="D42" s="8" t="s">
        <v>36</v>
      </c>
      <c r="E42" s="8" t="s">
        <v>35</v>
      </c>
      <c r="F42" s="8" t="s">
        <v>36</v>
      </c>
      <c r="G42" s="8" t="s">
        <v>35</v>
      </c>
      <c r="H42" s="8" t="s">
        <v>36</v>
      </c>
      <c r="I42" s="8" t="s">
        <v>36</v>
      </c>
      <c r="J42" s="8" t="s">
        <v>37</v>
      </c>
      <c r="K42" s="12" t="s">
        <v>35</v>
      </c>
      <c r="L42" s="8" t="s">
        <v>35</v>
      </c>
      <c r="M42" s="8" t="s">
        <v>35</v>
      </c>
      <c r="N42" s="8" t="s">
        <v>35</v>
      </c>
      <c r="O42" s="8" t="s">
        <v>339</v>
      </c>
      <c r="P42" s="8" t="s">
        <v>340</v>
      </c>
      <c r="S42" s="8" t="s">
        <v>206</v>
      </c>
      <c r="Z42" s="8" t="s">
        <v>341</v>
      </c>
      <c r="AA42" s="8" t="s">
        <v>342</v>
      </c>
      <c r="AC42" s="8" t="s">
        <v>343</v>
      </c>
      <c r="AD42" s="8" t="s">
        <v>52</v>
      </c>
    </row>
    <row r="43">
      <c r="A43" s="7">
        <v>45434.74023894676</v>
      </c>
      <c r="B43" s="8" t="s">
        <v>344</v>
      </c>
      <c r="C43" s="8" t="s">
        <v>251</v>
      </c>
      <c r="D43" s="8" t="s">
        <v>35</v>
      </c>
      <c r="E43" s="8" t="s">
        <v>36</v>
      </c>
      <c r="F43" s="8" t="s">
        <v>36</v>
      </c>
      <c r="G43" s="8" t="s">
        <v>36</v>
      </c>
      <c r="H43" s="8" t="s">
        <v>35</v>
      </c>
      <c r="I43" s="8" t="s">
        <v>36</v>
      </c>
      <c r="J43" s="8" t="s">
        <v>37</v>
      </c>
      <c r="K43" s="12" t="s">
        <v>37</v>
      </c>
      <c r="L43" s="8" t="s">
        <v>35</v>
      </c>
      <c r="M43" s="8" t="s">
        <v>35</v>
      </c>
      <c r="N43" s="8" t="s">
        <v>37</v>
      </c>
      <c r="O43" s="8" t="s">
        <v>345</v>
      </c>
      <c r="P43" s="8" t="s">
        <v>346</v>
      </c>
      <c r="Q43" s="8" t="s">
        <v>347</v>
      </c>
      <c r="R43" s="8" t="s">
        <v>348</v>
      </c>
      <c r="S43" s="8" t="s">
        <v>42</v>
      </c>
      <c r="W43" s="8" t="s">
        <v>349</v>
      </c>
      <c r="AC43" s="8" t="s">
        <v>350</v>
      </c>
      <c r="AD43" s="8" t="s">
        <v>95</v>
      </c>
    </row>
    <row r="44">
      <c r="A44" s="7">
        <v>45434.82863240741</v>
      </c>
      <c r="B44" s="8" t="s">
        <v>351</v>
      </c>
      <c r="C44" s="8" t="s">
        <v>251</v>
      </c>
      <c r="D44" s="8" t="s">
        <v>35</v>
      </c>
      <c r="E44" s="8" t="s">
        <v>35</v>
      </c>
      <c r="F44" s="8" t="s">
        <v>35</v>
      </c>
      <c r="G44" s="8" t="s">
        <v>37</v>
      </c>
      <c r="H44" s="8" t="s">
        <v>37</v>
      </c>
      <c r="I44" s="8" t="s">
        <v>37</v>
      </c>
      <c r="J44" s="8" t="s">
        <v>35</v>
      </c>
      <c r="K44" s="12" t="s">
        <v>37</v>
      </c>
      <c r="L44" s="8" t="s">
        <v>37</v>
      </c>
      <c r="M44" s="8" t="s">
        <v>37</v>
      </c>
      <c r="N44" s="8" t="s">
        <v>37</v>
      </c>
      <c r="O44" s="8" t="s">
        <v>352</v>
      </c>
      <c r="P44" s="8" t="s">
        <v>353</v>
      </c>
      <c r="Q44" s="8" t="s">
        <v>354</v>
      </c>
      <c r="R44" s="8" t="s">
        <v>355</v>
      </c>
      <c r="S44" s="8" t="s">
        <v>124</v>
      </c>
      <c r="V44" s="8" t="s">
        <v>356</v>
      </c>
      <c r="W44" s="8" t="s">
        <v>357</v>
      </c>
      <c r="AA44" s="8" t="s">
        <v>358</v>
      </c>
      <c r="AB44" s="8" t="s">
        <v>359</v>
      </c>
      <c r="AC44" s="8" t="s">
        <v>360</v>
      </c>
      <c r="AD44" s="8" t="s">
        <v>52</v>
      </c>
      <c r="AE44" s="8" t="s">
        <v>361</v>
      </c>
    </row>
    <row r="45">
      <c r="A45" s="7">
        <v>45435.745674652775</v>
      </c>
      <c r="B45" s="8" t="s">
        <v>362</v>
      </c>
      <c r="C45" s="8" t="s">
        <v>251</v>
      </c>
      <c r="D45" s="8" t="s">
        <v>35</v>
      </c>
      <c r="E45" s="8" t="s">
        <v>35</v>
      </c>
      <c r="F45" s="8" t="s">
        <v>36</v>
      </c>
      <c r="G45" s="8" t="s">
        <v>35</v>
      </c>
      <c r="H45" s="8" t="s">
        <v>35</v>
      </c>
      <c r="I45" s="8" t="s">
        <v>35</v>
      </c>
      <c r="J45" s="8" t="s">
        <v>35</v>
      </c>
      <c r="K45" s="12" t="s">
        <v>35</v>
      </c>
      <c r="L45" s="8" t="s">
        <v>37</v>
      </c>
      <c r="M45" s="8" t="s">
        <v>35</v>
      </c>
      <c r="N45" s="8" t="s">
        <v>37</v>
      </c>
      <c r="O45" s="8" t="s">
        <v>363</v>
      </c>
      <c r="P45" s="8" t="s">
        <v>364</v>
      </c>
      <c r="Q45" s="8" t="s">
        <v>365</v>
      </c>
      <c r="R45" s="8" t="s">
        <v>366</v>
      </c>
      <c r="S45" s="8" t="s">
        <v>206</v>
      </c>
      <c r="V45" s="8" t="s">
        <v>367</v>
      </c>
      <c r="W45" s="8" t="s">
        <v>368</v>
      </c>
      <c r="Z45" s="8" t="s">
        <v>369</v>
      </c>
      <c r="AA45" s="8" t="s">
        <v>370</v>
      </c>
      <c r="AC45" s="8" t="s">
        <v>371</v>
      </c>
      <c r="AD45" s="8" t="s">
        <v>52</v>
      </c>
    </row>
    <row r="46">
      <c r="A46" s="7">
        <v>45435.79524253472</v>
      </c>
      <c r="B46" s="8" t="s">
        <v>372</v>
      </c>
      <c r="C46" s="8" t="s">
        <v>61</v>
      </c>
      <c r="D46" s="8" t="s">
        <v>35</v>
      </c>
      <c r="E46" s="8" t="s">
        <v>35</v>
      </c>
      <c r="F46" s="8" t="s">
        <v>35</v>
      </c>
      <c r="G46" s="8" t="s">
        <v>35</v>
      </c>
      <c r="H46" s="8" t="s">
        <v>35</v>
      </c>
      <c r="I46" s="8" t="s">
        <v>35</v>
      </c>
      <c r="J46" s="8" t="s">
        <v>35</v>
      </c>
      <c r="K46" s="8" t="s">
        <v>35</v>
      </c>
      <c r="L46" s="8" t="s">
        <v>35</v>
      </c>
      <c r="M46" s="8" t="s">
        <v>35</v>
      </c>
      <c r="N46" s="8" t="s">
        <v>35</v>
      </c>
      <c r="O46" s="8" t="s">
        <v>373</v>
      </c>
      <c r="P46" s="8" t="s">
        <v>374</v>
      </c>
      <c r="Q46" s="8" t="s">
        <v>375</v>
      </c>
      <c r="R46" s="8" t="s">
        <v>376</v>
      </c>
      <c r="AA46" s="8" t="s">
        <v>59</v>
      </c>
      <c r="AC46" s="8" t="s">
        <v>377</v>
      </c>
      <c r="AD46" s="8" t="s">
        <v>95</v>
      </c>
    </row>
    <row r="47">
      <c r="A47" s="7">
        <v>45436.66609583334</v>
      </c>
      <c r="B47" s="8" t="s">
        <v>378</v>
      </c>
      <c r="C47" s="8" t="s">
        <v>251</v>
      </c>
      <c r="D47" s="8" t="s">
        <v>35</v>
      </c>
      <c r="E47" s="8" t="s">
        <v>35</v>
      </c>
      <c r="F47" s="8" t="s">
        <v>36</v>
      </c>
      <c r="G47" s="8" t="s">
        <v>35</v>
      </c>
      <c r="H47" s="8" t="s">
        <v>35</v>
      </c>
      <c r="I47" s="8" t="s">
        <v>36</v>
      </c>
      <c r="J47" s="8" t="s">
        <v>35</v>
      </c>
      <c r="K47" s="12" t="s">
        <v>35</v>
      </c>
      <c r="L47" s="8" t="s">
        <v>35</v>
      </c>
      <c r="M47" s="8" t="s">
        <v>37</v>
      </c>
      <c r="N47" s="8" t="s">
        <v>37</v>
      </c>
      <c r="O47" s="8" t="s">
        <v>379</v>
      </c>
      <c r="P47" s="8" t="s">
        <v>380</v>
      </c>
      <c r="Q47" s="8" t="s">
        <v>381</v>
      </c>
      <c r="R47" s="8" t="s">
        <v>382</v>
      </c>
      <c r="S47" s="8" t="s">
        <v>51</v>
      </c>
      <c r="AA47" s="8" t="s">
        <v>383</v>
      </c>
      <c r="AC47" s="13" t="s">
        <v>384</v>
      </c>
      <c r="AD47" s="8" t="s">
        <v>95</v>
      </c>
    </row>
    <row r="48">
      <c r="A48" s="7">
        <v>45447.77869396991</v>
      </c>
      <c r="B48" s="8" t="s">
        <v>385</v>
      </c>
      <c r="C48" s="8" t="s">
        <v>251</v>
      </c>
      <c r="D48" s="8" t="s">
        <v>35</v>
      </c>
      <c r="E48" s="8" t="s">
        <v>35</v>
      </c>
      <c r="F48" s="8" t="s">
        <v>35</v>
      </c>
      <c r="G48" s="8" t="s">
        <v>35</v>
      </c>
      <c r="H48" s="8" t="s">
        <v>35</v>
      </c>
      <c r="I48" s="8" t="s">
        <v>36</v>
      </c>
      <c r="J48" s="8" t="s">
        <v>35</v>
      </c>
      <c r="K48" s="12" t="s">
        <v>36</v>
      </c>
      <c r="L48" s="8" t="s">
        <v>35</v>
      </c>
      <c r="M48" s="8" t="s">
        <v>35</v>
      </c>
      <c r="N48" s="8" t="s">
        <v>35</v>
      </c>
      <c r="P48" s="8" t="s">
        <v>386</v>
      </c>
      <c r="Q48" s="8" t="s">
        <v>387</v>
      </c>
      <c r="R48" s="8" t="s">
        <v>388</v>
      </c>
      <c r="AA48" s="8" t="s">
        <v>389</v>
      </c>
      <c r="AC48" s="8" t="s">
        <v>390</v>
      </c>
      <c r="AD48" s="8" t="s">
        <v>95</v>
      </c>
    </row>
    <row r="49">
      <c r="A49" s="7">
        <v>45457.44859371528</v>
      </c>
      <c r="C49" s="8" t="s">
        <v>109</v>
      </c>
      <c r="D49" s="8" t="s">
        <v>37</v>
      </c>
      <c r="E49" s="8" t="s">
        <v>37</v>
      </c>
      <c r="F49" s="8" t="s">
        <v>37</v>
      </c>
      <c r="G49" s="8" t="s">
        <v>37</v>
      </c>
      <c r="H49" s="8" t="s">
        <v>37</v>
      </c>
      <c r="I49" s="8" t="s">
        <v>37</v>
      </c>
      <c r="J49" s="8" t="s">
        <v>37</v>
      </c>
      <c r="K49" s="12" t="s">
        <v>37</v>
      </c>
      <c r="L49" s="8" t="s">
        <v>37</v>
      </c>
      <c r="M49" s="8" t="s">
        <v>37</v>
      </c>
      <c r="N49" s="8" t="s">
        <v>37</v>
      </c>
      <c r="AD49" s="8" t="s">
        <v>52</v>
      </c>
    </row>
    <row r="50">
      <c r="A50" s="7">
        <v>45523.5001647801</v>
      </c>
      <c r="B50" s="8" t="s">
        <v>391</v>
      </c>
      <c r="C50" s="8" t="s">
        <v>109</v>
      </c>
      <c r="D50" s="8" t="s">
        <v>50</v>
      </c>
      <c r="E50" s="8" t="s">
        <v>36</v>
      </c>
      <c r="F50" s="8" t="s">
        <v>36</v>
      </c>
      <c r="G50" s="8" t="s">
        <v>36</v>
      </c>
      <c r="H50" s="8" t="s">
        <v>36</v>
      </c>
      <c r="I50" s="8" t="s">
        <v>36</v>
      </c>
      <c r="J50" s="8" t="s">
        <v>35</v>
      </c>
      <c r="K50" s="8" t="s">
        <v>50</v>
      </c>
      <c r="L50" s="8" t="s">
        <v>35</v>
      </c>
      <c r="M50" s="8" t="s">
        <v>37</v>
      </c>
      <c r="N50" s="8" t="s">
        <v>36</v>
      </c>
      <c r="O50" s="8" t="s">
        <v>392</v>
      </c>
      <c r="P50" s="8" t="s">
        <v>393</v>
      </c>
      <c r="Q50" s="8" t="s">
        <v>394</v>
      </c>
      <c r="R50" s="8" t="s">
        <v>395</v>
      </c>
      <c r="AA50" s="8" t="s">
        <v>396</v>
      </c>
      <c r="AD50" s="8" t="s">
        <v>59</v>
      </c>
    </row>
    <row r="51">
      <c r="K51" s="14"/>
      <c r="AC51" s="6"/>
    </row>
    <row r="52">
      <c r="K52" s="14"/>
      <c r="AC52" s="6"/>
    </row>
    <row r="53">
      <c r="K53" s="14"/>
      <c r="AC53" s="6"/>
    </row>
    <row r="54">
      <c r="K54" s="14"/>
      <c r="AC54" s="6"/>
    </row>
    <row r="55">
      <c r="K55" s="14"/>
      <c r="AC55" s="6"/>
    </row>
    <row r="56">
      <c r="K56" s="14"/>
      <c r="AC56" s="6"/>
    </row>
    <row r="57">
      <c r="K57" s="14"/>
      <c r="AC57" s="6"/>
    </row>
    <row r="58">
      <c r="K58" s="14"/>
      <c r="AC58" s="6"/>
    </row>
    <row r="59">
      <c r="K59" s="14"/>
      <c r="AC59" s="6"/>
    </row>
    <row r="60">
      <c r="K60" s="14"/>
      <c r="AC60" s="6"/>
    </row>
    <row r="61">
      <c r="K61" s="14"/>
      <c r="AC61" s="6"/>
    </row>
    <row r="62">
      <c r="K62" s="14"/>
      <c r="AC62" s="6"/>
    </row>
    <row r="63">
      <c r="K63" s="14"/>
      <c r="AC63" s="6"/>
    </row>
    <row r="64">
      <c r="K64" s="14"/>
      <c r="AC64" s="6"/>
    </row>
    <row r="65">
      <c r="K65" s="14"/>
      <c r="AC65" s="6"/>
    </row>
    <row r="66">
      <c r="K66" s="14"/>
      <c r="AC66" s="6"/>
    </row>
    <row r="67">
      <c r="K67" s="14"/>
      <c r="AC67" s="6"/>
    </row>
    <row r="68">
      <c r="K68" s="14"/>
      <c r="AC68" s="6"/>
    </row>
    <row r="69">
      <c r="K69" s="14"/>
      <c r="AC69" s="6"/>
    </row>
    <row r="70">
      <c r="K70" s="14"/>
      <c r="AC70" s="6"/>
    </row>
    <row r="71">
      <c r="K71" s="14"/>
      <c r="AC71" s="6"/>
    </row>
    <row r="72">
      <c r="K72" s="14"/>
      <c r="AC72" s="6"/>
    </row>
    <row r="73">
      <c r="K73" s="14"/>
      <c r="AC73" s="6"/>
    </row>
    <row r="74">
      <c r="K74" s="14"/>
      <c r="AC74" s="6"/>
    </row>
    <row r="75">
      <c r="K75" s="14"/>
      <c r="AC75" s="6"/>
    </row>
    <row r="76">
      <c r="K76" s="14"/>
      <c r="AC76" s="6"/>
    </row>
    <row r="77">
      <c r="K77" s="14"/>
      <c r="AC77" s="6"/>
    </row>
    <row r="78">
      <c r="K78" s="14"/>
      <c r="AC78" s="6"/>
    </row>
    <row r="79">
      <c r="K79" s="14"/>
      <c r="AC79" s="6"/>
    </row>
    <row r="80">
      <c r="K80" s="14"/>
      <c r="AC80" s="6"/>
    </row>
    <row r="81">
      <c r="K81" s="14"/>
      <c r="AC81" s="6"/>
    </row>
    <row r="82">
      <c r="K82" s="14"/>
      <c r="AC82" s="6"/>
    </row>
    <row r="83">
      <c r="K83" s="14"/>
      <c r="AC83" s="6"/>
    </row>
    <row r="84">
      <c r="K84" s="14"/>
      <c r="AC84" s="6"/>
    </row>
    <row r="85">
      <c r="K85" s="14"/>
      <c r="AC85" s="6"/>
    </row>
    <row r="86">
      <c r="K86" s="14"/>
      <c r="AC86" s="6"/>
    </row>
    <row r="87">
      <c r="K87" s="14"/>
      <c r="AC87" s="6"/>
    </row>
    <row r="88">
      <c r="K88" s="14"/>
      <c r="AC88" s="6"/>
    </row>
    <row r="89">
      <c r="K89" s="14"/>
      <c r="AC89" s="6"/>
    </row>
    <row r="90">
      <c r="K90" s="14"/>
      <c r="AC90" s="6"/>
    </row>
    <row r="91">
      <c r="K91" s="14"/>
      <c r="AC91" s="6"/>
    </row>
    <row r="92">
      <c r="K92" s="14"/>
      <c r="AC92" s="6"/>
    </row>
    <row r="93">
      <c r="K93" s="14"/>
      <c r="AC93" s="6"/>
    </row>
    <row r="94">
      <c r="K94" s="14"/>
      <c r="AC94" s="6"/>
    </row>
    <row r="95">
      <c r="K95" s="14"/>
      <c r="AC95" s="6"/>
    </row>
    <row r="96">
      <c r="K96" s="14"/>
      <c r="AC96" s="6"/>
    </row>
    <row r="97">
      <c r="K97" s="14"/>
      <c r="AC97" s="6"/>
    </row>
    <row r="98">
      <c r="K98" s="14"/>
      <c r="AC98" s="6"/>
    </row>
    <row r="99">
      <c r="K99" s="14"/>
      <c r="AC99" s="6"/>
    </row>
    <row r="100">
      <c r="K100" s="14"/>
      <c r="AC100" s="6"/>
    </row>
    <row r="101">
      <c r="K101" s="14"/>
      <c r="AC101" s="6"/>
    </row>
    <row r="102">
      <c r="K102" s="14"/>
      <c r="AC102" s="6"/>
    </row>
    <row r="103">
      <c r="K103" s="14"/>
      <c r="AC103" s="6"/>
    </row>
    <row r="104">
      <c r="K104" s="14"/>
      <c r="AC104" s="6"/>
    </row>
    <row r="105">
      <c r="K105" s="14"/>
      <c r="AC105" s="6"/>
    </row>
    <row r="106">
      <c r="K106" s="14"/>
      <c r="AC106" s="6"/>
    </row>
    <row r="107">
      <c r="K107" s="14"/>
      <c r="AC107" s="6"/>
    </row>
    <row r="108">
      <c r="K108" s="14"/>
      <c r="AC108" s="6"/>
    </row>
    <row r="109">
      <c r="K109" s="14"/>
      <c r="AC109" s="6"/>
    </row>
    <row r="110">
      <c r="K110" s="14"/>
      <c r="AC110" s="6"/>
    </row>
    <row r="111">
      <c r="K111" s="14"/>
      <c r="AC111" s="6"/>
    </row>
    <row r="112">
      <c r="K112" s="14"/>
      <c r="AC112" s="6"/>
    </row>
    <row r="113">
      <c r="K113" s="14"/>
      <c r="AC113" s="6"/>
    </row>
    <row r="114">
      <c r="K114" s="14"/>
      <c r="AC114" s="6"/>
    </row>
    <row r="115">
      <c r="K115" s="14"/>
      <c r="AC115" s="6"/>
    </row>
    <row r="116">
      <c r="K116" s="14"/>
      <c r="AC116" s="6"/>
    </row>
    <row r="117">
      <c r="K117" s="14"/>
      <c r="AC117" s="6"/>
    </row>
    <row r="118">
      <c r="K118" s="14"/>
      <c r="AC118" s="6"/>
    </row>
    <row r="119">
      <c r="K119" s="14"/>
      <c r="AC119" s="6"/>
    </row>
    <row r="120">
      <c r="K120" s="14"/>
      <c r="AC120" s="6"/>
    </row>
    <row r="121">
      <c r="K121" s="14"/>
      <c r="AC121" s="6"/>
    </row>
    <row r="122">
      <c r="K122" s="14"/>
      <c r="AC122" s="6"/>
    </row>
    <row r="123">
      <c r="K123" s="14"/>
      <c r="AC123" s="6"/>
    </row>
    <row r="124">
      <c r="K124" s="14"/>
      <c r="AC124" s="6"/>
    </row>
    <row r="125">
      <c r="K125" s="14"/>
      <c r="AC125" s="6"/>
    </row>
    <row r="126">
      <c r="K126" s="14"/>
      <c r="AC126" s="6"/>
    </row>
    <row r="127">
      <c r="K127" s="14"/>
      <c r="AC127" s="6"/>
    </row>
    <row r="128">
      <c r="K128" s="14"/>
      <c r="AC128" s="6"/>
    </row>
    <row r="129">
      <c r="K129" s="14"/>
      <c r="AC129" s="6"/>
    </row>
    <row r="130">
      <c r="K130" s="14"/>
      <c r="AC130" s="6"/>
    </row>
    <row r="131">
      <c r="K131" s="14"/>
      <c r="AC131" s="6"/>
    </row>
    <row r="132">
      <c r="K132" s="14"/>
      <c r="AC132" s="6"/>
    </row>
    <row r="133">
      <c r="K133" s="14"/>
      <c r="AC133" s="6"/>
    </row>
    <row r="134">
      <c r="K134" s="14"/>
      <c r="AC134" s="6"/>
    </row>
    <row r="135">
      <c r="K135" s="14"/>
      <c r="AC135" s="6"/>
    </row>
    <row r="136">
      <c r="K136" s="14"/>
      <c r="AC136" s="6"/>
    </row>
    <row r="137">
      <c r="K137" s="14"/>
      <c r="AC137" s="6"/>
    </row>
    <row r="138">
      <c r="K138" s="14"/>
      <c r="AC138" s="6"/>
    </row>
    <row r="139">
      <c r="K139" s="14"/>
      <c r="AC139" s="6"/>
    </row>
    <row r="140">
      <c r="K140" s="14"/>
      <c r="AC140" s="6"/>
    </row>
    <row r="141">
      <c r="K141" s="14"/>
      <c r="AC141" s="6"/>
    </row>
    <row r="142">
      <c r="K142" s="14"/>
      <c r="AC142" s="6"/>
    </row>
    <row r="143">
      <c r="K143" s="14"/>
      <c r="AC143" s="6"/>
    </row>
    <row r="144">
      <c r="K144" s="14"/>
      <c r="AC144" s="6"/>
    </row>
    <row r="145">
      <c r="K145" s="14"/>
      <c r="AC145" s="6"/>
    </row>
    <row r="146">
      <c r="K146" s="14"/>
      <c r="AC146" s="6"/>
    </row>
    <row r="147">
      <c r="K147" s="14"/>
      <c r="AC147" s="6"/>
    </row>
    <row r="148">
      <c r="K148" s="14"/>
      <c r="AC148" s="6"/>
    </row>
    <row r="149">
      <c r="K149" s="14"/>
      <c r="AC149" s="6"/>
    </row>
    <row r="150">
      <c r="K150" s="14"/>
      <c r="AC150" s="6"/>
    </row>
  </sheetData>
  <autoFilter ref="$A$1:$AK$50"/>
  <hyperlinks>
    <hyperlink r:id="rId2" ref="S1"/>
    <hyperlink r:id="rId3" ref="U1"/>
    <hyperlink r:id="rId4" ref="Y1"/>
    <hyperlink r:id="rId5" ref="AA1"/>
    <hyperlink r:id="rId6" ref="AD1"/>
  </hyperlinks>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0</v>
      </c>
      <c r="B1" s="15" t="s">
        <v>1</v>
      </c>
      <c r="C1" s="15" t="s">
        <v>2</v>
      </c>
      <c r="D1" s="15" t="s">
        <v>397</v>
      </c>
      <c r="E1" s="15" t="s">
        <v>398</v>
      </c>
      <c r="F1" s="15" t="s">
        <v>399</v>
      </c>
      <c r="G1" s="15" t="s">
        <v>400</v>
      </c>
      <c r="H1" s="15" t="s">
        <v>401</v>
      </c>
      <c r="I1" s="15" t="s">
        <v>402</v>
      </c>
      <c r="J1" s="15" t="s">
        <v>403</v>
      </c>
      <c r="K1" s="15" t="s">
        <v>404</v>
      </c>
      <c r="L1" s="15" t="s">
        <v>405</v>
      </c>
      <c r="M1" s="15" t="s">
        <v>406</v>
      </c>
      <c r="N1" s="15" t="s">
        <v>407</v>
      </c>
      <c r="O1" s="15" t="s">
        <v>14</v>
      </c>
      <c r="P1" s="15" t="s">
        <v>15</v>
      </c>
      <c r="Q1" s="15" t="s">
        <v>16</v>
      </c>
      <c r="R1" s="15" t="s">
        <v>17</v>
      </c>
      <c r="S1" s="16" t="s">
        <v>408</v>
      </c>
      <c r="T1" s="15" t="s">
        <v>19</v>
      </c>
      <c r="U1" s="16" t="s">
        <v>409</v>
      </c>
      <c r="V1" s="15" t="s">
        <v>21</v>
      </c>
      <c r="W1" s="15" t="s">
        <v>22</v>
      </c>
      <c r="X1" s="15" t="s">
        <v>23</v>
      </c>
      <c r="Y1" s="16" t="s">
        <v>410</v>
      </c>
      <c r="Z1" s="15" t="s">
        <v>25</v>
      </c>
      <c r="AA1" s="16" t="s">
        <v>411</v>
      </c>
      <c r="AB1" s="15" t="s">
        <v>27</v>
      </c>
      <c r="AC1" s="15" t="s">
        <v>28</v>
      </c>
      <c r="AD1" s="16" t="s">
        <v>412</v>
      </c>
      <c r="AE1" s="15" t="s">
        <v>30</v>
      </c>
      <c r="AF1" s="17"/>
      <c r="AG1" s="17"/>
      <c r="AH1" s="17"/>
      <c r="AI1" s="17"/>
      <c r="AJ1" s="17"/>
      <c r="AK1" s="17"/>
    </row>
    <row r="2">
      <c r="A2" s="18">
        <f>IFERROR(__xludf.DUMMYFUNCTION("QUERY('Form Responses 1'!A2:AE1000,""Select * where C = 'Mori/Tina- CFSN Detroit'"")"),45422.404799062504)</f>
        <v>45422.4048</v>
      </c>
      <c r="B2" s="19" t="str">
        <f>IFERROR(__xludf.DUMMYFUNCTION("""COMPUTED_VALUE"""),"michael hannon")</f>
        <v>michael hannon</v>
      </c>
      <c r="C2" s="19" t="str">
        <f>IFERROR(__xludf.DUMMYFUNCTION("""COMPUTED_VALUE"""),"Mori/Tina- CFSN Detroit")</f>
        <v>Mori/Tina- CFSN Detroit</v>
      </c>
      <c r="D2" s="19" t="str">
        <f>IFERROR(__xludf.DUMMYFUNCTION("""COMPUTED_VALUE"""),"5 - Strongly Agree")</f>
        <v>5 - Strongly Agree</v>
      </c>
      <c r="E2" s="19" t="str">
        <f>IFERROR(__xludf.DUMMYFUNCTION("""COMPUTED_VALUE"""),"5 - Strongly Agree")</f>
        <v>5 - Strongly Agree</v>
      </c>
      <c r="F2" s="19" t="str">
        <f>IFERROR(__xludf.DUMMYFUNCTION("""COMPUTED_VALUE"""),"5 - Strongly Agree")</f>
        <v>5 - Strongly Agree</v>
      </c>
      <c r="G2" s="19" t="str">
        <f>IFERROR(__xludf.DUMMYFUNCTION("""COMPUTED_VALUE"""),"4 - Agree")</f>
        <v>4 - Agree</v>
      </c>
      <c r="H2" s="19" t="str">
        <f>IFERROR(__xludf.DUMMYFUNCTION("""COMPUTED_VALUE"""),"5 - Strongly Agree")</f>
        <v>5 - Strongly Agree</v>
      </c>
      <c r="I2" s="19" t="str">
        <f>IFERROR(__xludf.DUMMYFUNCTION("""COMPUTED_VALUE"""),"4 - Agree")</f>
        <v>4 - Agree</v>
      </c>
      <c r="J2" s="19" t="str">
        <f>IFERROR(__xludf.DUMMYFUNCTION("""COMPUTED_VALUE"""),"4 - Agree")</f>
        <v>4 - Agree</v>
      </c>
      <c r="K2" s="19" t="str">
        <f>IFERROR(__xludf.DUMMYFUNCTION("""COMPUTED_VALUE"""),"4 - Agree")</f>
        <v>4 - Agree</v>
      </c>
      <c r="L2" s="19" t="str">
        <f>IFERROR(__xludf.DUMMYFUNCTION("""COMPUTED_VALUE"""),"4 - Agree")</f>
        <v>4 - Agree</v>
      </c>
      <c r="M2" s="19" t="str">
        <f>IFERROR(__xludf.DUMMYFUNCTION("""COMPUTED_VALUE"""),"5 - Strongly Agree")</f>
        <v>5 - Strongly Agree</v>
      </c>
      <c r="N2" s="19" t="str">
        <f>IFERROR(__xludf.DUMMYFUNCTION("""COMPUTED_VALUE"""),"5 - Strongly Agree")</f>
        <v>5 - Strongly Agree</v>
      </c>
      <c r="O2" s="19" t="str">
        <f>IFERROR(__xludf.DUMMYFUNCTION("""COMPUTED_VALUE"""),"its going good")</f>
        <v>its going good</v>
      </c>
      <c r="P2" s="19" t="str">
        <f>IFERROR(__xludf.DUMMYFUNCTION("""COMPUTED_VALUE"""),"the child welcoming me into their lives")</f>
        <v>the child welcoming me into their lives</v>
      </c>
      <c r="Q2" s="19" t="str">
        <f>IFERROR(__xludf.DUMMYFUNCTION("""COMPUTED_VALUE"""),"lets try seperating the grade levels")</f>
        <v>lets try seperating the grade levels</v>
      </c>
      <c r="R2" s="19" t="str">
        <f>IFERROR(__xludf.DUMMYFUNCTION("""COMPUTED_VALUE"""),"the child  improving their learning levels")</f>
        <v>the child  improving their learning levels</v>
      </c>
      <c r="S2" s="19"/>
      <c r="T2" s="19"/>
      <c r="U2" s="19"/>
      <c r="V2" s="19"/>
      <c r="W2" s="19"/>
      <c r="X2" s="19"/>
      <c r="Y2" s="19"/>
      <c r="Z2" s="19" t="str">
        <f>IFERROR(__xludf.DUMMYFUNCTION("""COMPUTED_VALUE"""),"the diferent abilities in teaching the child")</f>
        <v>the diferent abilities in teaching the child</v>
      </c>
      <c r="AA2" s="19" t="str">
        <f>IFERROR(__xludf.DUMMYFUNCTION("""COMPUTED_VALUE"""),"no not yet")</f>
        <v>no not yet</v>
      </c>
      <c r="AB2" s="19"/>
      <c r="AC2" s="19" t="str">
        <f>IFERROR(__xludf.DUMMYFUNCTION("""COMPUTED_VALUE"""),"his reading gets better and word pronunciation is improving")</f>
        <v>his reading gets better and word pronunciation is improving</v>
      </c>
      <c r="AD2" s="19" t="str">
        <f>IFERROR(__xludf.DUMMYFUNCTION("""COMPUTED_VALUE"""),"Yes, with my name")</f>
        <v>Yes, with my name</v>
      </c>
      <c r="AE2" s="19" t="str">
        <f>IFERROR(__xludf.DUMMYFUNCTION("""COMPUTED_VALUE"""),"all is well this semester")</f>
        <v>all is well this semester</v>
      </c>
    </row>
    <row r="3">
      <c r="A3" s="18">
        <f>IFERROR(__xludf.DUMMYFUNCTION("""COMPUTED_VALUE"""),45432.520526064814)</f>
        <v>45432.52053</v>
      </c>
      <c r="B3" s="19" t="str">
        <f>IFERROR(__xludf.DUMMYFUNCTION("""COMPUTED_VALUE"""),"Ingrid")</f>
        <v>Ingrid</v>
      </c>
      <c r="C3" s="19" t="str">
        <f>IFERROR(__xludf.DUMMYFUNCTION("""COMPUTED_VALUE"""),"Mori/Tina- CFSN Detroit")</f>
        <v>Mori/Tina- CFSN Detroit</v>
      </c>
      <c r="D3" s="19" t="str">
        <f>IFERROR(__xludf.DUMMYFUNCTION("""COMPUTED_VALUE"""),"4 - Agree")</f>
        <v>4 - Agree</v>
      </c>
      <c r="E3" s="19" t="str">
        <f>IFERROR(__xludf.DUMMYFUNCTION("""COMPUTED_VALUE"""),"4 - Agree")</f>
        <v>4 - Agree</v>
      </c>
      <c r="F3" s="19" t="str">
        <f>IFERROR(__xludf.DUMMYFUNCTION("""COMPUTED_VALUE"""),"3 - Neutral")</f>
        <v>3 - Neutral</v>
      </c>
      <c r="G3" s="19" t="str">
        <f>IFERROR(__xludf.DUMMYFUNCTION("""COMPUTED_VALUE"""),"4 - Agree")</f>
        <v>4 - Agree</v>
      </c>
      <c r="H3" s="19" t="str">
        <f>IFERROR(__xludf.DUMMYFUNCTION("""COMPUTED_VALUE"""),"4 - Agree")</f>
        <v>4 - Agree</v>
      </c>
      <c r="I3" s="19" t="str">
        <f>IFERROR(__xludf.DUMMYFUNCTION("""COMPUTED_VALUE"""),"4 - Agree")</f>
        <v>4 - Agree</v>
      </c>
      <c r="J3" s="19" t="str">
        <f>IFERROR(__xludf.DUMMYFUNCTION("""COMPUTED_VALUE"""),"5 - Strongly Agree")</f>
        <v>5 - Strongly Agree</v>
      </c>
      <c r="K3" s="19" t="str">
        <f>IFERROR(__xludf.DUMMYFUNCTION("""COMPUTED_VALUE"""),"4 - Agree")</f>
        <v>4 - Agree</v>
      </c>
      <c r="L3" s="19" t="str">
        <f>IFERROR(__xludf.DUMMYFUNCTION("""COMPUTED_VALUE"""),"5 - Strongly Agree")</f>
        <v>5 - Strongly Agree</v>
      </c>
      <c r="M3" s="19" t="str">
        <f>IFERROR(__xludf.DUMMYFUNCTION("""COMPUTED_VALUE"""),"5 - Strongly Agree")</f>
        <v>5 - Strongly Agree</v>
      </c>
      <c r="N3" s="19" t="str">
        <f>IFERROR(__xludf.DUMMYFUNCTION("""COMPUTED_VALUE"""),"5 - Strongly Agree")</f>
        <v>5 - Strongly Agree</v>
      </c>
      <c r="O3" s="19" t="str">
        <f>IFERROR(__xludf.DUMMYFUNCTION("""COMPUTED_VALUE"""),"NA")</f>
        <v>NA</v>
      </c>
      <c r="P3" s="19" t="str">
        <f>IFERROR(__xludf.DUMMYFUNCTION("""COMPUTED_VALUE"""),"seeing Zander figure out the words he didn’t recognize at 1st. ")</f>
        <v>seeing Zander figure out the words he didn’t recognize at 1st. </v>
      </c>
      <c r="Q3" s="19" t="str">
        <f>IFERROR(__xludf.DUMMYFUNCTION("""COMPUTED_VALUE"""),"feedback on post-session Mentor forms.  This used to be weekly feedback, so I knew you were constantly watching &amp; trying to improve the mentor experience in working with our students.")</f>
        <v>feedback on post-session Mentor forms.  This used to be weekly feedback, so I knew you were constantly watching &amp; trying to improve the mentor experience in working with our students.</v>
      </c>
      <c r="R3" s="19" t="str">
        <f>IFERROR(__xludf.DUMMYFUNCTION("""COMPUTED_VALUE"""),"Zander’s deepening appreciation of me")</f>
        <v>Zander’s deepening appreciation of me</v>
      </c>
      <c r="S3" s="19"/>
      <c r="T3" s="19"/>
      <c r="U3" s="19"/>
      <c r="V3" s="19"/>
      <c r="W3" s="19" t="str">
        <f>IFERROR(__xludf.DUMMYFUNCTION("""COMPUTED_VALUE"""),"effective supervision of students whose mentors are absent, to prevent them from  interrupting mentoring sessions that are in progress with other students; complete snack-time &amp; bathroom breaks before mentors arrive; advise students to clean-up after them"&amp;"selves before leaving the facility e.g., supplies, books, crayons/pencils, empty plates, etc.")</f>
        <v>effective supervision of students whose mentors are absent, to prevent them from  interrupting mentoring sessions that are in progress with other students; complete snack-time &amp; bathroom breaks before mentors arrive; advise students to clean-up after themselves before leaving the facility e.g., supplies, books, crayons/pencils, empty plates, etc.</v>
      </c>
      <c r="X3" s="19"/>
      <c r="Y3" s="19"/>
      <c r="Z3" s="19"/>
      <c r="AA3" s="19" t="str">
        <f>IFERROR(__xludf.DUMMYFUNCTION("""COMPUTED_VALUE"""),"frequently. ")</f>
        <v>frequently. </v>
      </c>
      <c r="AB3" s="19" t="str">
        <f>IFERROR(__xludf.DUMMYFUNCTION("""COMPUTED_VALUE"""),"Special notices for board members about the Center’s significant admin. &amp; HR matters, special student activities—things to connect us more fully with the life of the organization")</f>
        <v>Special notices for board members about the Center’s significant admin. &amp; HR matters, special student activities—things to connect us more fully with the life of the organization</v>
      </c>
      <c r="AC3" s="19" t="str">
        <f>IFERROR(__xludf.DUMMYFUNCTION("""COMPUTED_VALUE"""),"Zander’s self-confidence was outstanding from the start, but I expect it was validated by his positive interactions with a new set of students &amp; educational tools. Praise for his success pronouncing individual words seemed to mean a lot to him &amp; his willi"&amp;"ngness to read. ")</f>
        <v>Zander’s self-confidence was outstanding from the start, but I expect it was validated by his positive interactions with a new set of students &amp; educational tools. Praise for his success pronouncing individual words seemed to mean a lot to him &amp; his willingness to read. </v>
      </c>
      <c r="AD3" s="19" t="str">
        <f>IFERROR(__xludf.DUMMYFUNCTION("""COMPUTED_VALUE"""),"Yes, with my name")</f>
        <v>Yes, with my name</v>
      </c>
      <c r="AE3" s="19" t="str">
        <f>IFERROR(__xludf.DUMMYFUNCTION("""COMPUTED_VALUE"""),"See previous survey responses. Am seeing a much less structured approach to the mentoring program at the Detroit location.  I can see both value &amp; limitations of this approach.")</f>
        <v>See previous survey responses. Am seeing a much less structured approach to the mentoring program at the Detroit location.  I can see both value &amp; limitations of this approach.</v>
      </c>
    </row>
    <row r="4">
      <c r="A4" s="18">
        <f>IFERROR(__xludf.DUMMYFUNCTION("""COMPUTED_VALUE"""),45434.51375571759)</f>
        <v>45434.51376</v>
      </c>
      <c r="B4" s="19" t="str">
        <f>IFERROR(__xludf.DUMMYFUNCTION("""COMPUTED_VALUE"""),"Michael Lamping")</f>
        <v>Michael Lamping</v>
      </c>
      <c r="C4" s="19" t="str">
        <f>IFERROR(__xludf.DUMMYFUNCTION("""COMPUTED_VALUE"""),"Mori/Tina- CFSN Detroit")</f>
        <v>Mori/Tina- CFSN Detroit</v>
      </c>
      <c r="D4" s="19" t="str">
        <f>IFERROR(__xludf.DUMMYFUNCTION("""COMPUTED_VALUE"""),"4 - Agree")</f>
        <v>4 - Agree</v>
      </c>
      <c r="E4" s="19" t="str">
        <f>IFERROR(__xludf.DUMMYFUNCTION("""COMPUTED_VALUE"""),"4 - Agree")</f>
        <v>4 - Agree</v>
      </c>
      <c r="F4" s="19" t="str">
        <f>IFERROR(__xludf.DUMMYFUNCTION("""COMPUTED_VALUE"""),"4 - Agree")</f>
        <v>4 - Agree</v>
      </c>
      <c r="G4" s="19" t="str">
        <f>IFERROR(__xludf.DUMMYFUNCTION("""COMPUTED_VALUE"""),"5 - Strongly Agree")</f>
        <v>5 - Strongly Agree</v>
      </c>
      <c r="H4" s="19" t="str">
        <f>IFERROR(__xludf.DUMMYFUNCTION("""COMPUTED_VALUE"""),"3 - Neutral")</f>
        <v>3 - Neutral</v>
      </c>
      <c r="I4" s="19" t="str">
        <f>IFERROR(__xludf.DUMMYFUNCTION("""COMPUTED_VALUE"""),"3 - Neutral")</f>
        <v>3 - Neutral</v>
      </c>
      <c r="J4" s="19" t="str">
        <f>IFERROR(__xludf.DUMMYFUNCTION("""COMPUTED_VALUE"""),"5 - Strongly Agree")</f>
        <v>5 - Strongly Agree</v>
      </c>
      <c r="K4" s="19" t="str">
        <f>IFERROR(__xludf.DUMMYFUNCTION("""COMPUTED_VALUE"""),"5 - Strongly Agree")</f>
        <v>5 - Strongly Agree</v>
      </c>
      <c r="L4" s="19" t="str">
        <f>IFERROR(__xludf.DUMMYFUNCTION("""COMPUTED_VALUE"""),"5 - Strongly Agree")</f>
        <v>5 - Strongly Agree</v>
      </c>
      <c r="M4" s="19" t="str">
        <f>IFERROR(__xludf.DUMMYFUNCTION("""COMPUTED_VALUE"""),"5 - Strongly Agree")</f>
        <v>5 - Strongly Agree</v>
      </c>
      <c r="N4" s="19" t="str">
        <f>IFERROR(__xludf.DUMMYFUNCTION("""COMPUTED_VALUE"""),"5 - Strongly Agree")</f>
        <v>5 - Strongly Agree</v>
      </c>
      <c r="O4" s="19" t="str">
        <f>IFERROR(__xludf.DUMMYFUNCTION("""COMPUTED_VALUE"""),"I mentored in person this year.")</f>
        <v>I mentored in person this year.</v>
      </c>
      <c r="P4" s="19" t="str">
        <f>IFERROR(__xludf.DUMMYFUNCTION("""COMPUTED_VALUE"""),"I always enjoy building rapport with my mentees and helping them improve. People helped me achieve in life and I love returning the favor.")</f>
        <v>I always enjoy building rapport with my mentees and helping them improve. People helped me achieve in life and I love returning the favor.</v>
      </c>
      <c r="Q4" s="19" t="str">
        <f>IFERROR(__xludf.DUMMYFUNCTION("""COMPUTED_VALUE"""),"We need to find more mentors.")</f>
        <v>We need to find more mentors.</v>
      </c>
      <c r="R4" s="19" t="str">
        <f>IFERROR(__xludf.DUMMYFUNCTION("""COMPUTED_VALUE"""),"My mentee has just told me in one of our last sessions for the year how much he appreciated my help.  That is all I needed to hear.")</f>
        <v>My mentee has just told me in one of our last sessions for the year how much he appreciated my help.  That is all I needed to hear.</v>
      </c>
      <c r="S4" s="19"/>
      <c r="T4" s="19"/>
      <c r="U4" s="19"/>
      <c r="V4" s="19"/>
      <c r="W4" s="19" t="str">
        <f>IFERROR(__xludf.DUMMYFUNCTION("""COMPUTED_VALUE"""),"It might be helpful if there were a few more high-end books for the older, already high reading level kids to help catch their interest. Otherwise, things are great!")</f>
        <v>It might be helpful if there were a few more high-end books for the older, already high reading level kids to help catch their interest. Otherwise, things are great!</v>
      </c>
      <c r="X4" s="19"/>
      <c r="Y4" s="19"/>
      <c r="Z4" s="19" t="str">
        <f>IFERROR(__xludf.DUMMYFUNCTION("""COMPUTED_VALUE"""),"I've made sure to consider broader perspectives beyond my personal experience in how I support and help my mentees.")</f>
        <v>I've made sure to consider broader perspectives beyond my personal experience in how I support and help my mentees.</v>
      </c>
      <c r="AA4" s="19" t="str">
        <f>IFERROR(__xludf.DUMMYFUNCTION("""COMPUTED_VALUE"""),"No")</f>
        <v>No</v>
      </c>
      <c r="AB4" s="19"/>
      <c r="AC4" s="19" t="str">
        <f>IFERROR(__xludf.DUMMYFUNCTION("""COMPUTED_VALUE"""),"My mentee was already a very accomplished reader, but I think our work together has helped his confidence in expressing himself along with his ability to focus and concentrate.")</f>
        <v>My mentee was already a very accomplished reader, but I think our work together has helped his confidence in expressing himself along with his ability to focus and concentrate.</v>
      </c>
      <c r="AD4" s="19" t="str">
        <f>IFERROR(__xludf.DUMMYFUNCTION("""COMPUTED_VALUE"""),"Yes, with my name")</f>
        <v>Yes, with my name</v>
      </c>
      <c r="AE4" s="19"/>
    </row>
  </sheetData>
  <hyperlinks>
    <hyperlink r:id="rId1" ref="S1"/>
    <hyperlink r:id="rId2" ref="U1"/>
    <hyperlink r:id="rId3" ref="Y1"/>
    <hyperlink r:id="rId4" ref="AA1"/>
    <hyperlink r:id="rId5" ref="AD1"/>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0</v>
      </c>
      <c r="B1" s="15" t="s">
        <v>1</v>
      </c>
      <c r="C1" s="15" t="s">
        <v>2</v>
      </c>
      <c r="D1" s="15" t="s">
        <v>397</v>
      </c>
      <c r="E1" s="15" t="s">
        <v>398</v>
      </c>
      <c r="F1" s="15" t="s">
        <v>399</v>
      </c>
      <c r="G1" s="15" t="s">
        <v>400</v>
      </c>
      <c r="H1" s="15" t="s">
        <v>401</v>
      </c>
      <c r="I1" s="15" t="s">
        <v>402</v>
      </c>
      <c r="J1" s="15" t="s">
        <v>403</v>
      </c>
      <c r="K1" s="15" t="s">
        <v>404</v>
      </c>
      <c r="L1" s="15" t="s">
        <v>405</v>
      </c>
      <c r="M1" s="15" t="s">
        <v>406</v>
      </c>
      <c r="N1" s="15" t="s">
        <v>407</v>
      </c>
      <c r="O1" s="15" t="s">
        <v>14</v>
      </c>
      <c r="P1" s="15" t="s">
        <v>15</v>
      </c>
      <c r="Q1" s="15" t="s">
        <v>16</v>
      </c>
      <c r="R1" s="15" t="s">
        <v>17</v>
      </c>
      <c r="S1" s="16" t="s">
        <v>413</v>
      </c>
      <c r="T1" s="15" t="s">
        <v>19</v>
      </c>
      <c r="U1" s="16" t="s">
        <v>414</v>
      </c>
      <c r="V1" s="15" t="s">
        <v>21</v>
      </c>
      <c r="W1" s="15" t="s">
        <v>22</v>
      </c>
      <c r="X1" s="15" t="s">
        <v>23</v>
      </c>
      <c r="Y1" s="16" t="s">
        <v>415</v>
      </c>
      <c r="Z1" s="15" t="s">
        <v>25</v>
      </c>
      <c r="AA1" s="16" t="s">
        <v>416</v>
      </c>
      <c r="AB1" s="15" t="s">
        <v>27</v>
      </c>
      <c r="AC1" s="15" t="s">
        <v>28</v>
      </c>
      <c r="AD1" s="16" t="s">
        <v>417</v>
      </c>
      <c r="AE1" s="15" t="s">
        <v>30</v>
      </c>
      <c r="AF1" s="17"/>
      <c r="AG1" s="17"/>
      <c r="AH1" s="17"/>
      <c r="AI1" s="17"/>
      <c r="AJ1" s="17"/>
      <c r="AK1" s="17"/>
    </row>
    <row r="2">
      <c r="A2" s="18">
        <f>IFERROR(__xludf.DUMMYFUNCTION("QUERY('Form Responses 1'!A2:AE1000,""Select * where C = 'Kendra + Maggie - CFSN Pontiac'"")"),45426.74033078704)</f>
        <v>45426.74033</v>
      </c>
      <c r="B2" s="19" t="str">
        <f>IFERROR(__xludf.DUMMYFUNCTION("""COMPUTED_VALUE"""),"Zahrah Abdullah")</f>
        <v>Zahrah Abdullah</v>
      </c>
      <c r="C2" s="19" t="str">
        <f>IFERROR(__xludf.DUMMYFUNCTION("""COMPUTED_VALUE"""),"Kendra + Maggie - CFSN Pontiac")</f>
        <v>Kendra + Maggie - CFSN Pontiac</v>
      </c>
      <c r="D2" s="19" t="str">
        <f>IFERROR(__xludf.DUMMYFUNCTION("""COMPUTED_VALUE"""),"4 - Agree")</f>
        <v>4 - Agree</v>
      </c>
      <c r="E2" s="19" t="str">
        <f>IFERROR(__xludf.DUMMYFUNCTION("""COMPUTED_VALUE"""),"5 - Strongly Agree")</f>
        <v>5 - Strongly Agree</v>
      </c>
      <c r="F2" s="19" t="str">
        <f>IFERROR(__xludf.DUMMYFUNCTION("""COMPUTED_VALUE"""),"5 - Strongly Agree")</f>
        <v>5 - Strongly Agree</v>
      </c>
      <c r="G2" s="19" t="str">
        <f>IFERROR(__xludf.DUMMYFUNCTION("""COMPUTED_VALUE"""),"5 - Strongly Agree")</f>
        <v>5 - Strongly Agree</v>
      </c>
      <c r="H2" s="19" t="str">
        <f>IFERROR(__xludf.DUMMYFUNCTION("""COMPUTED_VALUE"""),"4 - Agree")</f>
        <v>4 - Agree</v>
      </c>
      <c r="I2" s="19" t="str">
        <f>IFERROR(__xludf.DUMMYFUNCTION("""COMPUTED_VALUE"""),"5 - Strongly Agree")</f>
        <v>5 - Strongly Agree</v>
      </c>
      <c r="J2" s="19" t="str">
        <f>IFERROR(__xludf.DUMMYFUNCTION("""COMPUTED_VALUE"""),"5 - Strongly Agree")</f>
        <v>5 - Strongly Agree</v>
      </c>
      <c r="K2" s="19" t="str">
        <f>IFERROR(__xludf.DUMMYFUNCTION("""COMPUTED_VALUE"""),"5 - Strongly Agree")</f>
        <v>5 - Strongly Agree</v>
      </c>
      <c r="L2" s="19" t="str">
        <f>IFERROR(__xludf.DUMMYFUNCTION("""COMPUTED_VALUE"""),"5 - Strongly Agree")</f>
        <v>5 - Strongly Agree</v>
      </c>
      <c r="M2" s="19" t="str">
        <f>IFERROR(__xludf.DUMMYFUNCTION("""COMPUTED_VALUE"""),"5 - Strongly Agree")</f>
        <v>5 - Strongly Agree</v>
      </c>
      <c r="N2" s="19" t="str">
        <f>IFERROR(__xludf.DUMMYFUNCTION("""COMPUTED_VALUE"""),"5 - Strongly Agree")</f>
        <v>5 - Strongly Agree</v>
      </c>
      <c r="O2" s="19" t="str">
        <f>IFERROR(__xludf.DUMMYFUNCTION("""COMPUTED_VALUE"""),"It has gone very well!")</f>
        <v>It has gone very well!</v>
      </c>
      <c r="P2" s="19" t="str">
        <f>IFERROR(__xludf.DUMMYFUNCTION("""COMPUTED_VALUE"""),"The best part of my mentoring experience was seeing my mentees positive progress in reading and their confidence increasing.")</f>
        <v>The best part of my mentoring experience was seeing my mentees positive progress in reading and their confidence increasing.</v>
      </c>
      <c r="Q2" s="19" t="str">
        <f>IFERROR(__xludf.DUMMYFUNCTION("""COMPUTED_VALUE"""),"I think the program is very good.")</f>
        <v>I think the program is very good.</v>
      </c>
      <c r="R2" s="19" t="str">
        <f>IFERROR(__xludf.DUMMYFUNCTION("""COMPUTED_VALUE"""),"My favorite memory from mentoring is discussing the books we read together with my mentees.")</f>
        <v>My favorite memory from mentoring is discussing the books we read together with my mentees.</v>
      </c>
      <c r="S2" s="19" t="str">
        <f>IFERROR(__xludf.DUMMYFUNCTION("""COMPUTED_VALUE"""),"I wasn't aware of the reading guides")</f>
        <v>I wasn't aware of the reading guides</v>
      </c>
      <c r="T2" s="19"/>
      <c r="U2" s="19"/>
      <c r="V2" s="19" t="str">
        <f>IFERROR(__xludf.DUMMYFUNCTION("""COMPUTED_VALUE"""),"I wasn't aware of the CFSN Virtual Mentoring Outlines, and I'll use them next year if I'm able to continue being a mentor at this program.")</f>
        <v>I wasn't aware of the CFSN Virtual Mentoring Outlines, and I'll use them next year if I'm able to continue being a mentor at this program.</v>
      </c>
      <c r="W2" s="19" t="str">
        <f>IFERROR(__xludf.DUMMYFUNCTION("""COMPUTED_VALUE"""),"CFSN is supporting me very well as a mentor.")</f>
        <v>CFSN is supporting me very well as a mentor.</v>
      </c>
      <c r="X2" s="19"/>
      <c r="Y2" s="19"/>
      <c r="Z2" s="19"/>
      <c r="AA2" s="19" t="str">
        <f>IFERROR(__xludf.DUMMYFUNCTION("""COMPUTED_VALUE"""),"I don't look at social media a lot and I don't have an account with those social media apps.")</f>
        <v>I don't look at social media a lot and I don't have an account with those social media apps.</v>
      </c>
      <c r="AB2" s="19"/>
      <c r="AC2" s="19" t="str">
        <f>IFERROR(__xludf.DUMMYFUNCTION("""COMPUTED_VALUE"""),"I seen the growth of my mentees through the Center for Success Network by their increased confidence in their reading skills and determination.")</f>
        <v>I seen the growth of my mentees through the Center for Success Network by their increased confidence in their reading skills and determination.</v>
      </c>
      <c r="AD2" s="19" t="str">
        <f>IFERROR(__xludf.DUMMYFUNCTION("""COMPUTED_VALUE"""),"Yes, anonymously")</f>
        <v>Yes, anonymously</v>
      </c>
      <c r="AE2" s="19" t="str">
        <f>IFERROR(__xludf.DUMMYFUNCTION("""COMPUTED_VALUE"""),"I have enjoyed my time as a mentor in this program and look forward to continuing next year.")</f>
        <v>I have enjoyed my time as a mentor in this program and look forward to continuing next year.</v>
      </c>
    </row>
    <row r="3">
      <c r="A3" s="18">
        <f>IFERROR(__xludf.DUMMYFUNCTION("""COMPUTED_VALUE"""),45426.74077922454)</f>
        <v>45426.74078</v>
      </c>
      <c r="B3" s="19" t="str">
        <f>IFERROR(__xludf.DUMMYFUNCTION("""COMPUTED_VALUE"""),"Katie Fisher")</f>
        <v>Katie Fisher</v>
      </c>
      <c r="C3" s="19" t="str">
        <f>IFERROR(__xludf.DUMMYFUNCTION("""COMPUTED_VALUE"""),"Kendra + Maggie - CFSN Pontiac")</f>
        <v>Kendra + Maggie - CFSN Pontiac</v>
      </c>
      <c r="D3" s="19" t="str">
        <f>IFERROR(__xludf.DUMMYFUNCTION("""COMPUTED_VALUE"""),"4 - Agree")</f>
        <v>4 - Agree</v>
      </c>
      <c r="E3" s="19" t="str">
        <f>IFERROR(__xludf.DUMMYFUNCTION("""COMPUTED_VALUE"""),"4 - Agree")</f>
        <v>4 - Agree</v>
      </c>
      <c r="F3" s="19" t="str">
        <f>IFERROR(__xludf.DUMMYFUNCTION("""COMPUTED_VALUE"""),"3 - Neutral")</f>
        <v>3 - Neutral</v>
      </c>
      <c r="G3" s="19" t="str">
        <f>IFERROR(__xludf.DUMMYFUNCTION("""COMPUTED_VALUE"""),"3 - Neutral")</f>
        <v>3 - Neutral</v>
      </c>
      <c r="H3" s="19" t="str">
        <f>IFERROR(__xludf.DUMMYFUNCTION("""COMPUTED_VALUE"""),"3 - Neutral")</f>
        <v>3 - Neutral</v>
      </c>
      <c r="I3" s="19" t="str">
        <f>IFERROR(__xludf.DUMMYFUNCTION("""COMPUTED_VALUE"""),"4 - Agree")</f>
        <v>4 - Agree</v>
      </c>
      <c r="J3" s="19" t="str">
        <f>IFERROR(__xludf.DUMMYFUNCTION("""COMPUTED_VALUE"""),"4 - Agree")</f>
        <v>4 - Agree</v>
      </c>
      <c r="K3" s="19" t="str">
        <f>IFERROR(__xludf.DUMMYFUNCTION("""COMPUTED_VALUE"""),"4 - Agree")</f>
        <v>4 - Agree</v>
      </c>
      <c r="L3" s="19" t="str">
        <f>IFERROR(__xludf.DUMMYFUNCTION("""COMPUTED_VALUE"""),"5 - Strongly Agree")</f>
        <v>5 - Strongly Agree</v>
      </c>
      <c r="M3" s="19" t="str">
        <f>IFERROR(__xludf.DUMMYFUNCTION("""COMPUTED_VALUE"""),"5 - Strongly Agree")</f>
        <v>5 - Strongly Agree</v>
      </c>
      <c r="N3" s="19" t="str">
        <f>IFERROR(__xludf.DUMMYFUNCTION("""COMPUTED_VALUE"""),"5 - Strongly Agree")</f>
        <v>5 - Strongly Agree</v>
      </c>
      <c r="O3" s="19" t="str">
        <f>IFERROR(__xludf.DUMMYFUNCTION("""COMPUTED_VALUE"""),"The experience went well, I struggled to encourage Issac to focus at times and has some technical difficulties that got in the way of our learning (my fault). The inline resources were extremely helpful! ")</f>
        <v>The experience went well, I struggled to encourage Issac to focus at times and has some technical difficulties that got in the way of our learning (my fault). The inline resources were extremely helpful! </v>
      </c>
      <c r="P3" s="19" t="str">
        <f>IFERROR(__xludf.DUMMYFUNCTION("""COMPUTED_VALUE"""),"I loved getting to know Issac and work with him. He worked so hard and was so sweet. ")</f>
        <v>I loved getting to know Issac and work with him. He worked so hard and was so sweet. </v>
      </c>
      <c r="Q3" s="19" t="str">
        <f>IFERROR(__xludf.DUMMYFUNCTION("""COMPUTED_VALUE"""),"I think more details about where the student stand academically would be helpful. More information about how to help the student improve would be helpful also ")</f>
        <v>I think more details about where the student stand academically would be helpful. More information about how to help the student improve would be helpful also </v>
      </c>
      <c r="R3" s="19" t="str">
        <f>IFERROR(__xludf.DUMMYFUNCTION("""COMPUTED_VALUE"""),"I enjoyed the relationship that was formed with my mentee. Children that can work online should be the only children with an online mentor. ")</f>
        <v>I enjoyed the relationship that was formed with my mentee. Children that can work online should be the only children with an online mentor. </v>
      </c>
      <c r="S3" s="19" t="str">
        <f>IFERROR(__xludf.DUMMYFUNCTION("""COMPUTED_VALUE"""),"Once a week")</f>
        <v>Once a week</v>
      </c>
      <c r="T3" s="19"/>
      <c r="U3" s="19"/>
      <c r="V3" s="19" t="str">
        <f>IFERROR(__xludf.DUMMYFUNCTION("""COMPUTED_VALUE"""),"I enjoyed it and would not need more encouragement. ")</f>
        <v>I enjoyed it and would not need more encouragement. </v>
      </c>
      <c r="W3" s="19" t="str">
        <f>IFERROR(__xludf.DUMMYFUNCTION("""COMPUTED_VALUE"""),"Give us more data about our child so we can find more resources to help them!")</f>
        <v>Give us more data about our child so we can find more resources to help them!</v>
      </c>
      <c r="X3" s="19"/>
      <c r="Y3" s="19"/>
      <c r="Z3" s="19" t="str">
        <f>IFERROR(__xludf.DUMMYFUNCTION("""COMPUTED_VALUE"""),"The important relationship you build. ")</f>
        <v>The important relationship you build. </v>
      </c>
      <c r="AA3" s="19" t="str">
        <f>IFERROR(__xludf.DUMMYFUNCTION("""COMPUTED_VALUE"""),"No, I was not aware they has social media. ")</f>
        <v>No, I was not aware they has social media. </v>
      </c>
      <c r="AB3" s="19" t="str">
        <f>IFERROR(__xludf.DUMMYFUNCTION("""COMPUTED_VALUE"""),"N/A")</f>
        <v>N/A</v>
      </c>
      <c r="AC3" s="19" t="str">
        <f>IFERROR(__xludf.DUMMYFUNCTION("""COMPUTED_VALUE"""),"He went from not wanting to read, to asking to help me read.")</f>
        <v>He went from not wanting to read, to asking to help me read.</v>
      </c>
      <c r="AD3" s="19" t="str">
        <f>IFERROR(__xludf.DUMMYFUNCTION("""COMPUTED_VALUE"""),"Yes, with my name")</f>
        <v>Yes, with my name</v>
      </c>
      <c r="AE3" s="19"/>
    </row>
    <row r="4">
      <c r="A4" s="18">
        <f>IFERROR(__xludf.DUMMYFUNCTION("""COMPUTED_VALUE"""),45426.74283858796)</f>
        <v>45426.74284</v>
      </c>
      <c r="B4" s="19" t="str">
        <f>IFERROR(__xludf.DUMMYFUNCTION("""COMPUTED_VALUE"""),"Katrina Soucy")</f>
        <v>Katrina Soucy</v>
      </c>
      <c r="C4" s="19" t="str">
        <f>IFERROR(__xludf.DUMMYFUNCTION("""COMPUTED_VALUE"""),"Kendra + Maggie - CFSN Pontiac")</f>
        <v>Kendra + Maggie - CFSN Pontiac</v>
      </c>
      <c r="D4" s="19" t="str">
        <f>IFERROR(__xludf.DUMMYFUNCTION("""COMPUTED_VALUE"""),"4 - Agree")</f>
        <v>4 - Agree</v>
      </c>
      <c r="E4" s="19" t="str">
        <f>IFERROR(__xludf.DUMMYFUNCTION("""COMPUTED_VALUE"""),"4 - Agree")</f>
        <v>4 - Agree</v>
      </c>
      <c r="F4" s="19" t="str">
        <f>IFERROR(__xludf.DUMMYFUNCTION("""COMPUTED_VALUE"""),"3 - Neutral")</f>
        <v>3 - Neutral</v>
      </c>
      <c r="G4" s="19" t="str">
        <f>IFERROR(__xludf.DUMMYFUNCTION("""COMPUTED_VALUE"""),"4 - Agree")</f>
        <v>4 - Agree</v>
      </c>
      <c r="H4" s="19" t="str">
        <f>IFERROR(__xludf.DUMMYFUNCTION("""COMPUTED_VALUE"""),"4 - Agree")</f>
        <v>4 - Agree</v>
      </c>
      <c r="I4" s="19" t="str">
        <f>IFERROR(__xludf.DUMMYFUNCTION("""COMPUTED_VALUE"""),"4 - Agree")</f>
        <v>4 - Agree</v>
      </c>
      <c r="J4" s="19" t="str">
        <f>IFERROR(__xludf.DUMMYFUNCTION("""COMPUTED_VALUE"""),"5 - Strongly Agree")</f>
        <v>5 - Strongly Agree</v>
      </c>
      <c r="K4" s="19" t="str">
        <f>IFERROR(__xludf.DUMMYFUNCTION("""COMPUTED_VALUE"""),"5 - Strongly Agree")</f>
        <v>5 - Strongly Agree</v>
      </c>
      <c r="L4" s="19" t="str">
        <f>IFERROR(__xludf.DUMMYFUNCTION("""COMPUTED_VALUE"""),"5 - Strongly Agree")</f>
        <v>5 - Strongly Agree</v>
      </c>
      <c r="M4" s="19" t="str">
        <f>IFERROR(__xludf.DUMMYFUNCTION("""COMPUTED_VALUE"""),"5 - Strongly Agree")</f>
        <v>5 - Strongly Agree</v>
      </c>
      <c r="N4" s="19" t="str">
        <f>IFERROR(__xludf.DUMMYFUNCTION("""COMPUTED_VALUE"""),"5 - Strongly Agree")</f>
        <v>5 - Strongly Agree</v>
      </c>
      <c r="O4" s="19" t="str">
        <f>IFERROR(__xludf.DUMMYFUNCTION("""COMPUTED_VALUE"""),"Pretty well. My mentee was absent on a lot of days we were supposed to work together, so I'm not sure we were able to get as much progress as some of the others, but during our sessions we had a great time. ")</f>
        <v>Pretty well. My mentee was absent on a lot of days we were supposed to work together, so I'm not sure we were able to get as much progress as some of the others, but during our sessions we had a great time. </v>
      </c>
      <c r="P4" s="19" t="str">
        <f>IFERROR(__xludf.DUMMYFUNCTION("""COMPUTED_VALUE"""),"Getting to know the littles, seeing how creative they are when we made it in for a story writing exercise. ")</f>
        <v>Getting to know the littles, seeing how creative they are when we made it in for a story writing exercise. </v>
      </c>
      <c r="Q4" s="19" t="str">
        <f>IFERROR(__xludf.DUMMYFUNCTION("""COMPUTED_VALUE"""),"For the virtual mentoring, my student was listed as a few different reading levels on different pages. I would just make sure that all the pages are updated and accurate. We also heard about folders in person that I don't think we got to see so much onlin"&amp;"e. If there was a way to upload their folders online that would be really helpful too. ")</f>
        <v>For the virtual mentoring, my student was listed as a few different reading levels on different pages. I would just make sure that all the pages are updated and accurate. We also heard about folders in person that I don't think we got to see so much online. If there was a way to upload their folders online that would be really helpful too. </v>
      </c>
      <c r="R4" s="19" t="str">
        <f>IFERROR(__xludf.DUMMYFUNCTION("""COMPUTED_VALUE"""),"I loved getting to come in and work with the kids as a group. ")</f>
        <v>I loved getting to come in and work with the kids as a group. </v>
      </c>
      <c r="S4" s="19" t="str">
        <f>IFERROR(__xludf.DUMMYFUNCTION("""COMPUTED_VALUE"""),"I wasn't aware of the reading guides")</f>
        <v>I wasn't aware of the reading guides</v>
      </c>
      <c r="T4" s="19"/>
      <c r="U4" s="19"/>
      <c r="V4" s="19" t="str">
        <f>IFERROR(__xludf.DUMMYFUNCTION("""COMPUTED_VALUE"""),"Easier access to mentee information, check ins with CFSN regularly to discuss where our student is at.")</f>
        <v>Easier access to mentee information, check ins with CFSN regularly to discuss where our student is at.</v>
      </c>
      <c r="W4" s="19" t="str">
        <f>IFERROR(__xludf.DUMMYFUNCTION("""COMPUTED_VALUE"""),"I think overall you all are doing an amazing job! ")</f>
        <v>I think overall you all are doing an amazing job! </v>
      </c>
      <c r="X4" s="19"/>
      <c r="Y4" s="19"/>
      <c r="Z4" s="19" t="str">
        <f>IFERROR(__xludf.DUMMYFUNCTION("""COMPUTED_VALUE"""),"The importance of getting to know your mentees and for them to know you, diving into our many identities. ")</f>
        <v>The importance of getting to know your mentees and for them to know you, diving into our many identities. </v>
      </c>
      <c r="AA4" s="19" t="str">
        <f>IFERROR(__xludf.DUMMYFUNCTION("""COMPUTED_VALUE"""),"I do not, I didn't know they were on social media! ")</f>
        <v>I do not, I didn't know they were on social media! </v>
      </c>
      <c r="AB4" s="19" t="str">
        <f>IFERROR(__xludf.DUMMYFUNCTION("""COMPUTED_VALUE"""),"n/a")</f>
        <v>n/a</v>
      </c>
      <c r="AC4" s="19" t="str">
        <f>IFERROR(__xludf.DUMMYFUNCTION("""COMPUTED_VALUE"""),"I think her voice developed a bit during our sessions, going from monotone to trying to add more inflection to her aloud reading. ")</f>
        <v>I think her voice developed a bit during our sessions, going from monotone to trying to add more inflection to her aloud reading. </v>
      </c>
      <c r="AD4" s="19" t="str">
        <f>IFERROR(__xludf.DUMMYFUNCTION("""COMPUTED_VALUE"""),"Yes, anonymously")</f>
        <v>Yes, anonymously</v>
      </c>
      <c r="AE4" s="19"/>
    </row>
    <row r="5">
      <c r="A5" s="18">
        <f>IFERROR(__xludf.DUMMYFUNCTION("""COMPUTED_VALUE"""),45426.8277833912)</f>
        <v>45426.82778</v>
      </c>
      <c r="B5" s="19" t="str">
        <f>IFERROR(__xludf.DUMMYFUNCTION("""COMPUTED_VALUE"""),"Marian")</f>
        <v>Marian</v>
      </c>
      <c r="C5" s="19" t="str">
        <f>IFERROR(__xludf.DUMMYFUNCTION("""COMPUTED_VALUE"""),"Kendra + Maggie - CFSN Pontiac")</f>
        <v>Kendra + Maggie - CFSN Pontiac</v>
      </c>
      <c r="D5" s="19" t="str">
        <f>IFERROR(__xludf.DUMMYFUNCTION("""COMPUTED_VALUE"""),"5 - Strongly Agree")</f>
        <v>5 - Strongly Agree</v>
      </c>
      <c r="E5" s="19" t="str">
        <f>IFERROR(__xludf.DUMMYFUNCTION("""COMPUTED_VALUE"""),"5 - Strongly Agree")</f>
        <v>5 - Strongly Agree</v>
      </c>
      <c r="F5" s="19" t="str">
        <f>IFERROR(__xludf.DUMMYFUNCTION("""COMPUTED_VALUE"""),"5 - Strongly Agree")</f>
        <v>5 - Strongly Agree</v>
      </c>
      <c r="G5" s="19" t="str">
        <f>IFERROR(__xludf.DUMMYFUNCTION("""COMPUTED_VALUE"""),"5 - Strongly Agree")</f>
        <v>5 - Strongly Agree</v>
      </c>
      <c r="H5" s="19" t="str">
        <f>IFERROR(__xludf.DUMMYFUNCTION("""COMPUTED_VALUE"""),"4 - Agree")</f>
        <v>4 - Agree</v>
      </c>
      <c r="I5" s="19" t="str">
        <f>IFERROR(__xludf.DUMMYFUNCTION("""COMPUTED_VALUE"""),"3 - Neutral")</f>
        <v>3 - Neutral</v>
      </c>
      <c r="J5" s="19" t="str">
        <f>IFERROR(__xludf.DUMMYFUNCTION("""COMPUTED_VALUE"""),"4 - Agree")</f>
        <v>4 - Agree</v>
      </c>
      <c r="K5" s="19" t="str">
        <f>IFERROR(__xludf.DUMMYFUNCTION("""COMPUTED_VALUE"""),"5 - Strongly Agree")</f>
        <v>5 - Strongly Agree</v>
      </c>
      <c r="L5" s="19" t="str">
        <f>IFERROR(__xludf.DUMMYFUNCTION("""COMPUTED_VALUE"""),"5 - Strongly Agree")</f>
        <v>5 - Strongly Agree</v>
      </c>
      <c r="M5" s="19" t="str">
        <f>IFERROR(__xludf.DUMMYFUNCTION("""COMPUTED_VALUE"""),"5 - Strongly Agree")</f>
        <v>5 - Strongly Agree</v>
      </c>
      <c r="N5" s="19" t="str">
        <f>IFERROR(__xludf.DUMMYFUNCTION("""COMPUTED_VALUE"""),"4 - Agree")</f>
        <v>4 - Agree</v>
      </c>
      <c r="O5" s="19" t="str">
        <f>IFERROR(__xludf.DUMMYFUNCTION("""COMPUTED_VALUE"""),"It has gone very well.")</f>
        <v>It has gone very well.</v>
      </c>
      <c r="P5" s="19" t="str">
        <f>IFERROR(__xludf.DUMMYFUNCTION("""COMPUTED_VALUE"""),"I really enjoyed mentoring Chrison.  He now enjoys reading which is great.")</f>
        <v>I really enjoyed mentoring Chrison.  He now enjoys reading which is great.</v>
      </c>
      <c r="Q5" s="19" t="str">
        <f>IFERROR(__xludf.DUMMYFUNCTION("""COMPUTED_VALUE"""),"It would be nice if the online sessions started on time.")</f>
        <v>It would be nice if the online sessions started on time.</v>
      </c>
      <c r="R5" s="19" t="str">
        <f>IFERROR(__xludf.DUMMYFUNCTION("""COMPUTED_VALUE"""),"The day Chrison said he wanted to read first and said he liked reading now.")</f>
        <v>The day Chrison said he wanted to read first and said he liked reading now.</v>
      </c>
      <c r="S5" s="19" t="str">
        <f>IFERROR(__xludf.DUMMYFUNCTION("""COMPUTED_VALUE"""),"Not at all")</f>
        <v>Not at all</v>
      </c>
      <c r="T5" s="19"/>
      <c r="U5" s="19"/>
      <c r="V5" s="19" t="str">
        <f>IFERROR(__xludf.DUMMYFUNCTION("""COMPUTED_VALUE"""),"I don't use it because it doesn't seem necessary.  I am fine with just reading with the kids.")</f>
        <v>I don't use it because it doesn't seem necessary.  I am fine with just reading with the kids.</v>
      </c>
      <c r="W5" s="19" t="str">
        <f>IFERROR(__xludf.DUMMYFUNCTION("""COMPUTED_VALUE"""),"CFSN does a good job now.")</f>
        <v>CFSN does a good job now.</v>
      </c>
      <c r="X5" s="19"/>
      <c r="Y5" s="19"/>
      <c r="Z5" s="19" t="str">
        <f>IFERROR(__xludf.DUMMYFUNCTION("""COMPUTED_VALUE"""),"I've had a lot of equity training, so nothing really stood out to me.")</f>
        <v>I've had a lot of equity training, so nothing really stood out to me.</v>
      </c>
      <c r="AA5" s="19" t="str">
        <f>IFERROR(__xludf.DUMMYFUNCTION("""COMPUTED_VALUE"""),"no")</f>
        <v>no</v>
      </c>
      <c r="AB5" s="19"/>
      <c r="AC5" s="19" t="str">
        <f>IFERROR(__xludf.DUMMYFUNCTION("""COMPUTED_VALUE"""),"Chrison is a lot more confident in reading.")</f>
        <v>Chrison is a lot more confident in reading.</v>
      </c>
      <c r="AD5" s="19" t="str">
        <f>IFERROR(__xludf.DUMMYFUNCTION("""COMPUTED_VALUE"""),"Yes, with my name")</f>
        <v>Yes, with my name</v>
      </c>
      <c r="AE5" s="19"/>
    </row>
    <row r="6">
      <c r="A6" s="18">
        <f>IFERROR(__xludf.DUMMYFUNCTION("""COMPUTED_VALUE"""),45426.93514615741)</f>
        <v>45426.93515</v>
      </c>
      <c r="B6" s="19" t="str">
        <f>IFERROR(__xludf.DUMMYFUNCTION("""COMPUTED_VALUE"""),"Bridget Diener")</f>
        <v>Bridget Diener</v>
      </c>
      <c r="C6" s="19" t="str">
        <f>IFERROR(__xludf.DUMMYFUNCTION("""COMPUTED_VALUE"""),"Kendra + Maggie - CFSN Pontiac")</f>
        <v>Kendra + Maggie - CFSN Pontiac</v>
      </c>
      <c r="D6" s="19" t="str">
        <f>IFERROR(__xludf.DUMMYFUNCTION("""COMPUTED_VALUE"""),"5 - Strongly Agree")</f>
        <v>5 - Strongly Agree</v>
      </c>
      <c r="E6" s="19" t="str">
        <f>IFERROR(__xludf.DUMMYFUNCTION("""COMPUTED_VALUE"""),"5 - Strongly Agree")</f>
        <v>5 - Strongly Agree</v>
      </c>
      <c r="F6" s="19" t="str">
        <f>IFERROR(__xludf.DUMMYFUNCTION("""COMPUTED_VALUE"""),"5 - Strongly Agree")</f>
        <v>5 - Strongly Agree</v>
      </c>
      <c r="G6" s="19" t="str">
        <f>IFERROR(__xludf.DUMMYFUNCTION("""COMPUTED_VALUE"""),"5 - Strongly Agree")</f>
        <v>5 - Strongly Agree</v>
      </c>
      <c r="H6" s="19" t="str">
        <f>IFERROR(__xludf.DUMMYFUNCTION("""COMPUTED_VALUE"""),"4 - Agree")</f>
        <v>4 - Agree</v>
      </c>
      <c r="I6" s="19" t="str">
        <f>IFERROR(__xludf.DUMMYFUNCTION("""COMPUTED_VALUE"""),"4 - Agree")</f>
        <v>4 - Agree</v>
      </c>
      <c r="J6" s="19" t="str">
        <f>IFERROR(__xludf.DUMMYFUNCTION("""COMPUTED_VALUE"""),"5 - Strongly Agree")</f>
        <v>5 - Strongly Agree</v>
      </c>
      <c r="K6" s="19" t="str">
        <f>IFERROR(__xludf.DUMMYFUNCTION("""COMPUTED_VALUE"""),"4 - Agree")</f>
        <v>4 - Agree</v>
      </c>
      <c r="L6" s="19" t="str">
        <f>IFERROR(__xludf.DUMMYFUNCTION("""COMPUTED_VALUE"""),"5 - Strongly Agree")</f>
        <v>5 - Strongly Agree</v>
      </c>
      <c r="M6" s="19" t="str">
        <f>IFERROR(__xludf.DUMMYFUNCTION("""COMPUTED_VALUE"""),"5 - Strongly Agree")</f>
        <v>5 - Strongly Agree</v>
      </c>
      <c r="N6" s="19" t="str">
        <f>IFERROR(__xludf.DUMMYFUNCTION("""COMPUTED_VALUE"""),"5 - Strongly Agree")</f>
        <v>5 - Strongly Agree</v>
      </c>
      <c r="O6" s="19"/>
      <c r="P6" s="19" t="str">
        <f>IFERROR(__xludf.DUMMYFUNCTION("""COMPUTED_VALUE"""),"I gained new ways to teach syllables and how to break the words apart.")</f>
        <v>I gained new ways to teach syllables and how to break the words apart.</v>
      </c>
      <c r="Q6" s="19"/>
      <c r="R6" s="19" t="str">
        <f>IFERROR(__xludf.DUMMYFUNCTION("""COMPUTED_VALUE"""),"When my mentee was excited to work with me. The smile on the child face is up lighting and changes our mood when we see them.")</f>
        <v>When my mentee was excited to work with me. The smile on the child face is up lighting and changes our mood when we see them.</v>
      </c>
      <c r="S6" s="19"/>
      <c r="T6" s="19"/>
      <c r="U6" s="19"/>
      <c r="V6" s="19"/>
      <c r="W6" s="19" t="str">
        <f>IFERROR(__xludf.DUMMYFUNCTION("""COMPUTED_VALUE"""),"Additional literacy sessions 
Learn about the curriculum and standards from the center ")</f>
        <v>Additional literacy sessions 
Learn about the curriculum and standards from the center </v>
      </c>
      <c r="X6" s="19"/>
      <c r="Y6" s="19"/>
      <c r="Z6" s="19" t="str">
        <f>IFERROR(__xludf.DUMMYFUNCTION("""COMPUTED_VALUE"""),"We learn how to work with students at different levels.
Learn how to  build relationships with the students.")</f>
        <v>We learn how to work with students at different levels.
Learn how to  build relationships with the students.</v>
      </c>
      <c r="AA6" s="19" t="str">
        <f>IFERROR(__xludf.DUMMYFUNCTION("""COMPUTED_VALUE"""),"I did not know CFSN was part of the social media. ")</f>
        <v>I did not know CFSN was part of the social media. </v>
      </c>
      <c r="AB6" s="19" t="str">
        <f>IFERROR(__xludf.DUMMYFUNCTION("""COMPUTED_VALUE"""),"Lessons of what the students learn")</f>
        <v>Lessons of what the students learn</v>
      </c>
      <c r="AC6" s="19" t="str">
        <f>IFERROR(__xludf.DUMMYFUNCTION("""COMPUTED_VALUE"""),"  I can see that the student is feeling assured when reading and practicing pronunciation.  ")</f>
        <v>  I can see that the student is feeling assured when reading and practicing pronunciation.  </v>
      </c>
      <c r="AD6" s="19" t="str">
        <f>IFERROR(__xludf.DUMMYFUNCTION("""COMPUTED_VALUE"""),"No")</f>
        <v>No</v>
      </c>
      <c r="AE6" s="19" t="str">
        <f>IFERROR(__xludf.DUMMYFUNCTION("""COMPUTED_VALUE"""),"thank you for your time during this semester")</f>
        <v>thank you for your time during this semester</v>
      </c>
    </row>
    <row r="7">
      <c r="A7" s="18">
        <f>IFERROR(__xludf.DUMMYFUNCTION("""COMPUTED_VALUE"""),45427.5621149074)</f>
        <v>45427.56211</v>
      </c>
      <c r="B7" s="19" t="str">
        <f>IFERROR(__xludf.DUMMYFUNCTION("""COMPUTED_VALUE"""),"Monica")</f>
        <v>Monica</v>
      </c>
      <c r="C7" s="19" t="str">
        <f>IFERROR(__xludf.DUMMYFUNCTION("""COMPUTED_VALUE"""),"Kendra + Maggie - CFSN Pontiac")</f>
        <v>Kendra + Maggie - CFSN Pontiac</v>
      </c>
      <c r="D7" s="19" t="str">
        <f>IFERROR(__xludf.DUMMYFUNCTION("""COMPUTED_VALUE"""),"4 - Agree")</f>
        <v>4 - Agree</v>
      </c>
      <c r="E7" s="19" t="str">
        <f>IFERROR(__xludf.DUMMYFUNCTION("""COMPUTED_VALUE"""),"4 - Agree")</f>
        <v>4 - Agree</v>
      </c>
      <c r="F7" s="19" t="str">
        <f>IFERROR(__xludf.DUMMYFUNCTION("""COMPUTED_VALUE"""),"4 - Agree")</f>
        <v>4 - Agree</v>
      </c>
      <c r="G7" s="19" t="str">
        <f>IFERROR(__xludf.DUMMYFUNCTION("""COMPUTED_VALUE"""),"3 - Neutral")</f>
        <v>3 - Neutral</v>
      </c>
      <c r="H7" s="19" t="str">
        <f>IFERROR(__xludf.DUMMYFUNCTION("""COMPUTED_VALUE"""),"4 - Agree")</f>
        <v>4 - Agree</v>
      </c>
      <c r="I7" s="19" t="str">
        <f>IFERROR(__xludf.DUMMYFUNCTION("""COMPUTED_VALUE"""),"4 - Agree")</f>
        <v>4 - Agree</v>
      </c>
      <c r="J7" s="19" t="str">
        <f>IFERROR(__xludf.DUMMYFUNCTION("""COMPUTED_VALUE"""),"4 - Agree")</f>
        <v>4 - Agree</v>
      </c>
      <c r="K7" s="19" t="str">
        <f>IFERROR(__xludf.DUMMYFUNCTION("""COMPUTED_VALUE"""),"4 - Agree")</f>
        <v>4 - Agree</v>
      </c>
      <c r="L7" s="19" t="str">
        <f>IFERROR(__xludf.DUMMYFUNCTION("""COMPUTED_VALUE"""),"5 - Strongly Agree")</f>
        <v>5 - Strongly Agree</v>
      </c>
      <c r="M7" s="19" t="str">
        <f>IFERROR(__xludf.DUMMYFUNCTION("""COMPUTED_VALUE"""),"5 - Strongly Agree")</f>
        <v>5 - Strongly Agree</v>
      </c>
      <c r="N7" s="19" t="str">
        <f>IFERROR(__xludf.DUMMYFUNCTION("""COMPUTED_VALUE"""),"4 - Agree")</f>
        <v>4 - Agree</v>
      </c>
      <c r="O7" s="19" t="str">
        <f>IFERROR(__xludf.DUMMYFUNCTION("""COMPUTED_VALUE"""),"My virtual experience was good. The student would have minimum distractions when tutoring from home.")</f>
        <v>My virtual experience was good. The student would have minimum distractions when tutoring from home.</v>
      </c>
      <c r="P7" s="19" t="str">
        <f>IFERROR(__xludf.DUMMYFUNCTION("""COMPUTED_VALUE"""),"My mentee enjoyed working with me.")</f>
        <v>My mentee enjoyed working with me.</v>
      </c>
      <c r="Q7" s="19" t="str">
        <f>IFERROR(__xludf.DUMMYFUNCTION("""COMPUTED_VALUE"""),"I enjoyed learning.")</f>
        <v>I enjoyed learning.</v>
      </c>
      <c r="R7" s="19" t="str">
        <f>IFERROR(__xludf.DUMMYFUNCTION("""COMPUTED_VALUE"""),"My favorite memory was when we met in person.")</f>
        <v>My favorite memory was when we met in person.</v>
      </c>
      <c r="S7" s="19" t="str">
        <f>IFERROR(__xludf.DUMMYFUNCTION("""COMPUTED_VALUE"""),"At every/most sessions")</f>
        <v>At every/most sessions</v>
      </c>
      <c r="T7" s="19"/>
      <c r="U7" s="19"/>
      <c r="V7" s="19" t="str">
        <f>IFERROR(__xludf.DUMMYFUNCTION("""COMPUTED_VALUE"""),"It's good for guidance.")</f>
        <v>It's good for guidance.</v>
      </c>
      <c r="W7" s="19" t="str">
        <f>IFERROR(__xludf.DUMMYFUNCTION("""COMPUTED_VALUE"""),"We have more clarity the spring/summer semester at OU.")</f>
        <v>We have more clarity the spring/summer semester at OU.</v>
      </c>
      <c r="X7" s="19"/>
      <c r="Y7" s="19"/>
      <c r="Z7" s="19" t="str">
        <f>IFERROR(__xludf.DUMMYFUNCTION("""COMPUTED_VALUE"""),"Not sure.")</f>
        <v>Not sure.</v>
      </c>
      <c r="AA7" s="19" t="str">
        <f>IFERROR(__xludf.DUMMYFUNCTION("""COMPUTED_VALUE"""),"No. Not a social media person.")</f>
        <v>No. Not a social media person.</v>
      </c>
      <c r="AB7" s="19" t="str">
        <f>IFERROR(__xludf.DUMMYFUNCTION("""COMPUTED_VALUE"""),"N/A")</f>
        <v>N/A</v>
      </c>
      <c r="AC7" s="19" t="str">
        <f>IFERROR(__xludf.DUMMYFUNCTION("""COMPUTED_VALUE"""),"My mentee is excited to learn new words and become a better reader.")</f>
        <v>My mentee is excited to learn new words and become a better reader.</v>
      </c>
      <c r="AD7" s="19" t="str">
        <f>IFERROR(__xludf.DUMMYFUNCTION("""COMPUTED_VALUE"""),"Yes, anonymously")</f>
        <v>Yes, anonymously</v>
      </c>
      <c r="AE7" s="19" t="str">
        <f>IFERROR(__xludf.DUMMYFUNCTION("""COMPUTED_VALUE"""),"You're providing a great service.")</f>
        <v>You're providing a great service.</v>
      </c>
    </row>
    <row r="8">
      <c r="A8" s="18">
        <f>IFERROR(__xludf.DUMMYFUNCTION("""COMPUTED_VALUE"""),45427.6387162037)</f>
        <v>45427.63872</v>
      </c>
      <c r="B8" s="19"/>
      <c r="C8" s="19" t="str">
        <f>IFERROR(__xludf.DUMMYFUNCTION("""COMPUTED_VALUE"""),"Kendra + Maggie - CFSN Pontiac")</f>
        <v>Kendra + Maggie - CFSN Pontiac</v>
      </c>
      <c r="D8" s="19" t="str">
        <f>IFERROR(__xludf.DUMMYFUNCTION("""COMPUTED_VALUE"""),"5 - Strongly Agree")</f>
        <v>5 - Strongly Agree</v>
      </c>
      <c r="E8" s="19" t="str">
        <f>IFERROR(__xludf.DUMMYFUNCTION("""COMPUTED_VALUE"""),"5 - Strongly Agree")</f>
        <v>5 - Strongly Agree</v>
      </c>
      <c r="F8" s="19" t="str">
        <f>IFERROR(__xludf.DUMMYFUNCTION("""COMPUTED_VALUE"""),"5 - Strongly Agree")</f>
        <v>5 - Strongly Agree</v>
      </c>
      <c r="G8" s="19" t="str">
        <f>IFERROR(__xludf.DUMMYFUNCTION("""COMPUTED_VALUE"""),"5 - Strongly Agree")</f>
        <v>5 - Strongly Agree</v>
      </c>
      <c r="H8" s="19" t="str">
        <f>IFERROR(__xludf.DUMMYFUNCTION("""COMPUTED_VALUE"""),"5 - Strongly Agree")</f>
        <v>5 - Strongly Agree</v>
      </c>
      <c r="I8" s="19" t="str">
        <f>IFERROR(__xludf.DUMMYFUNCTION("""COMPUTED_VALUE"""),"5 - Strongly Agree")</f>
        <v>5 - Strongly Agree</v>
      </c>
      <c r="J8" s="19" t="str">
        <f>IFERROR(__xludf.DUMMYFUNCTION("""COMPUTED_VALUE"""),"4 - Agree")</f>
        <v>4 - Agree</v>
      </c>
      <c r="K8" s="19" t="str">
        <f>IFERROR(__xludf.DUMMYFUNCTION("""COMPUTED_VALUE"""),"3 - Neutral")</f>
        <v>3 - Neutral</v>
      </c>
      <c r="L8" s="19" t="str">
        <f>IFERROR(__xludf.DUMMYFUNCTION("""COMPUTED_VALUE"""),"5 - Strongly Agree")</f>
        <v>5 - Strongly Agree</v>
      </c>
      <c r="M8" s="19" t="str">
        <f>IFERROR(__xludf.DUMMYFUNCTION("""COMPUTED_VALUE"""),"5 - Strongly Agree")</f>
        <v>5 - Strongly Agree</v>
      </c>
      <c r="N8" s="19" t="str">
        <f>IFERROR(__xludf.DUMMYFUNCTION("""COMPUTED_VALUE"""),"5 - Strongly Agree")</f>
        <v>5 - Strongly Agree</v>
      </c>
      <c r="O8" s="19"/>
      <c r="P8" s="19"/>
      <c r="Q8" s="19"/>
      <c r="R8" s="19"/>
      <c r="S8" s="19" t="str">
        <f>IFERROR(__xludf.DUMMYFUNCTION("""COMPUTED_VALUE"""),"Not at all")</f>
        <v>Not at all</v>
      </c>
      <c r="T8" s="19"/>
      <c r="U8" s="19"/>
      <c r="V8" s="19"/>
      <c r="W8" s="19"/>
      <c r="X8" s="19"/>
      <c r="Y8" s="19"/>
      <c r="Z8" s="19"/>
      <c r="AA8" s="19"/>
      <c r="AB8" s="19"/>
      <c r="AC8" s="19"/>
      <c r="AD8" s="19" t="str">
        <f>IFERROR(__xludf.DUMMYFUNCTION("""COMPUTED_VALUE"""),"Yes, anonymously")</f>
        <v>Yes, anonymously</v>
      </c>
      <c r="AE8" s="19"/>
    </row>
    <row r="9">
      <c r="A9" s="18">
        <f>IFERROR(__xludf.DUMMYFUNCTION("""COMPUTED_VALUE"""),45427.701446238425)</f>
        <v>45427.70145</v>
      </c>
      <c r="B9" s="19"/>
      <c r="C9" s="19" t="str">
        <f>IFERROR(__xludf.DUMMYFUNCTION("""COMPUTED_VALUE"""),"Kendra + Maggie - CFSN Pontiac")</f>
        <v>Kendra + Maggie - CFSN Pontiac</v>
      </c>
      <c r="D9" s="19" t="str">
        <f>IFERROR(__xludf.DUMMYFUNCTION("""COMPUTED_VALUE"""),"4 - Agree")</f>
        <v>4 - Agree</v>
      </c>
      <c r="E9" s="19" t="str">
        <f>IFERROR(__xludf.DUMMYFUNCTION("""COMPUTED_VALUE"""),"3 - Neutral")</f>
        <v>3 - Neutral</v>
      </c>
      <c r="F9" s="19" t="str">
        <f>IFERROR(__xludf.DUMMYFUNCTION("""COMPUTED_VALUE"""),"3 - Neutral")</f>
        <v>3 - Neutral</v>
      </c>
      <c r="G9" s="19" t="str">
        <f>IFERROR(__xludf.DUMMYFUNCTION("""COMPUTED_VALUE"""),"4 - Agree")</f>
        <v>4 - Agree</v>
      </c>
      <c r="H9" s="19" t="str">
        <f>IFERROR(__xludf.DUMMYFUNCTION("""COMPUTED_VALUE"""),"4 - Agree")</f>
        <v>4 - Agree</v>
      </c>
      <c r="I9" s="19" t="str">
        <f>IFERROR(__xludf.DUMMYFUNCTION("""COMPUTED_VALUE"""),"3 - Neutral")</f>
        <v>3 - Neutral</v>
      </c>
      <c r="J9" s="19" t="str">
        <f>IFERROR(__xludf.DUMMYFUNCTION("""COMPUTED_VALUE"""),"4 - Agree")</f>
        <v>4 - Agree</v>
      </c>
      <c r="K9" s="19" t="str">
        <f>IFERROR(__xludf.DUMMYFUNCTION("""COMPUTED_VALUE"""),"4 - Agree")</f>
        <v>4 - Agree</v>
      </c>
      <c r="L9" s="19" t="str">
        <f>IFERROR(__xludf.DUMMYFUNCTION("""COMPUTED_VALUE"""),"4 - Agree")</f>
        <v>4 - Agree</v>
      </c>
      <c r="M9" s="19" t="str">
        <f>IFERROR(__xludf.DUMMYFUNCTION("""COMPUTED_VALUE"""),"4 - Agree")</f>
        <v>4 - Agree</v>
      </c>
      <c r="N9" s="19" t="str">
        <f>IFERROR(__xludf.DUMMYFUNCTION("""COMPUTED_VALUE"""),"3 - Neutral")</f>
        <v>3 - Neutral</v>
      </c>
      <c r="O9" s="19" t="str">
        <f>IFERROR(__xludf.DUMMYFUNCTION("""COMPUTED_VALUE"""),"I really enjoyed mentoring. My student was great and it felt rewarding. ")</f>
        <v>I really enjoyed mentoring. My student was great and it felt rewarding. </v>
      </c>
      <c r="P9" s="19" t="str">
        <f>IFERROR(__xludf.DUMMYFUNCTION("""COMPUTED_VALUE"""),"The best part was noticing my student’s improvement ")</f>
        <v>The best part was noticing my student’s improvement </v>
      </c>
      <c r="Q9" s="19"/>
      <c r="R9" s="19"/>
      <c r="S9" s="19" t="str">
        <f>IFERROR(__xludf.DUMMYFUNCTION("""COMPUTED_VALUE"""),"I wasn't aware of the reading guides")</f>
        <v>I wasn't aware of the reading guides</v>
      </c>
      <c r="T9" s="19"/>
      <c r="U9" s="19"/>
      <c r="V9" s="19"/>
      <c r="W9" s="19"/>
      <c r="X9" s="19"/>
      <c r="Y9" s="19"/>
      <c r="Z9" s="19"/>
      <c r="AA9" s="19"/>
      <c r="AB9" s="19"/>
      <c r="AC9" s="19"/>
      <c r="AD9" s="19" t="str">
        <f>IFERROR(__xludf.DUMMYFUNCTION("""COMPUTED_VALUE"""),"Yes, anonymously")</f>
        <v>Yes, anonymously</v>
      </c>
      <c r="AE9" s="19"/>
    </row>
    <row r="10">
      <c r="A10" s="18">
        <f>IFERROR(__xludf.DUMMYFUNCTION("""COMPUTED_VALUE"""),45427.74897340278)</f>
        <v>45427.74897</v>
      </c>
      <c r="B10" s="19" t="str">
        <f>IFERROR(__xludf.DUMMYFUNCTION("""COMPUTED_VALUE"""),"Haley Nichols")</f>
        <v>Haley Nichols</v>
      </c>
      <c r="C10" s="19" t="str">
        <f>IFERROR(__xludf.DUMMYFUNCTION("""COMPUTED_VALUE"""),"Kendra + Maggie - CFSN Pontiac")</f>
        <v>Kendra + Maggie - CFSN Pontiac</v>
      </c>
      <c r="D10" s="19" t="str">
        <f>IFERROR(__xludf.DUMMYFUNCTION("""COMPUTED_VALUE"""),"3 - Neutral")</f>
        <v>3 - Neutral</v>
      </c>
      <c r="E10" s="19" t="str">
        <f>IFERROR(__xludf.DUMMYFUNCTION("""COMPUTED_VALUE"""),"3 - Neutral")</f>
        <v>3 - Neutral</v>
      </c>
      <c r="F10" s="19" t="str">
        <f>IFERROR(__xludf.DUMMYFUNCTION("""COMPUTED_VALUE"""),"3 - Neutral")</f>
        <v>3 - Neutral</v>
      </c>
      <c r="G10" s="19" t="str">
        <f>IFERROR(__xludf.DUMMYFUNCTION("""COMPUTED_VALUE"""),"3 - Neutral")</f>
        <v>3 - Neutral</v>
      </c>
      <c r="H10" s="19" t="str">
        <f>IFERROR(__xludf.DUMMYFUNCTION("""COMPUTED_VALUE"""),"3 - Neutral")</f>
        <v>3 - Neutral</v>
      </c>
      <c r="I10" s="19" t="str">
        <f>IFERROR(__xludf.DUMMYFUNCTION("""COMPUTED_VALUE"""),"3 - Neutral")</f>
        <v>3 - Neutral</v>
      </c>
      <c r="J10" s="19" t="str">
        <f>IFERROR(__xludf.DUMMYFUNCTION("""COMPUTED_VALUE"""),"3 - Neutral")</f>
        <v>3 - Neutral</v>
      </c>
      <c r="K10" s="19" t="str">
        <f>IFERROR(__xludf.DUMMYFUNCTION("""COMPUTED_VALUE"""),"3 - Neutral")</f>
        <v>3 - Neutral</v>
      </c>
      <c r="L10" s="19" t="str">
        <f>IFERROR(__xludf.DUMMYFUNCTION("""COMPUTED_VALUE"""),"3 - Neutral")</f>
        <v>3 - Neutral</v>
      </c>
      <c r="M10" s="19" t="str">
        <f>IFERROR(__xludf.DUMMYFUNCTION("""COMPUTED_VALUE"""),"4 - Agree")</f>
        <v>4 - Agree</v>
      </c>
      <c r="N10" s="19" t="str">
        <f>IFERROR(__xludf.DUMMYFUNCTION("""COMPUTED_VALUE"""),"4 - Agree")</f>
        <v>4 - Agree</v>
      </c>
      <c r="O10" s="19" t="str">
        <f>IFERROR(__xludf.DUMMYFUNCTION("""COMPUTED_VALUE"""),"ok")</f>
        <v>ok</v>
      </c>
      <c r="P10" s="19" t="str">
        <f>IFERROR(__xludf.DUMMYFUNCTION("""COMPUTED_VALUE"""),"Consistent mentoring and working with the same person over time")</f>
        <v>Consistent mentoring and working with the same person over time</v>
      </c>
      <c r="Q10" s="19" t="str">
        <f>IFERROR(__xludf.DUMMYFUNCTION("""COMPUTED_VALUE"""),"More emphasis on phonics and different reading resources. Reading resources are too repetitive in syntax, often only changing one word. Once the student picks up on this, they are quickly able to read the book, but it does not seem like they are actually "&amp;"reading. Seems like they are relying on the photos to guess what the words are versus sounding it out and making that sound to letter connection. ")</f>
        <v>More emphasis on phonics and different reading resources. Reading resources are too repetitive in syntax, often only changing one word. Once the student picks up on this, they are quickly able to read the book, but it does not seem like they are actually reading. Seems like they are relying on the photos to guess what the words are versus sounding it out and making that sound to letter connection. </v>
      </c>
      <c r="R10" s="19" t="str">
        <f>IFERROR(__xludf.DUMMYFUNCTION("""COMPUTED_VALUE"""),"When my mentee showed me his drawing and said he missed me after I had been absent for a while.")</f>
        <v>When my mentee showed me his drawing and said he missed me after I had been absent for a while.</v>
      </c>
      <c r="S10" s="19" t="str">
        <f>IFERROR(__xludf.DUMMYFUNCTION("""COMPUTED_VALUE"""),"Not at all")</f>
        <v>Not at all</v>
      </c>
      <c r="T10" s="19"/>
      <c r="U10" s="19"/>
      <c r="V10" s="19"/>
      <c r="W10" s="19" t="str">
        <f>IFERROR(__xludf.DUMMYFUNCTION("""COMPUTED_VALUE"""),"Probably needs to be quarterly zoom/phone call/face to face check ins with the mentors to discuss the mentee progress. We have the online form to document how the session went, but it feels like it's either not being read, or there is a gap in communicati"&amp;"ng and understanding concerns with this method. ")</f>
        <v>Probably needs to be quarterly zoom/phone call/face to face check ins with the mentors to discuss the mentee progress. We have the online form to document how the session went, but it feels like it's either not being read, or there is a gap in communicating and understanding concerns with this method. </v>
      </c>
      <c r="X10" s="19"/>
      <c r="Y10" s="19"/>
      <c r="Z10" s="19"/>
      <c r="AA10" s="19"/>
      <c r="AB10" s="19"/>
      <c r="AC10" s="19"/>
      <c r="AD10" s="19" t="str">
        <f>IFERROR(__xludf.DUMMYFUNCTION("""COMPUTED_VALUE"""),"Yes, anonymously")</f>
        <v>Yes, anonymously</v>
      </c>
      <c r="AE10" s="19" t="str">
        <f>IFERROR(__xludf.DUMMYFUNCTION("""COMPUTED_VALUE"""),"Please listen to the podcast ""Sold a Story."" This explains a lot of my observations in mentoring and I think the reading resources need to be adjusted.")</f>
        <v>Please listen to the podcast "Sold a Story." This explains a lot of my observations in mentoring and I think the reading resources need to be adjusted.</v>
      </c>
    </row>
    <row r="11">
      <c r="A11" s="18">
        <f>IFERROR(__xludf.DUMMYFUNCTION("""COMPUTED_VALUE"""),45430.79948656251)</f>
        <v>45430.79949</v>
      </c>
      <c r="B11" s="19"/>
      <c r="C11" s="19" t="str">
        <f>IFERROR(__xludf.DUMMYFUNCTION("""COMPUTED_VALUE"""),"Kendra + Maggie - CFSN Pontiac")</f>
        <v>Kendra + Maggie - CFSN Pontiac</v>
      </c>
      <c r="D11" s="19" t="str">
        <f>IFERROR(__xludf.DUMMYFUNCTION("""COMPUTED_VALUE"""),"2 - Disagree")</f>
        <v>2 - Disagree</v>
      </c>
      <c r="E11" s="19" t="str">
        <f>IFERROR(__xludf.DUMMYFUNCTION("""COMPUTED_VALUE"""),"3 - Neutral")</f>
        <v>3 - Neutral</v>
      </c>
      <c r="F11" s="19" t="str">
        <f>IFERROR(__xludf.DUMMYFUNCTION("""COMPUTED_VALUE"""),"3 - Neutral")</f>
        <v>3 - Neutral</v>
      </c>
      <c r="G11" s="19" t="str">
        <f>IFERROR(__xludf.DUMMYFUNCTION("""COMPUTED_VALUE"""),"2 - Disagree")</f>
        <v>2 - Disagree</v>
      </c>
      <c r="H11" s="19" t="str">
        <f>IFERROR(__xludf.DUMMYFUNCTION("""COMPUTED_VALUE"""),"3 - Neutral")</f>
        <v>3 - Neutral</v>
      </c>
      <c r="I11" s="19" t="str">
        <f>IFERROR(__xludf.DUMMYFUNCTION("""COMPUTED_VALUE"""),"3 - Neutral")</f>
        <v>3 - Neutral</v>
      </c>
      <c r="J11" s="19" t="str">
        <f>IFERROR(__xludf.DUMMYFUNCTION("""COMPUTED_VALUE"""),"3 - Neutral")</f>
        <v>3 - Neutral</v>
      </c>
      <c r="K11" s="19" t="str">
        <f>IFERROR(__xludf.DUMMYFUNCTION("""COMPUTED_VALUE"""),"3 - Neutral")</f>
        <v>3 - Neutral</v>
      </c>
      <c r="L11" s="19" t="str">
        <f>IFERROR(__xludf.DUMMYFUNCTION("""COMPUTED_VALUE"""),"4 - Agree")</f>
        <v>4 - Agree</v>
      </c>
      <c r="M11" s="19" t="str">
        <f>IFERROR(__xludf.DUMMYFUNCTION("""COMPUTED_VALUE"""),"4 - Agree")</f>
        <v>4 - Agree</v>
      </c>
      <c r="N11" s="19" t="str">
        <f>IFERROR(__xludf.DUMMYFUNCTION("""COMPUTED_VALUE"""),"4 - Agree")</f>
        <v>4 - Agree</v>
      </c>
      <c r="O11" s="19"/>
      <c r="P11" s="19" t="str">
        <f>IFERROR(__xludf.DUMMYFUNCTION("""COMPUTED_VALUE"""),"Getting to know my mentee and the other kids.")</f>
        <v>Getting to know my mentee and the other kids.</v>
      </c>
      <c r="Q11" s="19" t="str">
        <f>IFERROR(__xludf.DUMMYFUNCTION("""COMPUTED_VALUE"""),"Communication and follow up with staff. I filled out what we did each shift, but never had any feed back. Also I thought the folder games that were in mentee’s file, we either too advanced, didn’t have all the materials included or was too hard for me to "&amp;"understand. ")</f>
        <v>Communication and follow up with staff. I filled out what we did each shift, but never had any feed back. Also I thought the folder games that were in mentee’s file, we either too advanced, didn’t have all the materials included or was too hard for me to understand. </v>
      </c>
      <c r="R11" s="19" t="str">
        <f>IFERROR(__xludf.DUMMYFUNCTION("""COMPUTED_VALUE"""),"Seeing the smile on my mentee’s face when he saw me. ")</f>
        <v>Seeing the smile on my mentee’s face when he saw me. </v>
      </c>
      <c r="S11" s="19"/>
      <c r="T11" s="19"/>
      <c r="U11" s="19"/>
      <c r="V11" s="19"/>
      <c r="W11" s="19" t="str">
        <f>IFERROR(__xludf.DUMMYFUNCTION("""COMPUTED_VALUE"""),"See above. I would like to say that Kendra and Maggie were great with getting the kids back in line when they were getting restless.")</f>
        <v>See above. I would like to say that Kendra and Maggie were great with getting the kids back in line when they were getting restless.</v>
      </c>
      <c r="X11" s="19"/>
      <c r="Y11" s="19"/>
      <c r="Z11" s="19" t="str">
        <f>IFERROR(__xludf.DUMMYFUNCTION("""COMPUTED_VALUE"""),"The visual of 3 people looking through a fence and it shows the difference between equality and equity. So good!")</f>
        <v>The visual of 3 people looking through a fence and it shows the difference between equality and equity. So good!</v>
      </c>
      <c r="AA11" s="19" t="str">
        <f>IFERROR(__xludf.DUMMYFUNCTION("""COMPUTED_VALUE"""),"No I  stopped Facebook and all other social media.")</f>
        <v>No I  stopped Facebook and all other social media.</v>
      </c>
      <c r="AB11" s="19"/>
      <c r="AC11" s="19" t="str">
        <f>IFERROR(__xludf.DUMMYFUNCTION("""COMPUTED_VALUE"""),"I think he improved on his self control. Instead of rushing through a task, if I reminded him to slow down he did. Also he didn’t grab things from his friends hands as much. Might just be his maturity. But it was nice to see that growth.")</f>
        <v>I think he improved on his self control. Instead of rushing through a task, if I reminded him to slow down he did. Also he didn’t grab things from his friends hands as much. Might just be his maturity. But it was nice to see that growth.</v>
      </c>
      <c r="AD11" s="19" t="str">
        <f>IFERROR(__xludf.DUMMYFUNCTION("""COMPUTED_VALUE"""),"Yes, anonymously")</f>
        <v>Yes, anonymously</v>
      </c>
      <c r="AE11" s="19" t="str">
        <f>IFERROR(__xludf.DUMMYFUNCTION("""COMPUTED_VALUE"""),"I would just like more follow up with staff. We really never had time to review and discuss our progress. Not their fault they were always busy with the kids. Maybe have one day a month set aside just for mentors to come in and have a discussion. Just a t"&amp;"hought.")</f>
        <v>I would just like more follow up with staff. We really never had time to review and discuss our progress. Not their fault they were always busy with the kids. Maybe have one day a month set aside just for mentors to come in and have a discussion. Just a thought.</v>
      </c>
    </row>
    <row r="12">
      <c r="A12" s="18">
        <f>IFERROR(__xludf.DUMMYFUNCTION("""COMPUTED_VALUE"""),45432.73070726852)</f>
        <v>45432.73071</v>
      </c>
      <c r="B12" s="19"/>
      <c r="C12" s="19" t="str">
        <f>IFERROR(__xludf.DUMMYFUNCTION("""COMPUTED_VALUE"""),"Kendra + Maggie - CFSN Pontiac")</f>
        <v>Kendra + Maggie - CFSN Pontiac</v>
      </c>
      <c r="D12" s="19" t="str">
        <f>IFERROR(__xludf.DUMMYFUNCTION("""COMPUTED_VALUE"""),"4 - Agree")</f>
        <v>4 - Agree</v>
      </c>
      <c r="E12" s="19" t="str">
        <f>IFERROR(__xludf.DUMMYFUNCTION("""COMPUTED_VALUE"""),"4 - Agree")</f>
        <v>4 - Agree</v>
      </c>
      <c r="F12" s="19" t="str">
        <f>IFERROR(__xludf.DUMMYFUNCTION("""COMPUTED_VALUE"""),"4 - Agree")</f>
        <v>4 - Agree</v>
      </c>
      <c r="G12" s="19" t="str">
        <f>IFERROR(__xludf.DUMMYFUNCTION("""COMPUTED_VALUE"""),"4 - Agree")</f>
        <v>4 - Agree</v>
      </c>
      <c r="H12" s="19" t="str">
        <f>IFERROR(__xludf.DUMMYFUNCTION("""COMPUTED_VALUE"""),"5 - Strongly Agree")</f>
        <v>5 - Strongly Agree</v>
      </c>
      <c r="I12" s="19" t="str">
        <f>IFERROR(__xludf.DUMMYFUNCTION("""COMPUTED_VALUE"""),"5 - Strongly Agree")</f>
        <v>5 - Strongly Agree</v>
      </c>
      <c r="J12" s="19" t="str">
        <f>IFERROR(__xludf.DUMMYFUNCTION("""COMPUTED_VALUE"""),"4 - Agree")</f>
        <v>4 - Agree</v>
      </c>
      <c r="K12" s="19" t="str">
        <f>IFERROR(__xludf.DUMMYFUNCTION("""COMPUTED_VALUE"""),"5 - Strongly Agree")</f>
        <v>5 - Strongly Agree</v>
      </c>
      <c r="L12" s="19" t="str">
        <f>IFERROR(__xludf.DUMMYFUNCTION("""COMPUTED_VALUE"""),"5 - Strongly Agree")</f>
        <v>5 - Strongly Agree</v>
      </c>
      <c r="M12" s="19" t="str">
        <f>IFERROR(__xludf.DUMMYFUNCTION("""COMPUTED_VALUE"""),"5 - Strongly Agree")</f>
        <v>5 - Strongly Agree</v>
      </c>
      <c r="N12" s="19" t="str">
        <f>IFERROR(__xludf.DUMMYFUNCTION("""COMPUTED_VALUE"""),"5 - Strongly Agree")</f>
        <v>5 - Strongly Agree</v>
      </c>
      <c r="O12" s="19" t="str">
        <f>IFERROR(__xludf.DUMMYFUNCTION("""COMPUTED_VALUE"""),"It was good! ")</f>
        <v>It was good! </v>
      </c>
      <c r="P12" s="19"/>
      <c r="Q12" s="19" t="str">
        <f>IFERROR(__xludf.DUMMYFUNCTION("""COMPUTED_VALUE"""),"Better communication by the staff - a lot of the times, I did not hear a response and was out of the loop. ")</f>
        <v>Better communication by the staff - a lot of the times, I did not hear a response and was out of the loop. </v>
      </c>
      <c r="R12" s="19"/>
      <c r="S12" s="19" t="str">
        <f>IFERROR(__xludf.DUMMYFUNCTION("""COMPUTED_VALUE"""),"Once a month")</f>
        <v>Once a month</v>
      </c>
      <c r="T12" s="19"/>
      <c r="U12" s="19"/>
      <c r="V12" s="19"/>
      <c r="W12" s="19"/>
      <c r="X12" s="19"/>
      <c r="Y12" s="19"/>
      <c r="Z12" s="19"/>
      <c r="AA12" s="19" t="str">
        <f>IFERROR(__xludf.DUMMYFUNCTION("""COMPUTED_VALUE"""),"Not active on social media ")</f>
        <v>Not active on social media </v>
      </c>
      <c r="AB12" s="19"/>
      <c r="AC12" s="19"/>
      <c r="AD12" s="19" t="str">
        <f>IFERROR(__xludf.DUMMYFUNCTION("""COMPUTED_VALUE"""),"Yes, anonymously")</f>
        <v>Yes, anonymously</v>
      </c>
      <c r="AE12" s="19"/>
    </row>
    <row r="13">
      <c r="A13" s="18">
        <f>IFERROR(__xludf.DUMMYFUNCTION("""COMPUTED_VALUE"""),45432.732302476856)</f>
        <v>45432.7323</v>
      </c>
      <c r="B13" s="19"/>
      <c r="C13" s="19" t="str">
        <f>IFERROR(__xludf.DUMMYFUNCTION("""COMPUTED_VALUE"""),"Kendra + Maggie - CFSN Pontiac")</f>
        <v>Kendra + Maggie - CFSN Pontiac</v>
      </c>
      <c r="D13" s="19" t="str">
        <f>IFERROR(__xludf.DUMMYFUNCTION("""COMPUTED_VALUE"""),"5 - Strongly Agree")</f>
        <v>5 - Strongly Agree</v>
      </c>
      <c r="E13" s="19" t="str">
        <f>IFERROR(__xludf.DUMMYFUNCTION("""COMPUTED_VALUE"""),"5 - Strongly Agree")</f>
        <v>5 - Strongly Agree</v>
      </c>
      <c r="F13" s="19" t="str">
        <f>IFERROR(__xludf.DUMMYFUNCTION("""COMPUTED_VALUE"""),"5 - Strongly Agree")</f>
        <v>5 - Strongly Agree</v>
      </c>
      <c r="G13" s="19" t="str">
        <f>IFERROR(__xludf.DUMMYFUNCTION("""COMPUTED_VALUE"""),"5 - Strongly Agree")</f>
        <v>5 - Strongly Agree</v>
      </c>
      <c r="H13" s="19" t="str">
        <f>IFERROR(__xludf.DUMMYFUNCTION("""COMPUTED_VALUE"""),"5 - Strongly Agree")</f>
        <v>5 - Strongly Agree</v>
      </c>
      <c r="I13" s="19" t="str">
        <f>IFERROR(__xludf.DUMMYFUNCTION("""COMPUTED_VALUE"""),"5 - Strongly Agree")</f>
        <v>5 - Strongly Agree</v>
      </c>
      <c r="J13" s="19" t="str">
        <f>IFERROR(__xludf.DUMMYFUNCTION("""COMPUTED_VALUE"""),"4 - Agree")</f>
        <v>4 - Agree</v>
      </c>
      <c r="K13" s="19" t="str">
        <f>IFERROR(__xludf.DUMMYFUNCTION("""COMPUTED_VALUE"""),"3 - Neutral")</f>
        <v>3 - Neutral</v>
      </c>
      <c r="L13" s="19" t="str">
        <f>IFERROR(__xludf.DUMMYFUNCTION("""COMPUTED_VALUE"""),"5 - Strongly Agree")</f>
        <v>5 - Strongly Agree</v>
      </c>
      <c r="M13" s="19" t="str">
        <f>IFERROR(__xludf.DUMMYFUNCTION("""COMPUTED_VALUE"""),"5 - Strongly Agree")</f>
        <v>5 - Strongly Agree</v>
      </c>
      <c r="N13" s="19" t="str">
        <f>IFERROR(__xludf.DUMMYFUNCTION("""COMPUTED_VALUE"""),"5 - Strongly Agree")</f>
        <v>5 - Strongly Agree</v>
      </c>
      <c r="O13" s="19" t="str">
        <f>IFERROR(__xludf.DUMMYFUNCTION("""COMPUTED_VALUE"""),"I have really enjoyed my experience. It's very convenient for me and it works based on the schedule I picked. And I get to help students grow in their reading skills.  I love it")</f>
        <v>I have really enjoyed my experience. It's very convenient for me and it works based on the schedule I picked. And I get to help students grow in their reading skills.  I love it</v>
      </c>
      <c r="P13" s="19" t="str">
        <f>IFERROR(__xludf.DUMMYFUNCTION("""COMPUTED_VALUE"""),"I think that connecting with my mentee has been such a wonderful thing and we both have grown so much from it.")</f>
        <v>I think that connecting with my mentee has been such a wonderful thing and we both have grown so much from it.</v>
      </c>
      <c r="Q13" s="19" t="str">
        <f>IFERROR(__xludf.DUMMYFUNCTION("""COMPUTED_VALUE"""),"I think that more regular communication, perhaps like weekly updates and notices, would help a lot with having everyone on the same page.")</f>
        <v>I think that more regular communication, perhaps like weekly updates and notices, would help a lot with having everyone on the same page.</v>
      </c>
      <c r="R13" s="19"/>
      <c r="S13" s="19" t="str">
        <f>IFERROR(__xludf.DUMMYFUNCTION("""COMPUTED_VALUE"""),"Not at all")</f>
        <v>Not at all</v>
      </c>
      <c r="T13" s="19"/>
      <c r="U13" s="19"/>
      <c r="V13" s="19"/>
      <c r="W13" s="19"/>
      <c r="X13" s="19"/>
      <c r="Y13" s="19"/>
      <c r="Z13" s="19" t="str">
        <f>IFERROR(__xludf.DUMMYFUNCTION("""COMPUTED_VALUE"""),"Just being aware of what bias and perceptual sets I bring to any interaction with a mentee, and trying to adjust that to be more open and understanding.")</f>
        <v>Just being aware of what bias and perceptual sets I bring to any interaction with a mentee, and trying to adjust that to be more open and understanding.</v>
      </c>
      <c r="AA13" s="19"/>
      <c r="AB13" s="19"/>
      <c r="AC13" s="19"/>
      <c r="AD13" s="19" t="str">
        <f>IFERROR(__xludf.DUMMYFUNCTION("""COMPUTED_VALUE"""),"Yes, anonymously")</f>
        <v>Yes, anonymously</v>
      </c>
      <c r="AE13" s="19"/>
    </row>
    <row r="14">
      <c r="A14" s="18">
        <f>IFERROR(__xludf.DUMMYFUNCTION("""COMPUTED_VALUE"""),45432.73775550926)</f>
        <v>45432.73776</v>
      </c>
      <c r="B14" s="19" t="str">
        <f>IFERROR(__xludf.DUMMYFUNCTION("""COMPUTED_VALUE"""),"Kristen Crum")</f>
        <v>Kristen Crum</v>
      </c>
      <c r="C14" s="19" t="str">
        <f>IFERROR(__xludf.DUMMYFUNCTION("""COMPUTED_VALUE"""),"Kendra + Maggie - CFSN Pontiac")</f>
        <v>Kendra + Maggie - CFSN Pontiac</v>
      </c>
      <c r="D14" s="19" t="str">
        <f>IFERROR(__xludf.DUMMYFUNCTION("""COMPUTED_VALUE"""),"4 - Agree")</f>
        <v>4 - Agree</v>
      </c>
      <c r="E14" s="19" t="str">
        <f>IFERROR(__xludf.DUMMYFUNCTION("""COMPUTED_VALUE"""),"4 - Agree")</f>
        <v>4 - Agree</v>
      </c>
      <c r="F14" s="19" t="str">
        <f>IFERROR(__xludf.DUMMYFUNCTION("""COMPUTED_VALUE"""),"4 - Agree")</f>
        <v>4 - Agree</v>
      </c>
      <c r="G14" s="19" t="str">
        <f>IFERROR(__xludf.DUMMYFUNCTION("""COMPUTED_VALUE"""),"5 - Strongly Agree")</f>
        <v>5 - Strongly Agree</v>
      </c>
      <c r="H14" s="19" t="str">
        <f>IFERROR(__xludf.DUMMYFUNCTION("""COMPUTED_VALUE"""),"4 - Agree")</f>
        <v>4 - Agree</v>
      </c>
      <c r="I14" s="19" t="str">
        <f>IFERROR(__xludf.DUMMYFUNCTION("""COMPUTED_VALUE"""),"3 - Neutral")</f>
        <v>3 - Neutral</v>
      </c>
      <c r="J14" s="19" t="str">
        <f>IFERROR(__xludf.DUMMYFUNCTION("""COMPUTED_VALUE"""),"4 - Agree")</f>
        <v>4 - Agree</v>
      </c>
      <c r="K14" s="19" t="str">
        <f>IFERROR(__xludf.DUMMYFUNCTION("""COMPUTED_VALUE"""),"4 - Agree")</f>
        <v>4 - Agree</v>
      </c>
      <c r="L14" s="19" t="str">
        <f>IFERROR(__xludf.DUMMYFUNCTION("""COMPUTED_VALUE"""),"4 - Agree")</f>
        <v>4 - Agree</v>
      </c>
      <c r="M14" s="19" t="str">
        <f>IFERROR(__xludf.DUMMYFUNCTION("""COMPUTED_VALUE"""),"5 - Strongly Agree")</f>
        <v>5 - Strongly Agree</v>
      </c>
      <c r="N14" s="19" t="str">
        <f>IFERROR(__xludf.DUMMYFUNCTION("""COMPUTED_VALUE"""),"3 - Neutral")</f>
        <v>3 - Neutral</v>
      </c>
      <c r="O14" s="19" t="str">
        <f>IFERROR(__xludf.DUMMYFUNCTION("""COMPUTED_VALUE"""),"It has gone pretty well. I do think it would be easier to get student engagement if we were in person.")</f>
        <v>It has gone pretty well. I do think it would be easier to get student engagement if we were in person.</v>
      </c>
      <c r="P14" s="19" t="str">
        <f>IFERROR(__xludf.DUMMYFUNCTION("""COMPUTED_VALUE"""),"Working with Chassidy for a second year has been rewarding.")</f>
        <v>Working with Chassidy for a second year has been rewarding.</v>
      </c>
      <c r="Q14" s="19" t="str">
        <f>IFERROR(__xludf.DUMMYFUNCTION("""COMPUTED_VALUE"""),"Nothing")</f>
        <v>Nothing</v>
      </c>
      <c r="R14" s="19" t="str">
        <f>IFERROR(__xludf.DUMMYFUNCTION("""COMPUTED_VALUE"""),"My favorite memory is when Chassidy read 8-10 books to me without me having to push her too much.")</f>
        <v>My favorite memory is when Chassidy read 8-10 books to me without me having to push her too much.</v>
      </c>
      <c r="S14" s="19" t="str">
        <f>IFERROR(__xludf.DUMMYFUNCTION("""COMPUTED_VALUE"""),"Once a month")</f>
        <v>Once a month</v>
      </c>
      <c r="T14" s="19"/>
      <c r="U14" s="19"/>
      <c r="V14" s="19" t="str">
        <f>IFERROR(__xludf.DUMMYFUNCTION("""COMPUTED_VALUE"""),"Regular prompting to use it")</f>
        <v>Regular prompting to use it</v>
      </c>
      <c r="W14" s="19" t="str">
        <f>IFERROR(__xludf.DUMMYFUNCTION("""COMPUTED_VALUE"""),"Nothing")</f>
        <v>Nothing</v>
      </c>
      <c r="X14" s="19"/>
      <c r="Y14" s="19"/>
      <c r="Z14" s="19" t="str">
        <f>IFERROR(__xludf.DUMMYFUNCTION("""COMPUTED_VALUE"""),"N/A")</f>
        <v>N/A</v>
      </c>
      <c r="AA14" s="19" t="str">
        <f>IFERROR(__xludf.DUMMYFUNCTION("""COMPUTED_VALUE"""),"I do not use social media")</f>
        <v>I do not use social media</v>
      </c>
      <c r="AB14" s="19" t="str">
        <f>IFERROR(__xludf.DUMMYFUNCTION("""COMPUTED_VALUE"""),"N/A")</f>
        <v>N/A</v>
      </c>
      <c r="AC14" s="19" t="str">
        <f>IFERROR(__xludf.DUMMYFUNCTION("""COMPUTED_VALUE"""),"Chassidy is way more confident with her reading and is starting to take more initiative.")</f>
        <v>Chassidy is way more confident with her reading and is starting to take more initiative.</v>
      </c>
      <c r="AD14" s="19" t="str">
        <f>IFERROR(__xludf.DUMMYFUNCTION("""COMPUTED_VALUE"""),"No")</f>
        <v>No</v>
      </c>
      <c r="AE14" s="19"/>
    </row>
    <row r="15">
      <c r="A15" s="18">
        <f>IFERROR(__xludf.DUMMYFUNCTION("""COMPUTED_VALUE"""),45432.770343993056)</f>
        <v>45432.77034</v>
      </c>
      <c r="B15" s="19" t="str">
        <f>IFERROR(__xludf.DUMMYFUNCTION("""COMPUTED_VALUE"""),"Derrick Roman")</f>
        <v>Derrick Roman</v>
      </c>
      <c r="C15" s="19" t="str">
        <f>IFERROR(__xludf.DUMMYFUNCTION("""COMPUTED_VALUE"""),"Kendra + Maggie - CFSN Pontiac")</f>
        <v>Kendra + Maggie - CFSN Pontiac</v>
      </c>
      <c r="D15" s="19" t="str">
        <f>IFERROR(__xludf.DUMMYFUNCTION("""COMPUTED_VALUE"""),"4 - Agree")</f>
        <v>4 - Agree</v>
      </c>
      <c r="E15" s="19" t="str">
        <f>IFERROR(__xludf.DUMMYFUNCTION("""COMPUTED_VALUE"""),"4 - Agree")</f>
        <v>4 - Agree</v>
      </c>
      <c r="F15" s="19" t="str">
        <f>IFERROR(__xludf.DUMMYFUNCTION("""COMPUTED_VALUE"""),"4 - Agree")</f>
        <v>4 - Agree</v>
      </c>
      <c r="G15" s="19" t="str">
        <f>IFERROR(__xludf.DUMMYFUNCTION("""COMPUTED_VALUE"""),"3 - Neutral")</f>
        <v>3 - Neutral</v>
      </c>
      <c r="H15" s="19" t="str">
        <f>IFERROR(__xludf.DUMMYFUNCTION("""COMPUTED_VALUE"""),"4 - Agree")</f>
        <v>4 - Agree</v>
      </c>
      <c r="I15" s="19" t="str">
        <f>IFERROR(__xludf.DUMMYFUNCTION("""COMPUTED_VALUE"""),"5 - Strongly Agree")</f>
        <v>5 - Strongly Agree</v>
      </c>
      <c r="J15" s="19" t="str">
        <f>IFERROR(__xludf.DUMMYFUNCTION("""COMPUTED_VALUE"""),"4 - Agree")</f>
        <v>4 - Agree</v>
      </c>
      <c r="K15" s="19" t="str">
        <f>IFERROR(__xludf.DUMMYFUNCTION("""COMPUTED_VALUE"""),"4 - Agree")</f>
        <v>4 - Agree</v>
      </c>
      <c r="L15" s="19" t="str">
        <f>IFERROR(__xludf.DUMMYFUNCTION("""COMPUTED_VALUE"""),"5 - Strongly Agree")</f>
        <v>5 - Strongly Agree</v>
      </c>
      <c r="M15" s="19" t="str">
        <f>IFERROR(__xludf.DUMMYFUNCTION("""COMPUTED_VALUE"""),"5 - Strongly Agree")</f>
        <v>5 - Strongly Agree</v>
      </c>
      <c r="N15" s="19" t="str">
        <f>IFERROR(__xludf.DUMMYFUNCTION("""COMPUTED_VALUE"""),"4 - Agree")</f>
        <v>4 - Agree</v>
      </c>
      <c r="O15" s="19" t="str">
        <f>IFERROR(__xludf.DUMMYFUNCTION("""COMPUTED_VALUE"""),"Very well. ")</f>
        <v>Very well. </v>
      </c>
      <c r="P15" s="19" t="str">
        <f>IFERROR(__xludf.DUMMYFUNCTION("""COMPUTED_VALUE"""),"Getting to know Naim")</f>
        <v>Getting to know Naim</v>
      </c>
      <c r="Q15" s="19" t="str">
        <f>IFERROR(__xludf.DUMMYFUNCTION("""COMPUTED_VALUE"""),"Feedback from staff about how effective our sessions are and what we might do differently to get better results")</f>
        <v>Feedback from staff about how effective our sessions are and what we might do differently to get better results</v>
      </c>
      <c r="R15" s="19" t="str">
        <f>IFERROR(__xludf.DUMMYFUNCTION("""COMPUTED_VALUE"""),"Naim sharing his comic books")</f>
        <v>Naim sharing his comic books</v>
      </c>
      <c r="S15" s="19" t="str">
        <f>IFERROR(__xludf.DUMMYFUNCTION("""COMPUTED_VALUE"""),"At every/most sessions")</f>
        <v>At every/most sessions</v>
      </c>
      <c r="T15" s="19"/>
      <c r="U15" s="19"/>
      <c r="V15" s="19" t="str">
        <f>IFERROR(__xludf.DUMMYFUNCTION("""COMPUTED_VALUE"""),"Excellent resources")</f>
        <v>Excellent resources</v>
      </c>
      <c r="W15" s="19" t="str">
        <f>IFERROR(__xludf.DUMMYFUNCTION("""COMPUTED_VALUE"""),"None")</f>
        <v>None</v>
      </c>
      <c r="X15" s="19"/>
      <c r="Y15" s="19"/>
      <c r="Z15" s="19" t="str">
        <f>IFERROR(__xludf.DUMMYFUNCTION("""COMPUTED_VALUE"""),"Better understanding of literacy challenges and how people can help. ")</f>
        <v>Better understanding of literacy challenges and how people can help. </v>
      </c>
      <c r="AA15" s="19" t="str">
        <f>IFERROR(__xludf.DUMMYFUNCTION("""COMPUTED_VALUE"""),"No")</f>
        <v>No</v>
      </c>
      <c r="AB15" s="19" t="str">
        <f>IFERROR(__xludf.DUMMYFUNCTION("""COMPUTED_VALUE"""),"Not for me. ")</f>
        <v>Not for me. </v>
      </c>
      <c r="AC15" s="19" t="str">
        <f>IFERROR(__xludf.DUMMYFUNCTION("""COMPUTED_VALUE"""),"Naim was more comfortable and trusting with me as time went. He worked hard at the reading exercises we did together.  ")</f>
        <v>Naim was more comfortable and trusting with me as time went. He worked hard at the reading exercises we did together.  </v>
      </c>
      <c r="AD15" s="19" t="str">
        <f>IFERROR(__xludf.DUMMYFUNCTION("""COMPUTED_VALUE"""),"Yes, with my name")</f>
        <v>Yes, with my name</v>
      </c>
      <c r="AE15" s="19" t="str">
        <f>IFERROR(__xludf.DUMMYFUNCTION("""COMPUTED_VALUE"""),"None...excellent program. ")</f>
        <v>None...excellent program. </v>
      </c>
    </row>
    <row r="16">
      <c r="A16" s="18">
        <f>IFERROR(__xludf.DUMMYFUNCTION("""COMPUTED_VALUE"""),45432.80824424769)</f>
        <v>45432.80824</v>
      </c>
      <c r="B16" s="19" t="str">
        <f>IFERROR(__xludf.DUMMYFUNCTION("""COMPUTED_VALUE"""),"Tanya Bhardwaj")</f>
        <v>Tanya Bhardwaj</v>
      </c>
      <c r="C16" s="19" t="str">
        <f>IFERROR(__xludf.DUMMYFUNCTION("""COMPUTED_VALUE"""),"Kendra + Maggie - CFSN Pontiac")</f>
        <v>Kendra + Maggie - CFSN Pontiac</v>
      </c>
      <c r="D16" s="19" t="str">
        <f>IFERROR(__xludf.DUMMYFUNCTION("""COMPUTED_VALUE"""),"5 - Strongly Agree")</f>
        <v>5 - Strongly Agree</v>
      </c>
      <c r="E16" s="19" t="str">
        <f>IFERROR(__xludf.DUMMYFUNCTION("""COMPUTED_VALUE"""),"4 - Agree")</f>
        <v>4 - Agree</v>
      </c>
      <c r="F16" s="19" t="str">
        <f>IFERROR(__xludf.DUMMYFUNCTION("""COMPUTED_VALUE"""),"4 - Agree")</f>
        <v>4 - Agree</v>
      </c>
      <c r="G16" s="19" t="str">
        <f>IFERROR(__xludf.DUMMYFUNCTION("""COMPUTED_VALUE"""),"5 - Strongly Agree")</f>
        <v>5 - Strongly Agree</v>
      </c>
      <c r="H16" s="19" t="str">
        <f>IFERROR(__xludf.DUMMYFUNCTION("""COMPUTED_VALUE"""),"4 - Agree")</f>
        <v>4 - Agree</v>
      </c>
      <c r="I16" s="19" t="str">
        <f>IFERROR(__xludf.DUMMYFUNCTION("""COMPUTED_VALUE"""),"4 - Agree")</f>
        <v>4 - Agree</v>
      </c>
      <c r="J16" s="19" t="str">
        <f>IFERROR(__xludf.DUMMYFUNCTION("""COMPUTED_VALUE"""),"4 - Agree")</f>
        <v>4 - Agree</v>
      </c>
      <c r="K16" s="19" t="str">
        <f>IFERROR(__xludf.DUMMYFUNCTION("""COMPUTED_VALUE"""),"4 - Agree")</f>
        <v>4 - Agree</v>
      </c>
      <c r="L16" s="19" t="str">
        <f>IFERROR(__xludf.DUMMYFUNCTION("""COMPUTED_VALUE"""),"5 - Strongly Agree")</f>
        <v>5 - Strongly Agree</v>
      </c>
      <c r="M16" s="19" t="str">
        <f>IFERROR(__xludf.DUMMYFUNCTION("""COMPUTED_VALUE"""),"5 - Strongly Agree")</f>
        <v>5 - Strongly Agree</v>
      </c>
      <c r="N16" s="19" t="str">
        <f>IFERROR(__xludf.DUMMYFUNCTION("""COMPUTED_VALUE"""),"5 - Strongly Agree")</f>
        <v>5 - Strongly Agree</v>
      </c>
      <c r="O16" s="19" t="str">
        <f>IFERROR(__xludf.DUMMYFUNCTION("""COMPUTED_VALUE"""),"I have enjoyed it overall! It has provided me with the flexibility I needed while still being able to volunteer. ")</f>
        <v>I have enjoyed it overall! It has provided me with the flexibility I needed while still being able to volunteer. </v>
      </c>
      <c r="P16" s="19" t="str">
        <f>IFERROR(__xludf.DUMMYFUNCTION("""COMPUTED_VALUE"""),"The best part was seeing Isaiah become more comfortable with me throughout the sessions and seeing him enjoy reading!")</f>
        <v>The best part was seeing Isaiah become more comfortable with me throughout the sessions and seeing him enjoy reading!</v>
      </c>
      <c r="Q16" s="19" t="str">
        <f>IFERROR(__xludf.DUMMYFUNCTION("""COMPUTED_VALUE"""),"Sometimes communication with schedule changes like cancellations could have been prioritized a bit more. ")</f>
        <v>Sometimes communication with schedule changes like cancellations could have been prioritized a bit more. </v>
      </c>
      <c r="R16" s="19" t="str">
        <f>IFERROR(__xludf.DUMMYFUNCTION("""COMPUTED_VALUE"""),"My favorite memory was teaching Isaiah how to play connect 4 and now he puts up quite the challenge! ")</f>
        <v>My favorite memory was teaching Isaiah how to play connect 4 and now he puts up quite the challenge! </v>
      </c>
      <c r="S16" s="19" t="str">
        <f>IFERROR(__xludf.DUMMYFUNCTION("""COMPUTED_VALUE"""),"Not at all")</f>
        <v>Not at all</v>
      </c>
      <c r="T16" s="19"/>
      <c r="U16" s="19"/>
      <c r="V16" s="19" t="str">
        <f>IFERROR(__xludf.DUMMYFUNCTION("""COMPUTED_VALUE"""),"If someone told me when and why to use them or maybe if there was a sequential order I should be aware of. ")</f>
        <v>If someone told me when and why to use them or maybe if there was a sequential order I should be aware of. </v>
      </c>
      <c r="W16" s="19" t="str">
        <f>IFERROR(__xludf.DUMMYFUNCTION("""COMPUTED_VALUE"""),"Nothing, it was great!")</f>
        <v>Nothing, it was great!</v>
      </c>
      <c r="X16" s="19"/>
      <c r="Y16" s="19"/>
      <c r="Z16" s="19" t="str">
        <f>IFERROR(__xludf.DUMMYFUNCTION("""COMPUTED_VALUE"""),"N/A")</f>
        <v>N/A</v>
      </c>
      <c r="AA16" s="19" t="str">
        <f>IFERROR(__xludf.DUMMYFUNCTION("""COMPUTED_VALUE"""),"I do not because I don't use either very much. ")</f>
        <v>I do not because I don't use either very much. </v>
      </c>
      <c r="AB16" s="19" t="str">
        <f>IFERROR(__xludf.DUMMYFUNCTION("""COMPUTED_VALUE"""),"N/A")</f>
        <v>N/A</v>
      </c>
      <c r="AC16" s="19" t="str">
        <f>IFERROR(__xludf.DUMMYFUNCTION("""COMPUTED_VALUE"""),"Isaiah has improved on his reading skills tremendously. His speed and confidence has improved a lot and when he is interested in something, he genuinely tries his best. I am very proud of his growth this year!")</f>
        <v>Isaiah has improved on his reading skills tremendously. His speed and confidence has improved a lot and when he is interested in something, he genuinely tries his best. I am very proud of his growth this year!</v>
      </c>
      <c r="AD16" s="19" t="str">
        <f>IFERROR(__xludf.DUMMYFUNCTION("""COMPUTED_VALUE"""),"Yes, anonymously")</f>
        <v>Yes, anonymously</v>
      </c>
      <c r="AE16" s="19" t="str">
        <f>IFERROR(__xludf.DUMMYFUNCTION("""COMPUTED_VALUE"""),"N/A")</f>
        <v>N/A</v>
      </c>
    </row>
    <row r="17">
      <c r="A17" s="18">
        <f>IFERROR(__xludf.DUMMYFUNCTION("""COMPUTED_VALUE"""),45432.81700686342)</f>
        <v>45432.81701</v>
      </c>
      <c r="B17" s="19" t="str">
        <f>IFERROR(__xludf.DUMMYFUNCTION("""COMPUTED_VALUE"""),"Rosemarie Reilly")</f>
        <v>Rosemarie Reilly</v>
      </c>
      <c r="C17" s="19" t="str">
        <f>IFERROR(__xludf.DUMMYFUNCTION("""COMPUTED_VALUE"""),"Kendra + Maggie - CFSN Pontiac")</f>
        <v>Kendra + Maggie - CFSN Pontiac</v>
      </c>
      <c r="D17" s="19" t="str">
        <f>IFERROR(__xludf.DUMMYFUNCTION("""COMPUTED_VALUE"""),"5 - Strongly Agree")</f>
        <v>5 - Strongly Agree</v>
      </c>
      <c r="E17" s="19" t="str">
        <f>IFERROR(__xludf.DUMMYFUNCTION("""COMPUTED_VALUE"""),"5 - Strongly Agree")</f>
        <v>5 - Strongly Agree</v>
      </c>
      <c r="F17" s="19" t="str">
        <f>IFERROR(__xludf.DUMMYFUNCTION("""COMPUTED_VALUE"""),"5 - Strongly Agree")</f>
        <v>5 - Strongly Agree</v>
      </c>
      <c r="G17" s="19" t="str">
        <f>IFERROR(__xludf.DUMMYFUNCTION("""COMPUTED_VALUE"""),"5 - Strongly Agree")</f>
        <v>5 - Strongly Agree</v>
      </c>
      <c r="H17" s="19" t="str">
        <f>IFERROR(__xludf.DUMMYFUNCTION("""COMPUTED_VALUE"""),"5 - Strongly Agree")</f>
        <v>5 - Strongly Agree</v>
      </c>
      <c r="I17" s="19" t="str">
        <f>IFERROR(__xludf.DUMMYFUNCTION("""COMPUTED_VALUE"""),"5 - Strongly Agree")</f>
        <v>5 - Strongly Agree</v>
      </c>
      <c r="J17" s="19"/>
      <c r="K17" s="19" t="str">
        <f>IFERROR(__xludf.DUMMYFUNCTION("""COMPUTED_VALUE"""),"5 - Strongly Agree")</f>
        <v>5 - Strongly Agree</v>
      </c>
      <c r="L17" s="19" t="str">
        <f>IFERROR(__xludf.DUMMYFUNCTION("""COMPUTED_VALUE"""),"5 - Strongly Agree")</f>
        <v>5 - Strongly Agree</v>
      </c>
      <c r="M17" s="19" t="str">
        <f>IFERROR(__xludf.DUMMYFUNCTION("""COMPUTED_VALUE"""),"5 - Strongly Agree")</f>
        <v>5 - Strongly Agree</v>
      </c>
      <c r="N17" s="19" t="str">
        <f>IFERROR(__xludf.DUMMYFUNCTION("""COMPUTED_VALUE"""),"5 - Strongly Agree")</f>
        <v>5 - Strongly Agree</v>
      </c>
      <c r="O17" s="19" t="str">
        <f>IFERROR(__xludf.DUMMYFUNCTION("""COMPUTED_VALUE"""),"I did some virtual sessions while I was traveling. I had some issues with sharing the whiteboard at times using Zoom")</f>
        <v>I did some virtual sessions while I was traveling. I had some issues with sharing the whiteboard at times using Zoom</v>
      </c>
      <c r="P17" s="19" t="str">
        <f>IFERROR(__xludf.DUMMYFUNCTION("""COMPUTED_VALUE"""),"I liked the 1-1 in person time with the kids")</f>
        <v>I liked the 1-1 in person time with the kids</v>
      </c>
      <c r="Q17" s="19" t="str">
        <f>IFERROR(__xludf.DUMMYFUNCTION("""COMPUTED_VALUE"""),"Every child should have a mentor!  If not enough mentor, have less kids. My mentee on M-W was not assigned until mid year and she made progress but could have made even more progress with someone from the beginning of the year")</f>
        <v>Every child should have a mentor!  If not enough mentor, have less kids. My mentee on M-W was not assigned until mid year and she made progress but could have made even more progress with someone from the beginning of the year</v>
      </c>
      <c r="R17" s="19" t="str">
        <f>IFERROR(__xludf.DUMMYFUNCTION("""COMPUTED_VALUE"""),"Having my mentee give me a big smile &amp; hug when I arrive")</f>
        <v>Having my mentee give me a big smile &amp; hug when I arrive</v>
      </c>
      <c r="S17" s="19"/>
      <c r="T17" s="19"/>
      <c r="U17" s="19"/>
      <c r="V17" s="19"/>
      <c r="W17" s="19" t="str">
        <f>IFERROR(__xludf.DUMMYFUNCTION("""COMPUTED_VALUE"""),"Have folders for all kids even if no mentor assigned!  I have filled in for many different students and most had no folders set up")</f>
        <v>Have folders for all kids even if no mentor assigned!  I have filled in for many different students and most had no folders set up</v>
      </c>
      <c r="X17" s="19"/>
      <c r="Y17" s="19"/>
      <c r="Z17" s="19" t="str">
        <f>IFERROR(__xludf.DUMMYFUNCTION("""COMPUTED_VALUE"""),"I")</f>
        <v>I</v>
      </c>
      <c r="AA17" s="19" t="str">
        <f>IFERROR(__xludf.DUMMYFUNCTION("""COMPUTED_VALUE"""),"No. Don’t use social media ")</f>
        <v>No. Don’t use social media </v>
      </c>
      <c r="AB17" s="19"/>
      <c r="AC17" s="19" t="str">
        <f>IFERROR(__xludf.DUMMYFUNCTION("""COMPUTED_VALUE"""),"I saw my mentee on MW gain confidence allowing her to try new words. I’ve tried many different strategies to help her remember sight words and tackle different books")</f>
        <v>I saw my mentee on MW gain confidence allowing her to try new words. I’ve tried many different strategies to help her remember sight words and tackle different books</v>
      </c>
      <c r="AD17" s="19" t="str">
        <f>IFERROR(__xludf.DUMMYFUNCTION("""COMPUTED_VALUE"""),"No")</f>
        <v>No</v>
      </c>
      <c r="AE17" s="19" t="str">
        <f>IFERROR(__xludf.DUMMYFUNCTION("""COMPUTED_VALUE"""),"Need some specific information for kids with dyslexia ")</f>
        <v>Need some specific information for kids with dyslexia </v>
      </c>
    </row>
    <row r="18">
      <c r="A18" s="18">
        <f>IFERROR(__xludf.DUMMYFUNCTION("""COMPUTED_VALUE"""),45434.378113645835)</f>
        <v>45434.37811</v>
      </c>
      <c r="B18" s="19" t="str">
        <f>IFERROR(__xludf.DUMMYFUNCTION("""COMPUTED_VALUE"""),"Ruma Barua")</f>
        <v>Ruma Barua</v>
      </c>
      <c r="C18" s="19" t="str">
        <f>IFERROR(__xludf.DUMMYFUNCTION("""COMPUTED_VALUE"""),"Kendra + Maggie - CFSN Pontiac")</f>
        <v>Kendra + Maggie - CFSN Pontiac</v>
      </c>
      <c r="D18" s="19" t="str">
        <f>IFERROR(__xludf.DUMMYFUNCTION("""COMPUTED_VALUE"""),"4 - Agree")</f>
        <v>4 - Agree</v>
      </c>
      <c r="E18" s="19" t="str">
        <f>IFERROR(__xludf.DUMMYFUNCTION("""COMPUTED_VALUE"""),"4 - Agree")</f>
        <v>4 - Agree</v>
      </c>
      <c r="F18" s="19" t="str">
        <f>IFERROR(__xludf.DUMMYFUNCTION("""COMPUTED_VALUE"""),"4 - Agree")</f>
        <v>4 - Agree</v>
      </c>
      <c r="G18" s="19" t="str">
        <f>IFERROR(__xludf.DUMMYFUNCTION("""COMPUTED_VALUE"""),"4 - Agree")</f>
        <v>4 - Agree</v>
      </c>
      <c r="H18" s="19" t="str">
        <f>IFERROR(__xludf.DUMMYFUNCTION("""COMPUTED_VALUE"""),"4 - Agree")</f>
        <v>4 - Agree</v>
      </c>
      <c r="I18" s="19" t="str">
        <f>IFERROR(__xludf.DUMMYFUNCTION("""COMPUTED_VALUE"""),"4 - Agree")</f>
        <v>4 - Agree</v>
      </c>
      <c r="J18" s="19" t="str">
        <f>IFERROR(__xludf.DUMMYFUNCTION("""COMPUTED_VALUE"""),"4 - Agree")</f>
        <v>4 - Agree</v>
      </c>
      <c r="K18" s="19" t="str">
        <f>IFERROR(__xludf.DUMMYFUNCTION("""COMPUTED_VALUE"""),"3 - Neutral")</f>
        <v>3 - Neutral</v>
      </c>
      <c r="L18" s="19" t="str">
        <f>IFERROR(__xludf.DUMMYFUNCTION("""COMPUTED_VALUE"""),"4 - Agree")</f>
        <v>4 - Agree</v>
      </c>
      <c r="M18" s="19" t="str">
        <f>IFERROR(__xludf.DUMMYFUNCTION("""COMPUTED_VALUE"""),"4 - Agree")</f>
        <v>4 - Agree</v>
      </c>
      <c r="N18" s="19" t="str">
        <f>IFERROR(__xludf.DUMMYFUNCTION("""COMPUTED_VALUE"""),"5 - Strongly Agree")</f>
        <v>5 - Strongly Agree</v>
      </c>
      <c r="O18" s="19" t="str">
        <f>IFERROR(__xludf.DUMMYFUNCTION("""COMPUTED_VALUE"""),"The experience was good ( I had Isaiah for about two years and Ayris this past year)")</f>
        <v>The experience was good ( I had Isaiah for about two years and Ayris this past year)</v>
      </c>
      <c r="P18" s="19" t="str">
        <f>IFERROR(__xludf.DUMMYFUNCTION("""COMPUTED_VALUE"""),"Seeing the mentee improve her reading skills")</f>
        <v>Seeing the mentee improve her reading skills</v>
      </c>
      <c r="Q18" s="19" t="str">
        <f>IFERROR(__xludf.DUMMYFUNCTION("""COMPUTED_VALUE"""),"I feel a lot of time is gone before we are in a breakout room. Sometimes, it is 15 - 20 minutes after I signed on at 5:20. This happened this year only. The fist two years with Isaiah, we were in our breakout rooms almost immediately after we signed in. T"&amp;"hat gave us more productive time.  
Also, with the mentoring done in the center itself, there is a lot of distractions, especially the sound of chatter in the background. I did not have the issue with Isaiah last year as he was at home. 
Feedback from the"&amp;" coordinators could also be more timely.  
Also, her assessment at the start of the program that she is at Level C was not really accurate as she struggled initially with Level A or B books (she did get to read Level B well at the end). 
This is not criti"&amp;"cism , just constructive suggestions.
The resources were very good as was the online library of books.
")</f>
        <v>I feel a lot of time is gone before we are in a breakout room. Sometimes, it is 15 - 20 minutes after I signed on at 5:20. This happened this year only. The fist two years with Isaiah, we were in our breakout rooms almost immediately after we signed in. That gave us more productive time.  
Also, with the mentoring done in the center itself, there is a lot of distractions, especially the sound of chatter in the background. I did not have the issue with Isaiah last year as he was at home. 
Feedback from the coordinators could also be more timely.  
Also, her assessment at the start of the program that she is at Level C was not really accurate as she struggled initially with Level A or B books (she did get to read Level B well at the end). 
This is not criticism , just constructive suggestions.
The resources were very good as was the online library of books.
</v>
      </c>
      <c r="R18" s="19" t="str">
        <f>IFERROR(__xludf.DUMMYFUNCTION("""COMPUTED_VALUE"""),"Interacting with Ayris and seeing her improve. She is a very sweet girl.")</f>
        <v>Interacting with Ayris and seeing her improve. She is a very sweet girl.</v>
      </c>
      <c r="S18" s="19" t="str">
        <f>IFERROR(__xludf.DUMMYFUNCTION("""COMPUTED_VALUE"""),"At every/most sessions")</f>
        <v>At every/most sessions</v>
      </c>
      <c r="T18" s="19"/>
      <c r="U18" s="19"/>
      <c r="V18" s="19" t="str">
        <f>IFERROR(__xludf.DUMMYFUNCTION("""COMPUTED_VALUE"""),"I think the guides, resources  and outlines were very good.")</f>
        <v>I think the guides, resources  and outlines were very good.</v>
      </c>
      <c r="W18" s="19" t="str">
        <f>IFERROR(__xludf.DUMMYFUNCTION("""COMPUTED_VALUE"""),"See my suggestions above.")</f>
        <v>See my suggestions above.</v>
      </c>
      <c r="X18" s="19"/>
      <c r="Y18" s="19"/>
      <c r="Z18" s="19" t="str">
        <f>IFERROR(__xludf.DUMMYFUNCTION("""COMPUTED_VALUE"""),"I am very aware , even before the Equity Workshop of these issues and CFSN is doing a good job.")</f>
        <v>I am very aware , even before the Equity Workshop of these issues and CFSN is doing a good job.</v>
      </c>
      <c r="AA18" s="19" t="str">
        <f>IFERROR(__xludf.DUMMYFUNCTION("""COMPUTED_VALUE"""),"I have not, I am not very active on social media")</f>
        <v>I have not, I am not very active on social media</v>
      </c>
      <c r="AB18" s="19"/>
      <c r="AC18" s="19" t="str">
        <f>IFERROR(__xludf.DUMMYFUNCTION("""COMPUTED_VALUE"""),"In the beginning, she struggked with LKevel A books but was confidently reading Level B books and sometimes Level C with some help. ")</f>
        <v>In the beginning, she struggked with LKevel A books but was confidently reading Level B books and sometimes Level C with some help. </v>
      </c>
      <c r="AD18" s="19" t="str">
        <f>IFERROR(__xludf.DUMMYFUNCTION("""COMPUTED_VALUE"""),"Yes, anonymously")</f>
        <v>Yes, anonymously</v>
      </c>
      <c r="AE18" s="19"/>
    </row>
    <row r="19">
      <c r="A19" s="18">
        <f>IFERROR(__xludf.DUMMYFUNCTION("""COMPUTED_VALUE"""),45457.44859371528)</f>
        <v>45457.44859</v>
      </c>
      <c r="B19" s="19"/>
      <c r="C19" s="19" t="str">
        <f>IFERROR(__xludf.DUMMYFUNCTION("""COMPUTED_VALUE"""),"Kendra + Maggie - CFSN Pontiac")</f>
        <v>Kendra + Maggie - CFSN Pontiac</v>
      </c>
      <c r="D19" s="19" t="str">
        <f>IFERROR(__xludf.DUMMYFUNCTION("""COMPUTED_VALUE"""),"5 - Strongly Agree")</f>
        <v>5 - Strongly Agree</v>
      </c>
      <c r="E19" s="19" t="str">
        <f>IFERROR(__xludf.DUMMYFUNCTION("""COMPUTED_VALUE"""),"5 - Strongly Agree")</f>
        <v>5 - Strongly Agree</v>
      </c>
      <c r="F19" s="19" t="str">
        <f>IFERROR(__xludf.DUMMYFUNCTION("""COMPUTED_VALUE"""),"5 - Strongly Agree")</f>
        <v>5 - Strongly Agree</v>
      </c>
      <c r="G19" s="19" t="str">
        <f>IFERROR(__xludf.DUMMYFUNCTION("""COMPUTED_VALUE"""),"5 - Strongly Agree")</f>
        <v>5 - Strongly Agree</v>
      </c>
      <c r="H19" s="19" t="str">
        <f>IFERROR(__xludf.DUMMYFUNCTION("""COMPUTED_VALUE"""),"5 - Strongly Agree")</f>
        <v>5 - Strongly Agree</v>
      </c>
      <c r="I19" s="19" t="str">
        <f>IFERROR(__xludf.DUMMYFUNCTION("""COMPUTED_VALUE"""),"5 - Strongly Agree")</f>
        <v>5 - Strongly Agree</v>
      </c>
      <c r="J19" s="19" t="str">
        <f>IFERROR(__xludf.DUMMYFUNCTION("""COMPUTED_VALUE"""),"5 - Strongly Agree")</f>
        <v>5 - Strongly Agree</v>
      </c>
      <c r="K19" s="19" t="str">
        <f>IFERROR(__xludf.DUMMYFUNCTION("""COMPUTED_VALUE"""),"5 - Strongly Agree")</f>
        <v>5 - Strongly Agree</v>
      </c>
      <c r="L19" s="19" t="str">
        <f>IFERROR(__xludf.DUMMYFUNCTION("""COMPUTED_VALUE"""),"5 - Strongly Agree")</f>
        <v>5 - Strongly Agree</v>
      </c>
      <c r="M19" s="19" t="str">
        <f>IFERROR(__xludf.DUMMYFUNCTION("""COMPUTED_VALUE"""),"5 - Strongly Agree")</f>
        <v>5 - Strongly Agree</v>
      </c>
      <c r="N19" s="19" t="str">
        <f>IFERROR(__xludf.DUMMYFUNCTION("""COMPUTED_VALUE"""),"5 - Strongly Agree")</f>
        <v>5 - Strongly Agree</v>
      </c>
      <c r="O19" s="19"/>
      <c r="P19" s="19"/>
      <c r="Q19" s="19"/>
      <c r="R19" s="19"/>
      <c r="S19" s="19"/>
      <c r="T19" s="19"/>
      <c r="U19" s="19"/>
      <c r="V19" s="19"/>
      <c r="W19" s="19"/>
      <c r="X19" s="19"/>
      <c r="Y19" s="19"/>
      <c r="Z19" s="19"/>
      <c r="AA19" s="19"/>
      <c r="AB19" s="19"/>
      <c r="AC19" s="19"/>
      <c r="AD19" s="19" t="str">
        <f>IFERROR(__xludf.DUMMYFUNCTION("""COMPUTED_VALUE"""),"Yes, anonymously")</f>
        <v>Yes, anonymously</v>
      </c>
      <c r="AE19" s="19"/>
    </row>
    <row r="20">
      <c r="A20" s="18">
        <f>IFERROR(__xludf.DUMMYFUNCTION("""COMPUTED_VALUE"""),45523.5001647801)</f>
        <v>45523.50016</v>
      </c>
      <c r="B20" s="19" t="str">
        <f>IFERROR(__xludf.DUMMYFUNCTION("""COMPUTED_VALUE"""),"Evelyn James")</f>
        <v>Evelyn James</v>
      </c>
      <c r="C20" s="19" t="str">
        <f>IFERROR(__xludf.DUMMYFUNCTION("""COMPUTED_VALUE"""),"Kendra + Maggie - CFSN Pontiac")</f>
        <v>Kendra + Maggie - CFSN Pontiac</v>
      </c>
      <c r="D20" s="19" t="str">
        <f>IFERROR(__xludf.DUMMYFUNCTION("""COMPUTED_VALUE"""),"2 - Disagree")</f>
        <v>2 - Disagree</v>
      </c>
      <c r="E20" s="19" t="str">
        <f>IFERROR(__xludf.DUMMYFUNCTION("""COMPUTED_VALUE"""),"3 - Neutral")</f>
        <v>3 - Neutral</v>
      </c>
      <c r="F20" s="19" t="str">
        <f>IFERROR(__xludf.DUMMYFUNCTION("""COMPUTED_VALUE"""),"3 - Neutral")</f>
        <v>3 - Neutral</v>
      </c>
      <c r="G20" s="19" t="str">
        <f>IFERROR(__xludf.DUMMYFUNCTION("""COMPUTED_VALUE"""),"3 - Neutral")</f>
        <v>3 - Neutral</v>
      </c>
      <c r="H20" s="19" t="str">
        <f>IFERROR(__xludf.DUMMYFUNCTION("""COMPUTED_VALUE"""),"3 - Neutral")</f>
        <v>3 - Neutral</v>
      </c>
      <c r="I20" s="19" t="str">
        <f>IFERROR(__xludf.DUMMYFUNCTION("""COMPUTED_VALUE"""),"3 - Neutral")</f>
        <v>3 - Neutral</v>
      </c>
      <c r="J20" s="19" t="str">
        <f>IFERROR(__xludf.DUMMYFUNCTION("""COMPUTED_VALUE"""),"4 - Agree")</f>
        <v>4 - Agree</v>
      </c>
      <c r="K20" s="19" t="str">
        <f>IFERROR(__xludf.DUMMYFUNCTION("""COMPUTED_VALUE"""),"2 - Disagree")</f>
        <v>2 - Disagree</v>
      </c>
      <c r="L20" s="19" t="str">
        <f>IFERROR(__xludf.DUMMYFUNCTION("""COMPUTED_VALUE"""),"4 - Agree")</f>
        <v>4 - Agree</v>
      </c>
      <c r="M20" s="19" t="str">
        <f>IFERROR(__xludf.DUMMYFUNCTION("""COMPUTED_VALUE"""),"5 - Strongly Agree")</f>
        <v>5 - Strongly Agree</v>
      </c>
      <c r="N20" s="19" t="str">
        <f>IFERROR(__xludf.DUMMYFUNCTION("""COMPUTED_VALUE"""),"3 - Neutral")</f>
        <v>3 - Neutral</v>
      </c>
      <c r="O20" s="19" t="str">
        <f>IFERROR(__xludf.DUMMYFUNCTION("""COMPUTED_VALUE"""),"I attended in person mentoring sessions")</f>
        <v>I attended in person mentoring sessions</v>
      </c>
      <c r="P20" s="19" t="str">
        <f>IFERROR(__xludf.DUMMYFUNCTION("""COMPUTED_VALUE"""),"Getting to know my mentee and the others in the program. Sometimes seeing that understanding in their eyes.  ")</f>
        <v>Getting to know my mentee and the others in the program. Sometimes seeing that understanding in their eyes.  </v>
      </c>
      <c r="Q20" s="19" t="str">
        <f>IFERROR(__xludf.DUMMYFUNCTION("""COMPUTED_VALUE"""),"I feel Kendra and Maggie were understaffed and unable to do the job they needed to do. They were great with the kids.  They were supportive of them, compassionate, friendly, and firm when they had to be when I was there in person. I think because of a lac"&amp;"k of volunteers when it came time for students to log on with their mentee, there were many that didn't have a mentor.  So, I would let them join me and my mentee, which was fine.  My issue was the communication log that I would fill out and the learning "&amp;"materials that were to be left in my mentee's folder were not followed up on.  There was no feedback on what I wrote in the log.  The learning materials (folder games) were either way to hard, unable to understand or didn't have the right items needed. I "&amp;"improvised and usually had books picked out or did flash cards with my mentee, so they still had a learning experience.  I DO NOT FAULT Kendra or Maggie with these issues, I just think they had alot of responsibility and needed some more support.")</f>
        <v>I feel Kendra and Maggie were understaffed and unable to do the job they needed to do. They were great with the kids.  They were supportive of them, compassionate, friendly, and firm when they had to be when I was there in person. I think because of a lack of volunteers when it came time for students to log on with their mentee, there were many that didn't have a mentor.  So, I would let them join me and my mentee, which was fine.  My issue was the communication log that I would fill out and the learning materials that were to be left in my mentee's folder were not followed up on.  There was no feedback on what I wrote in the log.  The learning materials (folder games) were either way to hard, unable to understand or didn't have the right items needed. I improvised and usually had books picked out or did flash cards with my mentee, so they still had a learning experience.  I DO NOT FAULT Kendra or Maggie with these issues, I just think they had alot of responsibility and needed some more support.</v>
      </c>
      <c r="R20" s="19" t="str">
        <f>IFERROR(__xludf.DUMMYFUNCTION("""COMPUTED_VALUE"""),"Talking with my mentee while he was playing.  Telling me what he was building or drawing.  Watching him light up when he got the flash card word right.")</f>
        <v>Talking with my mentee while he was playing.  Telling me what he was building or drawing.  Watching him light up when he got the flash card word right.</v>
      </c>
      <c r="S20" s="19"/>
      <c r="T20" s="19"/>
      <c r="U20" s="19"/>
      <c r="V20" s="19"/>
      <c r="W20" s="19"/>
      <c r="X20" s="19"/>
      <c r="Y20" s="19"/>
      <c r="Z20" s="19"/>
      <c r="AA20" s="19" t="str">
        <f>IFERROR(__xludf.DUMMYFUNCTION("""COMPUTED_VALUE"""),"I am not on social media anymore.")</f>
        <v>I am not on social media anymore.</v>
      </c>
      <c r="AB20" s="19"/>
      <c r="AC20" s="19"/>
      <c r="AD20" s="19" t="str">
        <f>IFERROR(__xludf.DUMMYFUNCTION("""COMPUTED_VALUE"""),"No")</f>
        <v>No</v>
      </c>
      <c r="AE20" s="19"/>
    </row>
  </sheetData>
  <hyperlinks>
    <hyperlink r:id="rId1" ref="S1"/>
    <hyperlink r:id="rId2" ref="U1"/>
    <hyperlink r:id="rId3" ref="Y1"/>
    <hyperlink r:id="rId4" ref="AA1"/>
    <hyperlink r:id="rId5" ref="AD1"/>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0</v>
      </c>
      <c r="B1" s="15" t="s">
        <v>1</v>
      </c>
      <c r="C1" s="15" t="s">
        <v>2</v>
      </c>
      <c r="D1" s="15" t="s">
        <v>397</v>
      </c>
      <c r="E1" s="15" t="s">
        <v>398</v>
      </c>
      <c r="F1" s="15" t="s">
        <v>399</v>
      </c>
      <c r="G1" s="15" t="s">
        <v>400</v>
      </c>
      <c r="H1" s="15" t="s">
        <v>401</v>
      </c>
      <c r="I1" s="15" t="s">
        <v>402</v>
      </c>
      <c r="J1" s="15" t="s">
        <v>403</v>
      </c>
      <c r="K1" s="15" t="s">
        <v>404</v>
      </c>
      <c r="L1" s="15" t="s">
        <v>405</v>
      </c>
      <c r="M1" s="15" t="s">
        <v>406</v>
      </c>
      <c r="N1" s="15" t="s">
        <v>407</v>
      </c>
      <c r="O1" s="15" t="s">
        <v>14</v>
      </c>
      <c r="P1" s="15" t="s">
        <v>15</v>
      </c>
      <c r="Q1" s="15" t="s">
        <v>16</v>
      </c>
      <c r="R1" s="15" t="s">
        <v>17</v>
      </c>
      <c r="S1" s="16" t="s">
        <v>418</v>
      </c>
      <c r="T1" s="15" t="s">
        <v>19</v>
      </c>
      <c r="U1" s="16" t="s">
        <v>419</v>
      </c>
      <c r="V1" s="15" t="s">
        <v>21</v>
      </c>
      <c r="W1" s="15" t="s">
        <v>22</v>
      </c>
      <c r="X1" s="15" t="s">
        <v>23</v>
      </c>
      <c r="Y1" s="16" t="s">
        <v>420</v>
      </c>
      <c r="Z1" s="15" t="s">
        <v>25</v>
      </c>
      <c r="AA1" s="16" t="s">
        <v>421</v>
      </c>
      <c r="AB1" s="15" t="s">
        <v>27</v>
      </c>
      <c r="AC1" s="15" t="s">
        <v>28</v>
      </c>
      <c r="AD1" s="16" t="s">
        <v>422</v>
      </c>
      <c r="AE1" s="15" t="s">
        <v>30</v>
      </c>
      <c r="AF1" s="17"/>
      <c r="AG1" s="17"/>
      <c r="AH1" s="17"/>
      <c r="AI1" s="17"/>
      <c r="AJ1" s="17"/>
      <c r="AK1" s="17"/>
    </row>
    <row r="2">
      <c r="A2" s="18">
        <f>IFERROR(__xludf.DUMMYFUNCTION("QUERY('Form Responses 1'!A2:AE1000,""Select * where C = 'Isabella - CFSN at Brilliant Detroit Cody Rouge'"")"),45420.73930313657)</f>
        <v>45420.7393</v>
      </c>
      <c r="B2" s="19" t="str">
        <f>IFERROR(__xludf.DUMMYFUNCTION("""COMPUTED_VALUE"""),"Julie Rayes")</f>
        <v>Julie Rayes</v>
      </c>
      <c r="C2" s="19" t="str">
        <f>IFERROR(__xludf.DUMMYFUNCTION("""COMPUTED_VALUE"""),"Isabella - CFSN at Brilliant Detroit Cody Rouge")</f>
        <v>Isabella - CFSN at Brilliant Detroit Cody Rouge</v>
      </c>
      <c r="D2" s="19" t="str">
        <f>IFERROR(__xludf.DUMMYFUNCTION("""COMPUTED_VALUE"""),"4 - Agree")</f>
        <v>4 - Agree</v>
      </c>
      <c r="E2" s="19" t="str">
        <f>IFERROR(__xludf.DUMMYFUNCTION("""COMPUTED_VALUE"""),"4 - Agree")</f>
        <v>4 - Agree</v>
      </c>
      <c r="F2" s="19" t="str">
        <f>IFERROR(__xludf.DUMMYFUNCTION("""COMPUTED_VALUE"""),"4 - Agree")</f>
        <v>4 - Agree</v>
      </c>
      <c r="G2" s="19" t="str">
        <f>IFERROR(__xludf.DUMMYFUNCTION("""COMPUTED_VALUE"""),"3 - Neutral")</f>
        <v>3 - Neutral</v>
      </c>
      <c r="H2" s="19" t="str">
        <f>IFERROR(__xludf.DUMMYFUNCTION("""COMPUTED_VALUE"""),"4 - Agree")</f>
        <v>4 - Agree</v>
      </c>
      <c r="I2" s="19" t="str">
        <f>IFERROR(__xludf.DUMMYFUNCTION("""COMPUTED_VALUE"""),"4 - Agree")</f>
        <v>4 - Agree</v>
      </c>
      <c r="J2" s="19" t="str">
        <f>IFERROR(__xludf.DUMMYFUNCTION("""COMPUTED_VALUE"""),"5 - Strongly Agree")</f>
        <v>5 - Strongly Agree</v>
      </c>
      <c r="K2" s="19" t="str">
        <f>IFERROR(__xludf.DUMMYFUNCTION("""COMPUTED_VALUE"""),"5 - Strongly Agree")</f>
        <v>5 - Strongly Agree</v>
      </c>
      <c r="L2" s="19" t="str">
        <f>IFERROR(__xludf.DUMMYFUNCTION("""COMPUTED_VALUE"""),"5 - Strongly Agree")</f>
        <v>5 - Strongly Agree</v>
      </c>
      <c r="M2" s="19" t="str">
        <f>IFERROR(__xludf.DUMMYFUNCTION("""COMPUTED_VALUE"""),"5 - Strongly Agree")</f>
        <v>5 - Strongly Agree</v>
      </c>
      <c r="N2" s="19" t="str">
        <f>IFERROR(__xludf.DUMMYFUNCTION("""COMPUTED_VALUE"""),"5 - Strongly Agree")</f>
        <v>5 - Strongly Agree</v>
      </c>
      <c r="O2" s="19" t="str">
        <f>IFERROR(__xludf.DUMMYFUNCTION("""COMPUTED_VALUE"""),"Overall, it has gone well.  I was hoping to help Josselyn's reading improve a bit more than it did.  I think the fact that English is her second language has a lot to do with her reading level.")</f>
        <v>Overall, it has gone well.  I was hoping to help Josselyn's reading improve a bit more than it did.  I think the fact that English is her second language has a lot to do with her reading level.</v>
      </c>
      <c r="P2" s="19" t="str">
        <f>IFERROR(__xludf.DUMMYFUNCTION("""COMPUTED_VALUE"""),"The best part was when Josselyn and I wrote a story about her favorite Christmas traditions and then we turned it into a Funny Fill-In.")</f>
        <v>The best part was when Josselyn and I wrote a story about her favorite Christmas traditions and then we turned it into a Funny Fill-In.</v>
      </c>
      <c r="Q2" s="19" t="str">
        <f>IFERROR(__xludf.DUMMYFUNCTION("""COMPUTED_VALUE"""),"When the student is struggling with something, it would be helpful to receive specific direction and resources to help him/her improve.  For example, I would like to receive links to help me teach the topic, or receive links to games that will help in tha"&amp;"t area. This could be included in the facilitator's response in the Mentor Log.  Sometimes the Virtual Mentor Resources are a lot to search through.")</f>
        <v>When the student is struggling with something, it would be helpful to receive specific direction and resources to help him/her improve.  For example, I would like to receive links to help me teach the topic, or receive links to games that will help in that area. This could be included in the facilitator's response in the Mentor Log.  Sometimes the Virtual Mentor Resources are a lot to search through.</v>
      </c>
      <c r="R2" s="19" t="str">
        <f>IFERROR(__xludf.DUMMYFUNCTION("""COMPUTED_VALUE"""),"Hearing from the facilitator that Josselyn really enjoys working with me.")</f>
        <v>Hearing from the facilitator that Josselyn really enjoys working with me.</v>
      </c>
      <c r="S2" s="19" t="str">
        <f>IFERROR(__xludf.DUMMYFUNCTION("""COMPUTED_VALUE"""),"Not at all")</f>
        <v>Not at all</v>
      </c>
      <c r="T2" s="19"/>
      <c r="U2" s="19"/>
      <c r="V2" s="19" t="str">
        <f>IFERROR(__xludf.DUMMYFUNCTION("""COMPUTED_VALUE"""),"At the beginning of each year, I review the Virtual Mentoring Outline and follow it to the best of my ability.  I feel there should be some flexibility in the sessions so the student does not get bored.")</f>
        <v>At the beginning of each year, I review the Virtual Mentoring Outline and follow it to the best of my ability.  I feel there should be some flexibility in the sessions so the student does not get bored.</v>
      </c>
      <c r="W2" s="19" t="str">
        <f>IFERROR(__xludf.DUMMYFUNCTION("""COMPUTED_VALUE"""),"I feel supported and am happy with the program.")</f>
        <v>I feel supported and am happy with the program.</v>
      </c>
      <c r="X2" s="19"/>
      <c r="Y2" s="19"/>
      <c r="Z2" s="19" t="str">
        <f>IFERROR(__xludf.DUMMYFUNCTION("""COMPUTED_VALUE"""),"I don't believe I attended this workshop.")</f>
        <v>I don't believe I attended this workshop.</v>
      </c>
      <c r="AA2" s="19" t="str">
        <f>IFERROR(__xludf.DUMMYFUNCTION("""COMPUTED_VALUE"""),"No, I don't follow CFSN simply because I don't enjoy being on social media.")</f>
        <v>No, I don't follow CFSN simply because I don't enjoy being on social media.</v>
      </c>
      <c r="AB2" s="19" t="str">
        <f>IFERROR(__xludf.DUMMYFUNCTION("""COMPUTED_VALUE"""),"n/a")</f>
        <v>n/a</v>
      </c>
      <c r="AC2" s="19" t="str">
        <f>IFERROR(__xludf.DUMMYFUNCTION("""COMPUTED_VALUE"""),"I have enjoyed seeing my mentee become more comfortable with reading and excited to read her favorite books, which are Junie B. Jones and Dogman.  All year long, she worked hard and only missed one session!")</f>
        <v>I have enjoyed seeing my mentee become more comfortable with reading and excited to read her favorite books, which are Junie B. Jones and Dogman.  All year long, she worked hard and only missed one session!</v>
      </c>
      <c r="AD2" s="19" t="str">
        <f>IFERROR(__xludf.DUMMYFUNCTION("""COMPUTED_VALUE"""),"Please use my first name only")</f>
        <v>Please use my first name only</v>
      </c>
      <c r="AE2" s="19" t="str">
        <f>IFERROR(__xludf.DUMMYFUNCTION("""COMPUTED_VALUE"""),"n/a")</f>
        <v>n/a</v>
      </c>
    </row>
    <row r="3">
      <c r="A3" s="18">
        <f>IFERROR(__xludf.DUMMYFUNCTION("""COMPUTED_VALUE"""),45420.770849583336)</f>
        <v>45420.77085</v>
      </c>
      <c r="B3" s="19"/>
      <c r="C3" s="19" t="str">
        <f>IFERROR(__xludf.DUMMYFUNCTION("""COMPUTED_VALUE"""),"Isabella - CFSN at Brilliant Detroit Cody Rouge")</f>
        <v>Isabella - CFSN at Brilliant Detroit Cody Rouge</v>
      </c>
      <c r="D3" s="19" t="str">
        <f>IFERROR(__xludf.DUMMYFUNCTION("""COMPUTED_VALUE"""),"4 - Agree")</f>
        <v>4 - Agree</v>
      </c>
      <c r="E3" s="19" t="str">
        <f>IFERROR(__xludf.DUMMYFUNCTION("""COMPUTED_VALUE"""),"4 - Agree")</f>
        <v>4 - Agree</v>
      </c>
      <c r="F3" s="19" t="str">
        <f>IFERROR(__xludf.DUMMYFUNCTION("""COMPUTED_VALUE"""),"2 - Disagree")</f>
        <v>2 - Disagree</v>
      </c>
      <c r="G3" s="19" t="str">
        <f>IFERROR(__xludf.DUMMYFUNCTION("""COMPUTED_VALUE"""),"3 - Neutral")</f>
        <v>3 - Neutral</v>
      </c>
      <c r="H3" s="19" t="str">
        <f>IFERROR(__xludf.DUMMYFUNCTION("""COMPUTED_VALUE"""),"5 - Strongly Agree")</f>
        <v>5 - Strongly Agree</v>
      </c>
      <c r="I3" s="19" t="str">
        <f>IFERROR(__xludf.DUMMYFUNCTION("""COMPUTED_VALUE"""),"5 - Strongly Agree")</f>
        <v>5 - Strongly Agree</v>
      </c>
      <c r="J3" s="19" t="str">
        <f>IFERROR(__xludf.DUMMYFUNCTION("""COMPUTED_VALUE"""),"4 - Agree")</f>
        <v>4 - Agree</v>
      </c>
      <c r="K3" s="19" t="str">
        <f>IFERROR(__xludf.DUMMYFUNCTION("""COMPUTED_VALUE"""),"5 - Strongly Agree")</f>
        <v>5 - Strongly Agree</v>
      </c>
      <c r="L3" s="19" t="str">
        <f>IFERROR(__xludf.DUMMYFUNCTION("""COMPUTED_VALUE"""),"4 - Agree")</f>
        <v>4 - Agree</v>
      </c>
      <c r="M3" s="19" t="str">
        <f>IFERROR(__xludf.DUMMYFUNCTION("""COMPUTED_VALUE"""),"4 - Agree")</f>
        <v>4 - Agree</v>
      </c>
      <c r="N3" s="19" t="str">
        <f>IFERROR(__xludf.DUMMYFUNCTION("""COMPUTED_VALUE"""),"5 - Strongly Agree")</f>
        <v>5 - Strongly Agree</v>
      </c>
      <c r="O3" s="19"/>
      <c r="P3" s="19"/>
      <c r="Q3" s="19"/>
      <c r="R3" s="19"/>
      <c r="S3" s="19" t="str">
        <f>IFERROR(__xludf.DUMMYFUNCTION("""COMPUTED_VALUE"""),"At every/most sessions")</f>
        <v>At every/most sessions</v>
      </c>
      <c r="T3" s="19"/>
      <c r="U3" s="19"/>
      <c r="V3" s="19"/>
      <c r="W3" s="19"/>
      <c r="X3" s="19"/>
      <c r="Y3" s="19"/>
      <c r="Z3" s="19"/>
      <c r="AA3" s="19"/>
      <c r="AB3" s="19"/>
      <c r="AC3" s="19"/>
      <c r="AD3" s="19" t="str">
        <f>IFERROR(__xludf.DUMMYFUNCTION("""COMPUTED_VALUE"""),"Yes, anonymously")</f>
        <v>Yes, anonymously</v>
      </c>
      <c r="AE3" s="19"/>
    </row>
    <row r="4">
      <c r="A4" s="18">
        <f>IFERROR(__xludf.DUMMYFUNCTION("""COMPUTED_VALUE"""),45426.99816914352)</f>
        <v>45426.99817</v>
      </c>
      <c r="B4" s="19"/>
      <c r="C4" s="19" t="str">
        <f>IFERROR(__xludf.DUMMYFUNCTION("""COMPUTED_VALUE"""),"Isabella - CFSN at Brilliant Detroit Cody Rouge")</f>
        <v>Isabella - CFSN at Brilliant Detroit Cody Rouge</v>
      </c>
      <c r="D4" s="19" t="str">
        <f>IFERROR(__xludf.DUMMYFUNCTION("""COMPUTED_VALUE"""),"4 - Agree")</f>
        <v>4 - Agree</v>
      </c>
      <c r="E4" s="19" t="str">
        <f>IFERROR(__xludf.DUMMYFUNCTION("""COMPUTED_VALUE"""),"3 - Neutral")</f>
        <v>3 - Neutral</v>
      </c>
      <c r="F4" s="19" t="str">
        <f>IFERROR(__xludf.DUMMYFUNCTION("""COMPUTED_VALUE"""),"4 - Agree")</f>
        <v>4 - Agree</v>
      </c>
      <c r="G4" s="19" t="str">
        <f>IFERROR(__xludf.DUMMYFUNCTION("""COMPUTED_VALUE"""),"4 - Agree")</f>
        <v>4 - Agree</v>
      </c>
      <c r="H4" s="19" t="str">
        <f>IFERROR(__xludf.DUMMYFUNCTION("""COMPUTED_VALUE"""),"4 - Agree")</f>
        <v>4 - Agree</v>
      </c>
      <c r="I4" s="19" t="str">
        <f>IFERROR(__xludf.DUMMYFUNCTION("""COMPUTED_VALUE"""),"4 - Agree")</f>
        <v>4 - Agree</v>
      </c>
      <c r="J4" s="19" t="str">
        <f>IFERROR(__xludf.DUMMYFUNCTION("""COMPUTED_VALUE"""),"4 - Agree")</f>
        <v>4 - Agree</v>
      </c>
      <c r="K4" s="19" t="str">
        <f>IFERROR(__xludf.DUMMYFUNCTION("""COMPUTED_VALUE"""),"4 - Agree")</f>
        <v>4 - Agree</v>
      </c>
      <c r="L4" s="19" t="str">
        <f>IFERROR(__xludf.DUMMYFUNCTION("""COMPUTED_VALUE"""),"4 - Agree")</f>
        <v>4 - Agree</v>
      </c>
      <c r="M4" s="19" t="str">
        <f>IFERROR(__xludf.DUMMYFUNCTION("""COMPUTED_VALUE"""),"4 - Agree")</f>
        <v>4 - Agree</v>
      </c>
      <c r="N4" s="19" t="str">
        <f>IFERROR(__xludf.DUMMYFUNCTION("""COMPUTED_VALUE"""),"4 - Agree")</f>
        <v>4 - Agree</v>
      </c>
      <c r="O4" s="19"/>
      <c r="P4" s="19"/>
      <c r="Q4" s="19"/>
      <c r="R4" s="19"/>
      <c r="S4" s="19" t="str">
        <f>IFERROR(__xludf.DUMMYFUNCTION("""COMPUTED_VALUE"""),"I wasn't aware of the reading guides")</f>
        <v>I wasn't aware of the reading guides</v>
      </c>
      <c r="T4" s="19"/>
      <c r="U4" s="19"/>
      <c r="V4" s="19"/>
      <c r="W4" s="19"/>
      <c r="X4" s="19"/>
      <c r="Y4" s="19"/>
      <c r="Z4" s="19"/>
      <c r="AA4" s="19"/>
      <c r="AB4" s="19"/>
      <c r="AC4" s="19"/>
      <c r="AD4" s="19" t="str">
        <f>IFERROR(__xludf.DUMMYFUNCTION("""COMPUTED_VALUE"""),"No")</f>
        <v>No</v>
      </c>
      <c r="AE4" s="19"/>
    </row>
  </sheetData>
  <hyperlinks>
    <hyperlink r:id="rId1" ref="S1"/>
    <hyperlink r:id="rId2" ref="U1"/>
    <hyperlink r:id="rId3" ref="Y1"/>
    <hyperlink r:id="rId4" ref="AA1"/>
    <hyperlink r:id="rId5" ref="AD1"/>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0</v>
      </c>
      <c r="B1" s="15" t="s">
        <v>1</v>
      </c>
      <c r="C1" s="15" t="s">
        <v>2</v>
      </c>
      <c r="D1" s="15" t="s">
        <v>397</v>
      </c>
      <c r="E1" s="15" t="s">
        <v>398</v>
      </c>
      <c r="F1" s="15" t="s">
        <v>399</v>
      </c>
      <c r="G1" s="15" t="s">
        <v>400</v>
      </c>
      <c r="H1" s="15" t="s">
        <v>401</v>
      </c>
      <c r="I1" s="15" t="s">
        <v>402</v>
      </c>
      <c r="J1" s="15" t="s">
        <v>403</v>
      </c>
      <c r="K1" s="15" t="s">
        <v>404</v>
      </c>
      <c r="L1" s="15" t="s">
        <v>405</v>
      </c>
      <c r="M1" s="15" t="s">
        <v>406</v>
      </c>
      <c r="N1" s="15" t="s">
        <v>407</v>
      </c>
      <c r="O1" s="15" t="s">
        <v>14</v>
      </c>
      <c r="P1" s="15" t="s">
        <v>15</v>
      </c>
      <c r="Q1" s="15" t="s">
        <v>16</v>
      </c>
      <c r="R1" s="15" t="s">
        <v>17</v>
      </c>
      <c r="S1" s="16" t="s">
        <v>423</v>
      </c>
      <c r="T1" s="15" t="s">
        <v>19</v>
      </c>
      <c r="U1" s="16" t="s">
        <v>424</v>
      </c>
      <c r="V1" s="15" t="s">
        <v>21</v>
      </c>
      <c r="W1" s="15" t="s">
        <v>22</v>
      </c>
      <c r="X1" s="15" t="s">
        <v>23</v>
      </c>
      <c r="Y1" s="16" t="s">
        <v>425</v>
      </c>
      <c r="Z1" s="15" t="s">
        <v>25</v>
      </c>
      <c r="AA1" s="16" t="s">
        <v>426</v>
      </c>
      <c r="AB1" s="15" t="s">
        <v>27</v>
      </c>
      <c r="AC1" s="15" t="s">
        <v>28</v>
      </c>
      <c r="AD1" s="16" t="s">
        <v>427</v>
      </c>
      <c r="AE1" s="15" t="s">
        <v>30</v>
      </c>
      <c r="AF1" s="17"/>
      <c r="AG1" s="17"/>
      <c r="AH1" s="17"/>
      <c r="AI1" s="17"/>
      <c r="AJ1" s="17"/>
      <c r="AK1" s="17"/>
    </row>
    <row r="2">
      <c r="A2" s="18">
        <f>IFERROR(__xludf.DUMMYFUNCTION("QUERY('Form Responses 1'!A2:AE1000,""Select * where C = 'Lydia - CFSN at Brilliant Detroit Central'"")"),45421.61200277777)</f>
        <v>45421.612</v>
      </c>
      <c r="B2" s="19" t="str">
        <f>IFERROR(__xludf.DUMMYFUNCTION("""COMPUTED_VALUE"""),"Tina Tripathi")</f>
        <v>Tina Tripathi</v>
      </c>
      <c r="C2" s="19" t="str">
        <f>IFERROR(__xludf.DUMMYFUNCTION("""COMPUTED_VALUE"""),"Lydia - CFSN at Brilliant Detroit Central")</f>
        <v>Lydia - CFSN at Brilliant Detroit Central</v>
      </c>
      <c r="D2" s="19" t="str">
        <f>IFERROR(__xludf.DUMMYFUNCTION("""COMPUTED_VALUE"""),"5 - Strongly Agree")</f>
        <v>5 - Strongly Agree</v>
      </c>
      <c r="E2" s="19" t="str">
        <f>IFERROR(__xludf.DUMMYFUNCTION("""COMPUTED_VALUE"""),"5 - Strongly Agree")</f>
        <v>5 - Strongly Agree</v>
      </c>
      <c r="F2" s="19" t="str">
        <f>IFERROR(__xludf.DUMMYFUNCTION("""COMPUTED_VALUE"""),"4 - Agree")</f>
        <v>4 - Agree</v>
      </c>
      <c r="G2" s="19" t="str">
        <f>IFERROR(__xludf.DUMMYFUNCTION("""COMPUTED_VALUE"""),"5 - Strongly Agree")</f>
        <v>5 - Strongly Agree</v>
      </c>
      <c r="H2" s="19" t="str">
        <f>IFERROR(__xludf.DUMMYFUNCTION("""COMPUTED_VALUE"""),"5 - Strongly Agree")</f>
        <v>5 - Strongly Agree</v>
      </c>
      <c r="I2" s="19" t="str">
        <f>IFERROR(__xludf.DUMMYFUNCTION("""COMPUTED_VALUE"""),"5 - Strongly Agree")</f>
        <v>5 - Strongly Agree</v>
      </c>
      <c r="J2" s="19" t="str">
        <f>IFERROR(__xludf.DUMMYFUNCTION("""COMPUTED_VALUE"""),"5 - Strongly Agree")</f>
        <v>5 - Strongly Agree</v>
      </c>
      <c r="K2" s="19" t="str">
        <f>IFERROR(__xludf.DUMMYFUNCTION("""COMPUTED_VALUE"""),"5 - Strongly Agree")</f>
        <v>5 - Strongly Agree</v>
      </c>
      <c r="L2" s="19" t="str">
        <f>IFERROR(__xludf.DUMMYFUNCTION("""COMPUTED_VALUE"""),"5 - Strongly Agree")</f>
        <v>5 - Strongly Agree</v>
      </c>
      <c r="M2" s="19" t="str">
        <f>IFERROR(__xludf.DUMMYFUNCTION("""COMPUTED_VALUE"""),"5 - Strongly Agree")</f>
        <v>5 - Strongly Agree</v>
      </c>
      <c r="N2" s="19" t="str">
        <f>IFERROR(__xludf.DUMMYFUNCTION("""COMPUTED_VALUE"""),"5 - Strongly Agree")</f>
        <v>5 - Strongly Agree</v>
      </c>
      <c r="O2" s="19" t="str">
        <f>IFERROR(__xludf.DUMMYFUNCTION("""COMPUTED_VALUE"""),"It had gone very well! I’ve been lucky enough to have partnered with my student for 2 years now and I have really enjoyed getting to know him longitudinally.")</f>
        <v>It had gone very well! I’ve been lucky enough to have partnered with my student for 2 years now and I have really enjoyed getting to know him longitudinally.</v>
      </c>
      <c r="P2" s="19" t="str">
        <f>IFERROR(__xludf.DUMMYFUNCTION("""COMPUTED_VALUE"""),"Definitely hanging out with my student and learning about what he likes!")</f>
        <v>Definitely hanging out with my student and learning about what he likes!</v>
      </c>
      <c r="Q2" s="19" t="str">
        <f>IFERROR(__xludf.DUMMYFUNCTION("""COMPUTED_VALUE"""),"I think only trying to ensure that students are in a quieter area of their homes and if possible, have a decent internet connection in the room they’re in.")</f>
        <v>I think only trying to ensure that students are in a quieter area of their homes and if possible, have a decent internet connection in the room they’re in.</v>
      </c>
      <c r="R2" s="19" t="str">
        <f>IFERROR(__xludf.DUMMYFUNCTION("""COMPUTED_VALUE"""),"Having my student open up to me!")</f>
        <v>Having my student open up to me!</v>
      </c>
      <c r="S2" s="19" t="str">
        <f>IFERROR(__xludf.DUMMYFUNCTION("""COMPUTED_VALUE"""),"Not at all")</f>
        <v>Not at all</v>
      </c>
      <c r="T2" s="19"/>
      <c r="U2" s="19"/>
      <c r="V2" s="19" t="str">
        <f>IFERROR(__xludf.DUMMYFUNCTION("""COMPUTED_VALUE"""),"N/A")</f>
        <v>N/A</v>
      </c>
      <c r="W2" s="19" t="str">
        <f>IFERROR(__xludf.DUMMYFUNCTION("""COMPUTED_VALUE"""),"N/A")</f>
        <v>N/A</v>
      </c>
      <c r="X2" s="19"/>
      <c r="Y2" s="19"/>
      <c r="Z2" s="19"/>
      <c r="AA2" s="19"/>
      <c r="AB2" s="19"/>
      <c r="AC2" s="19" t="str">
        <f>IFERROR(__xludf.DUMMYFUNCTION("""COMPUTED_VALUE"""),"He has significantly opened up and has improved with his reading comprehension.")</f>
        <v>He has significantly opened up and has improved with his reading comprehension.</v>
      </c>
      <c r="AD2" s="19" t="str">
        <f>IFERROR(__xludf.DUMMYFUNCTION("""COMPUTED_VALUE"""),"Yes, anonymously")</f>
        <v>Yes, anonymously</v>
      </c>
      <c r="AE2" s="19"/>
    </row>
    <row r="3">
      <c r="A3" s="18">
        <f>IFERROR(__xludf.DUMMYFUNCTION("""COMPUTED_VALUE"""),45421.75425458333)</f>
        <v>45421.75425</v>
      </c>
      <c r="B3" s="19" t="str">
        <f>IFERROR(__xludf.DUMMYFUNCTION("""COMPUTED_VALUE"""),"Nikita Sathiaprakash")</f>
        <v>Nikita Sathiaprakash</v>
      </c>
      <c r="C3" s="19" t="str">
        <f>IFERROR(__xludf.DUMMYFUNCTION("""COMPUTED_VALUE"""),"Lydia - CFSN at Brilliant Detroit Central")</f>
        <v>Lydia - CFSN at Brilliant Detroit Central</v>
      </c>
      <c r="D3" s="19" t="str">
        <f>IFERROR(__xludf.DUMMYFUNCTION("""COMPUTED_VALUE"""),"5 - Strongly Agree")</f>
        <v>5 - Strongly Agree</v>
      </c>
      <c r="E3" s="19" t="str">
        <f>IFERROR(__xludf.DUMMYFUNCTION("""COMPUTED_VALUE"""),"5 - Strongly Agree")</f>
        <v>5 - Strongly Agree</v>
      </c>
      <c r="F3" s="19" t="str">
        <f>IFERROR(__xludf.DUMMYFUNCTION("""COMPUTED_VALUE"""),"5 - Strongly Agree")</f>
        <v>5 - Strongly Agree</v>
      </c>
      <c r="G3" s="19" t="str">
        <f>IFERROR(__xludf.DUMMYFUNCTION("""COMPUTED_VALUE"""),"5 - Strongly Agree")</f>
        <v>5 - Strongly Agree</v>
      </c>
      <c r="H3" s="19" t="str">
        <f>IFERROR(__xludf.DUMMYFUNCTION("""COMPUTED_VALUE"""),"5 - Strongly Agree")</f>
        <v>5 - Strongly Agree</v>
      </c>
      <c r="I3" s="19" t="str">
        <f>IFERROR(__xludf.DUMMYFUNCTION("""COMPUTED_VALUE"""),"5 - Strongly Agree")</f>
        <v>5 - Strongly Agree</v>
      </c>
      <c r="J3" s="19" t="str">
        <f>IFERROR(__xludf.DUMMYFUNCTION("""COMPUTED_VALUE"""),"5 - Strongly Agree")</f>
        <v>5 - Strongly Agree</v>
      </c>
      <c r="K3" s="19" t="str">
        <f>IFERROR(__xludf.DUMMYFUNCTION("""COMPUTED_VALUE"""),"5 - Strongly Agree")</f>
        <v>5 - Strongly Agree</v>
      </c>
      <c r="L3" s="19" t="str">
        <f>IFERROR(__xludf.DUMMYFUNCTION("""COMPUTED_VALUE"""),"5 - Strongly Agree")</f>
        <v>5 - Strongly Agree</v>
      </c>
      <c r="M3" s="19" t="str">
        <f>IFERROR(__xludf.DUMMYFUNCTION("""COMPUTED_VALUE"""),"5 - Strongly Agree")</f>
        <v>5 - Strongly Agree</v>
      </c>
      <c r="N3" s="19" t="str">
        <f>IFERROR(__xludf.DUMMYFUNCTION("""COMPUTED_VALUE"""),"5 - Strongly Agree")</f>
        <v>5 - Strongly Agree</v>
      </c>
      <c r="O3" s="19" t="str">
        <f>IFERROR(__xludf.DUMMYFUNCTION("""COMPUTED_VALUE"""),"Very good! This is my 4th offical year I think of doing virtual mentoring and I just love the experience. The fact that it's virtual gives me some flexibility in that I don't have to travel to a CFS location to do the session and it was easier to fit with"&amp;" my medical school schedule and continue doing it for four years.")</f>
        <v>Very good! This is my 4th offical year I think of doing virtual mentoring and I just love the experience. The fact that it's virtual gives me some flexibility in that I don't have to travel to a CFS location to do the session and it was easier to fit with my medical school schedule and continue doing it for four years.</v>
      </c>
      <c r="P3" s="19" t="str">
        <f>IFERROR(__xludf.DUMMYFUNCTION("""COMPUTED_VALUE"""),"Getting to know my mentee(s) each year. They really are the highlight of my week when I log on and get to chat with them. ")</f>
        <v>Getting to know my mentee(s) each year. They really are the highlight of my week when I log on and get to chat with them. </v>
      </c>
      <c r="Q3" s="19" t="str">
        <f>IFERROR(__xludf.DUMMYFUNCTION("""COMPUTED_VALUE"""),"I know that some times parents have to cancel last minute when things come up and since my sessions have been virtual, that is certainly no big deal. I think if mentoring sessions were in person, there might have to be more clear guidelines for canceling "&amp;"sessions so that mentors are coming to the location just to have a parent cancel.")</f>
        <v>I know that some times parents have to cancel last minute when things come up and since my sessions have been virtual, that is certainly no big deal. I think if mentoring sessions were in person, there might have to be more clear guidelines for canceling sessions so that mentors are coming to the location just to have a parent cancel.</v>
      </c>
      <c r="R3" s="19" t="str">
        <f>IFERROR(__xludf.DUMMYFUNCTION("""COMPUTED_VALUE"""),"Playing games like hangman and tic-tac-toe with my mentees. (Simple games where we just get to know each other).")</f>
        <v>Playing games like hangman and tic-tac-toe with my mentees. (Simple games where we just get to know each other).</v>
      </c>
      <c r="S3" s="19" t="str">
        <f>IFERROR(__xludf.DUMMYFUNCTION("""COMPUTED_VALUE"""),"I wasn't aware of the reading guides")</f>
        <v>I wasn't aware of the reading guides</v>
      </c>
      <c r="T3" s="19"/>
      <c r="U3" s="19"/>
      <c r="V3" s="19" t="str">
        <f>IFERROR(__xludf.DUMMYFUNCTION("""COMPUTED_VALUE"""),"An email at the beginning of the containing links to all the resources (and potentially short descriptions as to what each thing is). Or just periodic reminders of what things are available in the Drive.")</f>
        <v>An email at the beginning of the containing links to all the resources (and potentially short descriptions as to what each thing is). Or just periodic reminders of what things are available in the Drive.</v>
      </c>
      <c r="W3" s="19" t="str">
        <f>IFERROR(__xludf.DUMMYFUNCTION("""COMPUTED_VALUE"""),"Nothing I can think of- I feel really well supported.")</f>
        <v>Nothing I can think of- I feel really well supported.</v>
      </c>
      <c r="X3" s="19"/>
      <c r="Y3" s="19"/>
      <c r="Z3" s="19" t="str">
        <f>IFERROR(__xludf.DUMMYFUNCTION("""COMPUTED_VALUE"""),"Just really having open communication with my mentees")</f>
        <v>Just really having open communication with my mentees</v>
      </c>
      <c r="AA3" s="19" t="str">
        <f>IFERROR(__xludf.DUMMYFUNCTION("""COMPUTED_VALUE"""),"No because I didn't know they has social media sites.")</f>
        <v>No because I didn't know they has social media sites.</v>
      </c>
      <c r="AB3" s="19" t="str">
        <f>IFERROR(__xludf.DUMMYFUNCTION("""COMPUTED_VALUE"""),"I can't really think of anything")</f>
        <v>I can't really think of anything</v>
      </c>
      <c r="AC3" s="19" t="str">
        <f>IFERROR(__xludf.DUMMYFUNCTION("""COMPUTED_VALUE"""),"I have definitely seen growth! She seems to have gotten more confidence and wants to read more often. In the beginning she seemed to never want to read and I had to encourage a lot in order to read a book. She also has opened up and feels more comfortable"&amp;" telling me how her day has gone and what is going on in her life.")</f>
        <v>I have definitely seen growth! She seems to have gotten more confidence and wants to read more often. In the beginning she seemed to never want to read and I had to encourage a lot in order to read a book. She also has opened up and feels more comfortable telling me how her day has gone and what is going on in her life.</v>
      </c>
      <c r="AD3" s="19" t="str">
        <f>IFERROR(__xludf.DUMMYFUNCTION("""COMPUTED_VALUE"""),"Yes, anonymously")</f>
        <v>Yes, anonymously</v>
      </c>
      <c r="AE3" s="19" t="str">
        <f>IFERROR(__xludf.DUMMYFUNCTION("""COMPUTED_VALUE"""),"Nothing I can think of")</f>
        <v>Nothing I can think of</v>
      </c>
    </row>
    <row r="4">
      <c r="A4" s="18">
        <f>IFERROR(__xludf.DUMMYFUNCTION("""COMPUTED_VALUE"""),45421.87939628472)</f>
        <v>45421.8794</v>
      </c>
      <c r="B4" s="19"/>
      <c r="C4" s="19" t="str">
        <f>IFERROR(__xludf.DUMMYFUNCTION("""COMPUTED_VALUE"""),"Lydia - CFSN at Brilliant Detroit Central")</f>
        <v>Lydia - CFSN at Brilliant Detroit Central</v>
      </c>
      <c r="D4" s="19" t="str">
        <f>IFERROR(__xludf.DUMMYFUNCTION("""COMPUTED_VALUE"""),"5 - Strongly Agree")</f>
        <v>5 - Strongly Agree</v>
      </c>
      <c r="E4" s="19" t="str">
        <f>IFERROR(__xludf.DUMMYFUNCTION("""COMPUTED_VALUE"""),"4 - Agree")</f>
        <v>4 - Agree</v>
      </c>
      <c r="F4" s="19" t="str">
        <f>IFERROR(__xludf.DUMMYFUNCTION("""COMPUTED_VALUE"""),"4 - Agree")</f>
        <v>4 - Agree</v>
      </c>
      <c r="G4" s="19" t="str">
        <f>IFERROR(__xludf.DUMMYFUNCTION("""COMPUTED_VALUE"""),"5 - Strongly Agree")</f>
        <v>5 - Strongly Agree</v>
      </c>
      <c r="H4" s="19" t="str">
        <f>IFERROR(__xludf.DUMMYFUNCTION("""COMPUTED_VALUE"""),"5 - Strongly Agree")</f>
        <v>5 - Strongly Agree</v>
      </c>
      <c r="I4" s="19" t="str">
        <f>IFERROR(__xludf.DUMMYFUNCTION("""COMPUTED_VALUE"""),"4 - Agree")</f>
        <v>4 - Agree</v>
      </c>
      <c r="J4" s="19" t="str">
        <f>IFERROR(__xludf.DUMMYFUNCTION("""COMPUTED_VALUE"""),"5 - Strongly Agree")</f>
        <v>5 - Strongly Agree</v>
      </c>
      <c r="K4" s="19" t="str">
        <f>IFERROR(__xludf.DUMMYFUNCTION("""COMPUTED_VALUE"""),"5 - Strongly Agree")</f>
        <v>5 - Strongly Agree</v>
      </c>
      <c r="L4" s="19" t="str">
        <f>IFERROR(__xludf.DUMMYFUNCTION("""COMPUTED_VALUE"""),"5 - Strongly Agree")</f>
        <v>5 - Strongly Agree</v>
      </c>
      <c r="M4" s="19" t="str">
        <f>IFERROR(__xludf.DUMMYFUNCTION("""COMPUTED_VALUE"""),"5 - Strongly Agree")</f>
        <v>5 - Strongly Agree</v>
      </c>
      <c r="N4" s="19" t="str">
        <f>IFERROR(__xludf.DUMMYFUNCTION("""COMPUTED_VALUE"""),"5 - Strongly Agree")</f>
        <v>5 - Strongly Agree</v>
      </c>
      <c r="O4" s="19" t="str">
        <f>IFERROR(__xludf.DUMMYFUNCTION("""COMPUTED_VALUE"""),"Super well! I love reading with my mentee because she also loves reading so that makes the overall experience enjoyable")</f>
        <v>Super well! I love reading with my mentee because she also loves reading so that makes the overall experience enjoyable</v>
      </c>
      <c r="P4" s="19" t="str">
        <f>IFERROR(__xludf.DUMMYFUNCTION("""COMPUTED_VALUE"""),"Having silly moments with my mentee")</f>
        <v>Having silly moments with my mentee</v>
      </c>
      <c r="Q4" s="19" t="str">
        <f>IFERROR(__xludf.DUMMYFUNCTION("""COMPUTED_VALUE"""),"N/A")</f>
        <v>N/A</v>
      </c>
      <c r="R4" s="19" t="str">
        <f>IFERROR(__xludf.DUMMYFUNCTION("""COMPUTED_VALUE"""),"During one session, my mentee and I read a book about gymnastics. We tried the gymnastics moves together as we read the story, which was fun and engaging for both of us!")</f>
        <v>During one session, my mentee and I read a book about gymnastics. We tried the gymnastics moves together as we read the story, which was fun and engaging for both of us!</v>
      </c>
      <c r="S4" s="19" t="str">
        <f>IFERROR(__xludf.DUMMYFUNCTION("""COMPUTED_VALUE"""),"Not at all")</f>
        <v>Not at all</v>
      </c>
      <c r="T4" s="19"/>
      <c r="U4" s="19"/>
      <c r="V4" s="19"/>
      <c r="W4" s="19"/>
      <c r="X4" s="19"/>
      <c r="Y4" s="19"/>
      <c r="Z4" s="19"/>
      <c r="AA4" s="19" t="str">
        <f>IFERROR(__xludf.DUMMYFUNCTION("""COMPUTED_VALUE"""),"Yes!")</f>
        <v>Yes!</v>
      </c>
      <c r="AB4" s="19"/>
      <c r="AC4" s="19" t="str">
        <f>IFERROR(__xludf.DUMMYFUNCTION("""COMPUTED_VALUE"""),"My mentee was really shy during our first session. As the weeks went on, my mentee began to share more and open up about herself!")</f>
        <v>My mentee was really shy during our first session. As the weeks went on, my mentee began to share more and open up about herself!</v>
      </c>
      <c r="AD4" s="19" t="str">
        <f>IFERROR(__xludf.DUMMYFUNCTION("""COMPUTED_VALUE"""),"Yes, anonymously")</f>
        <v>Yes, anonymously</v>
      </c>
      <c r="AE4" s="19"/>
    </row>
    <row r="5">
      <c r="A5" s="18">
        <f>IFERROR(__xludf.DUMMYFUNCTION("""COMPUTED_VALUE"""),45422.68547059028)</f>
        <v>45422.68547</v>
      </c>
      <c r="B5" s="19"/>
      <c r="C5" s="19" t="str">
        <f>IFERROR(__xludf.DUMMYFUNCTION("""COMPUTED_VALUE"""),"Lydia - CFSN at Brilliant Detroit Central")</f>
        <v>Lydia - CFSN at Brilliant Detroit Central</v>
      </c>
      <c r="D5" s="19" t="str">
        <f>IFERROR(__xludf.DUMMYFUNCTION("""COMPUTED_VALUE"""),"4 - Agree")</f>
        <v>4 - Agree</v>
      </c>
      <c r="E5" s="19" t="str">
        <f>IFERROR(__xludf.DUMMYFUNCTION("""COMPUTED_VALUE"""),"4 - Agree")</f>
        <v>4 - Agree</v>
      </c>
      <c r="F5" s="19" t="str">
        <f>IFERROR(__xludf.DUMMYFUNCTION("""COMPUTED_VALUE"""),"4 - Agree")</f>
        <v>4 - Agree</v>
      </c>
      <c r="G5" s="19" t="str">
        <f>IFERROR(__xludf.DUMMYFUNCTION("""COMPUTED_VALUE"""),"4 - Agree")</f>
        <v>4 - Agree</v>
      </c>
      <c r="H5" s="19" t="str">
        <f>IFERROR(__xludf.DUMMYFUNCTION("""COMPUTED_VALUE"""),"4 - Agree")</f>
        <v>4 - Agree</v>
      </c>
      <c r="I5" s="19" t="str">
        <f>IFERROR(__xludf.DUMMYFUNCTION("""COMPUTED_VALUE"""),"4 - Agree")</f>
        <v>4 - Agree</v>
      </c>
      <c r="J5" s="19" t="str">
        <f>IFERROR(__xludf.DUMMYFUNCTION("""COMPUTED_VALUE"""),"5 - Strongly Agree")</f>
        <v>5 - Strongly Agree</v>
      </c>
      <c r="K5" s="19" t="str">
        <f>IFERROR(__xludf.DUMMYFUNCTION("""COMPUTED_VALUE"""),"5 - Strongly Agree")</f>
        <v>5 - Strongly Agree</v>
      </c>
      <c r="L5" s="19" t="str">
        <f>IFERROR(__xludf.DUMMYFUNCTION("""COMPUTED_VALUE"""),"4 - Agree")</f>
        <v>4 - Agree</v>
      </c>
      <c r="M5" s="19" t="str">
        <f>IFERROR(__xludf.DUMMYFUNCTION("""COMPUTED_VALUE"""),"5 - Strongly Agree")</f>
        <v>5 - Strongly Agree</v>
      </c>
      <c r="N5" s="19" t="str">
        <f>IFERROR(__xludf.DUMMYFUNCTION("""COMPUTED_VALUE"""),"4 - Agree")</f>
        <v>4 - Agree</v>
      </c>
      <c r="O5" s="19" t="str">
        <f>IFERROR(__xludf.DUMMYFUNCTION("""COMPUTED_VALUE"""),"My mentoring experience has been very enjoyable")</f>
        <v>My mentoring experience has been very enjoyable</v>
      </c>
      <c r="P5" s="19" t="str">
        <f>IFERROR(__xludf.DUMMYFUNCTION("""COMPUTED_VALUE"""),"Best part of my mentoring experience was the opportunity to work one-on-one with my mentee and grow together as an educator and learner")</f>
        <v>Best part of my mentoring experience was the opportunity to work one-on-one with my mentee and grow together as an educator and learner</v>
      </c>
      <c r="Q5" s="19"/>
      <c r="R5" s="19" t="str">
        <f>IFERROR(__xludf.DUMMYFUNCTION("""COMPUTED_VALUE"""),"One of my mentees I started with usually wasn't enthusiastic about reading / did not seem too interested in reading. However as time passed, he started to enjoy reading as he saw a fast progression in his skills. ")</f>
        <v>One of my mentees I started with usually wasn't enthusiastic about reading / did not seem too interested in reading. However as time passed, he started to enjoy reading as he saw a fast progression in his skills. </v>
      </c>
      <c r="S5" s="19" t="str">
        <f>IFERROR(__xludf.DUMMYFUNCTION("""COMPUTED_VALUE"""),"I wasn't aware of the reading guides")</f>
        <v>I wasn't aware of the reading guides</v>
      </c>
      <c r="T5" s="19"/>
      <c r="U5" s="19"/>
      <c r="V5" s="19"/>
      <c r="W5" s="19"/>
      <c r="X5" s="19"/>
      <c r="Y5" s="19"/>
      <c r="Z5" s="19" t="str">
        <f>IFERROR(__xludf.DUMMYFUNCTION("""COMPUTED_VALUE"""),"I started to listen more and talk less and it has improved communication between my mentee and I")</f>
        <v>I started to listen more and talk less and it has improved communication between my mentee and I</v>
      </c>
      <c r="AA5" s="19"/>
      <c r="AB5" s="19"/>
      <c r="AC5" s="19" t="str">
        <f>IFERROR(__xludf.DUMMYFUNCTION("""COMPUTED_VALUE"""),"
In the quiet beginnings of our mentorship, Christian hesitated at the threshold of literacy. But as we worked together through the Center for Success Network, something amazing happened. As we learned more about one another, we found books that matched w"&amp;"hat Christian liked, and as we read them, he started feeling confident in himself. Reading became something he really enjoyed. With each book we finished, Christian felt stronger and more confident. Both Christian and I had come a long way, boosting my ow"&amp;"n confidence as a mentor in the process. Center for Success showed me how important it is to have a mentor/mentee pairing to help each other grow. ")</f>
        <v>
In the quiet beginnings of our mentorship, Christian hesitated at the threshold of literacy. But as we worked together through the Center for Success Network, something amazing happened. As we learned more about one another, we found books that matched what Christian liked, and as we read them, he started feeling confident in himself. Reading became something he really enjoyed. With each book we finished, Christian felt stronger and more confident. Both Christian and I had come a long way, boosting my own confidence as a mentor in the process. Center for Success showed me how important it is to have a mentor/mentee pairing to help each other grow. </v>
      </c>
      <c r="AD5" s="19" t="str">
        <f>IFERROR(__xludf.DUMMYFUNCTION("""COMPUTED_VALUE"""),"Yes, with my name")</f>
        <v>Yes, with my name</v>
      </c>
      <c r="AE5" s="19" t="str">
        <f>IFERROR(__xludf.DUMMYFUNCTION("""COMPUTED_VALUE"""),"Would love it if CFSN came to our school's campus and recruited more students. ")</f>
        <v>Would love it if CFSN came to our school's campus and recruited more students. </v>
      </c>
    </row>
    <row r="6">
      <c r="A6" s="18">
        <f>IFERROR(__xludf.DUMMYFUNCTION("""COMPUTED_VALUE"""),45422.84338917824)</f>
        <v>45422.84339</v>
      </c>
      <c r="B6" s="19" t="str">
        <f>IFERROR(__xludf.DUMMYFUNCTION("""COMPUTED_VALUE"""),"Nada")</f>
        <v>Nada</v>
      </c>
      <c r="C6" s="19" t="str">
        <f>IFERROR(__xludf.DUMMYFUNCTION("""COMPUTED_VALUE"""),"Lydia - CFSN at Brilliant Detroit Central")</f>
        <v>Lydia - CFSN at Brilliant Detroit Central</v>
      </c>
      <c r="D6" s="19" t="str">
        <f>IFERROR(__xludf.DUMMYFUNCTION("""COMPUTED_VALUE"""),"4 - Agree")</f>
        <v>4 - Agree</v>
      </c>
      <c r="E6" s="19" t="str">
        <f>IFERROR(__xludf.DUMMYFUNCTION("""COMPUTED_VALUE"""),"4 - Agree")</f>
        <v>4 - Agree</v>
      </c>
      <c r="F6" s="19" t="str">
        <f>IFERROR(__xludf.DUMMYFUNCTION("""COMPUTED_VALUE"""),"4 - Agree")</f>
        <v>4 - Agree</v>
      </c>
      <c r="G6" s="19" t="str">
        <f>IFERROR(__xludf.DUMMYFUNCTION("""COMPUTED_VALUE"""),"4 - Agree")</f>
        <v>4 - Agree</v>
      </c>
      <c r="H6" s="19" t="str">
        <f>IFERROR(__xludf.DUMMYFUNCTION("""COMPUTED_VALUE"""),"4 - Agree")</f>
        <v>4 - Agree</v>
      </c>
      <c r="I6" s="19" t="str">
        <f>IFERROR(__xludf.DUMMYFUNCTION("""COMPUTED_VALUE"""),"4 - Agree")</f>
        <v>4 - Agree</v>
      </c>
      <c r="J6" s="19" t="str">
        <f>IFERROR(__xludf.DUMMYFUNCTION("""COMPUTED_VALUE"""),"4 - Agree")</f>
        <v>4 - Agree</v>
      </c>
      <c r="K6" s="19" t="str">
        <f>IFERROR(__xludf.DUMMYFUNCTION("""COMPUTED_VALUE"""),"4 - Agree")</f>
        <v>4 - Agree</v>
      </c>
      <c r="L6" s="19" t="str">
        <f>IFERROR(__xludf.DUMMYFUNCTION("""COMPUTED_VALUE"""),"4 - Agree")</f>
        <v>4 - Agree</v>
      </c>
      <c r="M6" s="19" t="str">
        <f>IFERROR(__xludf.DUMMYFUNCTION("""COMPUTED_VALUE"""),"4 - Agree")</f>
        <v>4 - Agree</v>
      </c>
      <c r="N6" s="19" t="str">
        <f>IFERROR(__xludf.DUMMYFUNCTION("""COMPUTED_VALUE"""),"4 - Agree")</f>
        <v>4 - Agree</v>
      </c>
      <c r="O6" s="19" t="str">
        <f>IFERROR(__xludf.DUMMYFUNCTION("""COMPUTED_VALUE"""),"Great")</f>
        <v>Great</v>
      </c>
      <c r="P6" s="19" t="str">
        <f>IFERROR(__xludf.DUMMYFUNCTION("""COMPUTED_VALUE"""),"flexibility and openness to do different activities for each tutoring session ")</f>
        <v>flexibility and openness to do different activities for each tutoring session </v>
      </c>
      <c r="Q6" s="19"/>
      <c r="R6" s="19" t="str">
        <f>IFERROR(__xludf.DUMMYFUNCTION("""COMPUTED_VALUE"""),"Exercising with my mentee ")</f>
        <v>Exercising with my mentee </v>
      </c>
      <c r="S6" s="19" t="str">
        <f>IFERROR(__xludf.DUMMYFUNCTION("""COMPUTED_VALUE"""),"I wasn't aware of the reading guides")</f>
        <v>I wasn't aware of the reading guides</v>
      </c>
      <c r="T6" s="19"/>
      <c r="U6" s="19"/>
      <c r="V6" s="19" t="str">
        <f>IFERROR(__xludf.DUMMYFUNCTION("""COMPUTED_VALUE"""),"diversity in topics ")</f>
        <v>diversity in topics </v>
      </c>
      <c r="W6" s="19"/>
      <c r="X6" s="19"/>
      <c r="Y6" s="19"/>
      <c r="Z6" s="19"/>
      <c r="AA6" s="19"/>
      <c r="AB6" s="19"/>
      <c r="AC6" s="19"/>
      <c r="AD6" s="19" t="str">
        <f>IFERROR(__xludf.DUMMYFUNCTION("""COMPUTED_VALUE"""),"Yes, anonymously")</f>
        <v>Yes, anonymously</v>
      </c>
      <c r="AE6" s="19"/>
    </row>
    <row r="7">
      <c r="A7" s="18">
        <f>IFERROR(__xludf.DUMMYFUNCTION("""COMPUTED_VALUE"""),45428.7388319213)</f>
        <v>45428.73883</v>
      </c>
      <c r="B7" s="19" t="str">
        <f>IFERROR(__xludf.DUMMYFUNCTION("""COMPUTED_VALUE"""),"Shobha Shashikumar")</f>
        <v>Shobha Shashikumar</v>
      </c>
      <c r="C7" s="19" t="str">
        <f>IFERROR(__xludf.DUMMYFUNCTION("""COMPUTED_VALUE"""),"Lydia - CFSN at Brilliant Detroit Central")</f>
        <v>Lydia - CFSN at Brilliant Detroit Central</v>
      </c>
      <c r="D7" s="19" t="str">
        <f>IFERROR(__xludf.DUMMYFUNCTION("""COMPUTED_VALUE"""),"4 - Agree")</f>
        <v>4 - Agree</v>
      </c>
      <c r="E7" s="19" t="str">
        <f>IFERROR(__xludf.DUMMYFUNCTION("""COMPUTED_VALUE"""),"5 - Strongly Agree")</f>
        <v>5 - Strongly Agree</v>
      </c>
      <c r="F7" s="19" t="str">
        <f>IFERROR(__xludf.DUMMYFUNCTION("""COMPUTED_VALUE"""),"4 - Agree")</f>
        <v>4 - Agree</v>
      </c>
      <c r="G7" s="19" t="str">
        <f>IFERROR(__xludf.DUMMYFUNCTION("""COMPUTED_VALUE"""),"4 - Agree")</f>
        <v>4 - Agree</v>
      </c>
      <c r="H7" s="19" t="str">
        <f>IFERROR(__xludf.DUMMYFUNCTION("""COMPUTED_VALUE"""),"4 - Agree")</f>
        <v>4 - Agree</v>
      </c>
      <c r="I7" s="19" t="str">
        <f>IFERROR(__xludf.DUMMYFUNCTION("""COMPUTED_VALUE"""),"5 - Strongly Agree")</f>
        <v>5 - Strongly Agree</v>
      </c>
      <c r="J7" s="19" t="str">
        <f>IFERROR(__xludf.DUMMYFUNCTION("""COMPUTED_VALUE"""),"5 - Strongly Agree")</f>
        <v>5 - Strongly Agree</v>
      </c>
      <c r="K7" s="19" t="str">
        <f>IFERROR(__xludf.DUMMYFUNCTION("""COMPUTED_VALUE"""),"5 - Strongly Agree")</f>
        <v>5 - Strongly Agree</v>
      </c>
      <c r="L7" s="19" t="str">
        <f>IFERROR(__xludf.DUMMYFUNCTION("""COMPUTED_VALUE"""),"5 - Strongly Agree")</f>
        <v>5 - Strongly Agree</v>
      </c>
      <c r="M7" s="19" t="str">
        <f>IFERROR(__xludf.DUMMYFUNCTION("""COMPUTED_VALUE"""),"5 - Strongly Agree")</f>
        <v>5 - Strongly Agree</v>
      </c>
      <c r="N7" s="19" t="str">
        <f>IFERROR(__xludf.DUMMYFUNCTION("""COMPUTED_VALUE"""),"5 - Strongly Agree")</f>
        <v>5 - Strongly Agree</v>
      </c>
      <c r="O7" s="19" t="str">
        <f>IFERROR(__xludf.DUMMYFUNCTION("""COMPUTED_VALUE"""),"It has been good so far!")</f>
        <v>It has been good so far!</v>
      </c>
      <c r="P7" s="19" t="str">
        <f>IFERROR(__xludf.DUMMYFUNCTION("""COMPUTED_VALUE"""),"Seeing the mentee improve and gain confidence.")</f>
        <v>Seeing the mentee improve and gain confidence.</v>
      </c>
      <c r="Q7" s="19"/>
      <c r="R7" s="19" t="str">
        <f>IFERROR(__xludf.DUMMYFUNCTION("""COMPUTED_VALUE"""),"When the mentee sets a goal for themselves!")</f>
        <v>When the mentee sets a goal for themselves!</v>
      </c>
      <c r="S7" s="19" t="str">
        <f>IFERROR(__xludf.DUMMYFUNCTION("""COMPUTED_VALUE"""),"As needed")</f>
        <v>As needed</v>
      </c>
      <c r="T7" s="19"/>
      <c r="U7" s="19"/>
      <c r="V7" s="19"/>
      <c r="W7" s="19"/>
      <c r="X7" s="19"/>
      <c r="Y7" s="19"/>
      <c r="Z7" s="19"/>
      <c r="AA7" s="19" t="str">
        <f>IFERROR(__xludf.DUMMYFUNCTION("""COMPUTED_VALUE"""),"I'm not on social media! lol")</f>
        <v>I'm not on social media! lol</v>
      </c>
      <c r="AB7" s="19"/>
      <c r="AC7" s="19" t="str">
        <f>IFERROR(__xludf.DUMMYFUNCTION("""COMPUTED_VALUE"""),"It's hard to gauge this as I've had only a few sessions with my mentee.")</f>
        <v>It's hard to gauge this as I've had only a few sessions with my mentee.</v>
      </c>
      <c r="AD7" s="19" t="str">
        <f>IFERROR(__xludf.DUMMYFUNCTION("""COMPUTED_VALUE"""),"Yes, with my name")</f>
        <v>Yes, with my name</v>
      </c>
      <c r="AE7" s="19"/>
    </row>
    <row r="8">
      <c r="A8" s="18">
        <f>IFERROR(__xludf.DUMMYFUNCTION("""COMPUTED_VALUE"""),45433.76664263888)</f>
        <v>45433.76664</v>
      </c>
      <c r="B8" s="19" t="str">
        <f>IFERROR(__xludf.DUMMYFUNCTION("""COMPUTED_VALUE"""),"Lavanya")</f>
        <v>Lavanya</v>
      </c>
      <c r="C8" s="19" t="str">
        <f>IFERROR(__xludf.DUMMYFUNCTION("""COMPUTED_VALUE"""),"Lydia - CFSN at Brilliant Detroit Central")</f>
        <v>Lydia - CFSN at Brilliant Detroit Central</v>
      </c>
      <c r="D8" s="19" t="str">
        <f>IFERROR(__xludf.DUMMYFUNCTION("""COMPUTED_VALUE"""),"5 - Strongly Agree")</f>
        <v>5 - Strongly Agree</v>
      </c>
      <c r="E8" s="19" t="str">
        <f>IFERROR(__xludf.DUMMYFUNCTION("""COMPUTED_VALUE"""),"4 - Agree")</f>
        <v>4 - Agree</v>
      </c>
      <c r="F8" s="19" t="str">
        <f>IFERROR(__xludf.DUMMYFUNCTION("""COMPUTED_VALUE"""),"4 - Agree")</f>
        <v>4 - Agree</v>
      </c>
      <c r="G8" s="19" t="str">
        <f>IFERROR(__xludf.DUMMYFUNCTION("""COMPUTED_VALUE"""),"5 - Strongly Agree")</f>
        <v>5 - Strongly Agree</v>
      </c>
      <c r="H8" s="19" t="str">
        <f>IFERROR(__xludf.DUMMYFUNCTION("""COMPUTED_VALUE"""),"5 - Strongly Agree")</f>
        <v>5 - Strongly Agree</v>
      </c>
      <c r="I8" s="19" t="str">
        <f>IFERROR(__xludf.DUMMYFUNCTION("""COMPUTED_VALUE"""),"5 - Strongly Agree")</f>
        <v>5 - Strongly Agree</v>
      </c>
      <c r="J8" s="19" t="str">
        <f>IFERROR(__xludf.DUMMYFUNCTION("""COMPUTED_VALUE"""),"5 - Strongly Agree")</f>
        <v>5 - Strongly Agree</v>
      </c>
      <c r="K8" s="19" t="str">
        <f>IFERROR(__xludf.DUMMYFUNCTION("""COMPUTED_VALUE"""),"5 - Strongly Agree")</f>
        <v>5 - Strongly Agree</v>
      </c>
      <c r="L8" s="19" t="str">
        <f>IFERROR(__xludf.DUMMYFUNCTION("""COMPUTED_VALUE"""),"5 - Strongly Agree")</f>
        <v>5 - Strongly Agree</v>
      </c>
      <c r="M8" s="19" t="str">
        <f>IFERROR(__xludf.DUMMYFUNCTION("""COMPUTED_VALUE"""),"5 - Strongly Agree")</f>
        <v>5 - Strongly Agree</v>
      </c>
      <c r="N8" s="19" t="str">
        <f>IFERROR(__xludf.DUMMYFUNCTION("""COMPUTED_VALUE"""),"3 - Neutral")</f>
        <v>3 - Neutral</v>
      </c>
      <c r="O8" s="19" t="str">
        <f>IFERROR(__xludf.DUMMYFUNCTION("""COMPUTED_VALUE"""),"The mentoring experience has been really fun!")</f>
        <v>The mentoring experience has been really fun!</v>
      </c>
      <c r="P8" s="19" t="str">
        <f>IFERROR(__xludf.DUMMYFUNCTION("""COMPUTED_VALUE"""),"I really like seeing Ava improve and grow through each session; it not only makes me feel more confident as a mentor but it's amazing to see Ava improve in her literacy skills!")</f>
        <v>I really like seeing Ava improve and grow through each session; it not only makes me feel more confident as a mentor but it's amazing to see Ava improve in her literacy skills!</v>
      </c>
      <c r="Q8" s="19" t="str">
        <f>IFERROR(__xludf.DUMMYFUNCTION("""COMPUTED_VALUE"""),"I think that aside from knowing how to approach mentees when they're feeling down, it's good to know better methods of teaching that and to maybe briefly talk about a few teaching styles so mentors can experiment and see which ones best apply to mentees.")</f>
        <v>I think that aside from knowing how to approach mentees when they're feeling down, it's good to know better methods of teaching that and to maybe briefly talk about a few teaching styles so mentors can experiment and see which ones best apply to mentees.</v>
      </c>
      <c r="R8" s="19" t="str">
        <f>IFERROR(__xludf.DUMMYFUNCTION("""COMPUTED_VALUE"""),"Probably when playing games with Ava and seeing her light up when we make progress.")</f>
        <v>Probably when playing games with Ava and seeing her light up when we make progress.</v>
      </c>
      <c r="S8" s="19" t="str">
        <f>IFERROR(__xludf.DUMMYFUNCTION("""COMPUTED_VALUE"""),"Once a month")</f>
        <v>Once a month</v>
      </c>
      <c r="T8" s="19"/>
      <c r="U8" s="19"/>
      <c r="V8" s="19" t="str">
        <f>IFERROR(__xludf.DUMMYFUNCTION("""COMPUTED_VALUE"""),"I use it a lot especially for the links attached but if there were more activities built for teaching the basics of reading--like sounding out words as a whole, phonics, etc--that would definitely help me personally!")</f>
        <v>I use it a lot especially for the links attached but if there were more activities built for teaching the basics of reading--like sounding out words as a whole, phonics, etc--that would definitely help me personally!</v>
      </c>
      <c r="W8" s="19" t="str">
        <f>IFERROR(__xludf.DUMMYFUNCTION("""COMPUTED_VALUE"""),"Maybe go through more teaching styles during the training sessions")</f>
        <v>Maybe go through more teaching styles during the training sessions</v>
      </c>
      <c r="X8" s="19"/>
      <c r="Y8" s="19"/>
      <c r="Z8" s="19" t="str">
        <f>IFERROR(__xludf.DUMMYFUNCTION("""COMPUTED_VALUE"""),"I don't know if any words specifically have stuck with me, but I've definitely been going over books about culture and heritage with Ava!")</f>
        <v>I don't know if any words specifically have stuck with me, but I've definitely been going over books about culture and heritage with Ava!</v>
      </c>
      <c r="AA8" s="19" t="str">
        <f>IFERROR(__xludf.DUMMYFUNCTION("""COMPUTED_VALUE"""),"No because I wasn't aware it existed, but I'll make sure to do that now!")</f>
        <v>No because I wasn't aware it existed, but I'll make sure to do that now!</v>
      </c>
      <c r="AB8" s="19" t="str">
        <f>IFERROR(__xludf.DUMMYFUNCTION("""COMPUTED_VALUE"""),"I'm not sure.")</f>
        <v>I'm not sure.</v>
      </c>
      <c r="AC8" s="19" t="str">
        <f>IFERROR(__xludf.DUMMYFUNCTION("""COMPUTED_VALUE"""),"I definitely saw growth in Ava's confidence and and reading ability! Ava's slowly become better at identifying sounds and immediately being able to say new words solely from seeing their spelling alone. She hasn't mastered it yet but there's definitely be"&amp;"en significant improvement!")</f>
        <v>I definitely saw growth in Ava's confidence and and reading ability! Ava's slowly become better at identifying sounds and immediately being able to say new words solely from seeing their spelling alone. She hasn't mastered it yet but there's definitely been significant improvement!</v>
      </c>
      <c r="AD8" s="19" t="str">
        <f>IFERROR(__xludf.DUMMYFUNCTION("""COMPUTED_VALUE"""),"Yes, anonymously")</f>
        <v>Yes, anonymously</v>
      </c>
      <c r="AE8" s="19"/>
    </row>
    <row r="9">
      <c r="A9" s="18">
        <f>IFERROR(__xludf.DUMMYFUNCTION("""COMPUTED_VALUE"""),45435.795242534725)</f>
        <v>45435.79524</v>
      </c>
      <c r="B9" s="19" t="str">
        <f>IFERROR(__xludf.DUMMYFUNCTION("""COMPUTED_VALUE"""),"Kamisha Higgins")</f>
        <v>Kamisha Higgins</v>
      </c>
      <c r="C9" s="19" t="str">
        <f>IFERROR(__xludf.DUMMYFUNCTION("""COMPUTED_VALUE"""),"Lydia - CFSN at Brilliant Detroit Central")</f>
        <v>Lydia - CFSN at Brilliant Detroit Central</v>
      </c>
      <c r="D9" s="19" t="str">
        <f>IFERROR(__xludf.DUMMYFUNCTION("""COMPUTED_VALUE"""),"4 - Agree")</f>
        <v>4 - Agree</v>
      </c>
      <c r="E9" s="19" t="str">
        <f>IFERROR(__xludf.DUMMYFUNCTION("""COMPUTED_VALUE"""),"4 - Agree")</f>
        <v>4 - Agree</v>
      </c>
      <c r="F9" s="19" t="str">
        <f>IFERROR(__xludf.DUMMYFUNCTION("""COMPUTED_VALUE"""),"4 - Agree")</f>
        <v>4 - Agree</v>
      </c>
      <c r="G9" s="19" t="str">
        <f>IFERROR(__xludf.DUMMYFUNCTION("""COMPUTED_VALUE"""),"4 - Agree")</f>
        <v>4 - Agree</v>
      </c>
      <c r="H9" s="19" t="str">
        <f>IFERROR(__xludf.DUMMYFUNCTION("""COMPUTED_VALUE"""),"4 - Agree")</f>
        <v>4 - Agree</v>
      </c>
      <c r="I9" s="19" t="str">
        <f>IFERROR(__xludf.DUMMYFUNCTION("""COMPUTED_VALUE"""),"4 - Agree")</f>
        <v>4 - Agree</v>
      </c>
      <c r="J9" s="19" t="str">
        <f>IFERROR(__xludf.DUMMYFUNCTION("""COMPUTED_VALUE"""),"4 - Agree")</f>
        <v>4 - Agree</v>
      </c>
      <c r="K9" s="19" t="str">
        <f>IFERROR(__xludf.DUMMYFUNCTION("""COMPUTED_VALUE"""),"4 - Agree")</f>
        <v>4 - Agree</v>
      </c>
      <c r="L9" s="19" t="str">
        <f>IFERROR(__xludf.DUMMYFUNCTION("""COMPUTED_VALUE"""),"4 - Agree")</f>
        <v>4 - Agree</v>
      </c>
      <c r="M9" s="19" t="str">
        <f>IFERROR(__xludf.DUMMYFUNCTION("""COMPUTED_VALUE"""),"4 - Agree")</f>
        <v>4 - Agree</v>
      </c>
      <c r="N9" s="19" t="str">
        <f>IFERROR(__xludf.DUMMYFUNCTION("""COMPUTED_VALUE"""),"4 - Agree")</f>
        <v>4 - Agree</v>
      </c>
      <c r="O9" s="19" t="str">
        <f>IFERROR(__xludf.DUMMYFUNCTION("""COMPUTED_VALUE"""),"It has gone very well. ")</f>
        <v>It has gone very well. </v>
      </c>
      <c r="P9" s="19" t="str">
        <f>IFERROR(__xludf.DUMMYFUNCTION("""COMPUTED_VALUE"""),"My son was so excited to log on every Tues &amp; Thurs")</f>
        <v>My son was so excited to log on every Tues &amp; Thurs</v>
      </c>
      <c r="Q9" s="19" t="str">
        <f>IFERROR(__xludf.DUMMYFUNCTION("""COMPUTED_VALUE"""),"Potentially earlier log in times")</f>
        <v>Potentially earlier log in times</v>
      </c>
      <c r="R9" s="19" t="str">
        <f>IFERROR(__xludf.DUMMYFUNCTION("""COMPUTED_VALUE"""),"Hearing my som reading speed pick up &amp; hos confidence change ")</f>
        <v>Hearing my som reading speed pick up &amp; hos confidence change </v>
      </c>
      <c r="S9" s="19"/>
      <c r="T9" s="19"/>
      <c r="U9" s="19"/>
      <c r="V9" s="19"/>
      <c r="W9" s="19"/>
      <c r="X9" s="19"/>
      <c r="Y9" s="19"/>
      <c r="Z9" s="19"/>
      <c r="AA9" s="19" t="str">
        <f>IFERROR(__xludf.DUMMYFUNCTION("""COMPUTED_VALUE"""),"No")</f>
        <v>No</v>
      </c>
      <c r="AB9" s="19"/>
      <c r="AC9" s="19" t="str">
        <f>IFERROR(__xludf.DUMMYFUNCTION("""COMPUTED_VALUE"""),"Yes, his reading speed has picked up &amp; his confidence has grown")</f>
        <v>Yes, his reading speed has picked up &amp; his confidence has grown</v>
      </c>
      <c r="AD9" s="19" t="str">
        <f>IFERROR(__xludf.DUMMYFUNCTION("""COMPUTED_VALUE"""),"Yes, with my name")</f>
        <v>Yes, with my name</v>
      </c>
      <c r="AE9" s="19"/>
    </row>
  </sheetData>
  <hyperlinks>
    <hyperlink r:id="rId1" ref="S1"/>
    <hyperlink r:id="rId2" ref="U1"/>
    <hyperlink r:id="rId3" ref="Y1"/>
    <hyperlink r:id="rId4" ref="AA1"/>
    <hyperlink r:id="rId5" ref="AD1"/>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0</v>
      </c>
      <c r="B1" s="15" t="s">
        <v>1</v>
      </c>
      <c r="C1" s="15" t="s">
        <v>2</v>
      </c>
      <c r="D1" s="15" t="s">
        <v>397</v>
      </c>
      <c r="E1" s="15" t="s">
        <v>398</v>
      </c>
      <c r="F1" s="15" t="s">
        <v>399</v>
      </c>
      <c r="G1" s="15" t="s">
        <v>400</v>
      </c>
      <c r="H1" s="15" t="s">
        <v>401</v>
      </c>
      <c r="I1" s="15" t="s">
        <v>402</v>
      </c>
      <c r="J1" s="15" t="s">
        <v>403</v>
      </c>
      <c r="K1" s="15" t="s">
        <v>404</v>
      </c>
      <c r="L1" s="15" t="s">
        <v>405</v>
      </c>
      <c r="M1" s="15" t="s">
        <v>406</v>
      </c>
      <c r="N1" s="15" t="s">
        <v>407</v>
      </c>
      <c r="O1" s="15" t="s">
        <v>14</v>
      </c>
      <c r="P1" s="15" t="s">
        <v>15</v>
      </c>
      <c r="Q1" s="15" t="s">
        <v>16</v>
      </c>
      <c r="R1" s="15" t="s">
        <v>17</v>
      </c>
      <c r="S1" s="16" t="s">
        <v>428</v>
      </c>
      <c r="T1" s="15" t="s">
        <v>19</v>
      </c>
      <c r="U1" s="16" t="s">
        <v>429</v>
      </c>
      <c r="V1" s="15" t="s">
        <v>21</v>
      </c>
      <c r="W1" s="15" t="s">
        <v>22</v>
      </c>
      <c r="X1" s="15" t="s">
        <v>23</v>
      </c>
      <c r="Y1" s="16" t="s">
        <v>430</v>
      </c>
      <c r="Z1" s="15" t="s">
        <v>25</v>
      </c>
      <c r="AA1" s="16" t="s">
        <v>431</v>
      </c>
      <c r="AB1" s="15" t="s">
        <v>27</v>
      </c>
      <c r="AC1" s="15" t="s">
        <v>28</v>
      </c>
      <c r="AD1" s="16" t="s">
        <v>432</v>
      </c>
      <c r="AE1" s="15" t="s">
        <v>30</v>
      </c>
      <c r="AF1" s="17"/>
      <c r="AG1" s="17"/>
      <c r="AH1" s="17"/>
      <c r="AI1" s="17"/>
      <c r="AJ1" s="17"/>
      <c r="AK1" s="17"/>
    </row>
    <row r="2">
      <c r="A2" s="19" t="str">
        <f>IFERROR(__xludf.DUMMYFUNCTION("QUERY('Form Responses 1'!A2:AE1000,""Select * where C = 'Lydia  - CFSN at Brilliant Detroit Osborn'"")"),"#N/A")</f>
        <v>#N/A</v>
      </c>
    </row>
  </sheetData>
  <hyperlinks>
    <hyperlink r:id="rId1" ref="S1"/>
    <hyperlink r:id="rId2" ref="U1"/>
    <hyperlink r:id="rId3" ref="Y1"/>
    <hyperlink r:id="rId4" ref="AA1"/>
    <hyperlink r:id="rId5" ref="AD1"/>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0</v>
      </c>
      <c r="B1" s="15" t="s">
        <v>1</v>
      </c>
      <c r="C1" s="15" t="s">
        <v>2</v>
      </c>
      <c r="D1" s="15" t="s">
        <v>397</v>
      </c>
      <c r="E1" s="15" t="s">
        <v>398</v>
      </c>
      <c r="F1" s="15" t="s">
        <v>399</v>
      </c>
      <c r="G1" s="15" t="s">
        <v>400</v>
      </c>
      <c r="H1" s="15" t="s">
        <v>401</v>
      </c>
      <c r="I1" s="15" t="s">
        <v>402</v>
      </c>
      <c r="J1" s="15" t="s">
        <v>403</v>
      </c>
      <c r="K1" s="15" t="s">
        <v>404</v>
      </c>
      <c r="L1" s="15" t="s">
        <v>405</v>
      </c>
      <c r="M1" s="15" t="s">
        <v>406</v>
      </c>
      <c r="N1" s="15" t="s">
        <v>407</v>
      </c>
      <c r="O1" s="15" t="s">
        <v>14</v>
      </c>
      <c r="P1" s="15" t="s">
        <v>15</v>
      </c>
      <c r="Q1" s="15" t="s">
        <v>16</v>
      </c>
      <c r="R1" s="15" t="s">
        <v>17</v>
      </c>
      <c r="S1" s="16" t="s">
        <v>433</v>
      </c>
      <c r="T1" s="15" t="s">
        <v>19</v>
      </c>
      <c r="U1" s="16" t="s">
        <v>434</v>
      </c>
      <c r="V1" s="15" t="s">
        <v>21</v>
      </c>
      <c r="W1" s="15" t="s">
        <v>22</v>
      </c>
      <c r="X1" s="15" t="s">
        <v>23</v>
      </c>
      <c r="Y1" s="16" t="s">
        <v>435</v>
      </c>
      <c r="Z1" s="15" t="s">
        <v>25</v>
      </c>
      <c r="AA1" s="16" t="s">
        <v>436</v>
      </c>
      <c r="AB1" s="15" t="s">
        <v>27</v>
      </c>
      <c r="AC1" s="15" t="s">
        <v>28</v>
      </c>
      <c r="AD1" s="16" t="s">
        <v>437</v>
      </c>
      <c r="AE1" s="15" t="s">
        <v>30</v>
      </c>
      <c r="AF1" s="17"/>
      <c r="AG1" s="17"/>
      <c r="AH1" s="17"/>
      <c r="AI1" s="17"/>
      <c r="AJ1" s="17"/>
      <c r="AK1" s="17"/>
    </row>
    <row r="2">
      <c r="A2" s="19" t="str">
        <f>IFERROR(__xludf.DUMMYFUNCTION("QUERY('Form Responses 1'!A2:AE1000,""Select * where C = 'Madonna- CFSN at Brilliant Detroit Southwest'"")"),"#N/A")</f>
        <v>#N/A</v>
      </c>
    </row>
  </sheetData>
  <hyperlinks>
    <hyperlink r:id="rId1" ref="S1"/>
    <hyperlink r:id="rId2" ref="U1"/>
    <hyperlink r:id="rId3" ref="Y1"/>
    <hyperlink r:id="rId4" ref="AA1"/>
    <hyperlink r:id="rId5" ref="AD1"/>
  </hyperlinks>
  <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0</v>
      </c>
      <c r="B1" s="15" t="s">
        <v>1</v>
      </c>
      <c r="C1" s="15" t="s">
        <v>2</v>
      </c>
      <c r="D1" s="15" t="s">
        <v>397</v>
      </c>
      <c r="E1" s="15" t="s">
        <v>398</v>
      </c>
      <c r="F1" s="15" t="s">
        <v>399</v>
      </c>
      <c r="G1" s="15" t="s">
        <v>400</v>
      </c>
      <c r="H1" s="15" t="s">
        <v>401</v>
      </c>
      <c r="I1" s="15" t="s">
        <v>402</v>
      </c>
      <c r="J1" s="15" t="s">
        <v>403</v>
      </c>
      <c r="K1" s="15" t="s">
        <v>404</v>
      </c>
      <c r="L1" s="15" t="s">
        <v>405</v>
      </c>
      <c r="M1" s="15" t="s">
        <v>406</v>
      </c>
      <c r="N1" s="15" t="s">
        <v>407</v>
      </c>
      <c r="O1" s="15" t="s">
        <v>14</v>
      </c>
      <c r="P1" s="15" t="s">
        <v>15</v>
      </c>
      <c r="Q1" s="15" t="s">
        <v>16</v>
      </c>
      <c r="R1" s="15" t="s">
        <v>17</v>
      </c>
      <c r="S1" s="16" t="s">
        <v>438</v>
      </c>
      <c r="T1" s="15" t="s">
        <v>19</v>
      </c>
      <c r="U1" s="16" t="s">
        <v>439</v>
      </c>
      <c r="V1" s="15" t="s">
        <v>21</v>
      </c>
      <c r="W1" s="15" t="s">
        <v>22</v>
      </c>
      <c r="X1" s="15" t="s">
        <v>23</v>
      </c>
      <c r="Y1" s="16" t="s">
        <v>440</v>
      </c>
      <c r="Z1" s="15" t="s">
        <v>25</v>
      </c>
      <c r="AA1" s="16" t="s">
        <v>441</v>
      </c>
      <c r="AB1" s="15" t="s">
        <v>27</v>
      </c>
      <c r="AC1" s="15" t="s">
        <v>28</v>
      </c>
      <c r="AD1" s="16" t="s">
        <v>442</v>
      </c>
      <c r="AE1" s="15" t="s">
        <v>30</v>
      </c>
      <c r="AF1" s="17"/>
      <c r="AG1" s="17"/>
      <c r="AH1" s="17"/>
      <c r="AI1" s="17"/>
      <c r="AJ1" s="17"/>
      <c r="AK1" s="17"/>
    </row>
    <row r="2">
      <c r="A2" s="18">
        <f>IFERROR(__xludf.DUMMYFUNCTION("QUERY('Form Responses 1'!A2:AE1000,""Select * where C = 'Hawra/Shanelle - CFSN at Brilliant Detroit Fitzgerald'"")"),45433.75605138889)</f>
        <v>45433.75605</v>
      </c>
      <c r="B2" s="19" t="str">
        <f>IFERROR(__xludf.DUMMYFUNCTION("""COMPUTED_VALUE"""),"Sarah Lividini")</f>
        <v>Sarah Lividini</v>
      </c>
      <c r="C2" s="19" t="str">
        <f>IFERROR(__xludf.DUMMYFUNCTION("""COMPUTED_VALUE"""),"Hawra/Shanelle - CFSN at Brilliant Detroit Fitzgerald")</f>
        <v>Hawra/Shanelle - CFSN at Brilliant Detroit Fitzgerald</v>
      </c>
      <c r="D2" s="19" t="str">
        <f>IFERROR(__xludf.DUMMYFUNCTION("""COMPUTED_VALUE"""),"5 - Strongly Agree")</f>
        <v>5 - Strongly Agree</v>
      </c>
      <c r="E2" s="19" t="str">
        <f>IFERROR(__xludf.DUMMYFUNCTION("""COMPUTED_VALUE"""),"4 - Agree")</f>
        <v>4 - Agree</v>
      </c>
      <c r="F2" s="19" t="str">
        <f>IFERROR(__xludf.DUMMYFUNCTION("""COMPUTED_VALUE"""),"4 - Agree")</f>
        <v>4 - Agree</v>
      </c>
      <c r="G2" s="19" t="str">
        <f>IFERROR(__xludf.DUMMYFUNCTION("""COMPUTED_VALUE"""),"4 - Agree")</f>
        <v>4 - Agree</v>
      </c>
      <c r="H2" s="19" t="str">
        <f>IFERROR(__xludf.DUMMYFUNCTION("""COMPUTED_VALUE"""),"5 - Strongly Agree")</f>
        <v>5 - Strongly Agree</v>
      </c>
      <c r="I2" s="19" t="str">
        <f>IFERROR(__xludf.DUMMYFUNCTION("""COMPUTED_VALUE"""),"5 - Strongly Agree")</f>
        <v>5 - Strongly Agree</v>
      </c>
      <c r="J2" s="19" t="str">
        <f>IFERROR(__xludf.DUMMYFUNCTION("""COMPUTED_VALUE"""),"5 - Strongly Agree")</f>
        <v>5 - Strongly Agree</v>
      </c>
      <c r="K2" s="19" t="str">
        <f>IFERROR(__xludf.DUMMYFUNCTION("""COMPUTED_VALUE"""),"5 - Strongly Agree")</f>
        <v>5 - Strongly Agree</v>
      </c>
      <c r="L2" s="19" t="str">
        <f>IFERROR(__xludf.DUMMYFUNCTION("""COMPUTED_VALUE"""),"5 - Strongly Agree")</f>
        <v>5 - Strongly Agree</v>
      </c>
      <c r="M2" s="19" t="str">
        <f>IFERROR(__xludf.DUMMYFUNCTION("""COMPUTED_VALUE"""),"5 - Strongly Agree")</f>
        <v>5 - Strongly Agree</v>
      </c>
      <c r="N2" s="19" t="str">
        <f>IFERROR(__xludf.DUMMYFUNCTION("""COMPUTED_VALUE"""),"4 - Agree")</f>
        <v>4 - Agree</v>
      </c>
      <c r="O2" s="19" t="str">
        <f>IFERROR(__xludf.DUMMYFUNCTION("""COMPUTED_VALUE"""),"Decent. I think the program went through some changes that made it difficult to find stable footing but I enjoy just being able to log on and connect with students from home. ")</f>
        <v>Decent. I think the program went through some changes that made it difficult to find stable footing but I enjoy just being able to log on and connect with students from home. </v>
      </c>
      <c r="P2" s="19" t="str">
        <f>IFERROR(__xludf.DUMMYFUNCTION("""COMPUTED_VALUE"""),"Seeing my mentee grow in their literacy skills while reading books we picked out together!")</f>
        <v>Seeing my mentee grow in their literacy skills while reading books we picked out together!</v>
      </c>
      <c r="Q2" s="19"/>
      <c r="R2" s="19"/>
      <c r="S2" s="19" t="str">
        <f>IFERROR(__xludf.DUMMYFUNCTION("""COMPUTED_VALUE"""),"I wasn't aware of the reading guides")</f>
        <v>I wasn't aware of the reading guides</v>
      </c>
      <c r="T2" s="19"/>
      <c r="U2" s="19"/>
      <c r="V2" s="19" t="str">
        <f>IFERROR(__xludf.DUMMYFUNCTION("""COMPUTED_VALUE"""),"I use it each session!")</f>
        <v>I use it each session!</v>
      </c>
      <c r="W2" s="19" t="str">
        <f>IFERROR(__xludf.DUMMYFUNCTION("""COMPUTED_VALUE"""),"n/a")</f>
        <v>n/a</v>
      </c>
      <c r="X2" s="19"/>
      <c r="Y2" s="19"/>
      <c r="Z2" s="19" t="str">
        <f>IFERROR(__xludf.DUMMYFUNCTION("""COMPUTED_VALUE"""),"Small change, but I haven't played ""hangman"" in such a long time and opt for better alternatives. This highlighted for me the simple changes we can make as mentors to our language to reduce structural injustices.")</f>
        <v>Small change, but I haven't played "hangman" in such a long time and opt for better alternatives. This highlighted for me the simple changes we can make as mentors to our language to reduce structural injustices.</v>
      </c>
      <c r="AA2" s="19" t="str">
        <f>IFERROR(__xludf.DUMMYFUNCTION("""COMPUTED_VALUE"""),"yes!")</f>
        <v>yes!</v>
      </c>
      <c r="AB2" s="19"/>
      <c r="AC2" s="19" t="str">
        <f>IFERROR(__xludf.DUMMYFUNCTION("""COMPUTED_VALUE"""),"My mentee went up a number of reading levels (M to Q) during our sessions which was amazing to see! More than that, my mentee also began recognizing what books would be interesting to her and which books were going to make reading more of a challenge beca"&amp;"use of the lack of interest. I loved seeing her discover her own passions through reading!")</f>
        <v>My mentee went up a number of reading levels (M to Q) during our sessions which was amazing to see! More than that, my mentee also began recognizing what books would be interesting to her and which books were going to make reading more of a challenge because of the lack of interest. I loved seeing her discover her own passions through reading!</v>
      </c>
      <c r="AD2" s="19" t="str">
        <f>IFERROR(__xludf.DUMMYFUNCTION("""COMPUTED_VALUE"""),"Yes, with my name")</f>
        <v>Yes, with my name</v>
      </c>
      <c r="AE2" s="19"/>
    </row>
  </sheetData>
  <hyperlinks>
    <hyperlink r:id="rId1" ref="S1"/>
    <hyperlink r:id="rId2" ref="U1"/>
    <hyperlink r:id="rId3" ref="Y1"/>
    <hyperlink r:id="rId4" ref="AA1"/>
    <hyperlink r:id="rId5" ref="AD1"/>
  </hyperlinks>
  <drawing r:id="rId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0</v>
      </c>
      <c r="B1" s="15" t="s">
        <v>1</v>
      </c>
      <c r="C1" s="15" t="s">
        <v>2</v>
      </c>
      <c r="D1" s="15" t="s">
        <v>397</v>
      </c>
      <c r="E1" s="15" t="s">
        <v>398</v>
      </c>
      <c r="F1" s="15" t="s">
        <v>399</v>
      </c>
      <c r="G1" s="15" t="s">
        <v>400</v>
      </c>
      <c r="H1" s="15" t="s">
        <v>401</v>
      </c>
      <c r="I1" s="15" t="s">
        <v>402</v>
      </c>
      <c r="J1" s="15" t="s">
        <v>403</v>
      </c>
      <c r="K1" s="15" t="s">
        <v>404</v>
      </c>
      <c r="L1" s="15" t="s">
        <v>405</v>
      </c>
      <c r="M1" s="15" t="s">
        <v>406</v>
      </c>
      <c r="N1" s="15" t="s">
        <v>407</v>
      </c>
      <c r="O1" s="15" t="s">
        <v>14</v>
      </c>
      <c r="P1" s="15" t="s">
        <v>15</v>
      </c>
      <c r="Q1" s="15" t="s">
        <v>16</v>
      </c>
      <c r="R1" s="15" t="s">
        <v>17</v>
      </c>
      <c r="S1" s="16" t="s">
        <v>443</v>
      </c>
      <c r="T1" s="15" t="s">
        <v>19</v>
      </c>
      <c r="U1" s="16" t="s">
        <v>444</v>
      </c>
      <c r="V1" s="15" t="s">
        <v>21</v>
      </c>
      <c r="W1" s="15" t="s">
        <v>22</v>
      </c>
      <c r="X1" s="15" t="s">
        <v>23</v>
      </c>
      <c r="Y1" s="16" t="s">
        <v>445</v>
      </c>
      <c r="Z1" s="15" t="s">
        <v>25</v>
      </c>
      <c r="AA1" s="16" t="s">
        <v>446</v>
      </c>
      <c r="AB1" s="15" t="s">
        <v>27</v>
      </c>
      <c r="AC1" s="15" t="s">
        <v>28</v>
      </c>
      <c r="AD1" s="16" t="s">
        <v>447</v>
      </c>
      <c r="AE1" s="15" t="s">
        <v>30</v>
      </c>
      <c r="AF1" s="17"/>
      <c r="AG1" s="17"/>
      <c r="AH1" s="17"/>
      <c r="AI1" s="17"/>
      <c r="AJ1" s="17"/>
      <c r="AK1" s="17"/>
    </row>
    <row r="2">
      <c r="A2" s="18">
        <f>IFERROR(__xludf.DUMMYFUNCTION("QUERY('Form Responses 1'!A2:AE1000,""Select * where C = 'Amy - CFSN at Downtown Boxing Gym'"")"),45432.86911599537)</f>
        <v>45432.86912</v>
      </c>
      <c r="B2" s="19" t="str">
        <f>IFERROR(__xludf.DUMMYFUNCTION("""COMPUTED_VALUE"""),"Jessica Sato")</f>
        <v>Jessica Sato</v>
      </c>
      <c r="C2" s="19" t="str">
        <f>IFERROR(__xludf.DUMMYFUNCTION("""COMPUTED_VALUE"""),"Amy - CFSN at Downtown Boxing Gym")</f>
        <v>Amy - CFSN at Downtown Boxing Gym</v>
      </c>
      <c r="D2" s="19" t="str">
        <f>IFERROR(__xludf.DUMMYFUNCTION("""COMPUTED_VALUE"""),"4 - Agree")</f>
        <v>4 - Agree</v>
      </c>
      <c r="E2" s="19" t="str">
        <f>IFERROR(__xludf.DUMMYFUNCTION("""COMPUTED_VALUE"""),"5 - Strongly Agree")</f>
        <v>5 - Strongly Agree</v>
      </c>
      <c r="F2" s="19" t="str">
        <f>IFERROR(__xludf.DUMMYFUNCTION("""COMPUTED_VALUE"""),"4 - Agree")</f>
        <v>4 - Agree</v>
      </c>
      <c r="G2" s="19" t="str">
        <f>IFERROR(__xludf.DUMMYFUNCTION("""COMPUTED_VALUE"""),"5 - Strongly Agree")</f>
        <v>5 - Strongly Agree</v>
      </c>
      <c r="H2" s="19" t="str">
        <f>IFERROR(__xludf.DUMMYFUNCTION("""COMPUTED_VALUE"""),"4 - Agree")</f>
        <v>4 - Agree</v>
      </c>
      <c r="I2" s="19" t="str">
        <f>IFERROR(__xludf.DUMMYFUNCTION("""COMPUTED_VALUE"""),"4 - Agree")</f>
        <v>4 - Agree</v>
      </c>
      <c r="J2" s="19" t="str">
        <f>IFERROR(__xludf.DUMMYFUNCTION("""COMPUTED_VALUE"""),"5 - Strongly Agree")</f>
        <v>5 - Strongly Agree</v>
      </c>
      <c r="K2" s="19" t="str">
        <f>IFERROR(__xludf.DUMMYFUNCTION("""COMPUTED_VALUE"""),"5 - Strongly Agree")</f>
        <v>5 - Strongly Agree</v>
      </c>
      <c r="L2" s="19" t="str">
        <f>IFERROR(__xludf.DUMMYFUNCTION("""COMPUTED_VALUE"""),"5 - Strongly Agree")</f>
        <v>5 - Strongly Agree</v>
      </c>
      <c r="M2" s="19" t="str">
        <f>IFERROR(__xludf.DUMMYFUNCTION("""COMPUTED_VALUE"""),"5 - Strongly Agree")</f>
        <v>5 - Strongly Agree</v>
      </c>
      <c r="N2" s="19" t="str">
        <f>IFERROR(__xludf.DUMMYFUNCTION("""COMPUTED_VALUE"""),"4 - Agree")</f>
        <v>4 - Agree</v>
      </c>
      <c r="O2" s="19" t="str">
        <f>IFERROR(__xludf.DUMMYFUNCTION("""COMPUTED_VALUE"""),"Virtual mentoring sessions can be very difficult. Technical difficulties and late arrivals aside, my mentees are often distracted and find it hard to focus when signing on from home or at the gym, surrounded by others. But when my mentees do sign on on ti"&amp;"me and we are able to enjoy the full 30-35 minutes of allotted time for our session, it is much better. However, to utilize time efficiently, it is hard to do everything asked of us in the mentoring outline. On the best day, we are able to play a quick ga"&amp;"me, and then read a few pages of a book online. However, we need time to choose a book, and that can take a lot of time. So I do think it requires a little preparation where I find suitable books to read and games to play before signing on, so that I can "&amp;"make suggestions and keep things moving. But if my mentee isn't really into that then... time is lost. 
I have the privilege of being able to do my sessions in person a lot of the time, and this really allows for better use of time and connection with my"&amp;" mentees. They focus much better and our sessions are clearly more effective.")</f>
        <v>Virtual mentoring sessions can be very difficult. Technical difficulties and late arrivals aside, my mentees are often distracted and find it hard to focus when signing on from home or at the gym, surrounded by others. But when my mentees do sign on on time and we are able to enjoy the full 30-35 minutes of allotted time for our session, it is much better. However, to utilize time efficiently, it is hard to do everything asked of us in the mentoring outline. On the best day, we are able to play a quick game, and then read a few pages of a book online. However, we need time to choose a book, and that can take a lot of time. So I do think it requires a little preparation where I find suitable books to read and games to play before signing on, so that I can make suggestions and keep things moving. But if my mentee isn't really into that then... time is lost. 
I have the privilege of being able to do my sessions in person a lot of the time, and this really allows for better use of time and connection with my mentees. They focus much better and our sessions are clearly more effective.</v>
      </c>
      <c r="P2" s="19" t="str">
        <f>IFERROR(__xludf.DUMMYFUNCTION("""COMPUTED_VALUE"""),"This semester has been great; I've seen Mhyanna really improve her word recognition, ability sound out words, and her skipping over certain letters and words in sentences. And Roman... when I first met him he could barely get through reading a sentence wi"&amp;"thout my help sounding out each word. But now he is reading full pages with some long, tricky words all by himself! I am very proud of both of them, especially for their constant positive attitudes")</f>
        <v>This semester has been great; I've seen Mhyanna really improve her word recognition, ability sound out words, and her skipping over certain letters and words in sentences. And Roman... when I first met him he could barely get through reading a sentence without my help sounding out each word. But now he is reading full pages with some long, tricky words all by himself! I am very proud of both of them, especially for their constant positive attitudes</v>
      </c>
      <c r="Q2" s="19" t="str">
        <f>IFERROR(__xludf.DUMMYFUNCTION("""COMPUTED_VALUE"""),"The mentoring outline for the schedule per each day could be adjusted to be a bit more lenient. 30 minutes is not a ton of time to do everything on the list, especially if the session doesn't start exactly on time. If I'm lucky, I find I have time to play"&amp;" a game and read a few pages of a book with my mentees in a way that it feels we have had an effective session. ")</f>
        <v>The mentoring outline for the schedule per each day could be adjusted to be a bit more lenient. 30 minutes is not a ton of time to do everything on the list, especially if the session doesn't start exactly on time. If I'm lucky, I find I have time to play a game and read a few pages of a book with my mentees in a way that it feels we have had an effective session. </v>
      </c>
      <c r="R2" s="19" t="str">
        <f>IFERROR(__xludf.DUMMYFUNCTION("""COMPUTED_VALUE"""),"I love how much Roman loves Fly Guy books and how enthusiastic he was about them every session we had! And I always love Mhyanna's sense of humor and the way she does silly voices sometimes when reading books to me")</f>
        <v>I love how much Roman loves Fly Guy books and how enthusiastic he was about them every session we had! And I always love Mhyanna's sense of humor and the way she does silly voices sometimes when reading books to me</v>
      </c>
      <c r="S2" s="19" t="str">
        <f>IFERROR(__xludf.DUMMYFUNCTION("""COMPUTED_VALUE"""),"Not at all")</f>
        <v>Not at all</v>
      </c>
      <c r="T2" s="19"/>
      <c r="U2" s="19"/>
      <c r="V2" s="19" t="str">
        <f>IFERROR(__xludf.DUMMYFUNCTION("""COMPUTED_VALUE"""),"I have just found that it doesn't work as well in practice, maybe because time is a limiting factor. It would be helpful if there were more books that were leveled in the resource folder; the ones that are currently in there just don't seem to appeal to m"&amp;"y mentees. They won't even entertain them just by looking at them! Hoopla has the best selection for virtual sessions, but it's hard to level those books... if some of the hoopla books could make it into the resources with their levels, that would be help"&amp;"ful")</f>
        <v>I have just found that it doesn't work as well in practice, maybe because time is a limiting factor. It would be helpful if there were more books that were leveled in the resource folder; the ones that are currently in there just don't seem to appeal to my mentees. They won't even entertain them just by looking at them! Hoopla has the best selection for virtual sessions, but it's hard to level those books... if some of the hoopla books could make it into the resources with their levels, that would be helpful</v>
      </c>
      <c r="W2" s="19" t="str">
        <f>IFERROR(__xludf.DUMMYFUNCTION("""COMPUTED_VALUE"""),"I think that my answers so far have given enough insight... I feel very supported as a mentor and am grateful to all of the coaches at CFS!")</f>
        <v>I think that my answers so far have given enough insight... I feel very supported as a mentor and am grateful to all of the coaches at CFS!</v>
      </c>
      <c r="X2" s="19"/>
      <c r="Y2" s="19"/>
      <c r="Z2" s="19" t="str">
        <f>IFERROR(__xludf.DUMMYFUNCTION("""COMPUTED_VALUE"""),"that was a while ago for me, but simply understanding better what equity means, vs. equality, was really enlightening")</f>
        <v>that was a while ago for me, but simply understanding better what equity means, vs. equality, was really enlightening</v>
      </c>
      <c r="AA2" s="19" t="str">
        <f>IFERROR(__xludf.DUMMYFUNCTION("""COMPUTED_VALUE"""),"I don't know... but I am not very active on socail media so if not, that is why!")</f>
        <v>I don't know... but I am not very active on socail media so if not, that is why!</v>
      </c>
      <c r="AB2" s="19" t="str">
        <f>IFERROR(__xludf.DUMMYFUNCTION("""COMPUTED_VALUE"""),"not sure")</f>
        <v>not sure</v>
      </c>
      <c r="AC2" s="19" t="str">
        <f>IFERROR(__xludf.DUMMYFUNCTION("""COMPUTED_VALUE"""),"They are both much more confident, have shown a clear improvement, and always have such positive attitudes!")</f>
        <v>They are both much more confident, have shown a clear improvement, and always have such positive attitudes!</v>
      </c>
      <c r="AD2" s="19" t="str">
        <f>IFERROR(__xludf.DUMMYFUNCTION("""COMPUTED_VALUE"""),"Yes, with my name")</f>
        <v>Yes, with my name</v>
      </c>
      <c r="AE2" s="19"/>
    </row>
    <row r="3">
      <c r="A3" s="18">
        <f>IFERROR(__xludf.DUMMYFUNCTION("""COMPUTED_VALUE"""),45433.72686628472)</f>
        <v>45433.72687</v>
      </c>
      <c r="B3" s="19" t="str">
        <f>IFERROR(__xludf.DUMMYFUNCTION("""COMPUTED_VALUE"""),"Danielle Ochocki")</f>
        <v>Danielle Ochocki</v>
      </c>
      <c r="C3" s="19" t="str">
        <f>IFERROR(__xludf.DUMMYFUNCTION("""COMPUTED_VALUE"""),"Amy - CFSN at Downtown Boxing Gym")</f>
        <v>Amy - CFSN at Downtown Boxing Gym</v>
      </c>
      <c r="D3" s="19" t="str">
        <f>IFERROR(__xludf.DUMMYFUNCTION("""COMPUTED_VALUE"""),"5 - Strongly Agree")</f>
        <v>5 - Strongly Agree</v>
      </c>
      <c r="E3" s="19" t="str">
        <f>IFERROR(__xludf.DUMMYFUNCTION("""COMPUTED_VALUE"""),"4 - Agree")</f>
        <v>4 - Agree</v>
      </c>
      <c r="F3" s="19" t="str">
        <f>IFERROR(__xludf.DUMMYFUNCTION("""COMPUTED_VALUE"""),"3 - Neutral")</f>
        <v>3 - Neutral</v>
      </c>
      <c r="G3" s="19" t="str">
        <f>IFERROR(__xludf.DUMMYFUNCTION("""COMPUTED_VALUE"""),"5 - Strongly Agree")</f>
        <v>5 - Strongly Agree</v>
      </c>
      <c r="H3" s="19" t="str">
        <f>IFERROR(__xludf.DUMMYFUNCTION("""COMPUTED_VALUE"""),"4 - Agree")</f>
        <v>4 - Agree</v>
      </c>
      <c r="I3" s="19" t="str">
        <f>IFERROR(__xludf.DUMMYFUNCTION("""COMPUTED_VALUE"""),"4 - Agree")</f>
        <v>4 - Agree</v>
      </c>
      <c r="J3" s="19" t="str">
        <f>IFERROR(__xludf.DUMMYFUNCTION("""COMPUTED_VALUE"""),"5 - Strongly Agree")</f>
        <v>5 - Strongly Agree</v>
      </c>
      <c r="K3" s="19" t="str">
        <f>IFERROR(__xludf.DUMMYFUNCTION("""COMPUTED_VALUE"""),"5 - Strongly Agree")</f>
        <v>5 - Strongly Agree</v>
      </c>
      <c r="L3" s="19" t="str">
        <f>IFERROR(__xludf.DUMMYFUNCTION("""COMPUTED_VALUE"""),"5 - Strongly Agree")</f>
        <v>5 - Strongly Agree</v>
      </c>
      <c r="M3" s="19" t="str">
        <f>IFERROR(__xludf.DUMMYFUNCTION("""COMPUTED_VALUE"""),"5 - Strongly Agree")</f>
        <v>5 - Strongly Agree</v>
      </c>
      <c r="N3" s="19" t="str">
        <f>IFERROR(__xludf.DUMMYFUNCTION("""COMPUTED_VALUE"""),"4 - Agree")</f>
        <v>4 - Agree</v>
      </c>
      <c r="O3" s="19" t="str">
        <f>IFERROR(__xludf.DUMMYFUNCTION("""COMPUTED_VALUE"""),"It was a positive experience. I feel like my mentee and I were able to get comfortable throughout the year.")</f>
        <v>It was a positive experience. I feel like my mentee and I were able to get comfortable throughout the year.</v>
      </c>
      <c r="P3" s="19" t="str">
        <f>IFERROR(__xludf.DUMMYFUNCTION("""COMPUTED_VALUE"""),"Seeing Ean get better at sounding out words he didn't know. ")</f>
        <v>Seeing Ean get better at sounding out words he didn't know. </v>
      </c>
      <c r="Q3" s="19" t="str">
        <f>IFERROR(__xludf.DUMMYFUNCTION("""COMPUTED_VALUE"""),"new game ideas would be helpful! some of the suggested ones are just a little difficult to do via zoom. ")</f>
        <v>new game ideas would be helpful! some of the suggested ones are just a little difficult to do via zoom. </v>
      </c>
      <c r="R3" s="19" t="str">
        <f>IFERROR(__xludf.DUMMYFUNCTION("""COMPUTED_VALUE"""),"Ean getting excited to play hangman!")</f>
        <v>Ean getting excited to play hangman!</v>
      </c>
      <c r="S3" s="19" t="str">
        <f>IFERROR(__xludf.DUMMYFUNCTION("""COMPUTED_VALUE"""),"I wasn't aware of the reading guides")</f>
        <v>I wasn't aware of the reading guides</v>
      </c>
      <c r="T3" s="19"/>
      <c r="U3" s="19"/>
      <c r="V3" s="19" t="str">
        <f>IFERROR(__xludf.DUMMYFUNCTION("""COMPUTED_VALUE"""),"I do use it sometimes, it can be hard to get your mentee to set goals. ")</f>
        <v>I do use it sometimes, it can be hard to get your mentee to set goals. </v>
      </c>
      <c r="W3" s="19" t="str">
        <f>IFERROR(__xludf.DUMMYFUNCTION("""COMPUTED_VALUE"""),"NA- I feel supported ")</f>
        <v>NA- I feel supported </v>
      </c>
      <c r="X3" s="19"/>
      <c r="Y3" s="19"/>
      <c r="Z3" s="19" t="str">
        <f>IFERROR(__xludf.DUMMYFUNCTION("""COMPUTED_VALUE"""),"I don't think I went to this, at least not recently")</f>
        <v>I don't think I went to this, at least not recently</v>
      </c>
      <c r="AA3" s="19"/>
      <c r="AB3" s="19"/>
      <c r="AC3" s="19" t="str">
        <f>IFERROR(__xludf.DUMMYFUNCTION("""COMPUTED_VALUE"""),"He seems more confident in his reading! Overall is more fluent than before. ")</f>
        <v>He seems more confident in his reading! Overall is more fluent than before. </v>
      </c>
      <c r="AD3" s="19" t="str">
        <f>IFERROR(__xludf.DUMMYFUNCTION("""COMPUTED_VALUE"""),"Yes, with my name")</f>
        <v>Yes, with my name</v>
      </c>
      <c r="AE3" s="19"/>
    </row>
    <row r="4">
      <c r="A4" s="18">
        <f>IFERROR(__xludf.DUMMYFUNCTION("""COMPUTED_VALUE"""),45433.729000162035)</f>
        <v>45433.729</v>
      </c>
      <c r="B4" s="19" t="str">
        <f>IFERROR(__xludf.DUMMYFUNCTION("""COMPUTED_VALUE"""),"India Bailey")</f>
        <v>India Bailey</v>
      </c>
      <c r="C4" s="19" t="str">
        <f>IFERROR(__xludf.DUMMYFUNCTION("""COMPUTED_VALUE"""),"Amy - CFSN at Downtown Boxing Gym")</f>
        <v>Amy - CFSN at Downtown Boxing Gym</v>
      </c>
      <c r="D4" s="19" t="str">
        <f>IFERROR(__xludf.DUMMYFUNCTION("""COMPUTED_VALUE"""),"5 - Strongly Agree")</f>
        <v>5 - Strongly Agree</v>
      </c>
      <c r="E4" s="19" t="str">
        <f>IFERROR(__xludf.DUMMYFUNCTION("""COMPUTED_VALUE"""),"5 - Strongly Agree")</f>
        <v>5 - Strongly Agree</v>
      </c>
      <c r="F4" s="19" t="str">
        <f>IFERROR(__xludf.DUMMYFUNCTION("""COMPUTED_VALUE"""),"5 - Strongly Agree")</f>
        <v>5 - Strongly Agree</v>
      </c>
      <c r="G4" s="19" t="str">
        <f>IFERROR(__xludf.DUMMYFUNCTION("""COMPUTED_VALUE"""),"5 - Strongly Agree")</f>
        <v>5 - Strongly Agree</v>
      </c>
      <c r="H4" s="19" t="str">
        <f>IFERROR(__xludf.DUMMYFUNCTION("""COMPUTED_VALUE"""),"5 - Strongly Agree")</f>
        <v>5 - Strongly Agree</v>
      </c>
      <c r="I4" s="19" t="str">
        <f>IFERROR(__xludf.DUMMYFUNCTION("""COMPUTED_VALUE"""),"4 - Agree")</f>
        <v>4 - Agree</v>
      </c>
      <c r="J4" s="19" t="str">
        <f>IFERROR(__xludf.DUMMYFUNCTION("""COMPUTED_VALUE"""),"5 - Strongly Agree")</f>
        <v>5 - Strongly Agree</v>
      </c>
      <c r="K4" s="19" t="str">
        <f>IFERROR(__xludf.DUMMYFUNCTION("""COMPUTED_VALUE"""),"5 - Strongly Agree")</f>
        <v>5 - Strongly Agree</v>
      </c>
      <c r="L4" s="19" t="str">
        <f>IFERROR(__xludf.DUMMYFUNCTION("""COMPUTED_VALUE"""),"5 - Strongly Agree")</f>
        <v>5 - Strongly Agree</v>
      </c>
      <c r="M4" s="19" t="str">
        <f>IFERROR(__xludf.DUMMYFUNCTION("""COMPUTED_VALUE"""),"5 - Strongly Agree")</f>
        <v>5 - Strongly Agree</v>
      </c>
      <c r="N4" s="19" t="str">
        <f>IFERROR(__xludf.DUMMYFUNCTION("""COMPUTED_VALUE"""),"4 - Agree")</f>
        <v>4 - Agree</v>
      </c>
      <c r="O4" s="19" t="str">
        <f>IFERROR(__xludf.DUMMYFUNCTION("""COMPUTED_VALUE"""),"Overall, my experience went really well I was able to still interact and connect with my mentee while being virtual.")</f>
        <v>Overall, my experience went really well I was able to still interact and connect with my mentee while being virtual.</v>
      </c>
      <c r="P4" s="19" t="str">
        <f>IFERROR(__xludf.DUMMYFUNCTION("""COMPUTED_VALUE"""),"The best part about my mentor experience is being able to help someone and bring joy.")</f>
        <v>The best part about my mentor experience is being able to help someone and bring joy.</v>
      </c>
      <c r="Q4" s="19" t="str">
        <f>IFERROR(__xludf.DUMMYFUNCTION("""COMPUTED_VALUE"""),"I would like a hybrid option with my mentee, sometimes we meet virtual, and sometimes we meet in person. ")</f>
        <v>I would like a hybrid option with my mentee, sometimes we meet virtual, and sometimes we meet in person. </v>
      </c>
      <c r="R4" s="19" t="str">
        <f>IFERROR(__xludf.DUMMYFUNCTION("""COMPUTED_VALUE"""),"My favorite memory is seeing my mentee be able to complete task alone with little to no help, showing how they have improved greatly. In addition to the laughter moments while playing games.")</f>
        <v>My favorite memory is seeing my mentee be able to complete task alone with little to no help, showing how they have improved greatly. In addition to the laughter moments while playing games.</v>
      </c>
      <c r="S4" s="19" t="str">
        <f>IFERROR(__xludf.DUMMYFUNCTION("""COMPUTED_VALUE"""),"Once a week")</f>
        <v>Once a week</v>
      </c>
      <c r="T4" s="19"/>
      <c r="U4" s="19"/>
      <c r="V4" s="19" t="str">
        <f>IFERROR(__xludf.DUMMYFUNCTION("""COMPUTED_VALUE"""),"I use it based on the interest of the mentee and sometimes I find that using additional resources outside of the guideline helps the mentee be more engaged and active. ")</f>
        <v>I use it based on the interest of the mentee and sometimes I find that using additional resources outside of the guideline helps the mentee be more engaged and active. </v>
      </c>
      <c r="W4" s="19" t="str">
        <f>IFERROR(__xludf.DUMMYFUNCTION("""COMPUTED_VALUE"""),"Nothing, you guts are awesome and I will be returning.")</f>
        <v>Nothing, you guts are awesome and I will be returning.</v>
      </c>
      <c r="X4" s="19"/>
      <c r="Y4" s="19"/>
      <c r="Z4" s="19" t="str">
        <f>IFERROR(__xludf.DUMMYFUNCTION("""COMPUTED_VALUE""")," The interactions you have with your mentee creates the environment and open relationship. ")</f>
        <v> The interactions you have with your mentee creates the environment and open relationship. </v>
      </c>
      <c r="AA4" s="19" t="str">
        <f>IFERROR(__xludf.DUMMYFUNCTION("""COMPUTED_VALUE"""),"I do not I didn't know they had social media ")</f>
        <v>I do not I didn't know they had social media </v>
      </c>
      <c r="AB4" s="19" t="str">
        <f>IFERROR(__xludf.DUMMYFUNCTION("""COMPUTED_VALUE"""),"I don't follow, I will add the Facebook ")</f>
        <v>I don't follow, I will add the Facebook </v>
      </c>
      <c r="AC4" s="19" t="str">
        <f>IFERROR(__xludf.DUMMYFUNCTION("""COMPUTED_VALUE"""),"She is more confident in taking on new challenges even if its above her grade or reading level. She does a phenomenal job each time and is willing to learn new things. ")</f>
        <v>She is more confident in taking on new challenges even if its above her grade or reading level. She does a phenomenal job each time and is willing to learn new things. </v>
      </c>
      <c r="AD4" s="19" t="str">
        <f>IFERROR(__xludf.DUMMYFUNCTION("""COMPUTED_VALUE"""),"Yes, anonymously")</f>
        <v>Yes, anonymously</v>
      </c>
      <c r="AE4" s="19" t="str">
        <f>IFERROR(__xludf.DUMMYFUNCTION("""COMPUTED_VALUE"""),"This program is really great how can it be spread more throughout various cities?")</f>
        <v>This program is really great how can it be spread more throughout various cities?</v>
      </c>
    </row>
    <row r="5">
      <c r="A5" s="18">
        <f>IFERROR(__xludf.DUMMYFUNCTION("""COMPUTED_VALUE"""),45433.76434070602)</f>
        <v>45433.76434</v>
      </c>
      <c r="B5" s="19" t="str">
        <f>IFERROR(__xludf.DUMMYFUNCTION("""COMPUTED_VALUE"""),"Radia Islam")</f>
        <v>Radia Islam</v>
      </c>
      <c r="C5" s="19" t="str">
        <f>IFERROR(__xludf.DUMMYFUNCTION("""COMPUTED_VALUE"""),"Amy - CFSN at Downtown Boxing Gym")</f>
        <v>Amy - CFSN at Downtown Boxing Gym</v>
      </c>
      <c r="D5" s="19" t="str">
        <f>IFERROR(__xludf.DUMMYFUNCTION("""COMPUTED_VALUE"""),"4 - Agree")</f>
        <v>4 - Agree</v>
      </c>
      <c r="E5" s="19"/>
      <c r="F5" s="19" t="str">
        <f>IFERROR(__xludf.DUMMYFUNCTION("""COMPUTED_VALUE"""),"3 - Neutral")</f>
        <v>3 - Neutral</v>
      </c>
      <c r="G5" s="19" t="str">
        <f>IFERROR(__xludf.DUMMYFUNCTION("""COMPUTED_VALUE"""),"4 - Agree")</f>
        <v>4 - Agree</v>
      </c>
      <c r="H5" s="19" t="str">
        <f>IFERROR(__xludf.DUMMYFUNCTION("""COMPUTED_VALUE"""),"4 - Agree")</f>
        <v>4 - Agree</v>
      </c>
      <c r="I5" s="19" t="str">
        <f>IFERROR(__xludf.DUMMYFUNCTION("""COMPUTED_VALUE"""),"5 - Strongly Agree")</f>
        <v>5 - Strongly Agree</v>
      </c>
      <c r="J5" s="19" t="str">
        <f>IFERROR(__xludf.DUMMYFUNCTION("""COMPUTED_VALUE"""),"5 - Strongly Agree")</f>
        <v>5 - Strongly Agree</v>
      </c>
      <c r="K5" s="19" t="str">
        <f>IFERROR(__xludf.DUMMYFUNCTION("""COMPUTED_VALUE"""),"5 - Strongly Agree")</f>
        <v>5 - Strongly Agree</v>
      </c>
      <c r="L5" s="19" t="str">
        <f>IFERROR(__xludf.DUMMYFUNCTION("""COMPUTED_VALUE"""),"5 - Strongly Agree")</f>
        <v>5 - Strongly Agree</v>
      </c>
      <c r="M5" s="19" t="str">
        <f>IFERROR(__xludf.DUMMYFUNCTION("""COMPUTED_VALUE"""),"5 - Strongly Agree")</f>
        <v>5 - Strongly Agree</v>
      </c>
      <c r="N5" s="19" t="str">
        <f>IFERROR(__xludf.DUMMYFUNCTION("""COMPUTED_VALUE"""),"5 - Strongly Agree")</f>
        <v>5 - Strongly Agree</v>
      </c>
      <c r="O5" s="19" t="str">
        <f>IFERROR(__xludf.DUMMYFUNCTION("""COMPUTED_VALUE"""),"it's been wonderful to work with Amy! I think there are some days where its difficult with Samiya because she wants to participate in other activities rather than this literacy program, but its always a pleasure to work with her. ")</f>
        <v>it's been wonderful to work with Amy! I think there are some days where its difficult with Samiya because she wants to participate in other activities rather than this literacy program, but its always a pleasure to work with her. </v>
      </c>
      <c r="P5" s="19" t="str">
        <f>IFERROR(__xludf.DUMMYFUNCTION("""COMPUTED_VALUE"""),"getting closer with samiya and working on our origami together! ")</f>
        <v>getting closer with samiya and working on our origami together! </v>
      </c>
      <c r="Q5" s="19" t="str">
        <f>IFERROR(__xludf.DUMMYFUNCTION("""COMPUTED_VALUE"""),"nothing ")</f>
        <v>nothing </v>
      </c>
      <c r="R5" s="19" t="str">
        <f>IFERROR(__xludf.DUMMYFUNCTION("""COMPUTED_VALUE"""),"having an art competition ")</f>
        <v>having an art competition </v>
      </c>
      <c r="S5" s="19" t="str">
        <f>IFERROR(__xludf.DUMMYFUNCTION("""COMPUTED_VALUE"""),"At every/most sessions")</f>
        <v>At every/most sessions</v>
      </c>
      <c r="T5" s="19"/>
      <c r="U5" s="19"/>
      <c r="V5" s="19"/>
      <c r="W5" s="19" t="str">
        <f>IFERROR(__xludf.DUMMYFUNCTION("""COMPUTED_VALUE"""),"I think with samiya specifically there is an issue with her focus because she wants to go to the kitchen so often, so perhaps changing the schedule for the mentee to be more excited and engaged during out time together ")</f>
        <v>I think with samiya specifically there is an issue with her focus because she wants to go to the kitchen so often, so perhaps changing the schedule for the mentee to be more excited and engaged during out time together </v>
      </c>
      <c r="X5" s="19"/>
      <c r="Y5" s="19"/>
      <c r="Z5" s="19" t="str">
        <f>IFERROR(__xludf.DUMMYFUNCTION("""COMPUTED_VALUE"""),"N/A")</f>
        <v>N/A</v>
      </c>
      <c r="AA5" s="19" t="str">
        <f>IFERROR(__xludf.DUMMYFUNCTION("""COMPUTED_VALUE"""),"yes ")</f>
        <v>yes </v>
      </c>
      <c r="AB5" s="19"/>
      <c r="AC5" s="19"/>
      <c r="AD5" s="19" t="str">
        <f>IFERROR(__xludf.DUMMYFUNCTION("""COMPUTED_VALUE"""),"Yes, anonymously")</f>
        <v>Yes, anonymously</v>
      </c>
      <c r="AE5" s="19"/>
    </row>
    <row r="6">
      <c r="A6" s="18">
        <f>IFERROR(__xludf.DUMMYFUNCTION("""COMPUTED_VALUE"""),45433.88581505787)</f>
        <v>45433.88582</v>
      </c>
      <c r="B6" s="19"/>
      <c r="C6" s="19" t="str">
        <f>IFERROR(__xludf.DUMMYFUNCTION("""COMPUTED_VALUE"""),"Amy - CFSN at Downtown Boxing Gym")</f>
        <v>Amy - CFSN at Downtown Boxing Gym</v>
      </c>
      <c r="D6" s="19" t="str">
        <f>IFERROR(__xludf.DUMMYFUNCTION("""COMPUTED_VALUE"""),"5 - Strongly Agree")</f>
        <v>5 - Strongly Agree</v>
      </c>
      <c r="E6" s="19" t="str">
        <f>IFERROR(__xludf.DUMMYFUNCTION("""COMPUTED_VALUE"""),"5 - Strongly Agree")</f>
        <v>5 - Strongly Agree</v>
      </c>
      <c r="F6" s="19" t="str">
        <f>IFERROR(__xludf.DUMMYFUNCTION("""COMPUTED_VALUE"""),"5 - Strongly Agree")</f>
        <v>5 - Strongly Agree</v>
      </c>
      <c r="G6" s="19" t="str">
        <f>IFERROR(__xludf.DUMMYFUNCTION("""COMPUTED_VALUE"""),"5 - Strongly Agree")</f>
        <v>5 - Strongly Agree</v>
      </c>
      <c r="H6" s="19" t="str">
        <f>IFERROR(__xludf.DUMMYFUNCTION("""COMPUTED_VALUE"""),"5 - Strongly Agree")</f>
        <v>5 - Strongly Agree</v>
      </c>
      <c r="I6" s="19" t="str">
        <f>IFERROR(__xludf.DUMMYFUNCTION("""COMPUTED_VALUE"""),"5 - Strongly Agree")</f>
        <v>5 - Strongly Agree</v>
      </c>
      <c r="J6" s="19" t="str">
        <f>IFERROR(__xludf.DUMMYFUNCTION("""COMPUTED_VALUE"""),"5 - Strongly Agree")</f>
        <v>5 - Strongly Agree</v>
      </c>
      <c r="K6" s="19" t="str">
        <f>IFERROR(__xludf.DUMMYFUNCTION("""COMPUTED_VALUE"""),"5 - Strongly Agree")</f>
        <v>5 - Strongly Agree</v>
      </c>
      <c r="L6" s="19" t="str">
        <f>IFERROR(__xludf.DUMMYFUNCTION("""COMPUTED_VALUE"""),"5 - Strongly Agree")</f>
        <v>5 - Strongly Agree</v>
      </c>
      <c r="M6" s="19" t="str">
        <f>IFERROR(__xludf.DUMMYFUNCTION("""COMPUTED_VALUE"""),"5 - Strongly Agree")</f>
        <v>5 - Strongly Agree</v>
      </c>
      <c r="N6" s="19" t="str">
        <f>IFERROR(__xludf.DUMMYFUNCTION("""COMPUTED_VALUE"""),"5 - Strongly Agree")</f>
        <v>5 - Strongly Agree</v>
      </c>
      <c r="O6" s="19" t="str">
        <f>IFERROR(__xludf.DUMMYFUNCTION("""COMPUTED_VALUE"""),"I have grown significantly from my mentoring experience. The experience, overall, has helped me see new ways to teach and learn information while continuing to help me adapt to the needs of the moment.")</f>
        <v>I have grown significantly from my mentoring experience. The experience, overall, has helped me see new ways to teach and learn information while continuing to help me adapt to the needs of the moment.</v>
      </c>
      <c r="P6" s="19" t="str">
        <f>IFERROR(__xludf.DUMMYFUNCTION("""COMPUTED_VALUE"""),"I really enjoy the respect and connection formed between my mentee and I. Throughout the year, I feel as if we have been able to communicate better and adapt to what is needed at that time, which I really appreciated.")</f>
        <v>I really enjoy the respect and connection formed between my mentee and I. Throughout the year, I feel as if we have been able to communicate better and adapt to what is needed at that time, which I really appreciated.</v>
      </c>
      <c r="Q6" s="19"/>
      <c r="R6" s="19"/>
      <c r="S6" s="19" t="str">
        <f>IFERROR(__xludf.DUMMYFUNCTION("""COMPUTED_VALUE"""),"I wasn't aware of the reading guides")</f>
        <v>I wasn't aware of the reading guides</v>
      </c>
      <c r="T6" s="19"/>
      <c r="U6" s="19"/>
      <c r="V6" s="19"/>
      <c r="W6" s="19"/>
      <c r="X6" s="19"/>
      <c r="Y6" s="19"/>
      <c r="Z6" s="19"/>
      <c r="AA6" s="19"/>
      <c r="AB6" s="19"/>
      <c r="AC6" s="19"/>
      <c r="AD6" s="19" t="str">
        <f>IFERROR(__xludf.DUMMYFUNCTION("""COMPUTED_VALUE"""),"Yes, anonymously")</f>
        <v>Yes, anonymously</v>
      </c>
      <c r="AE6" s="19"/>
    </row>
    <row r="7">
      <c r="A7" s="18">
        <f>IFERROR(__xludf.DUMMYFUNCTION("""COMPUTED_VALUE"""),45433.90080333333)</f>
        <v>45433.9008</v>
      </c>
      <c r="B7" s="19" t="str">
        <f>IFERROR(__xludf.DUMMYFUNCTION("""COMPUTED_VALUE"""),"Allen Song")</f>
        <v>Allen Song</v>
      </c>
      <c r="C7" s="19" t="str">
        <f>IFERROR(__xludf.DUMMYFUNCTION("""COMPUTED_VALUE"""),"Amy - CFSN at Downtown Boxing Gym")</f>
        <v>Amy - CFSN at Downtown Boxing Gym</v>
      </c>
      <c r="D7" s="19" t="str">
        <f>IFERROR(__xludf.DUMMYFUNCTION("""COMPUTED_VALUE"""),"5 - Strongly Agree")</f>
        <v>5 - Strongly Agree</v>
      </c>
      <c r="E7" s="19" t="str">
        <f>IFERROR(__xludf.DUMMYFUNCTION("""COMPUTED_VALUE"""),"4 - Agree")</f>
        <v>4 - Agree</v>
      </c>
      <c r="F7" s="19" t="str">
        <f>IFERROR(__xludf.DUMMYFUNCTION("""COMPUTED_VALUE"""),"4 - Agree")</f>
        <v>4 - Agree</v>
      </c>
      <c r="G7" s="19" t="str">
        <f>IFERROR(__xludf.DUMMYFUNCTION("""COMPUTED_VALUE"""),"5 - Strongly Agree")</f>
        <v>5 - Strongly Agree</v>
      </c>
      <c r="H7" s="19" t="str">
        <f>IFERROR(__xludf.DUMMYFUNCTION("""COMPUTED_VALUE"""),"4 - Agree")</f>
        <v>4 - Agree</v>
      </c>
      <c r="I7" s="19" t="str">
        <f>IFERROR(__xludf.DUMMYFUNCTION("""COMPUTED_VALUE"""),"5 - Strongly Agree")</f>
        <v>5 - Strongly Agree</v>
      </c>
      <c r="J7" s="19" t="str">
        <f>IFERROR(__xludf.DUMMYFUNCTION("""COMPUTED_VALUE"""),"5 - Strongly Agree")</f>
        <v>5 - Strongly Agree</v>
      </c>
      <c r="K7" s="19" t="str">
        <f>IFERROR(__xludf.DUMMYFUNCTION("""COMPUTED_VALUE"""),"4 - Agree")</f>
        <v>4 - Agree</v>
      </c>
      <c r="L7" s="19" t="str">
        <f>IFERROR(__xludf.DUMMYFUNCTION("""COMPUTED_VALUE"""),"5 - Strongly Agree")</f>
        <v>5 - Strongly Agree</v>
      </c>
      <c r="M7" s="19" t="str">
        <f>IFERROR(__xludf.DUMMYFUNCTION("""COMPUTED_VALUE"""),"5 - Strongly Agree")</f>
        <v>5 - Strongly Agree</v>
      </c>
      <c r="N7" s="19" t="str">
        <f>IFERROR(__xludf.DUMMYFUNCTION("""COMPUTED_VALUE"""),"5 - Strongly Agree")</f>
        <v>5 - Strongly Agree</v>
      </c>
      <c r="O7" s="19" t="str">
        <f>IFERROR(__xludf.DUMMYFUNCTION("""COMPUTED_VALUE"""),"It has gone smoothly. I enjoy mentoring kids about subjects that I am passionate about, and I love building their passions as well.")</f>
        <v>It has gone smoothly. I enjoy mentoring kids about subjects that I am passionate about, and I love building their passions as well.</v>
      </c>
      <c r="P7" s="19" t="str">
        <f>IFERROR(__xludf.DUMMYFUNCTION("""COMPUTED_VALUE"""),"Getting to help kids in areas that I'm proficient at and getting to see them improve with my help.")</f>
        <v>Getting to help kids in areas that I'm proficient at and getting to see them improve with my help.</v>
      </c>
      <c r="Q7" s="19"/>
      <c r="R7" s="19" t="str">
        <f>IFERROR(__xludf.DUMMYFUNCTION("""COMPUTED_VALUE"""),"Being able to help some kids with some SAT prep even though I had just taken it this past fall. It was a pretty funny experience in my opinion :)")</f>
        <v>Being able to help some kids with some SAT prep even though I had just taken it this past fall. It was a pretty funny experience in my opinion :)</v>
      </c>
      <c r="S7" s="19" t="str">
        <f>IFERROR(__xludf.DUMMYFUNCTION("""COMPUTED_VALUE"""),"I wasn't aware of the reading guides")</f>
        <v>I wasn't aware of the reading guides</v>
      </c>
      <c r="T7" s="19"/>
      <c r="U7" s="19"/>
      <c r="V7" s="19"/>
      <c r="W7" s="19" t="str">
        <f>IFERROR(__xludf.DUMMYFUNCTION("""COMPUTED_VALUE"""),"Maybe just being able to still help someone out on days that my assigned student cannot participate in the program.")</f>
        <v>Maybe just being able to still help someone out on days that my assigned student cannot participate in the program.</v>
      </c>
      <c r="X7" s="19"/>
      <c r="Y7" s="19"/>
      <c r="Z7" s="19"/>
      <c r="AA7" s="19" t="str">
        <f>IFERROR(__xludf.DUMMYFUNCTION("""COMPUTED_VALUE"""),"No, I did not know about it.")</f>
        <v>No, I did not know about it.</v>
      </c>
      <c r="AB7" s="19"/>
      <c r="AC7" s="19" t="str">
        <f>IFERROR(__xludf.DUMMYFUNCTION("""COMPUTED_VALUE"""),"I've had several mentees this year. I've seen growth in all of them, from a greater love/interest for reading, improvement in their respective focus skills (grammar, math topics, etc.), etc.")</f>
        <v>I've had several mentees this year. I've seen growth in all of them, from a greater love/interest for reading, improvement in their respective focus skills (grammar, math topics, etc.), etc.</v>
      </c>
      <c r="AD7" s="19" t="str">
        <f>IFERROR(__xludf.DUMMYFUNCTION("""COMPUTED_VALUE"""),"Yes, anonymously")</f>
        <v>Yes, anonymously</v>
      </c>
      <c r="AE7" s="19"/>
    </row>
    <row r="8">
      <c r="A8" s="18">
        <f>IFERROR(__xludf.DUMMYFUNCTION("""COMPUTED_VALUE"""),45434.64394834491)</f>
        <v>45434.64395</v>
      </c>
      <c r="B8" s="19" t="str">
        <f>IFERROR(__xludf.DUMMYFUNCTION("""COMPUTED_VALUE"""),"Olivia")</f>
        <v>Olivia</v>
      </c>
      <c r="C8" s="19" t="str">
        <f>IFERROR(__xludf.DUMMYFUNCTION("""COMPUTED_VALUE"""),"Amy - CFSN at Downtown Boxing Gym")</f>
        <v>Amy - CFSN at Downtown Boxing Gym</v>
      </c>
      <c r="D8" s="19" t="str">
        <f>IFERROR(__xludf.DUMMYFUNCTION("""COMPUTED_VALUE"""),"3 - Neutral")</f>
        <v>3 - Neutral</v>
      </c>
      <c r="E8" s="19" t="str">
        <f>IFERROR(__xludf.DUMMYFUNCTION("""COMPUTED_VALUE"""),"4 - Agree")</f>
        <v>4 - Agree</v>
      </c>
      <c r="F8" s="19" t="str">
        <f>IFERROR(__xludf.DUMMYFUNCTION("""COMPUTED_VALUE"""),"3 - Neutral")</f>
        <v>3 - Neutral</v>
      </c>
      <c r="G8" s="19" t="str">
        <f>IFERROR(__xludf.DUMMYFUNCTION("""COMPUTED_VALUE"""),"4 - Agree")</f>
        <v>4 - Agree</v>
      </c>
      <c r="H8" s="19" t="str">
        <f>IFERROR(__xludf.DUMMYFUNCTION("""COMPUTED_VALUE"""),"3 - Neutral")</f>
        <v>3 - Neutral</v>
      </c>
      <c r="I8" s="19" t="str">
        <f>IFERROR(__xludf.DUMMYFUNCTION("""COMPUTED_VALUE"""),"3 - Neutral")</f>
        <v>3 - Neutral</v>
      </c>
      <c r="J8" s="19" t="str">
        <f>IFERROR(__xludf.DUMMYFUNCTION("""COMPUTED_VALUE"""),"5 - Strongly Agree")</f>
        <v>5 - Strongly Agree</v>
      </c>
      <c r="K8" s="19" t="str">
        <f>IFERROR(__xludf.DUMMYFUNCTION("""COMPUTED_VALUE"""),"4 - Agree")</f>
        <v>4 - Agree</v>
      </c>
      <c r="L8" s="19" t="str">
        <f>IFERROR(__xludf.DUMMYFUNCTION("""COMPUTED_VALUE"""),"4 - Agree")</f>
        <v>4 - Agree</v>
      </c>
      <c r="M8" s="19" t="str">
        <f>IFERROR(__xludf.DUMMYFUNCTION("""COMPUTED_VALUE"""),"4 - Agree")</f>
        <v>4 - Agree</v>
      </c>
      <c r="N8" s="19" t="str">
        <f>IFERROR(__xludf.DUMMYFUNCTION("""COMPUTED_VALUE"""),"4 - Agree")</f>
        <v>4 - Agree</v>
      </c>
      <c r="O8" s="19" t="str">
        <f>IFERROR(__xludf.DUMMYFUNCTION("""COMPUTED_VALUE"""),"Overall good")</f>
        <v>Overall good</v>
      </c>
      <c r="P8" s="19" t="str">
        <f>IFERROR(__xludf.DUMMYFUNCTION("""COMPUTED_VALUE"""),"I love it when I see my mentee smiling and having fun ")</f>
        <v>I love it when I see my mentee smiling and having fun </v>
      </c>
      <c r="Q8" s="19"/>
      <c r="R8" s="19"/>
      <c r="S8" s="19" t="str">
        <f>IFERROR(__xludf.DUMMYFUNCTION("""COMPUTED_VALUE"""),"Once a month")</f>
        <v>Once a month</v>
      </c>
      <c r="T8" s="19"/>
      <c r="U8" s="19"/>
      <c r="V8" s="19"/>
      <c r="W8" s="19"/>
      <c r="X8" s="19"/>
      <c r="Y8" s="19"/>
      <c r="Z8" s="19" t="str">
        <f>IFERROR(__xludf.DUMMYFUNCTION("""COMPUTED_VALUE"""),"To think of myself not as a teacher/instructor, but rather a support for the mentee")</f>
        <v>To think of myself not as a teacher/instructor, but rather a support for the mentee</v>
      </c>
      <c r="AA8" s="19" t="str">
        <f>IFERROR(__xludf.DUMMYFUNCTION("""COMPUTED_VALUE"""),"No. Not on instagram, log in to FB once a year for birthday")</f>
        <v>No. Not on instagram, log in to FB once a year for birthday</v>
      </c>
      <c r="AB8" s="19"/>
      <c r="AC8" s="19" t="str">
        <f>IFERROR(__xludf.DUMMYFUNCTION("""COMPUTED_VALUE"""),"Mentee is still shy to read out loud but no longer seems as stressed or sad when asked to read")</f>
        <v>Mentee is still shy to read out loud but no longer seems as stressed or sad when asked to read</v>
      </c>
      <c r="AD8" s="19" t="str">
        <f>IFERROR(__xludf.DUMMYFUNCTION("""COMPUTED_VALUE"""),"Yes, anonymously")</f>
        <v>Yes, anonymously</v>
      </c>
      <c r="AE8" s="19"/>
    </row>
    <row r="9">
      <c r="A9" s="18">
        <f>IFERROR(__xludf.DUMMYFUNCTION("""COMPUTED_VALUE"""),45434.74023894676)</f>
        <v>45434.74024</v>
      </c>
      <c r="B9" s="19" t="str">
        <f>IFERROR(__xludf.DUMMYFUNCTION("""COMPUTED_VALUE"""),"Ronald Ilagan")</f>
        <v>Ronald Ilagan</v>
      </c>
      <c r="C9" s="19" t="str">
        <f>IFERROR(__xludf.DUMMYFUNCTION("""COMPUTED_VALUE"""),"Amy - CFSN at Downtown Boxing Gym")</f>
        <v>Amy - CFSN at Downtown Boxing Gym</v>
      </c>
      <c r="D9" s="19" t="str">
        <f>IFERROR(__xludf.DUMMYFUNCTION("""COMPUTED_VALUE"""),"4 - Agree")</f>
        <v>4 - Agree</v>
      </c>
      <c r="E9" s="19" t="str">
        <f>IFERROR(__xludf.DUMMYFUNCTION("""COMPUTED_VALUE"""),"3 - Neutral")</f>
        <v>3 - Neutral</v>
      </c>
      <c r="F9" s="19" t="str">
        <f>IFERROR(__xludf.DUMMYFUNCTION("""COMPUTED_VALUE"""),"3 - Neutral")</f>
        <v>3 - Neutral</v>
      </c>
      <c r="G9" s="19" t="str">
        <f>IFERROR(__xludf.DUMMYFUNCTION("""COMPUTED_VALUE"""),"3 - Neutral")</f>
        <v>3 - Neutral</v>
      </c>
      <c r="H9" s="19" t="str">
        <f>IFERROR(__xludf.DUMMYFUNCTION("""COMPUTED_VALUE"""),"4 - Agree")</f>
        <v>4 - Agree</v>
      </c>
      <c r="I9" s="19" t="str">
        <f>IFERROR(__xludf.DUMMYFUNCTION("""COMPUTED_VALUE"""),"3 - Neutral")</f>
        <v>3 - Neutral</v>
      </c>
      <c r="J9" s="19" t="str">
        <f>IFERROR(__xludf.DUMMYFUNCTION("""COMPUTED_VALUE"""),"5 - Strongly Agree")</f>
        <v>5 - Strongly Agree</v>
      </c>
      <c r="K9" s="19" t="str">
        <f>IFERROR(__xludf.DUMMYFUNCTION("""COMPUTED_VALUE"""),"5 - Strongly Agree")</f>
        <v>5 - Strongly Agree</v>
      </c>
      <c r="L9" s="19" t="str">
        <f>IFERROR(__xludf.DUMMYFUNCTION("""COMPUTED_VALUE"""),"4 - Agree")</f>
        <v>4 - Agree</v>
      </c>
      <c r="M9" s="19" t="str">
        <f>IFERROR(__xludf.DUMMYFUNCTION("""COMPUTED_VALUE"""),"4 - Agree")</f>
        <v>4 - Agree</v>
      </c>
      <c r="N9" s="19" t="str">
        <f>IFERROR(__xludf.DUMMYFUNCTION("""COMPUTED_VALUE"""),"5 - Strongly Agree")</f>
        <v>5 - Strongly Agree</v>
      </c>
      <c r="O9" s="19" t="str">
        <f>IFERROR(__xludf.DUMMYFUNCTION("""COMPUTED_VALUE"""),"We started late and unfortunately didn’t have many sessions together to really dive deep. We began with reading passages and pivoted after Messiah mentioned he wanted to do vocabulary. We used an online resource for vocabulary exercises and were trying to"&amp;" find one that be a good fit for his level of competency. Some were too easy and some were pretty difficult.")</f>
        <v>We started late and unfortunately didn’t have many sessions together to really dive deep. We began with reading passages and pivoted after Messiah mentioned he wanted to do vocabulary. We used an online resource for vocabulary exercises and were trying to find one that be a good fit for his level of competency. Some were too easy and some were pretty difficult.</v>
      </c>
      <c r="P9" s="19" t="str">
        <f>IFERROR(__xludf.DUMMYFUNCTION("""COMPUTED_VALUE"""),"I think the most rewarding part is seeing my mentee try his hardest to solve a problem or work through a word. I appreciate the effort")</f>
        <v>I think the most rewarding part is seeing my mentee try his hardest to solve a problem or work through a word. I appreciate the effort</v>
      </c>
      <c r="Q9" s="19" t="str">
        <f>IFERROR(__xludf.DUMMYFUNCTION("""COMPUTED_VALUE"""),"Although Coach Amy provided some great resources, I was asked to determine Messiah’s reading level and I wasn’t sure what materials would be best to do so and what metrics I should base them on. I wasn’t sure if vocabulary was an acceptable topic to work "&amp;"on given the center’s mission on improving literacy, but I did so since it’s what my mentee said he’d like to work on. Perhaps some more guidelines on what is best for our mentee would help going forward")</f>
        <v>Although Coach Amy provided some great resources, I was asked to determine Messiah’s reading level and I wasn’t sure what materials would be best to do so and what metrics I should base them on. I wasn’t sure if vocabulary was an acceptable topic to work on given the center’s mission on improving literacy, but I did so since it’s what my mentee said he’d like to work on. Perhaps some more guidelines on what is best for our mentee would help going forward</v>
      </c>
      <c r="R9" s="19" t="str">
        <f>IFERROR(__xludf.DUMMYFUNCTION("""COMPUTED_VALUE"""),"My favorite memory was the first session where we mostly just talked and got to know each other. I tried my hardest to find things we could relate to and he seemed like he warmed up a bit accordingly.")</f>
        <v>My favorite memory was the first session where we mostly just talked and got to know each other. I tried my hardest to find things we could relate to and he seemed like he warmed up a bit accordingly.</v>
      </c>
      <c r="S9" s="19" t="str">
        <f>IFERROR(__xludf.DUMMYFUNCTION("""COMPUTED_VALUE"""),"Not at all")</f>
        <v>Not at all</v>
      </c>
      <c r="T9" s="19"/>
      <c r="U9" s="19"/>
      <c r="V9" s="19"/>
      <c r="W9" s="19" t="str">
        <f>IFERROR(__xludf.DUMMYFUNCTION("""COMPUTED_VALUE"""),"I did a training when I first began as a mentor years ago and I haven’t since then. This was also the first time I worked with a teenager through the Center and it’s a bit more difficult than working with an elementary school kid. Perhaps we can have anot"&amp;"her training on how to work on the personability side of mentoring.")</f>
        <v>I did a training when I first began as a mentor years ago and I haven’t since then. This was also the first time I worked with a teenager through the Center and it’s a bit more difficult than working with an elementary school kid. Perhaps we can have another training on how to work on the personability side of mentoring.</v>
      </c>
      <c r="X9" s="19"/>
      <c r="Y9" s="19"/>
      <c r="Z9" s="19"/>
      <c r="AA9" s="19"/>
      <c r="AB9" s="19"/>
      <c r="AC9" s="19" t="str">
        <f>IFERROR(__xludf.DUMMYFUNCTION("""COMPUTED_VALUE"""),"I’m not sure it’s a small sign of more effort but I think he’s doing better at working words out and reading a little more slowly")</f>
        <v>I’m not sure it’s a small sign of more effort but I think he’s doing better at working words out and reading a little more slowly</v>
      </c>
      <c r="AD9" s="19" t="str">
        <f>IFERROR(__xludf.DUMMYFUNCTION("""COMPUTED_VALUE"""),"Yes, with my name")</f>
        <v>Yes, with my name</v>
      </c>
      <c r="AE9" s="19"/>
    </row>
    <row r="10">
      <c r="A10" s="18">
        <f>IFERROR(__xludf.DUMMYFUNCTION("""COMPUTED_VALUE"""),45434.82863240741)</f>
        <v>45434.82863</v>
      </c>
      <c r="B10" s="19" t="str">
        <f>IFERROR(__xludf.DUMMYFUNCTION("""COMPUTED_VALUE"""),"Justina Giglio")</f>
        <v>Justina Giglio</v>
      </c>
      <c r="C10" s="19" t="str">
        <f>IFERROR(__xludf.DUMMYFUNCTION("""COMPUTED_VALUE"""),"Amy - CFSN at Downtown Boxing Gym")</f>
        <v>Amy - CFSN at Downtown Boxing Gym</v>
      </c>
      <c r="D10" s="19" t="str">
        <f>IFERROR(__xludf.DUMMYFUNCTION("""COMPUTED_VALUE"""),"4 - Agree")</f>
        <v>4 - Agree</v>
      </c>
      <c r="E10" s="19" t="str">
        <f>IFERROR(__xludf.DUMMYFUNCTION("""COMPUTED_VALUE"""),"4 - Agree")</f>
        <v>4 - Agree</v>
      </c>
      <c r="F10" s="19" t="str">
        <f>IFERROR(__xludf.DUMMYFUNCTION("""COMPUTED_VALUE"""),"4 - Agree")</f>
        <v>4 - Agree</v>
      </c>
      <c r="G10" s="19" t="str">
        <f>IFERROR(__xludf.DUMMYFUNCTION("""COMPUTED_VALUE"""),"5 - Strongly Agree")</f>
        <v>5 - Strongly Agree</v>
      </c>
      <c r="H10" s="19" t="str">
        <f>IFERROR(__xludf.DUMMYFUNCTION("""COMPUTED_VALUE"""),"5 - Strongly Agree")</f>
        <v>5 - Strongly Agree</v>
      </c>
      <c r="I10" s="19" t="str">
        <f>IFERROR(__xludf.DUMMYFUNCTION("""COMPUTED_VALUE"""),"5 - Strongly Agree")</f>
        <v>5 - Strongly Agree</v>
      </c>
      <c r="J10" s="19" t="str">
        <f>IFERROR(__xludf.DUMMYFUNCTION("""COMPUTED_VALUE"""),"4 - Agree")</f>
        <v>4 - Agree</v>
      </c>
      <c r="K10" s="19" t="str">
        <f>IFERROR(__xludf.DUMMYFUNCTION("""COMPUTED_VALUE"""),"5 - Strongly Agree")</f>
        <v>5 - Strongly Agree</v>
      </c>
      <c r="L10" s="19" t="str">
        <f>IFERROR(__xludf.DUMMYFUNCTION("""COMPUTED_VALUE"""),"5 - Strongly Agree")</f>
        <v>5 - Strongly Agree</v>
      </c>
      <c r="M10" s="19" t="str">
        <f>IFERROR(__xludf.DUMMYFUNCTION("""COMPUTED_VALUE"""),"5 - Strongly Agree")</f>
        <v>5 - Strongly Agree</v>
      </c>
      <c r="N10" s="19" t="str">
        <f>IFERROR(__xludf.DUMMYFUNCTION("""COMPUTED_VALUE"""),"5 - Strongly Agree")</f>
        <v>5 - Strongly Agree</v>
      </c>
      <c r="O10" s="19" t="str">
        <f>IFERROR(__xludf.DUMMYFUNCTION("""COMPUTED_VALUE"""),"I love it! I just finished my second year as a mentor and I plan on doing it next year too ")</f>
        <v>I love it! I just finished my second year as a mentor and I plan on doing it next year too </v>
      </c>
      <c r="P10" s="19" t="str">
        <f>IFERROR(__xludf.DUMMYFUNCTION("""COMPUTED_VALUE"""),"Getting to build a friendship with my mentee and see them grow throughout the school year")</f>
        <v>Getting to build a friendship with my mentee and see them grow throughout the school year</v>
      </c>
      <c r="Q10" s="19" t="str">
        <f>IFERROR(__xludf.DUMMYFUNCTION("""COMPUTED_VALUE"""),"N/a")</f>
        <v>N/a</v>
      </c>
      <c r="R10" s="19" t="str">
        <f>IFERROR(__xludf.DUMMYFUNCTION("""COMPUTED_VALUE"""),"Getting to meet Khiana! She’s so bright and I can’t wait to see what the future has in store for her")</f>
        <v>Getting to meet Khiana! She’s so bright and I can’t wait to see what the future has in store for her</v>
      </c>
      <c r="S10" s="19" t="str">
        <f>IFERROR(__xludf.DUMMYFUNCTION("""COMPUTED_VALUE"""),"Once a week")</f>
        <v>Once a week</v>
      </c>
      <c r="T10" s="19"/>
      <c r="U10" s="19"/>
      <c r="V10" s="19" t="str">
        <f>IFERROR(__xludf.DUMMYFUNCTION("""COMPUTED_VALUE"""),"I use it for every meeting to keep a structure ")</f>
        <v>I use it for every meeting to keep a structure </v>
      </c>
      <c r="W10" s="19" t="str">
        <f>IFERROR(__xludf.DUMMYFUNCTION("""COMPUTED_VALUE"""),"Everything is good so far!")</f>
        <v>Everything is good so far!</v>
      </c>
      <c r="X10" s="19"/>
      <c r="Y10" s="19"/>
      <c r="Z10" s="19"/>
      <c r="AA10" s="19" t="str">
        <f>IFERROR(__xludf.DUMMYFUNCTION("""COMPUTED_VALUE"""),"I believe I follow you guys on Instagram :)")</f>
        <v>I believe I follow you guys on Instagram :)</v>
      </c>
      <c r="AB10" s="19" t="str">
        <f>IFERROR(__xludf.DUMMYFUNCTION("""COMPUTED_VALUE"""),"I’m unsure ")</f>
        <v>I’m unsure </v>
      </c>
      <c r="AC10" s="19" t="str">
        <f>IFERROR(__xludf.DUMMYFUNCTION("""COMPUTED_VALUE"""),"I definitely see a growth in Khiana’s confidence in telling me what she wants to learn. She’s really helped guide my mentoring the last couple weeks")</f>
        <v>I definitely see a growth in Khiana’s confidence in telling me what she wants to learn. She’s really helped guide my mentoring the last couple weeks</v>
      </c>
      <c r="AD10" s="19" t="str">
        <f>IFERROR(__xludf.DUMMYFUNCTION("""COMPUTED_VALUE"""),"Yes, anonymously")</f>
        <v>Yes, anonymously</v>
      </c>
      <c r="AE10" s="19" t="str">
        <f>IFERROR(__xludf.DUMMYFUNCTION("""COMPUTED_VALUE"""),"Nothing at this time :)")</f>
        <v>Nothing at this time :)</v>
      </c>
    </row>
    <row r="11">
      <c r="A11" s="18">
        <f>IFERROR(__xludf.DUMMYFUNCTION("""COMPUTED_VALUE"""),45435.745674652775)</f>
        <v>45435.74567</v>
      </c>
      <c r="B11" s="19" t="str">
        <f>IFERROR(__xludf.DUMMYFUNCTION("""COMPUTED_VALUE"""),"Quinn ")</f>
        <v>Quinn </v>
      </c>
      <c r="C11" s="19" t="str">
        <f>IFERROR(__xludf.DUMMYFUNCTION("""COMPUTED_VALUE"""),"Amy - CFSN at Downtown Boxing Gym")</f>
        <v>Amy - CFSN at Downtown Boxing Gym</v>
      </c>
      <c r="D11" s="19" t="str">
        <f>IFERROR(__xludf.DUMMYFUNCTION("""COMPUTED_VALUE"""),"4 - Agree")</f>
        <v>4 - Agree</v>
      </c>
      <c r="E11" s="19" t="str">
        <f>IFERROR(__xludf.DUMMYFUNCTION("""COMPUTED_VALUE"""),"4 - Agree")</f>
        <v>4 - Agree</v>
      </c>
      <c r="F11" s="19" t="str">
        <f>IFERROR(__xludf.DUMMYFUNCTION("""COMPUTED_VALUE"""),"3 - Neutral")</f>
        <v>3 - Neutral</v>
      </c>
      <c r="G11" s="19" t="str">
        <f>IFERROR(__xludf.DUMMYFUNCTION("""COMPUTED_VALUE"""),"4 - Agree")</f>
        <v>4 - Agree</v>
      </c>
      <c r="H11" s="19" t="str">
        <f>IFERROR(__xludf.DUMMYFUNCTION("""COMPUTED_VALUE"""),"4 - Agree")</f>
        <v>4 - Agree</v>
      </c>
      <c r="I11" s="19" t="str">
        <f>IFERROR(__xludf.DUMMYFUNCTION("""COMPUTED_VALUE"""),"4 - Agree")</f>
        <v>4 - Agree</v>
      </c>
      <c r="J11" s="19" t="str">
        <f>IFERROR(__xludf.DUMMYFUNCTION("""COMPUTED_VALUE"""),"4 - Agree")</f>
        <v>4 - Agree</v>
      </c>
      <c r="K11" s="19" t="str">
        <f>IFERROR(__xludf.DUMMYFUNCTION("""COMPUTED_VALUE"""),"4 - Agree")</f>
        <v>4 - Agree</v>
      </c>
      <c r="L11" s="19" t="str">
        <f>IFERROR(__xludf.DUMMYFUNCTION("""COMPUTED_VALUE"""),"5 - Strongly Agree")</f>
        <v>5 - Strongly Agree</v>
      </c>
      <c r="M11" s="19" t="str">
        <f>IFERROR(__xludf.DUMMYFUNCTION("""COMPUTED_VALUE"""),"4 - Agree")</f>
        <v>4 - Agree</v>
      </c>
      <c r="N11" s="19" t="str">
        <f>IFERROR(__xludf.DUMMYFUNCTION("""COMPUTED_VALUE"""),"5 - Strongly Agree")</f>
        <v>5 - Strongly Agree</v>
      </c>
      <c r="O11" s="19" t="str">
        <f>IFERROR(__xludf.DUMMYFUNCTION("""COMPUTED_VALUE"""),"So far it has been pretty good. ")</f>
        <v>So far it has been pretty good. </v>
      </c>
      <c r="P11" s="19" t="str">
        <f>IFERROR(__xludf.DUMMYFUNCTION("""COMPUTED_VALUE"""),"When the mentee is excited about the topic we are working on together. Making a rhyming song together was fun.")</f>
        <v>When the mentee is excited about the topic we are working on together. Making a rhyming song together was fun.</v>
      </c>
      <c r="Q11" s="19" t="str">
        <f>IFERROR(__xludf.DUMMYFUNCTION("""COMPUTED_VALUE"""),"My mentee was easily distracted. Maybe having him put away his toys before we begin would have helped. The last time we met I used the toys (Jenga) as a reward for working hard and it was effective.")</f>
        <v>My mentee was easily distracted. Maybe having him put away his toys before we begin would have helped. The last time we met I used the toys (Jenga) as a reward for working hard and it was effective.</v>
      </c>
      <c r="R11" s="19" t="str">
        <f>IFERROR(__xludf.DUMMYFUNCTION("""COMPUTED_VALUE"""),"Writing a song with my mentee. ")</f>
        <v>Writing a song with my mentee. </v>
      </c>
      <c r="S11" s="19" t="str">
        <f>IFERROR(__xludf.DUMMYFUNCTION("""COMPUTED_VALUE"""),"Once a month")</f>
        <v>Once a month</v>
      </c>
      <c r="T11" s="19"/>
      <c r="U11" s="19"/>
      <c r="V11" s="19" t="str">
        <f>IFERROR(__xludf.DUMMYFUNCTION("""COMPUTED_VALUE"""),"I think it is very helpful and have no insight on how to improve it. ")</f>
        <v>I think it is very helpful and have no insight on how to improve it. </v>
      </c>
      <c r="W11" s="19" t="str">
        <f>IFERROR(__xludf.DUMMYFUNCTION("""COMPUTED_VALUE"""),"Nothing. Keep doing what you are doing!")</f>
        <v>Nothing. Keep doing what you are doing!</v>
      </c>
      <c r="X11" s="19"/>
      <c r="Y11" s="19"/>
      <c r="Z11" s="19" t="str">
        <f>IFERROR(__xludf.DUMMYFUNCTION("""COMPUTED_VALUE"""),"I do my best to engage in my mentee's interests and try to find reading topics that they request. ")</f>
        <v>I do my best to engage in my mentee's interests and try to find reading topics that they request. </v>
      </c>
      <c r="AA11" s="19" t="str">
        <f>IFERROR(__xludf.DUMMYFUNCTION("""COMPUTED_VALUE"""),"No. I don't use socal media. ")</f>
        <v>No. I don't use socal media. </v>
      </c>
      <c r="AB11" s="19"/>
      <c r="AC11" s="19" t="str">
        <f>IFERROR(__xludf.DUMMYFUNCTION("""COMPUTED_VALUE"""),"My mentee has improved on their rhyming skills! ")</f>
        <v>My mentee has improved on their rhyming skills! </v>
      </c>
      <c r="AD11" s="19" t="str">
        <f>IFERROR(__xludf.DUMMYFUNCTION("""COMPUTED_VALUE"""),"Yes, anonymously")</f>
        <v>Yes, anonymously</v>
      </c>
      <c r="AE11" s="19"/>
    </row>
    <row r="12">
      <c r="A12" s="18">
        <f>IFERROR(__xludf.DUMMYFUNCTION("""COMPUTED_VALUE"""),45436.66609583333)</f>
        <v>45436.6661</v>
      </c>
      <c r="B12" s="19" t="str">
        <f>IFERROR(__xludf.DUMMYFUNCTION("""COMPUTED_VALUE"""),"Hariti")</f>
        <v>Hariti</v>
      </c>
      <c r="C12" s="19" t="str">
        <f>IFERROR(__xludf.DUMMYFUNCTION("""COMPUTED_VALUE"""),"Amy - CFSN at Downtown Boxing Gym")</f>
        <v>Amy - CFSN at Downtown Boxing Gym</v>
      </c>
      <c r="D12" s="19" t="str">
        <f>IFERROR(__xludf.DUMMYFUNCTION("""COMPUTED_VALUE"""),"4 - Agree")</f>
        <v>4 - Agree</v>
      </c>
      <c r="E12" s="19" t="str">
        <f>IFERROR(__xludf.DUMMYFUNCTION("""COMPUTED_VALUE"""),"4 - Agree")</f>
        <v>4 - Agree</v>
      </c>
      <c r="F12" s="19" t="str">
        <f>IFERROR(__xludf.DUMMYFUNCTION("""COMPUTED_VALUE"""),"3 - Neutral")</f>
        <v>3 - Neutral</v>
      </c>
      <c r="G12" s="19" t="str">
        <f>IFERROR(__xludf.DUMMYFUNCTION("""COMPUTED_VALUE"""),"4 - Agree")</f>
        <v>4 - Agree</v>
      </c>
      <c r="H12" s="19" t="str">
        <f>IFERROR(__xludf.DUMMYFUNCTION("""COMPUTED_VALUE"""),"4 - Agree")</f>
        <v>4 - Agree</v>
      </c>
      <c r="I12" s="19" t="str">
        <f>IFERROR(__xludf.DUMMYFUNCTION("""COMPUTED_VALUE"""),"3 - Neutral")</f>
        <v>3 - Neutral</v>
      </c>
      <c r="J12" s="19" t="str">
        <f>IFERROR(__xludf.DUMMYFUNCTION("""COMPUTED_VALUE"""),"4 - Agree")</f>
        <v>4 - Agree</v>
      </c>
      <c r="K12" s="19" t="str">
        <f>IFERROR(__xludf.DUMMYFUNCTION("""COMPUTED_VALUE"""),"4 - Agree")</f>
        <v>4 - Agree</v>
      </c>
      <c r="L12" s="19" t="str">
        <f>IFERROR(__xludf.DUMMYFUNCTION("""COMPUTED_VALUE"""),"4 - Agree")</f>
        <v>4 - Agree</v>
      </c>
      <c r="M12" s="19" t="str">
        <f>IFERROR(__xludf.DUMMYFUNCTION("""COMPUTED_VALUE"""),"5 - Strongly Agree")</f>
        <v>5 - Strongly Agree</v>
      </c>
      <c r="N12" s="19" t="str">
        <f>IFERROR(__xludf.DUMMYFUNCTION("""COMPUTED_VALUE"""),"5 - Strongly Agree")</f>
        <v>5 - Strongly Agree</v>
      </c>
      <c r="O12" s="19" t="str">
        <f>IFERROR(__xludf.DUMMYFUNCTION("""COMPUTED_VALUE"""),"I have had a great time with mentoring, and I learned a lot about working with students and literacy. I think towards the beginning, it was hard to gauge what would be interesting, and often times my student would get a little bored with the school work. "&amp;"As we kept talking, I could understand her interest in writing and playing games, so I worked to integrate that into our lessons which helped keep her interested.")</f>
        <v>I have had a great time with mentoring, and I learned a lot about working with students and literacy. I think towards the beginning, it was hard to gauge what would be interesting, and often times my student would get a little bored with the school work. As we kept talking, I could understand her interest in writing and playing games, so I worked to integrate that into our lessons which helped keep her interested.</v>
      </c>
      <c r="P12" s="19" t="str">
        <f>IFERROR(__xludf.DUMMYFUNCTION("""COMPUTED_VALUE"""),"Playing tic tac toe together- it really brought out Taraji's competitive and silly side ")</f>
        <v>Playing tic tac toe together- it really brought out Taraji's competitive and silly side </v>
      </c>
      <c r="Q12" s="19" t="str">
        <f>IFERROR(__xludf.DUMMYFUNCTION("""COMPUTED_VALUE"""),"The only activities that are available for literacy improvement is reading or writing, which can get boring for the students. I wish there were some activities that we could work on together (perhaps some game or history activity or something spanning a s"&amp;"ession or two focusing on a topic).")</f>
        <v>The only activities that are available for literacy improvement is reading or writing, which can get boring for the students. I wish there were some activities that we could work on together (perhaps some game or history activity or something spanning a session or two focusing on a topic).</v>
      </c>
      <c r="R12" s="19" t="str">
        <f>IFERROR(__xludf.DUMMYFUNCTION("""COMPUTED_VALUE"""),"Taraji reading her stories out loud - they were really silly but she often read them in the same tone which was really funny :)")</f>
        <v>Taraji reading her stories out loud - they were really silly but she often read them in the same tone which was really funny :)</v>
      </c>
      <c r="S12" s="19" t="str">
        <f>IFERROR(__xludf.DUMMYFUNCTION("""COMPUTED_VALUE"""),"At every/most sessions")</f>
        <v>At every/most sessions</v>
      </c>
      <c r="T12" s="19"/>
      <c r="U12" s="19"/>
      <c r="V12" s="19"/>
      <c r="W12" s="19"/>
      <c r="X12" s="19"/>
      <c r="Y12" s="19"/>
      <c r="Z12" s="19"/>
      <c r="AA12" s="19" t="str">
        <f>IFERROR(__xludf.DUMMYFUNCTION("""COMPUTED_VALUE"""),"Didn't know they had social media- I will definitely follow :)")</f>
        <v>Didn't know they had social media- I will definitely follow :)</v>
      </c>
      <c r="AB12" s="19"/>
      <c r="AC12" s="19" t="str">
        <f>IFERROR(__xludf.DUMMYFUNCTION("""COMPUTED_VALUE"""),"Taraji grew a lot and gained more confidence throughout mentoring. She became more honest about her opinions and things she was interested in which showed her confidence. Her interest in the more non fiction books also drove her to ask more questions abou"&amp;"t those topics (space, different countries, types of food, animals, etc.)")</f>
        <v>Taraji grew a lot and gained more confidence throughout mentoring. She became more honest about her opinions and things she was interested in which showed her confidence. Her interest in the more non fiction books also drove her to ask more questions about those topics (space, different countries, types of food, animals, etc.)</v>
      </c>
      <c r="AD12" s="19" t="str">
        <f>IFERROR(__xludf.DUMMYFUNCTION("""COMPUTED_VALUE"""),"Yes, with my name")</f>
        <v>Yes, with my name</v>
      </c>
      <c r="AE12" s="19"/>
    </row>
    <row r="13">
      <c r="A13" s="18">
        <f>IFERROR(__xludf.DUMMYFUNCTION("""COMPUTED_VALUE"""),45447.77869396991)</f>
        <v>45447.77869</v>
      </c>
      <c r="B13" s="19" t="str">
        <f>IFERROR(__xludf.DUMMYFUNCTION("""COMPUTED_VALUE"""),"Jo Siwik ")</f>
        <v>Jo Siwik </v>
      </c>
      <c r="C13" s="19" t="str">
        <f>IFERROR(__xludf.DUMMYFUNCTION("""COMPUTED_VALUE"""),"Amy - CFSN at Downtown Boxing Gym")</f>
        <v>Amy - CFSN at Downtown Boxing Gym</v>
      </c>
      <c r="D13" s="19" t="str">
        <f>IFERROR(__xludf.DUMMYFUNCTION("""COMPUTED_VALUE"""),"4 - Agree")</f>
        <v>4 - Agree</v>
      </c>
      <c r="E13" s="19" t="str">
        <f>IFERROR(__xludf.DUMMYFUNCTION("""COMPUTED_VALUE"""),"4 - Agree")</f>
        <v>4 - Agree</v>
      </c>
      <c r="F13" s="19" t="str">
        <f>IFERROR(__xludf.DUMMYFUNCTION("""COMPUTED_VALUE"""),"4 - Agree")</f>
        <v>4 - Agree</v>
      </c>
      <c r="G13" s="19" t="str">
        <f>IFERROR(__xludf.DUMMYFUNCTION("""COMPUTED_VALUE"""),"4 - Agree")</f>
        <v>4 - Agree</v>
      </c>
      <c r="H13" s="19" t="str">
        <f>IFERROR(__xludf.DUMMYFUNCTION("""COMPUTED_VALUE"""),"4 - Agree")</f>
        <v>4 - Agree</v>
      </c>
      <c r="I13" s="19" t="str">
        <f>IFERROR(__xludf.DUMMYFUNCTION("""COMPUTED_VALUE"""),"3 - Neutral")</f>
        <v>3 - Neutral</v>
      </c>
      <c r="J13" s="19" t="str">
        <f>IFERROR(__xludf.DUMMYFUNCTION("""COMPUTED_VALUE"""),"4 - Agree")</f>
        <v>4 - Agree</v>
      </c>
      <c r="K13" s="19" t="str">
        <f>IFERROR(__xludf.DUMMYFUNCTION("""COMPUTED_VALUE"""),"3 - Neutral")</f>
        <v>3 - Neutral</v>
      </c>
      <c r="L13" s="19" t="str">
        <f>IFERROR(__xludf.DUMMYFUNCTION("""COMPUTED_VALUE"""),"4 - Agree")</f>
        <v>4 - Agree</v>
      </c>
      <c r="M13" s="19" t="str">
        <f>IFERROR(__xludf.DUMMYFUNCTION("""COMPUTED_VALUE"""),"4 - Agree")</f>
        <v>4 - Agree</v>
      </c>
      <c r="N13" s="19" t="str">
        <f>IFERROR(__xludf.DUMMYFUNCTION("""COMPUTED_VALUE"""),"4 - Agree")</f>
        <v>4 - Agree</v>
      </c>
      <c r="O13" s="19"/>
      <c r="P13" s="19" t="str">
        <f>IFERROR(__xludf.DUMMYFUNCTION("""COMPUTED_VALUE"""),"Getting to know the kids ")</f>
        <v>Getting to know the kids </v>
      </c>
      <c r="Q13" s="19" t="str">
        <f>IFERROR(__xludf.DUMMYFUNCTION("""COMPUTED_VALUE"""),"Nothing ")</f>
        <v>Nothing </v>
      </c>
      <c r="R13" s="19" t="str">
        <f>IFERROR(__xludf.DUMMYFUNCTION("""COMPUTED_VALUE"""),"My student reading the stinky cheese book we laughed so hard")</f>
        <v>My student reading the stinky cheese book we laughed so hard</v>
      </c>
      <c r="S13" s="19"/>
      <c r="T13" s="19"/>
      <c r="U13" s="19"/>
      <c r="V13" s="19"/>
      <c r="W13" s="19"/>
      <c r="X13" s="19"/>
      <c r="Y13" s="19"/>
      <c r="Z13" s="19"/>
      <c r="AA13" s="19" t="str">
        <f>IFERROR(__xludf.DUMMYFUNCTION("""COMPUTED_VALUE"""),"No I don't like social media ")</f>
        <v>No I don't like social media </v>
      </c>
      <c r="AB13" s="19"/>
      <c r="AC13" s="19" t="str">
        <f>IFERROR(__xludf.DUMMYFUNCTION("""COMPUTED_VALUE"""),"I think all of my students have improved ")</f>
        <v>I think all of my students have improved </v>
      </c>
      <c r="AD13" s="19" t="str">
        <f>IFERROR(__xludf.DUMMYFUNCTION("""COMPUTED_VALUE"""),"Yes, with my name")</f>
        <v>Yes, with my name</v>
      </c>
      <c r="AE13" s="19"/>
    </row>
  </sheetData>
  <hyperlinks>
    <hyperlink r:id="rId1" ref="S1"/>
    <hyperlink r:id="rId2" ref="U1"/>
    <hyperlink r:id="rId3" ref="Y1"/>
    <hyperlink r:id="rId4" ref="AA1"/>
    <hyperlink r:id="rId5" ref="AD1"/>
  </hyperlinks>
  <drawing r:id="rId6"/>
</worksheet>
</file>