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NI\Data Oriented Programming Paradigms (Python)\Exercise 2\Statistical Pocketbook 2023 EU Comission\"/>
    </mc:Choice>
  </mc:AlternateContent>
  <xr:revisionPtr revIDLastSave="0" documentId="13_ncr:1_{27AB68C9-0A1B-4BAD-9FA6-79D0FE3C70FC}" xr6:coauthVersionLast="47" xr6:coauthVersionMax="47" xr10:uidLastSave="{00000000-0000-0000-0000-000000000000}"/>
  <bookViews>
    <workbookView xWindow="32800" yWindow="3500" windowWidth="21220" windowHeight="13450" tabRatio="882" activeTab="5" xr2:uid="{00000000-000D-0000-FFFF-FFFF00000000}"/>
  </bookViews>
  <sheets>
    <sheet name="T2.3" sheetId="140" r:id="rId1"/>
    <sheet name="perf_mode_pkm" sheetId="71" r:id="rId2"/>
    <sheet name="perf_mode_split" sheetId="150" r:id="rId3"/>
    <sheet name="passeng_graph" sheetId="138" r:id="rId4"/>
    <sheet name="split_mode_proz" sheetId="72" r:id="rId5"/>
    <sheet name="split_mode_pkm" sheetId="151" r:id="rId6"/>
    <sheet name="cars" sheetId="143" r:id="rId7"/>
    <sheet name="bus_coach" sheetId="144" r:id="rId8"/>
    <sheet name="tram_and_metro" sheetId="149" r:id="rId9"/>
    <sheet name="rail_pkm" sheetId="146" r:id="rId10"/>
    <sheet name="hs_rail" sheetId="97" r:id="rId11"/>
    <sheet name="USA" sheetId="142" r:id="rId12"/>
  </sheets>
  <definedNames>
    <definedName name="A" localSheetId="0">'T2.3'!$A$65500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Z_534C28F4_E90D_11D3_A4B3_0050041AE0D6_.wvu.PrintArea" localSheetId="4" hidden="1">split_mode_proz!#REF!</definedName>
    <definedName name="_xlnm.Print_Area" localSheetId="7">bus_coach!$A$1:$AI$42</definedName>
    <definedName name="_xlnm.Print_Area" localSheetId="6">cars!$A$1:$AI$42</definedName>
    <definedName name="_xlnm.Print_Area" localSheetId="10">hs_rail!#REF!</definedName>
    <definedName name="_xlnm.Print_Area" localSheetId="3">passeng_graph!$B$1:$N$32</definedName>
    <definedName name="_xlnm.Print_Area" localSheetId="1">perf_mode_pkm!$A$1:$I$30</definedName>
    <definedName name="_xlnm.Print_Area" localSheetId="9">rail_pkm!$A$1:$AR$42</definedName>
    <definedName name="_xlnm.Print_Area" localSheetId="4">split_mode_proz!#REF!</definedName>
    <definedName name="_xlnm.Print_Area" localSheetId="0">'T2.3'!$B$1:$E$25</definedName>
    <definedName name="_xlnm.Print_Area" localSheetId="11">USA!$B$1:$I$86</definedName>
  </definedNames>
  <calcPr calcId="191029"/>
</workbook>
</file>

<file path=xl/calcChain.xml><?xml version="1.0" encoding="utf-8"?>
<calcChain xmlns="http://schemas.openxmlformats.org/spreadsheetml/2006/main">
  <c r="Y4" i="149" l="1"/>
  <c r="Z4" i="149" s="1"/>
  <c r="X5" i="149"/>
  <c r="R6" i="149"/>
  <c r="S6" i="149"/>
  <c r="T6" i="149"/>
  <c r="U6" i="149"/>
  <c r="V6" i="149"/>
  <c r="X6" i="149"/>
  <c r="Y6" i="149"/>
  <c r="Z6" i="149"/>
  <c r="X8" i="149"/>
  <c r="I9" i="149"/>
  <c r="J9" i="149"/>
  <c r="K9" i="149"/>
  <c r="L9" i="149"/>
  <c r="M9" i="149"/>
  <c r="N9" i="149"/>
  <c r="O9" i="149"/>
  <c r="P9" i="149"/>
  <c r="Q9" i="149"/>
  <c r="R9" i="149"/>
  <c r="S9" i="149"/>
  <c r="T9" i="149"/>
  <c r="U9" i="149"/>
  <c r="T10" i="149"/>
  <c r="U10" i="149"/>
  <c r="V10" i="149"/>
  <c r="W10" i="149"/>
  <c r="X10" i="149"/>
  <c r="Y10" i="149"/>
  <c r="Z10" i="149"/>
  <c r="Y11" i="149"/>
  <c r="Z14" i="149"/>
  <c r="AA14" i="149"/>
  <c r="D15" i="149"/>
  <c r="I15" i="149"/>
  <c r="M15" i="149"/>
  <c r="N15" i="149"/>
  <c r="O15" i="149"/>
  <c r="P15" i="149"/>
  <c r="Q15" i="149"/>
  <c r="R15" i="149"/>
  <c r="S15" i="149"/>
  <c r="T15" i="149"/>
  <c r="U15" i="149"/>
  <c r="V15" i="149"/>
  <c r="W15" i="149"/>
  <c r="X15" i="149"/>
  <c r="Y15" i="149"/>
  <c r="Z15" i="149"/>
  <c r="AA15" i="149"/>
  <c r="D17" i="149"/>
  <c r="E17" i="149"/>
  <c r="F17" i="149"/>
  <c r="G17" i="149"/>
  <c r="H17" i="149"/>
  <c r="I17" i="149"/>
  <c r="J17" i="149"/>
  <c r="K17" i="149"/>
  <c r="L17" i="149"/>
  <c r="M17" i="149"/>
  <c r="N17" i="149"/>
  <c r="O17" i="149"/>
  <c r="P17" i="149"/>
  <c r="Q17" i="149"/>
  <c r="R17" i="149"/>
  <c r="S17" i="149"/>
  <c r="T17" i="149"/>
  <c r="U17" i="149"/>
  <c r="V17" i="149"/>
  <c r="W17" i="149"/>
  <c r="M20" i="149"/>
  <c r="N20" i="149"/>
  <c r="O20" i="149"/>
  <c r="P20" i="149"/>
  <c r="Q20" i="149"/>
  <c r="R20" i="149"/>
  <c r="S20" i="149"/>
  <c r="T20" i="149"/>
  <c r="U20" i="149"/>
  <c r="V20" i="149"/>
  <c r="W20" i="149"/>
  <c r="X20" i="149"/>
  <c r="Y20" i="149"/>
  <c r="X24" i="149"/>
  <c r="AA24" i="149"/>
  <c r="S25" i="149"/>
  <c r="T25" i="149"/>
  <c r="U25" i="149"/>
  <c r="V25" i="149"/>
  <c r="W25" i="149"/>
  <c r="X25" i="149"/>
  <c r="Z25" i="149"/>
  <c r="AA25" i="149"/>
  <c r="Y26" i="149"/>
  <c r="I28" i="149"/>
  <c r="L28" i="149"/>
  <c r="M28" i="149"/>
  <c r="U28" i="149"/>
  <c r="V28" i="149"/>
  <c r="Y28" i="149"/>
  <c r="Z28" i="149"/>
  <c r="AA28" i="149"/>
  <c r="G29" i="149"/>
  <c r="I29" i="149"/>
  <c r="K29" i="149"/>
  <c r="M29" i="149"/>
  <c r="N29" i="149"/>
  <c r="O29" i="149"/>
  <c r="P29" i="149"/>
  <c r="Q29" i="149"/>
  <c r="R29" i="149"/>
  <c r="S29" i="149"/>
  <c r="T29" i="149"/>
  <c r="U29" i="149"/>
  <c r="V29" i="149"/>
  <c r="X29" i="149"/>
  <c r="Y29" i="149"/>
  <c r="Z29" i="149"/>
  <c r="AA29" i="149"/>
  <c r="K30" i="149"/>
  <c r="L30" i="149"/>
  <c r="M30" i="149"/>
  <c r="N30" i="149"/>
  <c r="O30" i="149"/>
  <c r="P30" i="149"/>
  <c r="Q30" i="149"/>
  <c r="R30" i="149"/>
  <c r="S30" i="149"/>
  <c r="T30" i="149"/>
  <c r="U30" i="149"/>
  <c r="V30" i="149"/>
  <c r="W30" i="149"/>
  <c r="X30" i="149"/>
  <c r="Y30" i="149"/>
  <c r="Z30" i="149"/>
  <c r="L42" i="149"/>
  <c r="M42" i="149"/>
  <c r="N42" i="149"/>
  <c r="O42" i="149"/>
  <c r="P42" i="149"/>
  <c r="Q42" i="149"/>
  <c r="R42" i="149"/>
  <c r="S42" i="149"/>
  <c r="T42" i="149"/>
  <c r="U42" i="149"/>
  <c r="V42" i="149"/>
  <c r="W42" i="149"/>
  <c r="X42" i="149"/>
  <c r="Y42" i="149"/>
  <c r="Z42" i="149"/>
  <c r="AA42" i="149"/>
  <c r="J3" i="149" l="1"/>
  <c r="K3" i="149"/>
  <c r="V3" i="149"/>
  <c r="W3" i="149"/>
  <c r="X3" i="149"/>
  <c r="U3" i="149"/>
  <c r="Z3" i="149"/>
  <c r="AA4" i="149"/>
  <c r="T3" i="149"/>
  <c r="S3" i="149"/>
  <c r="R3" i="149"/>
  <c r="Q3" i="149"/>
  <c r="M3" i="149"/>
  <c r="I3" i="149"/>
  <c r="Y3" i="149"/>
  <c r="P3" i="149"/>
  <c r="O3" i="149"/>
  <c r="N3" i="149"/>
  <c r="L3" i="149"/>
  <c r="AA3" i="149" l="1"/>
  <c r="L31" i="97" l="1"/>
  <c r="I3" i="71"/>
  <c r="H3" i="150" s="1"/>
  <c r="I3" i="143"/>
  <c r="J3" i="143"/>
  <c r="K3" i="143"/>
  <c r="L3" i="143"/>
  <c r="M3" i="143"/>
  <c r="N3" i="143"/>
  <c r="O3" i="143"/>
  <c r="P3" i="143"/>
  <c r="Q3" i="143"/>
  <c r="R3" i="143"/>
  <c r="S3" i="143"/>
  <c r="T3" i="143"/>
  <c r="B3" i="150" l="1"/>
  <c r="C3" i="150"/>
  <c r="F3" i="150"/>
  <c r="D3" i="150"/>
  <c r="E3" i="150"/>
  <c r="G3" i="150"/>
  <c r="C69" i="142"/>
  <c r="E69" i="142" l="1"/>
  <c r="F69" i="142"/>
  <c r="G69" i="142"/>
  <c r="C65" i="142"/>
  <c r="I34" i="142"/>
  <c r="M34" i="142" s="1"/>
  <c r="H34" i="142"/>
  <c r="D34" i="142"/>
  <c r="D33" i="142"/>
  <c r="N34" i="142" l="1"/>
  <c r="R34" i="142"/>
  <c r="D65" i="142"/>
  <c r="H69" i="142"/>
  <c r="D69" i="142"/>
  <c r="Q34" i="142"/>
  <c r="P34" i="142"/>
  <c r="O34" i="142"/>
  <c r="I7" i="71" l="1"/>
  <c r="I15" i="71"/>
  <c r="I23" i="71"/>
  <c r="B23" i="150" l="1"/>
  <c r="C23" i="150"/>
  <c r="H23" i="150"/>
  <c r="E23" i="150"/>
  <c r="D23" i="150"/>
  <c r="G23" i="150"/>
  <c r="F23" i="150"/>
  <c r="B7" i="150"/>
  <c r="G7" i="150"/>
  <c r="F7" i="150"/>
  <c r="H7" i="150"/>
  <c r="D7" i="150"/>
  <c r="C7" i="150"/>
  <c r="E7" i="150"/>
  <c r="G15" i="150"/>
  <c r="C15" i="150"/>
  <c r="B15" i="150"/>
  <c r="F15" i="150"/>
  <c r="H15" i="150"/>
  <c r="E15" i="150"/>
  <c r="D15" i="150"/>
  <c r="I24" i="71"/>
  <c r="I16" i="71"/>
  <c r="I8" i="71"/>
  <c r="I27" i="71"/>
  <c r="I19" i="71"/>
  <c r="I11" i="71"/>
  <c r="I25" i="71"/>
  <c r="I17" i="71"/>
  <c r="I28" i="71"/>
  <c r="I22" i="71"/>
  <c r="I20" i="71"/>
  <c r="I14" i="71"/>
  <c r="I6" i="71"/>
  <c r="I4" i="71"/>
  <c r="I29" i="71"/>
  <c r="I21" i="71"/>
  <c r="I13" i="71"/>
  <c r="I5" i="71"/>
  <c r="I26" i="71"/>
  <c r="I18" i="71"/>
  <c r="I10" i="71"/>
  <c r="I9" i="71"/>
  <c r="I12" i="71"/>
  <c r="F17" i="150" l="1"/>
  <c r="E17" i="150"/>
  <c r="D17" i="150"/>
  <c r="H17" i="150"/>
  <c r="G17" i="150"/>
  <c r="C17" i="150"/>
  <c r="B17" i="150"/>
  <c r="F27" i="150"/>
  <c r="E27" i="150"/>
  <c r="B27" i="150"/>
  <c r="D27" i="150"/>
  <c r="C27" i="150"/>
  <c r="H27" i="150"/>
  <c r="G27" i="150"/>
  <c r="C16" i="150"/>
  <c r="B16" i="150"/>
  <c r="H16" i="150"/>
  <c r="G16" i="150"/>
  <c r="F16" i="150"/>
  <c r="E16" i="150"/>
  <c r="D16" i="150"/>
  <c r="H6" i="150"/>
  <c r="F6" i="150"/>
  <c r="E6" i="150"/>
  <c r="G6" i="150"/>
  <c r="D6" i="150"/>
  <c r="C6" i="150"/>
  <c r="B6" i="150"/>
  <c r="G20" i="150"/>
  <c r="F20" i="150"/>
  <c r="H20" i="150"/>
  <c r="E20" i="150"/>
  <c r="D20" i="150"/>
  <c r="C20" i="150"/>
  <c r="B20" i="150"/>
  <c r="F10" i="150"/>
  <c r="E10" i="150"/>
  <c r="D10" i="150"/>
  <c r="C10" i="150"/>
  <c r="H10" i="150"/>
  <c r="G10" i="150"/>
  <c r="B10" i="150"/>
  <c r="E18" i="150"/>
  <c r="B18" i="150"/>
  <c r="D18" i="150"/>
  <c r="C18" i="150"/>
  <c r="H18" i="150"/>
  <c r="G18" i="150"/>
  <c r="F18" i="150"/>
  <c r="F26" i="150"/>
  <c r="D26" i="150"/>
  <c r="B26" i="150"/>
  <c r="E26" i="150"/>
  <c r="H26" i="150"/>
  <c r="G26" i="150"/>
  <c r="C26" i="150"/>
  <c r="E8" i="150"/>
  <c r="B8" i="150"/>
  <c r="D8" i="150"/>
  <c r="C8" i="150"/>
  <c r="H8" i="150"/>
  <c r="G8" i="150"/>
  <c r="F8" i="150"/>
  <c r="G4" i="150"/>
  <c r="D4" i="150"/>
  <c r="H4" i="150"/>
  <c r="F4" i="150"/>
  <c r="E4" i="150"/>
  <c r="C4" i="150"/>
  <c r="B4" i="150"/>
  <c r="F22" i="150"/>
  <c r="H22" i="150"/>
  <c r="E22" i="150"/>
  <c r="C22" i="150"/>
  <c r="G22" i="150"/>
  <c r="D22" i="150"/>
  <c r="B22" i="150"/>
  <c r="H29" i="150"/>
  <c r="E29" i="150"/>
  <c r="B29" i="150"/>
  <c r="G29" i="150"/>
  <c r="F29" i="150"/>
  <c r="D29" i="150"/>
  <c r="C29" i="150"/>
  <c r="E24" i="150"/>
  <c r="D24" i="150"/>
  <c r="C24" i="150"/>
  <c r="H24" i="150"/>
  <c r="G24" i="150"/>
  <c r="F24" i="150"/>
  <c r="B24" i="150"/>
  <c r="H14" i="150"/>
  <c r="G14" i="150"/>
  <c r="F14" i="150"/>
  <c r="E14" i="150"/>
  <c r="C14" i="150"/>
  <c r="B14" i="150"/>
  <c r="D14" i="150"/>
  <c r="G12" i="150"/>
  <c r="B12" i="150"/>
  <c r="H12" i="150"/>
  <c r="E12" i="150"/>
  <c r="D12" i="150"/>
  <c r="F12" i="150"/>
  <c r="C12" i="150"/>
  <c r="G28" i="150"/>
  <c r="F28" i="150"/>
  <c r="E28" i="150"/>
  <c r="C28" i="150"/>
  <c r="H28" i="150"/>
  <c r="B28" i="150"/>
  <c r="D28" i="150"/>
  <c r="D25" i="150"/>
  <c r="F25" i="150"/>
  <c r="C25" i="150"/>
  <c r="B25" i="150"/>
  <c r="E25" i="150"/>
  <c r="H25" i="150"/>
  <c r="G25" i="150"/>
  <c r="F11" i="150"/>
  <c r="C11" i="150"/>
  <c r="E11" i="150"/>
  <c r="B11" i="150"/>
  <c r="D11" i="150"/>
  <c r="H11" i="150"/>
  <c r="G11" i="150"/>
  <c r="G19" i="150"/>
  <c r="F19" i="150"/>
  <c r="E19" i="150"/>
  <c r="B19" i="150"/>
  <c r="D19" i="150"/>
  <c r="H19" i="150"/>
  <c r="C19" i="150"/>
  <c r="H5" i="150"/>
  <c r="F5" i="150"/>
  <c r="B5" i="150"/>
  <c r="G5" i="150"/>
  <c r="E5" i="150"/>
  <c r="C5" i="150"/>
  <c r="D5" i="150"/>
  <c r="H13" i="150"/>
  <c r="B13" i="150"/>
  <c r="G13" i="150"/>
  <c r="F13" i="150"/>
  <c r="E13" i="150"/>
  <c r="D13" i="150"/>
  <c r="C13" i="150"/>
  <c r="H21" i="150"/>
  <c r="F21" i="150"/>
  <c r="E21" i="150"/>
  <c r="G21" i="150"/>
  <c r="D21" i="150"/>
  <c r="C21" i="150"/>
  <c r="B21" i="150"/>
  <c r="D9" i="150"/>
  <c r="C9" i="150"/>
  <c r="B9" i="150"/>
  <c r="H9" i="150"/>
  <c r="G9" i="150"/>
  <c r="E9" i="150"/>
  <c r="F9" i="150"/>
  <c r="N31" i="97" l="1"/>
  <c r="M31" i="97"/>
  <c r="K31" i="97"/>
  <c r="J31" i="97"/>
  <c r="I31" i="97"/>
  <c r="H31" i="97"/>
  <c r="G31" i="97"/>
  <c r="F31" i="97"/>
  <c r="E31" i="97"/>
  <c r="D31" i="97"/>
  <c r="L30" i="97"/>
  <c r="C30" i="97"/>
  <c r="L29" i="97"/>
  <c r="L28" i="97"/>
  <c r="L27" i="97"/>
  <c r="L26" i="97"/>
  <c r="O26" i="97" s="1"/>
  <c r="L25" i="97"/>
  <c r="L24" i="97"/>
  <c r="O24" i="97" s="1"/>
  <c r="L23" i="97"/>
  <c r="O23" i="97" s="1"/>
  <c r="L22" i="97"/>
  <c r="O21" i="97"/>
  <c r="O20" i="97"/>
  <c r="O19" i="97"/>
  <c r="O18" i="97"/>
  <c r="O17" i="97"/>
  <c r="O16" i="97"/>
  <c r="O15" i="97"/>
  <c r="O14" i="97"/>
  <c r="O13" i="97"/>
  <c r="O12" i="97"/>
  <c r="O11" i="97"/>
  <c r="O10" i="97"/>
  <c r="O9" i="97"/>
  <c r="O8" i="97"/>
  <c r="O7" i="97"/>
  <c r="O6" i="97"/>
  <c r="O5" i="97"/>
  <c r="O4" i="97"/>
  <c r="O3" i="97"/>
  <c r="O2" i="97"/>
  <c r="O29" i="97" l="1"/>
  <c r="C31" i="97"/>
  <c r="O28" i="97"/>
  <c r="O27" i="97"/>
  <c r="O30" i="97"/>
  <c r="O25" i="97"/>
  <c r="O22" i="97"/>
  <c r="O31" i="97" l="1"/>
  <c r="E3" i="146" l="1"/>
  <c r="F3" i="146"/>
  <c r="G3" i="146"/>
  <c r="H3" i="146"/>
  <c r="R3" i="146"/>
  <c r="L44" i="138" s="1"/>
  <c r="S3" i="146"/>
  <c r="M44" i="138" s="1"/>
  <c r="T3" i="146"/>
  <c r="N44" i="138" s="1"/>
  <c r="U3" i="146"/>
  <c r="O44" i="138" s="1"/>
  <c r="P44" i="138"/>
  <c r="Q44" i="138"/>
  <c r="R44" i="138"/>
  <c r="T44" i="138"/>
  <c r="U44" i="138"/>
  <c r="V44" i="138"/>
  <c r="I15" i="146"/>
  <c r="J15" i="146"/>
  <c r="J3" i="146" s="1"/>
  <c r="D44" i="138" s="1"/>
  <c r="K15" i="146"/>
  <c r="K3" i="146" s="1"/>
  <c r="E44" i="138" s="1"/>
  <c r="L15" i="146"/>
  <c r="L3" i="146" s="1"/>
  <c r="F44" i="138" s="1"/>
  <c r="M15" i="146"/>
  <c r="M3" i="146" s="1"/>
  <c r="G44" i="138" s="1"/>
  <c r="N15" i="146"/>
  <c r="N3" i="146" s="1"/>
  <c r="H44" i="138" s="1"/>
  <c r="O15" i="146"/>
  <c r="P15" i="146"/>
  <c r="Q15" i="146"/>
  <c r="AA44" i="138"/>
  <c r="W44" i="138"/>
  <c r="Y44" i="138"/>
  <c r="I42" i="146"/>
  <c r="J42" i="146"/>
  <c r="K42" i="146"/>
  <c r="L42" i="146"/>
  <c r="M42" i="146"/>
  <c r="N42" i="146"/>
  <c r="O42" i="146"/>
  <c r="P42" i="146"/>
  <c r="Q42" i="146"/>
  <c r="I3" i="146" l="1"/>
  <c r="C44" i="138" s="1"/>
  <c r="X44" i="138"/>
  <c r="O3" i="146"/>
  <c r="I44" i="138" s="1"/>
  <c r="AB44" i="138"/>
  <c r="Q3" i="146"/>
  <c r="K44" i="138" s="1"/>
  <c r="S44" i="138"/>
  <c r="Z44" i="138"/>
  <c r="P3" i="146"/>
  <c r="J44" i="138" s="1"/>
  <c r="AC44" i="138" l="1"/>
  <c r="H33" i="142" l="1"/>
  <c r="H65" i="142" s="1"/>
  <c r="H32" i="142"/>
  <c r="G33" i="142"/>
  <c r="G65" i="142" s="1"/>
  <c r="F33" i="142"/>
  <c r="F65" i="142" s="1"/>
  <c r="E33" i="142"/>
  <c r="E65" i="142" s="1"/>
  <c r="F64" i="142" l="1"/>
  <c r="H64" i="142"/>
  <c r="I33" i="142" l="1"/>
  <c r="I65" i="142" s="1"/>
  <c r="M33" i="142" l="1"/>
  <c r="N33" i="142"/>
  <c r="O33" i="142"/>
  <c r="P33" i="142"/>
  <c r="Q33" i="142"/>
  <c r="R33" i="142"/>
  <c r="D68" i="142" l="1"/>
  <c r="E68" i="142"/>
  <c r="F68" i="142"/>
  <c r="G68" i="142"/>
  <c r="H68" i="142"/>
  <c r="C68" i="142"/>
  <c r="D66" i="142"/>
  <c r="E66" i="142"/>
  <c r="F66" i="142"/>
  <c r="G66" i="142"/>
  <c r="H66" i="142"/>
  <c r="E46" i="142"/>
  <c r="E47" i="142"/>
  <c r="E48" i="142"/>
  <c r="E49" i="142"/>
  <c r="E50" i="142"/>
  <c r="E51" i="142"/>
  <c r="E52" i="142"/>
  <c r="E53" i="142"/>
  <c r="E54" i="142"/>
  <c r="E55" i="142"/>
  <c r="E56" i="142"/>
  <c r="E59" i="142"/>
  <c r="E60" i="142"/>
  <c r="E61" i="142"/>
  <c r="E62" i="142"/>
  <c r="D46" i="142"/>
  <c r="D47" i="142"/>
  <c r="D48" i="142"/>
  <c r="D49" i="142"/>
  <c r="D50" i="142"/>
  <c r="D51" i="142"/>
  <c r="D52" i="142"/>
  <c r="D53" i="142"/>
  <c r="D54" i="142"/>
  <c r="D55" i="142"/>
  <c r="D56" i="142"/>
  <c r="D57" i="142"/>
  <c r="D58" i="142"/>
  <c r="D59" i="142"/>
  <c r="D60" i="142"/>
  <c r="D61" i="142"/>
  <c r="D62" i="142"/>
  <c r="C46" i="142"/>
  <c r="C47" i="142"/>
  <c r="C48" i="142"/>
  <c r="C49" i="142"/>
  <c r="C50" i="142"/>
  <c r="C51" i="142"/>
  <c r="C52" i="142"/>
  <c r="C53" i="142"/>
  <c r="C54" i="142"/>
  <c r="C55" i="142"/>
  <c r="C56" i="142"/>
  <c r="C57" i="142"/>
  <c r="C58" i="142"/>
  <c r="C59" i="142"/>
  <c r="C60" i="142"/>
  <c r="C61" i="142"/>
  <c r="C62" i="142"/>
  <c r="D45" i="142"/>
  <c r="E45" i="142"/>
  <c r="F45" i="142"/>
  <c r="G45" i="142"/>
  <c r="H45" i="142"/>
  <c r="C45" i="142"/>
  <c r="H55" i="142" l="1"/>
  <c r="H56" i="142"/>
  <c r="H57" i="142"/>
  <c r="H58" i="142"/>
  <c r="H59" i="142"/>
  <c r="H60" i="142"/>
  <c r="H61" i="142"/>
  <c r="H62" i="142"/>
  <c r="H63" i="142"/>
  <c r="G51" i="142"/>
  <c r="G52" i="142"/>
  <c r="G53" i="142"/>
  <c r="G54" i="142"/>
  <c r="G55" i="142"/>
  <c r="G56" i="142"/>
  <c r="G57" i="142"/>
  <c r="G58" i="142"/>
  <c r="G59" i="142"/>
  <c r="G60" i="142"/>
  <c r="G61" i="142"/>
  <c r="F51" i="142"/>
  <c r="F52" i="142"/>
  <c r="F53" i="142"/>
  <c r="F54" i="142"/>
  <c r="F55" i="142"/>
  <c r="F56" i="142"/>
  <c r="F57" i="142"/>
  <c r="F58" i="142"/>
  <c r="F59" i="142"/>
  <c r="F60" i="142"/>
  <c r="F61" i="142"/>
  <c r="F62" i="142"/>
  <c r="F63" i="142"/>
  <c r="E32" i="142" l="1"/>
  <c r="E64" i="142" l="1"/>
  <c r="E63" i="142"/>
  <c r="G32" i="142"/>
  <c r="G31" i="142"/>
  <c r="G62" i="142" s="1"/>
  <c r="D32" i="142"/>
  <c r="C32" i="142"/>
  <c r="G64" i="142" l="1"/>
  <c r="D64" i="142"/>
  <c r="D63" i="142"/>
  <c r="C64" i="142"/>
  <c r="C63" i="142"/>
  <c r="G63" i="142"/>
  <c r="I32" i="142"/>
  <c r="Q32" i="142" s="1"/>
  <c r="I64" i="142" l="1"/>
  <c r="P32" i="142"/>
  <c r="R32" i="142"/>
  <c r="O32" i="142"/>
  <c r="N32" i="142"/>
  <c r="M32" i="142"/>
  <c r="I31" i="142" l="1"/>
  <c r="I30" i="142"/>
  <c r="Q30" i="142" l="1"/>
  <c r="Q31" i="142"/>
  <c r="N31" i="142"/>
  <c r="R31" i="142"/>
  <c r="O31" i="142"/>
  <c r="I62" i="142"/>
  <c r="P31" i="142"/>
  <c r="I63" i="142"/>
  <c r="M30" i="142"/>
  <c r="O30" i="142"/>
  <c r="R30" i="142"/>
  <c r="N30" i="142"/>
  <c r="P30" i="142"/>
  <c r="M31" i="142"/>
  <c r="I29" i="142" l="1"/>
  <c r="I61" i="142" l="1"/>
  <c r="P29" i="142"/>
  <c r="N29" i="142"/>
  <c r="Q29" i="142"/>
  <c r="R29" i="142"/>
  <c r="O29" i="142"/>
  <c r="M29" i="142"/>
  <c r="E26" i="142" l="1"/>
  <c r="I27" i="142"/>
  <c r="E57" i="142" l="1"/>
  <c r="E58" i="142"/>
  <c r="Q27" i="142"/>
  <c r="M27" i="142"/>
  <c r="R27" i="142"/>
  <c r="O27" i="142"/>
  <c r="N27" i="142"/>
  <c r="P27" i="142"/>
  <c r="I28" i="142"/>
  <c r="I59" i="142" l="1"/>
  <c r="I60" i="142"/>
  <c r="P28" i="142"/>
  <c r="Q28" i="142"/>
  <c r="M28" i="142"/>
  <c r="R28" i="142"/>
  <c r="O28" i="142"/>
  <c r="N28" i="142"/>
  <c r="I26" i="142" l="1"/>
  <c r="I25" i="142"/>
  <c r="I57" i="142" l="1"/>
  <c r="I58" i="142"/>
  <c r="O25" i="142"/>
  <c r="N25" i="142"/>
  <c r="M25" i="142"/>
  <c r="M26" i="142"/>
  <c r="N26" i="142"/>
  <c r="O26" i="142"/>
  <c r="Q25" i="142"/>
  <c r="R25" i="142"/>
  <c r="P25" i="142"/>
  <c r="P26" i="142"/>
  <c r="Q26" i="142"/>
  <c r="R26" i="142"/>
  <c r="G67" i="142" l="1"/>
  <c r="F67" i="142"/>
  <c r="E67" i="142"/>
  <c r="D67" i="142"/>
  <c r="C67" i="142"/>
  <c r="H54" i="142"/>
  <c r="I23" i="142"/>
  <c r="M23" i="142" l="1"/>
  <c r="O23" i="142"/>
  <c r="N23" i="142"/>
  <c r="P23" i="142"/>
  <c r="Q23" i="142"/>
  <c r="R23" i="142"/>
  <c r="H53" i="142" l="1"/>
  <c r="I22" i="142"/>
  <c r="M22" i="142" l="1"/>
  <c r="O22" i="142"/>
  <c r="N22" i="142"/>
  <c r="P22" i="142"/>
  <c r="Q22" i="142"/>
  <c r="R22" i="142"/>
  <c r="I54" i="142"/>
  <c r="I21" i="142"/>
  <c r="I20" i="142"/>
  <c r="I19" i="142"/>
  <c r="I18" i="142"/>
  <c r="I17" i="142"/>
  <c r="I16" i="142"/>
  <c r="I15" i="142"/>
  <c r="I14" i="142"/>
  <c r="I13" i="142"/>
  <c r="I68" i="142" s="1"/>
  <c r="I12" i="142"/>
  <c r="I11" i="142"/>
  <c r="I10" i="142"/>
  <c r="I9" i="142"/>
  <c r="I24" i="142"/>
  <c r="I69" i="142" s="1"/>
  <c r="C66" i="142"/>
  <c r="H52" i="142"/>
  <c r="H51" i="142"/>
  <c r="H50" i="142"/>
  <c r="G50" i="142"/>
  <c r="F50" i="142"/>
  <c r="H49" i="142"/>
  <c r="G49" i="142"/>
  <c r="F49" i="142"/>
  <c r="H48" i="142"/>
  <c r="G48" i="142"/>
  <c r="F48" i="142"/>
  <c r="H47" i="142"/>
  <c r="G47" i="142"/>
  <c r="F47" i="142"/>
  <c r="H46" i="142"/>
  <c r="G46" i="142"/>
  <c r="F46" i="142"/>
  <c r="I45" i="142" l="1"/>
  <c r="I55" i="142"/>
  <c r="I56" i="142"/>
  <c r="M24" i="142"/>
  <c r="O24" i="142"/>
  <c r="N24" i="142"/>
  <c r="R24" i="142"/>
  <c r="P24" i="142"/>
  <c r="Q24" i="142"/>
  <c r="P14" i="142"/>
  <c r="M14" i="142"/>
  <c r="Q14" i="142"/>
  <c r="R14" i="142"/>
  <c r="N14" i="142"/>
  <c r="O14" i="142"/>
  <c r="O11" i="142"/>
  <c r="P11" i="142"/>
  <c r="M11" i="142"/>
  <c r="Q11" i="142"/>
  <c r="N11" i="142"/>
  <c r="R11" i="142"/>
  <c r="O15" i="142"/>
  <c r="P15" i="142"/>
  <c r="M15" i="142"/>
  <c r="Q15" i="142"/>
  <c r="R15" i="142"/>
  <c r="N15" i="142"/>
  <c r="O19" i="142"/>
  <c r="P19" i="142"/>
  <c r="M19" i="142"/>
  <c r="Q19" i="142"/>
  <c r="N19" i="142"/>
  <c r="R19" i="142"/>
  <c r="P10" i="142"/>
  <c r="M10" i="142"/>
  <c r="Q10" i="142"/>
  <c r="R10" i="142"/>
  <c r="O10" i="142"/>
  <c r="N10" i="142"/>
  <c r="P18" i="142"/>
  <c r="M18" i="142"/>
  <c r="Q18" i="142"/>
  <c r="R18" i="142"/>
  <c r="O18" i="142"/>
  <c r="N18" i="142"/>
  <c r="R12" i="142"/>
  <c r="N12" i="142"/>
  <c r="O12" i="142"/>
  <c r="P12" i="142"/>
  <c r="Q12" i="142"/>
  <c r="M12" i="142"/>
  <c r="R16" i="142"/>
  <c r="N16" i="142"/>
  <c r="O16" i="142"/>
  <c r="P16" i="142"/>
  <c r="M16" i="142"/>
  <c r="Q16" i="142"/>
  <c r="R20" i="142"/>
  <c r="N20" i="142"/>
  <c r="O20" i="142"/>
  <c r="P20" i="142"/>
  <c r="Q20" i="142"/>
  <c r="M20" i="142"/>
  <c r="Q9" i="142"/>
  <c r="N9" i="142"/>
  <c r="O9" i="142"/>
  <c r="R9" i="142"/>
  <c r="P9" i="142"/>
  <c r="M9" i="142"/>
  <c r="Q13" i="142"/>
  <c r="R13" i="142"/>
  <c r="N13" i="142"/>
  <c r="M13" i="142"/>
  <c r="O13" i="142"/>
  <c r="P13" i="142"/>
  <c r="Q17" i="142"/>
  <c r="R17" i="142"/>
  <c r="N17" i="142"/>
  <c r="P17" i="142"/>
  <c r="M17" i="142"/>
  <c r="O17" i="142"/>
  <c r="Q21" i="142"/>
  <c r="R21" i="142"/>
  <c r="N21" i="142"/>
  <c r="M21" i="142"/>
  <c r="P21" i="142"/>
  <c r="O21" i="142"/>
  <c r="I52" i="142"/>
  <c r="I53" i="142"/>
  <c r="I48" i="142"/>
  <c r="I46" i="142"/>
  <c r="I50" i="142"/>
  <c r="I47" i="142"/>
  <c r="I49" i="142"/>
  <c r="I51" i="142"/>
  <c r="H67" i="142" l="1"/>
  <c r="I8" i="142"/>
  <c r="I7" i="142"/>
  <c r="P7" i="142" s="1"/>
  <c r="M8" i="142" l="1"/>
  <c r="I66" i="142"/>
  <c r="R7" i="142"/>
  <c r="O7" i="142"/>
  <c r="R8" i="142"/>
  <c r="I67" i="142"/>
  <c r="Q8" i="142"/>
  <c r="O8" i="142"/>
  <c r="M7" i="142"/>
  <c r="N7" i="142"/>
  <c r="Q7" i="142"/>
  <c r="N8" i="142"/>
  <c r="P8" i="142"/>
</calcChain>
</file>

<file path=xl/sharedStrings.xml><?xml version="1.0" encoding="utf-8"?>
<sst xmlns="http://schemas.openxmlformats.org/spreadsheetml/2006/main" count="1035" uniqueCount="108">
  <si>
    <t>Tram &amp; Metro</t>
  </si>
  <si>
    <t>Bus &amp; Coach</t>
  </si>
  <si>
    <t>Buses and Coaches</t>
  </si>
  <si>
    <t>MK</t>
  </si>
  <si>
    <t>Powered 2-wheelers</t>
  </si>
  <si>
    <t>P2W</t>
  </si>
  <si>
    <t>IS</t>
  </si>
  <si>
    <t>CH</t>
  </si>
  <si>
    <t>BG</t>
  </si>
  <si>
    <t>CY</t>
  </si>
  <si>
    <t>CZ</t>
  </si>
  <si>
    <t>EE</t>
  </si>
  <si>
    <t>HU</t>
  </si>
  <si>
    <t>LV</t>
  </si>
  <si>
    <t>LT</t>
  </si>
  <si>
    <t>MT</t>
  </si>
  <si>
    <t>PL</t>
  </si>
  <si>
    <t>RO</t>
  </si>
  <si>
    <t>SK</t>
  </si>
  <si>
    <t>SI</t>
  </si>
  <si>
    <t>TR</t>
  </si>
  <si>
    <t>DK</t>
  </si>
  <si>
    <t>EL</t>
  </si>
  <si>
    <t>NL</t>
  </si>
  <si>
    <t>UK</t>
  </si>
  <si>
    <t>BE</t>
  </si>
  <si>
    <t>DE</t>
  </si>
  <si>
    <t>ES</t>
  </si>
  <si>
    <t>FR</t>
  </si>
  <si>
    <t>IE</t>
  </si>
  <si>
    <t>IT</t>
  </si>
  <si>
    <t>LU</t>
  </si>
  <si>
    <t>AT</t>
  </si>
  <si>
    <t>PT</t>
  </si>
  <si>
    <t>FI</t>
  </si>
  <si>
    <t>SE</t>
  </si>
  <si>
    <t>NO</t>
  </si>
  <si>
    <t xml:space="preserve"> </t>
  </si>
  <si>
    <t>-</t>
  </si>
  <si>
    <t>HR</t>
  </si>
  <si>
    <t>Passenger Cars</t>
  </si>
  <si>
    <t>Buses &amp; Coaches</t>
  </si>
  <si>
    <t>Railways</t>
  </si>
  <si>
    <t>Sea</t>
  </si>
  <si>
    <t>Air</t>
  </si>
  <si>
    <t>Total</t>
  </si>
  <si>
    <t>EUROPEAN UNION</t>
  </si>
  <si>
    <t>European Commission</t>
  </si>
  <si>
    <r>
      <t xml:space="preserve">in co-operation with </t>
    </r>
    <r>
      <rPr>
        <b/>
        <sz val="10"/>
        <rFont val="Arial"/>
        <family val="2"/>
      </rPr>
      <t>Eurostat</t>
    </r>
  </si>
  <si>
    <t>Performance of Passenger Transport</t>
  </si>
  <si>
    <t>expressed in passenger-kilometres</t>
  </si>
  <si>
    <t>Passenger Cars *</t>
  </si>
  <si>
    <t>Motor- cycles</t>
  </si>
  <si>
    <t>Railway</t>
  </si>
  <si>
    <t>Bus</t>
  </si>
  <si>
    <t>Light and Commuter rail</t>
  </si>
  <si>
    <t>Average annual change</t>
  </si>
  <si>
    <t>% per year</t>
  </si>
  <si>
    <t>1990- 1995</t>
  </si>
  <si>
    <t>Pass -enger Cars</t>
  </si>
  <si>
    <t>Rail -way</t>
  </si>
  <si>
    <t>2.3.1</t>
  </si>
  <si>
    <r>
      <t>Source</t>
    </r>
    <r>
      <rPr>
        <sz val="8"/>
        <rFont val="Arial"/>
        <family val="2"/>
      </rPr>
      <t xml:space="preserve">: tables 2.3.4, 2.3.5, 2.3.6, 2.3.7, estimates </t>
    </r>
  </si>
  <si>
    <t>2.3.3</t>
  </si>
  <si>
    <t>2.3.2</t>
  </si>
  <si>
    <t>2.3.4</t>
  </si>
  <si>
    <t>2.3.5</t>
  </si>
  <si>
    <t>2.3.6</t>
  </si>
  <si>
    <t>2.3.7</t>
  </si>
  <si>
    <t>2.3.8</t>
  </si>
  <si>
    <t>2.3.9</t>
  </si>
  <si>
    <t>Directorate-General for Mobility and Transport</t>
  </si>
  <si>
    <t>TRANSPORT IN FIGURES</t>
  </si>
  <si>
    <t>Chapter 2.3  :</t>
  </si>
  <si>
    <t>Part 2 :  TRANSPORT</t>
  </si>
  <si>
    <t>ME</t>
  </si>
  <si>
    <t>RS</t>
  </si>
  <si>
    <t>Billion pkm</t>
  </si>
  <si>
    <t>1995- 2000</t>
  </si>
  <si>
    <t>AL</t>
  </si>
  <si>
    <r>
      <t>Source</t>
    </r>
    <r>
      <rPr>
        <sz val="8"/>
        <rFont val="Arial"/>
        <family val="2"/>
      </rPr>
      <t>: U.S. Department of Transportation, Bureau of Transportation Statistics.</t>
    </r>
  </si>
  <si>
    <t>EU-27</t>
  </si>
  <si>
    <t>Performance by mode (graph)</t>
  </si>
  <si>
    <t xml:space="preserve">Performance by mode and year </t>
  </si>
  <si>
    <t>Modal split of land transport by country</t>
  </si>
  <si>
    <t>Passenger cars</t>
  </si>
  <si>
    <t>Buses and coaches</t>
  </si>
  <si>
    <t>Tram and metro</t>
  </si>
  <si>
    <t>Rail: High speed rail transport</t>
  </si>
  <si>
    <t>USA: Performance by mode of transport: passengers</t>
  </si>
  <si>
    <t>Tram &amp; metro</t>
  </si>
  <si>
    <t>Performance by mode of transport : passengers</t>
  </si>
  <si>
    <t>Passenger cars *</t>
  </si>
  <si>
    <t>Light and commuter rail</t>
  </si>
  <si>
    <t>United States</t>
  </si>
  <si>
    <r>
      <rPr>
        <b/>
        <sz val="8"/>
        <rFont val="Arial"/>
        <family val="2"/>
      </rPr>
      <t>NB:</t>
    </r>
    <r>
      <rPr>
        <sz val="8"/>
        <rFont val="Arial"/>
        <family val="2"/>
      </rPr>
      <t xml:space="preserve"> revision of bus data</t>
    </r>
  </si>
  <si>
    <t>Bus**</t>
  </si>
  <si>
    <t xml:space="preserve">* "Passenger cars" include light duty vehicles, short wheel base and long wheel base; </t>
  </si>
  <si>
    <t>** "Bus" includes highway busses and transit busses (motor bus, commuter bus, demand response;  and troleybus);</t>
  </si>
  <si>
    <t>2000- 2010</t>
  </si>
  <si>
    <t>BA</t>
  </si>
  <si>
    <t>MD</t>
  </si>
  <si>
    <t>UA</t>
  </si>
  <si>
    <t>..</t>
  </si>
  <si>
    <t>2011- 2021</t>
  </si>
  <si>
    <t>Passenger-km in %</t>
  </si>
  <si>
    <t>EU27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</si>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</sst>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#,##0.0"/>
    <numFmt numFmtId="165" formatCode="0.0"/>
    <numFmt numFmtId="166" formatCode="#\ ##0"/>
    <numFmt numFmtId="167" formatCode="0.0\ \ \ "/>
    <numFmt numFmtId="168" formatCode="0.0%"/>
    <numFmt numFmtId="169" formatCode="0.0\ "/>
    <numFmt numFmtId="170" formatCode="General_)"/>
    <numFmt numFmtId="171" formatCode="[&gt;0.5]#,##0;[&lt;-0.5]\-#,##0;\-"/>
    <numFmt numFmtId="172" formatCode="_-* #,##0.00\ [$€]_-;\-* #,##0.00\ [$€]_-;_-* &quot;-&quot;??\ [$€]_-;_-@_-"/>
    <numFmt numFmtId="173" formatCode="#\ ##0.0"/>
    <numFmt numFmtId="174" formatCode="_(* #,##0.00_);_(* \(#,##0.00\);_(* &quot;-&quot;??_);_(@_)"/>
    <numFmt numFmtId="175" formatCode="###0.00_)"/>
    <numFmt numFmtId="176" formatCode="#,##0_)"/>
    <numFmt numFmtId="177" formatCode="_(&quot;$&quot;* #,##0.00_);_(&quot;$&quot;* \(#,##0.00\);_(&quot;$&quot;* &quot;-&quot;??_);_(@_)"/>
    <numFmt numFmtId="178" formatCode="&quot; &quot;General"/>
    <numFmt numFmtId="179" formatCode="_-* #,##0.00\ &quot;zł&quot;_-;\-* #,##0.00\ &quot;zł&quot;_-;_-* &quot;-&quot;??\ &quot;zł&quot;_-;_-@_-"/>
    <numFmt numFmtId="180" formatCode="_-* #,##0.00,&quot;DM&quot;_-;\-* #,##0.00,&quot;DM&quot;_-;_-* \-??&quot; DM&quot;_-;_-@_-"/>
    <numFmt numFmtId="181" formatCode="#,##0.000_);[Red]\(#,##0.000\);\-_)"/>
    <numFmt numFmtId="182" formatCode="#,##0.0%;[Red]\(#,##0.0%\);\-"/>
    <numFmt numFmtId="183" formatCode="_-* #.##0.00\ _€_-;\-* #.##0.00\ _€_-;_-* &quot;-&quot;??\ _€_-;_-@_-"/>
    <numFmt numFmtId="184" formatCode="_-* #,##0.00\ _€_-;\-* #,##0.00\ _€_-;_-* &quot;-&quot;??\ _€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Times"/>
      <family val="1"/>
    </font>
    <font>
      <b/>
      <sz val="1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Times"/>
      <family val="1"/>
    </font>
    <font>
      <b/>
      <sz val="10"/>
      <name val="Times"/>
      <family val="1"/>
    </font>
    <font>
      <b/>
      <i/>
      <sz val="10"/>
      <name val="Times"/>
      <family val="1"/>
    </font>
    <font>
      <b/>
      <sz val="9"/>
      <name val="Arial"/>
      <family val="2"/>
    </font>
    <font>
      <sz val="8"/>
      <name val="Times"/>
      <family val="1"/>
    </font>
    <font>
      <i/>
      <sz val="8"/>
      <name val="Times"/>
      <family val="1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Helvetica"/>
      <family val="2"/>
    </font>
    <font>
      <b/>
      <sz val="10"/>
      <name val="Times"/>
      <family val="1"/>
    </font>
    <font>
      <b/>
      <sz val="7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8"/>
      <name val="Helv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6"/>
      <name val="Helvetica"/>
      <family val="2"/>
    </font>
    <font>
      <i/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11"/>
      <color rgb="FF000000"/>
      <name val="Calibri"/>
      <family val="2"/>
    </font>
    <font>
      <sz val="11"/>
      <name val="Arial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sz val="8"/>
      <name val="Helv"/>
    </font>
    <font>
      <b/>
      <sz val="14"/>
      <name val="Helv"/>
    </font>
    <font>
      <b/>
      <sz val="10"/>
      <name val="Helv"/>
      <family val="2"/>
    </font>
    <font>
      <sz val="10"/>
      <name val="Helv"/>
      <family val="2"/>
    </font>
    <font>
      <vertAlign val="superscript"/>
      <sz val="12"/>
      <name val="Helv"/>
      <family val="2"/>
    </font>
    <font>
      <u/>
      <sz val="8"/>
      <color indexed="12"/>
      <name val="Arial"/>
      <family val="2"/>
    </font>
    <font>
      <u/>
      <sz val="10"/>
      <color indexed="36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8"/>
      <name val="P-AVGARD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rgb="FF000000"/>
      <name val="Times New Roman"/>
      <family val="1"/>
    </font>
    <font>
      <sz val="16"/>
      <color rgb="FF000000"/>
      <name val="Helvetica"/>
      <family val="2"/>
    </font>
    <font>
      <u/>
      <sz val="7"/>
      <color rgb="FF0000FF"/>
      <name val="Arial"/>
      <family val="2"/>
    </font>
    <font>
      <u/>
      <sz val="8"/>
      <color rgb="FF0000FF"/>
      <name val="Times New Roman"/>
      <family val="1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i/>
      <sz val="12"/>
      <color rgb="FF00000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indexed="24"/>
      <name val="Arial"/>
      <family val="2"/>
    </font>
    <font>
      <sz val="12"/>
      <color indexed="24"/>
      <name val="Arial"/>
      <family val="2"/>
    </font>
    <font>
      <sz val="11"/>
      <color theme="1"/>
      <name val="Czcionka tekstu podstawowego"/>
      <family val="2"/>
      <charset val="238"/>
    </font>
    <font>
      <b/>
      <sz val="13"/>
      <color theme="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sz val="10"/>
      <color indexed="56"/>
      <name val="Arial"/>
      <family val="2"/>
    </font>
    <font>
      <i/>
      <sz val="8"/>
      <color indexed="2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C00000"/>
      <name val="Arial"/>
      <family val="2"/>
    </font>
  </fonts>
  <fills count="76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57626E"/>
        <bgColor indexed="64"/>
      </patternFill>
    </fill>
    <fill>
      <patternFill patternType="solid">
        <fgColor rgb="FFA2A5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40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96">
    <xf numFmtId="0" fontId="0" fillId="0" borderId="0"/>
    <xf numFmtId="0" fontId="33" fillId="2" borderId="0" applyNumberFormat="0" applyBorder="0">
      <protection locked="0"/>
    </xf>
    <xf numFmtId="0" fontId="34" fillId="3" borderId="0" applyNumberFormat="0" applyBorder="0">
      <protection locked="0"/>
    </xf>
    <xf numFmtId="0" fontId="41" fillId="0" borderId="0">
      <alignment horizontal="left"/>
    </xf>
    <xf numFmtId="0" fontId="42" fillId="0" borderId="0"/>
    <xf numFmtId="0" fontId="43" fillId="0" borderId="0"/>
    <xf numFmtId="0" fontId="13" fillId="0" borderId="0"/>
    <xf numFmtId="0" fontId="12" fillId="0" borderId="0"/>
    <xf numFmtId="0" fontId="11" fillId="0" borderId="0"/>
    <xf numFmtId="170" fontId="44" fillId="0" borderId="0"/>
    <xf numFmtId="0" fontId="45" fillId="0" borderId="0">
      <alignment horizontal="left"/>
    </xf>
    <xf numFmtId="9" fontId="13" fillId="0" borderId="0" applyFont="0" applyFill="0" applyBorder="0" applyAlignment="0" applyProtection="0"/>
    <xf numFmtId="171" fontId="44" fillId="0" borderId="0" applyFill="0" applyBorder="0" applyAlignment="0" applyProtection="0"/>
    <xf numFmtId="0" fontId="13" fillId="0" borderId="0"/>
    <xf numFmtId="0" fontId="46" fillId="0" borderId="0"/>
    <xf numFmtId="0" fontId="47" fillId="15" borderId="0" applyNumberFormat="0" applyFont="0" applyBorder="0" applyAlignment="0" applyProtection="0"/>
    <xf numFmtId="0" fontId="51" fillId="0" borderId="0"/>
    <xf numFmtId="164" fontId="48" fillId="7" borderId="22">
      <alignment vertical="center"/>
    </xf>
    <xf numFmtId="168" fontId="49" fillId="7" borderId="22">
      <alignment vertical="center"/>
    </xf>
    <xf numFmtId="164" fontId="50" fillId="8" borderId="22">
      <alignment vertical="center"/>
    </xf>
    <xf numFmtId="0" fontId="13" fillId="9" borderId="1" applyBorder="0">
      <alignment horizontal="left" vertical="center"/>
    </xf>
    <xf numFmtId="49" fontId="13" fillId="10" borderId="5">
      <alignment vertical="center" wrapText="1"/>
    </xf>
    <xf numFmtId="0" fontId="13" fillId="11" borderId="10">
      <alignment horizontal="left" vertical="center" wrapText="1"/>
    </xf>
    <xf numFmtId="0" fontId="28" fillId="12" borderId="5">
      <alignment horizontal="left" vertical="center" wrapText="1"/>
    </xf>
    <xf numFmtId="0" fontId="13" fillId="13" borderId="5">
      <alignment horizontal="left" vertical="center" wrapText="1"/>
    </xf>
    <xf numFmtId="0" fontId="13" fillId="14" borderId="5">
      <alignment horizontal="left" vertical="center" wrapText="1"/>
    </xf>
    <xf numFmtId="172" fontId="51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51" fillId="0" borderId="0" applyFont="0" applyFill="0" applyBorder="0" applyAlignment="0" applyProtection="0"/>
    <xf numFmtId="0" fontId="10" fillId="0" borderId="0"/>
    <xf numFmtId="0" fontId="53" fillId="0" borderId="0" applyNumberFormat="0" applyBorder="0" applyAlignment="0"/>
    <xf numFmtId="0" fontId="13" fillId="0" borderId="0"/>
    <xf numFmtId="0" fontId="54" fillId="0" borderId="0"/>
    <xf numFmtId="0" fontId="9" fillId="0" borderId="0"/>
    <xf numFmtId="0" fontId="55" fillId="0" borderId="0">
      <alignment horizontal="center" vertical="center" wrapText="1"/>
    </xf>
    <xf numFmtId="0" fontId="56" fillId="0" borderId="0">
      <alignment horizontal="left" vertical="center" wrapText="1"/>
    </xf>
    <xf numFmtId="175" fontId="57" fillId="0" borderId="23" applyNumberFormat="0" applyFill="0">
      <alignment horizontal="right"/>
    </xf>
    <xf numFmtId="176" fontId="58" fillId="0" borderId="23">
      <alignment horizontal="right" vertical="center"/>
    </xf>
    <xf numFmtId="49" fontId="59" fillId="0" borderId="23">
      <alignment horizontal="left" vertical="center"/>
    </xf>
    <xf numFmtId="175" fontId="57" fillId="0" borderId="23" applyNumberFormat="0" applyFill="0">
      <alignment horizontal="right"/>
    </xf>
    <xf numFmtId="0" fontId="60" fillId="0" borderId="23">
      <alignment horizontal="left"/>
    </xf>
    <xf numFmtId="0" fontId="61" fillId="0" borderId="24">
      <alignment horizontal="right" vertical="center"/>
    </xf>
    <xf numFmtId="0" fontId="62" fillId="0" borderId="23">
      <alignment horizontal="left" vertical="center"/>
    </xf>
    <xf numFmtId="0" fontId="57" fillId="0" borderId="23">
      <alignment horizontal="left" vertical="center"/>
    </xf>
    <xf numFmtId="0" fontId="60" fillId="0" borderId="23">
      <alignment horizontal="left"/>
    </xf>
    <xf numFmtId="0" fontId="60" fillId="18" borderId="0">
      <alignment horizontal="centerContinuous" wrapText="1"/>
    </xf>
    <xf numFmtId="49" fontId="60" fillId="18" borderId="8">
      <alignment horizontal="left" vertical="center"/>
    </xf>
    <xf numFmtId="0" fontId="60" fillId="18" borderId="0">
      <alignment horizontal="centerContinuous" vertical="center" wrapText="1"/>
    </xf>
    <xf numFmtId="3" fontId="58" fillId="0" borderId="0">
      <alignment horizontal="left" vertical="center"/>
    </xf>
    <xf numFmtId="0" fontId="55" fillId="0" borderId="0">
      <alignment horizontal="left" vertical="center"/>
    </xf>
    <xf numFmtId="0" fontId="63" fillId="0" borderId="0">
      <alignment horizontal="right"/>
    </xf>
    <xf numFmtId="49" fontId="63" fillId="0" borderId="0">
      <alignment horizontal="center"/>
    </xf>
    <xf numFmtId="0" fontId="59" fillId="0" borderId="0">
      <alignment horizontal="right"/>
    </xf>
    <xf numFmtId="0" fontId="63" fillId="0" borderId="0">
      <alignment horizontal="left"/>
    </xf>
    <xf numFmtId="49" fontId="58" fillId="0" borderId="0">
      <alignment horizontal="left" vertical="center"/>
    </xf>
    <xf numFmtId="49" fontId="59" fillId="0" borderId="23">
      <alignment horizontal="left"/>
    </xf>
    <xf numFmtId="175" fontId="58" fillId="0" borderId="0" applyNumberFormat="0">
      <alignment horizontal="right"/>
    </xf>
    <xf numFmtId="0" fontId="61" fillId="19" borderId="0">
      <alignment horizontal="centerContinuous" vertical="center" wrapText="1"/>
    </xf>
    <xf numFmtId="0" fontId="61" fillId="0" borderId="25">
      <alignment horizontal="left" vertical="center"/>
    </xf>
    <xf numFmtId="0" fontId="64" fillId="0" borderId="0">
      <alignment horizontal="left" vertical="top"/>
    </xf>
    <xf numFmtId="0" fontId="60" fillId="0" borderId="0">
      <alignment horizontal="left"/>
    </xf>
    <xf numFmtId="0" fontId="56" fillId="0" borderId="0">
      <alignment horizontal="left"/>
    </xf>
    <xf numFmtId="0" fontId="57" fillId="0" borderId="0">
      <alignment horizontal="left"/>
    </xf>
    <xf numFmtId="0" fontId="64" fillId="0" borderId="0">
      <alignment horizontal="left" vertical="top"/>
    </xf>
    <xf numFmtId="0" fontId="56" fillId="0" borderId="0">
      <alignment horizontal="left"/>
    </xf>
    <xf numFmtId="0" fontId="57" fillId="0" borderId="0">
      <alignment horizontal="left"/>
    </xf>
    <xf numFmtId="49" fontId="58" fillId="0" borderId="23">
      <alignment horizontal="left"/>
    </xf>
    <xf numFmtId="0" fontId="61" fillId="0" borderId="24">
      <alignment horizontal="left"/>
    </xf>
    <xf numFmtId="0" fontId="60" fillId="0" borderId="0">
      <alignment horizontal="left" vertical="center"/>
    </xf>
    <xf numFmtId="49" fontId="63" fillId="0" borderId="23">
      <alignment horizontal="left"/>
    </xf>
    <xf numFmtId="0" fontId="65" fillId="0" borderId="23">
      <alignment horizontal="left"/>
    </xf>
    <xf numFmtId="175" fontId="66" fillId="0" borderId="23" applyNumberFormat="0" applyFill="0">
      <alignment horizontal="right"/>
    </xf>
    <xf numFmtId="0" fontId="67" fillId="0" borderId="0">
      <alignment horizontal="right"/>
    </xf>
    <xf numFmtId="0" fontId="8" fillId="0" borderId="0"/>
    <xf numFmtId="0" fontId="8" fillId="0" borderId="0"/>
    <xf numFmtId="174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69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0" fontId="16" fillId="0" borderId="0"/>
    <xf numFmtId="0" fontId="70" fillId="0" borderId="0" applyNumberFormat="0" applyFill="0" applyBorder="0" applyAlignment="0" applyProtection="0"/>
    <xf numFmtId="0" fontId="71" fillId="0" borderId="28" applyNumberFormat="0" applyFill="0" applyAlignment="0" applyProtection="0"/>
    <xf numFmtId="0" fontId="72" fillId="0" borderId="29" applyNumberFormat="0" applyFill="0" applyAlignment="0" applyProtection="0"/>
    <xf numFmtId="0" fontId="73" fillId="0" borderId="30" applyNumberFormat="0" applyFill="0" applyAlignment="0" applyProtection="0"/>
    <xf numFmtId="0" fontId="73" fillId="0" borderId="0" applyNumberFormat="0" applyFill="0" applyBorder="0" applyAlignment="0" applyProtection="0"/>
    <xf numFmtId="0" fontId="74" fillId="20" borderId="0" applyNumberFormat="0" applyBorder="0" applyAlignment="0" applyProtection="0"/>
    <xf numFmtId="0" fontId="75" fillId="21" borderId="0" applyNumberFormat="0" applyBorder="0" applyAlignment="0" applyProtection="0"/>
    <xf numFmtId="0" fontId="76" fillId="22" borderId="0" applyNumberFormat="0" applyBorder="0" applyAlignment="0" applyProtection="0"/>
    <xf numFmtId="0" fontId="77" fillId="23" borderId="31" applyNumberFormat="0" applyAlignment="0" applyProtection="0"/>
    <xf numFmtId="0" fontId="78" fillId="24" borderId="32" applyNumberFormat="0" applyAlignment="0" applyProtection="0"/>
    <xf numFmtId="0" fontId="79" fillId="24" borderId="31" applyNumberFormat="0" applyAlignment="0" applyProtection="0"/>
    <xf numFmtId="0" fontId="80" fillId="0" borderId="33" applyNumberFormat="0" applyFill="0" applyAlignment="0" applyProtection="0"/>
    <xf numFmtId="0" fontId="81" fillId="25" borderId="34" applyNumberFormat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6" applyNumberFormat="0" applyFill="0" applyAlignment="0" applyProtection="0"/>
    <xf numFmtId="0" fontId="85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85" fillId="38" borderId="0" applyNumberFormat="0" applyBorder="0" applyAlignment="0" applyProtection="0"/>
    <xf numFmtId="0" fontId="85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85" fillId="42" borderId="0" applyNumberFormat="0" applyBorder="0" applyAlignment="0" applyProtection="0"/>
    <xf numFmtId="0" fontId="85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85" fillId="46" borderId="0" applyNumberFormat="0" applyBorder="0" applyAlignment="0" applyProtection="0"/>
    <xf numFmtId="0" fontId="85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85" fillId="50" borderId="0" applyNumberFormat="0" applyBorder="0" applyAlignment="0" applyProtection="0"/>
    <xf numFmtId="175" fontId="57" fillId="0" borderId="37" applyNumberFormat="0" applyFill="0">
      <alignment horizontal="right"/>
    </xf>
    <xf numFmtId="176" fontId="58" fillId="0" borderId="37">
      <alignment horizontal="right" vertical="center"/>
    </xf>
    <xf numFmtId="49" fontId="59" fillId="0" borderId="37">
      <alignment horizontal="left" vertical="center"/>
    </xf>
    <xf numFmtId="0" fontId="60" fillId="0" borderId="37">
      <alignment horizontal="left"/>
    </xf>
    <xf numFmtId="0" fontId="62" fillId="0" borderId="37">
      <alignment horizontal="left" vertical="center"/>
    </xf>
    <xf numFmtId="0" fontId="57" fillId="0" borderId="37">
      <alignment horizontal="left" vertical="center"/>
    </xf>
    <xf numFmtId="49" fontId="60" fillId="18" borderId="26">
      <alignment horizontal="left" vertical="center"/>
    </xf>
    <xf numFmtId="49" fontId="59" fillId="0" borderId="37">
      <alignment horizontal="left"/>
    </xf>
    <xf numFmtId="49" fontId="58" fillId="0" borderId="37">
      <alignment horizontal="left"/>
    </xf>
    <xf numFmtId="0" fontId="65" fillId="0" borderId="37">
      <alignment horizontal="left"/>
    </xf>
    <xf numFmtId="175" fontId="66" fillId="0" borderId="37" applyNumberFormat="0" applyFill="0">
      <alignment horizontal="right"/>
    </xf>
    <xf numFmtId="0" fontId="7" fillId="0" borderId="0"/>
    <xf numFmtId="0" fontId="7" fillId="0" borderId="0"/>
    <xf numFmtId="174" fontId="7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86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174" fontId="7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8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26" borderId="35" applyNumberFormat="0" applyFont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15" borderId="0" applyNumberFormat="0" applyBorder="0" applyAlignment="0" applyProtection="0"/>
    <xf numFmtId="0" fontId="86" fillId="56" borderId="0" applyNumberFormat="0" applyBorder="0" applyAlignment="0" applyProtection="0"/>
    <xf numFmtId="0" fontId="86" fillId="57" borderId="0" applyNumberFormat="0" applyBorder="0" applyAlignment="0" applyProtection="0"/>
    <xf numFmtId="0" fontId="86" fillId="58" borderId="0" applyNumberFormat="0" applyBorder="0" applyAlignment="0" applyProtection="0"/>
    <xf numFmtId="0" fontId="86" fillId="54" borderId="0" applyNumberFormat="0" applyBorder="0" applyAlignment="0" applyProtection="0"/>
    <xf numFmtId="0" fontId="86" fillId="56" borderId="0" applyNumberFormat="0" applyBorder="0" applyAlignment="0" applyProtection="0"/>
    <xf numFmtId="0" fontId="86" fillId="59" borderId="0" applyNumberFormat="0" applyBorder="0" applyAlignment="0" applyProtection="0"/>
    <xf numFmtId="0" fontId="88" fillId="60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6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7" borderId="0" applyNumberFormat="0" applyBorder="0" applyAlignment="0" applyProtection="0"/>
    <xf numFmtId="0" fontId="89" fillId="52" borderId="0" applyNumberFormat="0" applyBorder="0" applyAlignment="0" applyProtection="0"/>
    <xf numFmtId="0" fontId="90" fillId="68" borderId="38" applyNumberFormat="0" applyAlignment="0" applyProtection="0"/>
    <xf numFmtId="0" fontId="91" fillId="69" borderId="39" applyNumberFormat="0" applyAlignment="0" applyProtection="0"/>
    <xf numFmtId="177" fontId="13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3" fillId="53" borderId="0" applyNumberFormat="0" applyBorder="0" applyAlignment="0" applyProtection="0"/>
    <xf numFmtId="0" fontId="94" fillId="0" borderId="40" applyNumberFormat="0" applyFill="0" applyAlignment="0" applyProtection="0"/>
    <xf numFmtId="0" fontId="95" fillId="0" borderId="41" applyNumberFormat="0" applyFill="0" applyAlignment="0" applyProtection="0"/>
    <xf numFmtId="0" fontId="96" fillId="0" borderId="42" applyNumberFormat="0" applyFill="0" applyAlignment="0" applyProtection="0"/>
    <xf numFmtId="0" fontId="96" fillId="0" borderId="0" applyNumberFormat="0" applyFill="0" applyBorder="0" applyAlignment="0" applyProtection="0"/>
    <xf numFmtId="0" fontId="97" fillId="15" borderId="38" applyNumberFormat="0" applyAlignment="0" applyProtection="0"/>
    <xf numFmtId="0" fontId="98" fillId="0" borderId="43" applyNumberFormat="0" applyFill="0" applyAlignment="0" applyProtection="0"/>
    <xf numFmtId="0" fontId="99" fillId="7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71" borderId="44" applyNumberFormat="0" applyFont="0" applyAlignment="0" applyProtection="0"/>
    <xf numFmtId="0" fontId="100" fillId="68" borderId="45" applyNumberFormat="0" applyAlignment="0" applyProtection="0"/>
    <xf numFmtId="9" fontId="13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46" applyNumberFormat="0" applyFill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7" fillId="0" borderId="0"/>
    <xf numFmtId="174" fontId="7" fillId="0" borderId="0" applyFont="0" applyFill="0" applyBorder="0" applyAlignment="0" applyProtection="0"/>
    <xf numFmtId="178" fontId="106" fillId="0" borderId="0"/>
    <xf numFmtId="9" fontId="106" fillId="0" borderId="0" applyFont="0" applyFill="0" applyBorder="0" applyAlignment="0" applyProtection="0"/>
    <xf numFmtId="0" fontId="107" fillId="0" borderId="0" applyBorder="0" applyProtection="0">
      <alignment horizontal="left"/>
    </xf>
    <xf numFmtId="0" fontId="108" fillId="0" borderId="0" applyFill="0" applyBorder="0" applyAlignment="0" applyProtection="0"/>
    <xf numFmtId="0" fontId="109" fillId="0" borderId="0" applyFill="0" applyBorder="0" applyAlignment="0" applyProtection="0"/>
    <xf numFmtId="0" fontId="111" fillId="0" borderId="0" applyBorder="0" applyProtection="0"/>
    <xf numFmtId="0" fontId="111" fillId="0" borderId="0" applyBorder="0" applyProtection="0"/>
    <xf numFmtId="0" fontId="110" fillId="0" borderId="0" applyBorder="0" applyProtection="0"/>
    <xf numFmtId="0" fontId="110" fillId="0" borderId="0" applyBorder="0" applyProtection="0"/>
    <xf numFmtId="0" fontId="112" fillId="0" borderId="0" applyBorder="0" applyProtection="0"/>
    <xf numFmtId="0" fontId="114" fillId="0" borderId="0"/>
    <xf numFmtId="0" fontId="115" fillId="0" borderId="0" applyBorder="0" applyProtection="0"/>
    <xf numFmtId="180" fontId="114" fillId="0" borderId="0" applyBorder="0" applyProtection="0"/>
    <xf numFmtId="0" fontId="13" fillId="0" borderId="0"/>
    <xf numFmtId="2" fontId="117" fillId="0" borderId="0" applyFill="0" applyBorder="0" applyAlignment="0" applyProtection="0"/>
    <xf numFmtId="0" fontId="116" fillId="0" borderId="0"/>
    <xf numFmtId="0" fontId="13" fillId="0" borderId="0"/>
    <xf numFmtId="179" fontId="114" fillId="0" borderId="0" applyFont="0" applyFill="0" applyBorder="0" applyAlignment="0" applyProtection="0"/>
    <xf numFmtId="0" fontId="13" fillId="0" borderId="0"/>
    <xf numFmtId="0" fontId="113" fillId="0" borderId="0"/>
    <xf numFmtId="0" fontId="13" fillId="0" borderId="0"/>
    <xf numFmtId="0" fontId="13" fillId="0" borderId="0"/>
    <xf numFmtId="0" fontId="118" fillId="0" borderId="0"/>
    <xf numFmtId="0" fontId="6" fillId="0" borderId="0"/>
    <xf numFmtId="0" fontId="6" fillId="0" borderId="0"/>
    <xf numFmtId="0" fontId="13" fillId="0" borderId="0"/>
    <xf numFmtId="0" fontId="13" fillId="0" borderId="0">
      <alignment wrapText="1"/>
    </xf>
    <xf numFmtId="0" fontId="13" fillId="0" borderId="0"/>
    <xf numFmtId="0" fontId="13" fillId="0" borderId="0"/>
    <xf numFmtId="0" fontId="5" fillId="0" borderId="0"/>
    <xf numFmtId="9" fontId="5" fillId="0" borderId="0" applyFont="0" applyFill="0" applyBorder="0" applyAlignment="0" applyProtection="0"/>
    <xf numFmtId="0" fontId="119" fillId="72" borderId="0" applyProtection="0">
      <alignment vertical="center"/>
    </xf>
    <xf numFmtId="0" fontId="120" fillId="73" borderId="0" applyProtection="0">
      <alignment vertical="center"/>
    </xf>
    <xf numFmtId="181" fontId="121" fillId="0" borderId="0">
      <alignment vertical="center"/>
    </xf>
    <xf numFmtId="182" fontId="121" fillId="0" borderId="0">
      <alignment horizontal="right" vertical="center"/>
    </xf>
    <xf numFmtId="0" fontId="13" fillId="0" borderId="0">
      <alignment vertical="top" wrapText="1"/>
    </xf>
    <xf numFmtId="0" fontId="122" fillId="0" borderId="0" applyNumberFormat="0" applyFill="0" applyBorder="0" applyAlignment="0" applyProtection="0"/>
    <xf numFmtId="0" fontId="4" fillId="26" borderId="35" applyNumberFormat="0" applyFont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/>
    <xf numFmtId="4" fontId="125" fillId="0" borderId="51"/>
    <xf numFmtId="0" fontId="126" fillId="0" borderId="0">
      <alignment vertical="top" wrapText="1"/>
    </xf>
    <xf numFmtId="49" fontId="13" fillId="0" borderId="0">
      <alignment vertical="top" wrapText="1"/>
    </xf>
    <xf numFmtId="0" fontId="24" fillId="75" borderId="20">
      <alignment horizontal="center" vertical="top" wrapText="1"/>
    </xf>
    <xf numFmtId="3" fontId="125" fillId="0" borderId="50">
      <alignment horizontal="right" vertical="top"/>
    </xf>
    <xf numFmtId="164" fontId="125" fillId="0" borderId="51"/>
    <xf numFmtId="18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1" fillId="0" borderId="0"/>
    <xf numFmtId="0" fontId="1" fillId="0" borderId="0"/>
  </cellStyleXfs>
  <cellXfs count="431">
    <xf numFmtId="0" fontId="0" fillId="0" borderId="0" xfId="0"/>
    <xf numFmtId="0" fontId="21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5" fillId="0" borderId="0" xfId="0" applyFont="1"/>
    <xf numFmtId="0" fontId="29" fillId="0" borderId="0" xfId="0" applyFont="1" applyAlignment="1">
      <alignment horizontal="left" vertical="center"/>
    </xf>
    <xf numFmtId="0" fontId="30" fillId="0" borderId="0" xfId="0" applyFont="1"/>
    <xf numFmtId="0" fontId="0" fillId="0" borderId="0" xfId="0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9" fillId="0" borderId="0" xfId="0" quotePrefix="1" applyFont="1" applyAlignment="1">
      <alignment horizontal="right" vertical="top"/>
    </xf>
    <xf numFmtId="0" fontId="0" fillId="0" borderId="0" xfId="0" applyAlignment="1">
      <alignment vertical="top"/>
    </xf>
    <xf numFmtId="0" fontId="3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7" fillId="0" borderId="0" xfId="0" applyFont="1"/>
    <xf numFmtId="0" fontId="20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17" fontId="15" fillId="0" borderId="0" xfId="0" quotePrefix="1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/>
    </xf>
    <xf numFmtId="167" fontId="14" fillId="0" borderId="0" xfId="0" quotePrefix="1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/>
    </xf>
    <xf numFmtId="0" fontId="37" fillId="0" borderId="0" xfId="0" applyFont="1"/>
    <xf numFmtId="0" fontId="23" fillId="0" borderId="0" xfId="0" applyFont="1" applyAlignment="1">
      <alignment vertical="center"/>
    </xf>
    <xf numFmtId="0" fontId="23" fillId="0" borderId="0" xfId="0" applyFont="1"/>
    <xf numFmtId="0" fontId="38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textRotation="90"/>
    </xf>
    <xf numFmtId="0" fontId="38" fillId="4" borderId="2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20" fillId="0" borderId="0" xfId="0" applyFont="1"/>
    <xf numFmtId="0" fontId="18" fillId="0" borderId="0" xfId="0" applyFont="1"/>
    <xf numFmtId="0" fontId="39" fillId="0" borderId="0" xfId="0" applyFont="1"/>
    <xf numFmtId="0" fontId="40" fillId="0" borderId="0" xfId="0" applyFont="1"/>
    <xf numFmtId="0" fontId="17" fillId="4" borderId="2" xfId="0" applyFont="1" applyFill="1" applyBorder="1" applyAlignment="1">
      <alignment horizontal="center" vertical="center"/>
    </xf>
    <xf numFmtId="169" fontId="18" fillId="0" borderId="6" xfId="0" applyNumberFormat="1" applyFont="1" applyBorder="1" applyAlignment="1">
      <alignment horizontal="center" vertical="center"/>
    </xf>
    <xf numFmtId="169" fontId="18" fillId="0" borderId="0" xfId="0" applyNumberFormat="1" applyFont="1" applyAlignment="1">
      <alignment horizontal="center" vertical="center"/>
    </xf>
    <xf numFmtId="169" fontId="18" fillId="0" borderId="4" xfId="0" applyNumberFormat="1" applyFont="1" applyBorder="1" applyAlignment="1">
      <alignment horizontal="center" vertical="center"/>
    </xf>
    <xf numFmtId="0" fontId="20" fillId="0" borderId="0" xfId="0" applyFont="1" applyAlignment="1" applyProtection="1">
      <alignment horizontal="left" vertical="center"/>
      <protection locked="0"/>
    </xf>
    <xf numFmtId="0" fontId="20" fillId="4" borderId="1" xfId="0" applyFont="1" applyFill="1" applyBorder="1" applyAlignment="1">
      <alignment horizontal="center" vertical="center"/>
    </xf>
    <xf numFmtId="165" fontId="0" fillId="0" borderId="0" xfId="0" applyNumberFormat="1"/>
    <xf numFmtId="165" fontId="31" fillId="0" borderId="0" xfId="0" applyNumberFormat="1" applyFont="1"/>
    <xf numFmtId="165" fontId="31" fillId="0" borderId="4" xfId="0" applyNumberFormat="1" applyFont="1" applyBorder="1"/>
    <xf numFmtId="165" fontId="20" fillId="0" borderId="0" xfId="0" applyNumberFormat="1" applyFont="1" applyAlignment="1" applyProtection="1">
      <alignment horizontal="left" vertical="center"/>
      <protection locked="0"/>
    </xf>
    <xf numFmtId="169" fontId="18" fillId="0" borderId="15" xfId="0" applyNumberFormat="1" applyFont="1" applyBorder="1" applyAlignment="1">
      <alignment horizontal="center" vertical="center"/>
    </xf>
    <xf numFmtId="169" fontId="18" fillId="0" borderId="7" xfId="0" applyNumberFormat="1" applyFont="1" applyBorder="1" applyAlignment="1">
      <alignment horizontal="center" vertical="center"/>
    </xf>
    <xf numFmtId="169" fontId="18" fillId="0" borderId="9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165" fontId="16" fillId="0" borderId="0" xfId="0" applyNumberFormat="1" applyFont="1" applyAlignment="1">
      <alignment horizontal="right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 vertical="center"/>
    </xf>
    <xf numFmtId="165" fontId="16" fillId="0" borderId="0" xfId="0" applyNumberFormat="1" applyFont="1"/>
    <xf numFmtId="0" fontId="17" fillId="5" borderId="5" xfId="0" applyFont="1" applyFill="1" applyBorder="1" applyAlignment="1">
      <alignment horizontal="center" vertical="center"/>
    </xf>
    <xf numFmtId="0" fontId="16" fillId="0" borderId="0" xfId="31" applyFont="1"/>
    <xf numFmtId="165" fontId="16" fillId="0" borderId="0" xfId="31" applyNumberFormat="1" applyFont="1"/>
    <xf numFmtId="165" fontId="16" fillId="16" borderId="21" xfId="31" applyNumberFormat="1" applyFont="1" applyFill="1" applyBorder="1" applyAlignment="1">
      <alignment horizontal="right" vertical="center"/>
    </xf>
    <xf numFmtId="0" fontId="17" fillId="0" borderId="2" xfId="31" applyFont="1" applyBorder="1" applyAlignment="1">
      <alignment horizontal="center" vertical="center"/>
    </xf>
    <xf numFmtId="165" fontId="16" fillId="0" borderId="2" xfId="31" applyNumberFormat="1" applyFont="1" applyBorder="1" applyAlignment="1">
      <alignment horizontal="right" vertical="center"/>
    </xf>
    <xf numFmtId="165" fontId="16" fillId="0" borderId="0" xfId="31" applyNumberFormat="1" applyFont="1" applyAlignment="1">
      <alignment horizontal="right" vertical="center"/>
    </xf>
    <xf numFmtId="2" fontId="16" fillId="0" borderId="2" xfId="31" applyNumberFormat="1" applyFont="1" applyBorder="1" applyAlignment="1">
      <alignment horizontal="right" vertical="center"/>
    </xf>
    <xf numFmtId="0" fontId="17" fillId="16" borderId="2" xfId="31" applyFont="1" applyFill="1" applyBorder="1" applyAlignment="1">
      <alignment horizontal="center" vertical="center"/>
    </xf>
    <xf numFmtId="165" fontId="16" fillId="16" borderId="0" xfId="31" applyNumberFormat="1" applyFont="1" applyFill="1" applyAlignment="1">
      <alignment horizontal="right" vertical="center"/>
    </xf>
    <xf numFmtId="165" fontId="31" fillId="16" borderId="0" xfId="31" applyNumberFormat="1" applyFont="1" applyFill="1" applyAlignment="1">
      <alignment horizontal="right" vertical="center"/>
    </xf>
    <xf numFmtId="2" fontId="16" fillId="16" borderId="2" xfId="31" applyNumberFormat="1" applyFont="1" applyFill="1" applyBorder="1" applyAlignment="1">
      <alignment horizontal="right" vertical="center"/>
    </xf>
    <xf numFmtId="165" fontId="31" fillId="0" borderId="0" xfId="31" applyNumberFormat="1" applyFont="1" applyAlignment="1">
      <alignment horizontal="right" vertical="center"/>
    </xf>
    <xf numFmtId="165" fontId="16" fillId="16" borderId="2" xfId="31" applyNumberFormat="1" applyFont="1" applyFill="1" applyBorder="1" applyAlignment="1">
      <alignment horizontal="right" vertical="center"/>
    </xf>
    <xf numFmtId="165" fontId="16" fillId="16" borderId="16" xfId="31" applyNumberFormat="1" applyFont="1" applyFill="1" applyBorder="1" applyAlignment="1">
      <alignment horizontal="right" vertical="center"/>
    </xf>
    <xf numFmtId="165" fontId="16" fillId="0" borderId="17" xfId="31" applyNumberFormat="1" applyFont="1" applyBorder="1" applyAlignment="1">
      <alignment horizontal="right" vertical="center"/>
    </xf>
    <xf numFmtId="165" fontId="16" fillId="16" borderId="0" xfId="31" applyNumberFormat="1" applyFont="1" applyFill="1"/>
    <xf numFmtId="2" fontId="31" fillId="16" borderId="2" xfId="31" applyNumberFormat="1" applyFont="1" applyFill="1" applyBorder="1" applyAlignment="1">
      <alignment horizontal="right" vertical="center"/>
    </xf>
    <xf numFmtId="165" fontId="16" fillId="0" borderId="12" xfId="31" applyNumberFormat="1" applyFont="1" applyBorder="1" applyAlignment="1">
      <alignment horizontal="right" vertical="center"/>
    </xf>
    <xf numFmtId="165" fontId="16" fillId="16" borderId="17" xfId="31" applyNumberFormat="1" applyFont="1" applyFill="1" applyBorder="1" applyAlignment="1">
      <alignment horizontal="right" vertical="center"/>
    </xf>
    <xf numFmtId="165" fontId="16" fillId="16" borderId="12" xfId="31" applyNumberFormat="1" applyFont="1" applyFill="1" applyBorder="1" applyAlignment="1">
      <alignment horizontal="right" vertical="center"/>
    </xf>
    <xf numFmtId="165" fontId="16" fillId="16" borderId="6" xfId="31" applyNumberFormat="1" applyFont="1" applyFill="1" applyBorder="1" applyAlignment="1">
      <alignment horizontal="right" vertical="center"/>
    </xf>
    <xf numFmtId="0" fontId="17" fillId="4" borderId="2" xfId="31" applyFont="1" applyFill="1" applyBorder="1" applyAlignment="1">
      <alignment horizontal="center" vertical="center"/>
    </xf>
    <xf numFmtId="165" fontId="16" fillId="4" borderId="2" xfId="31" applyNumberFormat="1" applyFont="1" applyFill="1" applyBorder="1" applyAlignment="1">
      <alignment horizontal="right" vertical="center"/>
    </xf>
    <xf numFmtId="165" fontId="16" fillId="4" borderId="0" xfId="31" applyNumberFormat="1" applyFont="1" applyFill="1" applyAlignment="1">
      <alignment horizontal="right" vertical="center"/>
    </xf>
    <xf numFmtId="2" fontId="16" fillId="4" borderId="2" xfId="31" applyNumberFormat="1" applyFont="1" applyFill="1" applyBorder="1" applyAlignment="1">
      <alignment horizontal="right" vertical="center"/>
    </xf>
    <xf numFmtId="165" fontId="31" fillId="4" borderId="0" xfId="31" applyNumberFormat="1" applyFont="1" applyFill="1" applyAlignment="1">
      <alignment horizontal="right" vertical="center"/>
    </xf>
    <xf numFmtId="2" fontId="31" fillId="4" borderId="2" xfId="31" applyNumberFormat="1" applyFont="1" applyFill="1" applyBorder="1" applyAlignment="1">
      <alignment horizontal="right" vertical="center"/>
    </xf>
    <xf numFmtId="2" fontId="31" fillId="0" borderId="2" xfId="31" applyNumberFormat="1" applyFont="1" applyBorder="1"/>
    <xf numFmtId="165" fontId="16" fillId="6" borderId="2" xfId="31" applyNumberFormat="1" applyFont="1" applyFill="1" applyBorder="1" applyAlignment="1">
      <alignment horizontal="right" vertical="center"/>
    </xf>
    <xf numFmtId="165" fontId="16" fillId="6" borderId="0" xfId="31" applyNumberFormat="1" applyFont="1" applyFill="1" applyAlignment="1">
      <alignment horizontal="right" vertical="center"/>
    </xf>
    <xf numFmtId="165" fontId="16" fillId="6" borderId="17" xfId="31" applyNumberFormat="1" applyFont="1" applyFill="1" applyBorder="1" applyAlignment="1">
      <alignment horizontal="right" vertical="center"/>
    </xf>
    <xf numFmtId="1" fontId="17" fillId="5" borderId="0" xfId="31" applyNumberFormat="1" applyFont="1" applyFill="1" applyAlignment="1">
      <alignment horizontal="center" vertical="center"/>
    </xf>
    <xf numFmtId="1" fontId="17" fillId="5" borderId="8" xfId="31" applyNumberFormat="1" applyFont="1" applyFill="1" applyBorder="1" applyAlignment="1">
      <alignment horizontal="center" vertical="center"/>
    </xf>
    <xf numFmtId="1" fontId="17" fillId="5" borderId="3" xfId="31" applyNumberFormat="1" applyFont="1" applyFill="1" applyBorder="1" applyAlignment="1">
      <alignment horizontal="center" vertical="center"/>
    </xf>
    <xf numFmtId="0" fontId="13" fillId="0" borderId="11" xfId="31" applyBorder="1"/>
    <xf numFmtId="1" fontId="17" fillId="5" borderId="7" xfId="31" applyNumberFormat="1" applyFont="1" applyFill="1" applyBorder="1" applyAlignment="1">
      <alignment horizontal="center"/>
    </xf>
    <xf numFmtId="1" fontId="17" fillId="5" borderId="1" xfId="31" applyNumberFormat="1" applyFont="1" applyFill="1" applyBorder="1" applyAlignment="1">
      <alignment horizontal="center"/>
    </xf>
    <xf numFmtId="0" fontId="13" fillId="0" borderId="4" xfId="31" applyBorder="1"/>
    <xf numFmtId="165" fontId="16" fillId="16" borderId="0" xfId="31" quotePrefix="1" applyNumberFormat="1" applyFont="1" applyFill="1" applyAlignment="1">
      <alignment horizontal="right" vertical="center"/>
    </xf>
    <xf numFmtId="165" fontId="31" fillId="16" borderId="17" xfId="31" applyNumberFormat="1" applyFont="1" applyFill="1" applyBorder="1" applyAlignment="1">
      <alignment horizontal="right" vertical="center"/>
    </xf>
    <xf numFmtId="165" fontId="31" fillId="0" borderId="17" xfId="31" applyNumberFormat="1" applyFont="1" applyBorder="1" applyAlignment="1">
      <alignment horizontal="right" vertical="center"/>
    </xf>
    <xf numFmtId="2" fontId="16" fillId="6" borderId="12" xfId="31" applyNumberFormat="1" applyFont="1" applyFill="1" applyBorder="1" applyAlignment="1">
      <alignment horizontal="right" vertical="center"/>
    </xf>
    <xf numFmtId="2" fontId="16" fillId="6" borderId="2" xfId="31" applyNumberFormat="1" applyFont="1" applyFill="1" applyBorder="1" applyAlignment="1">
      <alignment horizontal="right" vertical="center"/>
    </xf>
    <xf numFmtId="165" fontId="16" fillId="6" borderId="12" xfId="31" applyNumberFormat="1" applyFont="1" applyFill="1" applyBorder="1" applyAlignment="1">
      <alignment horizontal="right" vertical="center"/>
    </xf>
    <xf numFmtId="2" fontId="16" fillId="6" borderId="2" xfId="31" quotePrefix="1" applyNumberFormat="1" applyFont="1" applyFill="1" applyBorder="1" applyAlignment="1">
      <alignment horizontal="right" vertical="center"/>
    </xf>
    <xf numFmtId="1" fontId="17" fillId="0" borderId="0" xfId="31" applyNumberFormat="1" applyFont="1" applyAlignment="1">
      <alignment horizontal="center" vertical="center"/>
    </xf>
    <xf numFmtId="1" fontId="17" fillId="5" borderId="2" xfId="31" applyNumberFormat="1" applyFont="1" applyFill="1" applyBorder="1" applyAlignment="1">
      <alignment horizontal="center" vertical="center"/>
    </xf>
    <xf numFmtId="0" fontId="17" fillId="0" borderId="0" xfId="31" applyFont="1" applyAlignment="1">
      <alignment horizontal="center" vertical="top"/>
    </xf>
    <xf numFmtId="165" fontId="16" fillId="0" borderId="4" xfId="31" applyNumberFormat="1" applyFont="1" applyBorder="1" applyAlignment="1">
      <alignment horizontal="right" vertical="center"/>
    </xf>
    <xf numFmtId="165" fontId="16" fillId="16" borderId="1" xfId="31" applyNumberFormat="1" applyFont="1" applyFill="1" applyBorder="1" applyAlignment="1">
      <alignment horizontal="center" vertical="center"/>
    </xf>
    <xf numFmtId="165" fontId="16" fillId="16" borderId="7" xfId="31" applyNumberFormat="1" applyFont="1" applyFill="1" applyBorder="1" applyAlignment="1">
      <alignment horizontal="center" vertical="center"/>
    </xf>
    <xf numFmtId="165" fontId="16" fillId="16" borderId="0" xfId="31" applyNumberFormat="1" applyFont="1" applyFill="1" applyAlignment="1">
      <alignment horizontal="center" vertical="center"/>
    </xf>
    <xf numFmtId="165" fontId="16" fillId="0" borderId="2" xfId="31" applyNumberFormat="1" applyFont="1" applyBorder="1" applyAlignment="1">
      <alignment horizontal="center" vertical="center"/>
    </xf>
    <xf numFmtId="165" fontId="16" fillId="0" borderId="0" xfId="31" applyNumberFormat="1" applyFont="1" applyAlignment="1">
      <alignment horizontal="center" vertical="center"/>
    </xf>
    <xf numFmtId="165" fontId="16" fillId="16" borderId="2" xfId="31" applyNumberFormat="1" applyFont="1" applyFill="1" applyBorder="1" applyAlignment="1">
      <alignment horizontal="center" vertical="center"/>
    </xf>
    <xf numFmtId="165" fontId="31" fillId="16" borderId="12" xfId="31" applyNumberFormat="1" applyFont="1" applyFill="1" applyBorder="1" applyAlignment="1">
      <alignment horizontal="right" vertical="center"/>
    </xf>
    <xf numFmtId="165" fontId="16" fillId="0" borderId="6" xfId="31" applyNumberFormat="1" applyFont="1" applyBorder="1" applyAlignment="1">
      <alignment horizontal="right" vertical="center"/>
    </xf>
    <xf numFmtId="2" fontId="16" fillId="0" borderId="6" xfId="31" applyNumberFormat="1" applyFont="1" applyBorder="1" applyAlignment="1">
      <alignment horizontal="right" vertical="center"/>
    </xf>
    <xf numFmtId="165" fontId="16" fillId="4" borderId="17" xfId="31" applyNumberFormat="1" applyFont="1" applyFill="1" applyBorder="1" applyAlignment="1">
      <alignment horizontal="right" vertical="center"/>
    </xf>
    <xf numFmtId="2" fontId="16" fillId="4" borderId="6" xfId="31" applyNumberFormat="1" applyFont="1" applyFill="1" applyBorder="1" applyAlignment="1">
      <alignment horizontal="right" vertical="center"/>
    </xf>
    <xf numFmtId="165" fontId="31" fillId="6" borderId="0" xfId="31" applyNumberFormat="1" applyFont="1" applyFill="1" applyAlignment="1">
      <alignment horizontal="right" vertical="center"/>
    </xf>
    <xf numFmtId="2" fontId="31" fillId="6" borderId="2" xfId="31" applyNumberFormat="1" applyFont="1" applyFill="1" applyBorder="1" applyAlignment="1">
      <alignment horizontal="right" vertical="center"/>
    </xf>
    <xf numFmtId="165" fontId="16" fillId="4" borderId="12" xfId="31" applyNumberFormat="1" applyFont="1" applyFill="1" applyBorder="1" applyAlignment="1">
      <alignment horizontal="right" vertical="center"/>
    </xf>
    <xf numFmtId="165" fontId="16" fillId="17" borderId="0" xfId="31" applyNumberFormat="1" applyFont="1" applyFill="1" applyAlignment="1">
      <alignment horizontal="center" vertical="center"/>
    </xf>
    <xf numFmtId="165" fontId="16" fillId="17" borderId="7" xfId="31" applyNumberFormat="1" applyFont="1" applyFill="1" applyBorder="1" applyAlignment="1">
      <alignment horizontal="center" vertical="center"/>
    </xf>
    <xf numFmtId="165" fontId="16" fillId="17" borderId="0" xfId="31" applyNumberFormat="1" applyFont="1" applyFill="1" applyAlignment="1">
      <alignment horizontal="right" vertical="center"/>
    </xf>
    <xf numFmtId="165" fontId="31" fillId="17" borderId="0" xfId="31" applyNumberFormat="1" applyFont="1" applyFill="1" applyAlignment="1">
      <alignment horizontal="center" vertical="center"/>
    </xf>
    <xf numFmtId="1" fontId="17" fillId="17" borderId="8" xfId="31" applyNumberFormat="1" applyFont="1" applyFill="1" applyBorder="1" applyAlignment="1">
      <alignment horizontal="center" wrapText="1"/>
    </xf>
    <xf numFmtId="173" fontId="18" fillId="0" borderId="15" xfId="0" applyNumberFormat="1" applyFont="1" applyBorder="1" applyAlignment="1">
      <alignment horizontal="center" vertical="center"/>
    </xf>
    <xf numFmtId="173" fontId="18" fillId="0" borderId="7" xfId="0" applyNumberFormat="1" applyFont="1" applyBorder="1" applyAlignment="1">
      <alignment horizontal="center" vertical="center"/>
    </xf>
    <xf numFmtId="173" fontId="20" fillId="0" borderId="1" xfId="0" applyNumberFormat="1" applyFont="1" applyBorder="1" applyAlignment="1">
      <alignment horizontal="center" vertical="center"/>
    </xf>
    <xf numFmtId="173" fontId="18" fillId="0" borderId="6" xfId="0" applyNumberFormat="1" applyFont="1" applyBorder="1" applyAlignment="1">
      <alignment horizontal="center" vertical="center"/>
    </xf>
    <xf numFmtId="173" fontId="18" fillId="0" borderId="0" xfId="0" applyNumberFormat="1" applyFont="1" applyAlignment="1">
      <alignment horizontal="center" vertical="center"/>
    </xf>
    <xf numFmtId="173" fontId="20" fillId="0" borderId="2" xfId="0" applyNumberFormat="1" applyFont="1" applyBorder="1" applyAlignment="1">
      <alignment horizontal="center" vertical="center"/>
    </xf>
    <xf numFmtId="173" fontId="18" fillId="0" borderId="19" xfId="0" applyNumberFormat="1" applyFont="1" applyBorder="1" applyAlignment="1">
      <alignment horizontal="center" vertical="center"/>
    </xf>
    <xf numFmtId="173" fontId="18" fillId="0" borderId="18" xfId="0" applyNumberFormat="1" applyFont="1" applyBorder="1" applyAlignment="1">
      <alignment horizontal="center" vertical="center"/>
    </xf>
    <xf numFmtId="1" fontId="17" fillId="5" borderId="27" xfId="31" applyNumberFormat="1" applyFont="1" applyFill="1" applyBorder="1" applyAlignment="1">
      <alignment horizontal="center"/>
    </xf>
    <xf numFmtId="165" fontId="16" fillId="16" borderId="27" xfId="31" applyNumberFormat="1" applyFont="1" applyFill="1" applyBorder="1" applyAlignment="1">
      <alignment horizontal="center" vertical="center"/>
    </xf>
    <xf numFmtId="165" fontId="31" fillId="16" borderId="4" xfId="31" applyNumberFormat="1" applyFont="1" applyFill="1" applyBorder="1" applyAlignment="1">
      <alignment horizontal="right" vertical="center"/>
    </xf>
    <xf numFmtId="1" fontId="17" fillId="17" borderId="0" xfId="31" applyNumberFormat="1" applyFont="1" applyFill="1" applyAlignment="1">
      <alignment horizontal="center" wrapText="1"/>
    </xf>
    <xf numFmtId="165" fontId="16" fillId="17" borderId="17" xfId="31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165" fontId="31" fillId="0" borderId="27" xfId="31" applyNumberFormat="1" applyFont="1" applyBorder="1" applyAlignment="1">
      <alignment horizontal="right" vertical="center"/>
    </xf>
    <xf numFmtId="0" fontId="105" fillId="0" borderId="0" xfId="0" applyFont="1"/>
    <xf numFmtId="165" fontId="31" fillId="0" borderId="4" xfId="31" applyNumberFormat="1" applyFont="1" applyBorder="1" applyAlignment="1">
      <alignment horizontal="right" vertical="center"/>
    </xf>
    <xf numFmtId="165" fontId="16" fillId="4" borderId="4" xfId="31" applyNumberFormat="1" applyFont="1" applyFill="1" applyBorder="1" applyAlignment="1">
      <alignment horizontal="right" vertical="center"/>
    </xf>
    <xf numFmtId="165" fontId="16" fillId="6" borderId="4" xfId="31" applyNumberFormat="1" applyFont="1" applyFill="1" applyBorder="1" applyAlignment="1">
      <alignment horizontal="right" vertical="center"/>
    </xf>
    <xf numFmtId="165" fontId="31" fillId="4" borderId="4" xfId="31" applyNumberFormat="1" applyFont="1" applyFill="1" applyBorder="1" applyAlignment="1">
      <alignment horizontal="right" vertical="center"/>
    </xf>
    <xf numFmtId="165" fontId="16" fillId="16" borderId="4" xfId="31" applyNumberFormat="1" applyFont="1" applyFill="1" applyBorder="1" applyAlignment="1">
      <alignment horizontal="right" vertical="center"/>
    </xf>
    <xf numFmtId="0" fontId="17" fillId="4" borderId="47" xfId="0" applyFont="1" applyFill="1" applyBorder="1" applyAlignment="1">
      <alignment horizontal="center" vertical="center"/>
    </xf>
    <xf numFmtId="165" fontId="31" fillId="0" borderId="48" xfId="0" applyNumberFormat="1" applyFont="1" applyBorder="1"/>
    <xf numFmtId="0" fontId="17" fillId="4" borderId="5" xfId="31" applyFont="1" applyFill="1" applyBorder="1" applyAlignment="1">
      <alignment horizontal="center" vertical="center"/>
    </xf>
    <xf numFmtId="165" fontId="17" fillId="4" borderId="13" xfId="31" applyNumberFormat="1" applyFont="1" applyFill="1" applyBorder="1" applyAlignment="1">
      <alignment horizontal="right" vertical="center"/>
    </xf>
    <xf numFmtId="165" fontId="32" fillId="17" borderId="13" xfId="31" applyNumberFormat="1" applyFont="1" applyFill="1" applyBorder="1" applyAlignment="1">
      <alignment horizontal="center" vertical="center"/>
    </xf>
    <xf numFmtId="165" fontId="17" fillId="4" borderId="5" xfId="31" applyNumberFormat="1" applyFont="1" applyFill="1" applyBorder="1" applyAlignment="1">
      <alignment horizontal="right" vertical="center"/>
    </xf>
    <xf numFmtId="165" fontId="16" fillId="16" borderId="47" xfId="31" applyNumberFormat="1" applyFont="1" applyFill="1" applyBorder="1" applyAlignment="1">
      <alignment horizontal="right" vertical="center"/>
    </xf>
    <xf numFmtId="165" fontId="16" fillId="16" borderId="2" xfId="31" quotePrefix="1" applyNumberFormat="1" applyFont="1" applyFill="1" applyBorder="1" applyAlignment="1">
      <alignment horizontal="right" vertical="center"/>
    </xf>
    <xf numFmtId="165" fontId="16" fillId="0" borderId="17" xfId="31" applyNumberFormat="1" applyFont="1" applyBorder="1"/>
    <xf numFmtId="173" fontId="32" fillId="4" borderId="10" xfId="31" applyNumberFormat="1" applyFont="1" applyFill="1" applyBorder="1" applyAlignment="1">
      <alignment vertical="center"/>
    </xf>
    <xf numFmtId="0" fontId="17" fillId="0" borderId="0" xfId="0" applyFont="1" applyAlignment="1">
      <alignment horizontal="left"/>
    </xf>
    <xf numFmtId="173" fontId="17" fillId="0" borderId="2" xfId="0" applyNumberFormat="1" applyFont="1" applyBorder="1" applyAlignment="1">
      <alignment horizontal="center" vertical="center"/>
    </xf>
    <xf numFmtId="0" fontId="17" fillId="16" borderId="47" xfId="0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165" fontId="31" fillId="0" borderId="48" xfId="31" applyNumberFormat="1" applyFont="1" applyBorder="1" applyAlignment="1">
      <alignment horizontal="right" vertical="center"/>
    </xf>
    <xf numFmtId="0" fontId="17" fillId="16" borderId="47" xfId="31" applyFont="1" applyFill="1" applyBorder="1" applyAlignment="1">
      <alignment horizontal="center" vertical="center"/>
    </xf>
    <xf numFmtId="165" fontId="16" fillId="0" borderId="52" xfId="31" applyNumberFormat="1" applyFont="1" applyBorder="1" applyAlignment="1">
      <alignment horizontal="right" vertical="center"/>
    </xf>
    <xf numFmtId="165" fontId="16" fillId="17" borderId="52" xfId="31" applyNumberFormat="1" applyFont="1" applyFill="1" applyBorder="1" applyAlignment="1">
      <alignment horizontal="right" vertical="center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173" fontId="18" fillId="0" borderId="54" xfId="0" applyNumberFormat="1" applyFont="1" applyBorder="1" applyAlignment="1">
      <alignment horizontal="center" vertical="center"/>
    </xf>
    <xf numFmtId="173" fontId="18" fillId="0" borderId="53" xfId="0" applyNumberFormat="1" applyFont="1" applyBorder="1" applyAlignment="1">
      <alignment horizontal="center" vertical="center"/>
    </xf>
    <xf numFmtId="165" fontId="18" fillId="0" borderId="49" xfId="0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69" fontId="0" fillId="0" borderId="0" xfId="0" applyNumberFormat="1"/>
    <xf numFmtId="0" fontId="38" fillId="4" borderId="47" xfId="0" applyFont="1" applyFill="1" applyBorder="1" applyAlignment="1">
      <alignment horizontal="center" vertical="center"/>
    </xf>
    <xf numFmtId="165" fontId="35" fillId="0" borderId="0" xfId="0" applyNumberFormat="1" applyFont="1" applyAlignment="1">
      <alignment horizontal="center"/>
    </xf>
    <xf numFmtId="0" fontId="0" fillId="0" borderId="6" xfId="0" applyBorder="1"/>
    <xf numFmtId="165" fontId="16" fillId="17" borderId="55" xfId="31" applyNumberFormat="1" applyFont="1" applyFill="1" applyBorder="1" applyAlignment="1">
      <alignment horizontal="center" vertical="center"/>
    </xf>
    <xf numFmtId="165" fontId="16" fillId="0" borderId="48" xfId="31" applyNumberFormat="1" applyFont="1" applyBorder="1" applyAlignment="1">
      <alignment horizontal="right" vertical="center"/>
    </xf>
    <xf numFmtId="165" fontId="17" fillId="4" borderId="5" xfId="31" applyNumberFormat="1" applyFont="1" applyFill="1" applyBorder="1" applyAlignment="1">
      <alignment horizontal="center" vertical="center"/>
    </xf>
    <xf numFmtId="165" fontId="31" fillId="0" borderId="12" xfId="31" applyNumberFormat="1" applyFont="1" applyBorder="1" applyAlignment="1">
      <alignment horizontal="right" vertical="center"/>
    </xf>
    <xf numFmtId="0" fontId="17" fillId="16" borderId="5" xfId="31" applyFont="1" applyFill="1" applyBorder="1" applyAlignment="1">
      <alignment horizontal="center" vertical="center"/>
    </xf>
    <xf numFmtId="2" fontId="31" fillId="16" borderId="5" xfId="31" applyNumberFormat="1" applyFont="1" applyFill="1" applyBorder="1" applyAlignment="1">
      <alignment horizontal="right" vertical="center"/>
    </xf>
    <xf numFmtId="165" fontId="31" fillId="16" borderId="56" xfId="31" applyNumberFormat="1" applyFont="1" applyFill="1" applyBorder="1" applyAlignment="1">
      <alignment horizontal="right" vertical="center"/>
    </xf>
    <xf numFmtId="0" fontId="17" fillId="0" borderId="47" xfId="31" applyFont="1" applyBorder="1" applyAlignment="1">
      <alignment horizontal="center" vertical="center"/>
    </xf>
    <xf numFmtId="165" fontId="16" fillId="0" borderId="47" xfId="31" applyNumberFormat="1" applyFont="1" applyBorder="1" applyAlignment="1">
      <alignment horizontal="right" vertical="center"/>
    </xf>
    <xf numFmtId="165" fontId="16" fillId="17" borderId="52" xfId="31" applyNumberFormat="1" applyFont="1" applyFill="1" applyBorder="1" applyAlignment="1">
      <alignment horizontal="center" vertical="center"/>
    </xf>
    <xf numFmtId="165" fontId="16" fillId="0" borderId="55" xfId="31" applyNumberFormat="1" applyFont="1" applyBorder="1" applyAlignment="1">
      <alignment horizontal="right" vertical="center"/>
    </xf>
    <xf numFmtId="165" fontId="16" fillId="17" borderId="55" xfId="31" applyNumberFormat="1" applyFont="1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20" fillId="0" borderId="48" xfId="0" applyFont="1" applyBorder="1" applyAlignment="1">
      <alignment horizontal="center"/>
    </xf>
    <xf numFmtId="165" fontId="32" fillId="4" borderId="13" xfId="0" applyNumberFormat="1" applyFont="1" applyFill="1" applyBorder="1" applyAlignment="1">
      <alignment horizontal="right"/>
    </xf>
    <xf numFmtId="0" fontId="17" fillId="5" borderId="5" xfId="0" applyFont="1" applyFill="1" applyBorder="1" applyAlignment="1">
      <alignment horizontal="center" vertical="center" wrapText="1"/>
    </xf>
    <xf numFmtId="0" fontId="0" fillId="0" borderId="4" xfId="0" applyBorder="1"/>
    <xf numFmtId="166" fontId="32" fillId="0" borderId="0" xfId="0" applyNumberFormat="1" applyFont="1" applyAlignment="1">
      <alignment horizontal="right" vertical="center"/>
    </xf>
    <xf numFmtId="0" fontId="35" fillId="0" borderId="6" xfId="0" applyFont="1" applyBorder="1" applyAlignment="1">
      <alignment horizontal="center"/>
    </xf>
    <xf numFmtId="1" fontId="17" fillId="5" borderId="4" xfId="31" applyNumberFormat="1" applyFont="1" applyFill="1" applyBorder="1" applyAlignment="1">
      <alignment vertical="center"/>
    </xf>
    <xf numFmtId="165" fontId="31" fillId="4" borderId="0" xfId="31" applyNumberFormat="1" applyFont="1" applyFill="1"/>
    <xf numFmtId="165" fontId="31" fillId="4" borderId="4" xfId="31" applyNumberFormat="1" applyFont="1" applyFill="1" applyBorder="1"/>
    <xf numFmtId="165" fontId="31" fillId="0" borderId="0" xfId="31" quotePrefix="1" applyNumberFormat="1" applyFont="1" applyAlignment="1">
      <alignment horizontal="right" vertical="center"/>
    </xf>
    <xf numFmtId="165" fontId="31" fillId="0" borderId="4" xfId="31" quotePrefix="1" applyNumberFormat="1" applyFont="1" applyBorder="1" applyAlignment="1">
      <alignment horizontal="right" vertical="center"/>
    </xf>
    <xf numFmtId="165" fontId="31" fillId="4" borderId="0" xfId="31" applyNumberFormat="1" applyFont="1" applyFill="1" applyAlignment="1">
      <alignment horizontal="right"/>
    </xf>
    <xf numFmtId="165" fontId="31" fillId="4" borderId="4" xfId="31" applyNumberFormat="1" applyFont="1" applyFill="1" applyBorder="1" applyAlignment="1">
      <alignment horizontal="right"/>
    </xf>
    <xf numFmtId="165" fontId="31" fillId="0" borderId="49" xfId="31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165" fontId="18" fillId="74" borderId="0" xfId="0" applyNumberFormat="1" applyFont="1" applyFill="1" applyAlignment="1">
      <alignment horizontal="right" vertical="center"/>
    </xf>
    <xf numFmtId="165" fontId="18" fillId="74" borderId="0" xfId="0" applyNumberFormat="1" applyFont="1" applyFill="1" applyAlignment="1">
      <alignment vertical="center"/>
    </xf>
    <xf numFmtId="0" fontId="24" fillId="74" borderId="0" xfId="0" applyFont="1" applyFill="1" applyAlignment="1">
      <alignment horizontal="center" vertical="center"/>
    </xf>
    <xf numFmtId="0" fontId="18" fillId="74" borderId="1" xfId="0" applyFont="1" applyFill="1" applyBorder="1" applyAlignment="1">
      <alignment horizontal="left" vertical="center" wrapText="1"/>
    </xf>
    <xf numFmtId="0" fontId="18" fillId="74" borderId="2" xfId="0" applyFont="1" applyFill="1" applyBorder="1" applyAlignment="1">
      <alignment horizontal="left" vertical="center" wrapText="1"/>
    </xf>
    <xf numFmtId="0" fontId="13" fillId="0" borderId="0" xfId="0" applyFont="1"/>
    <xf numFmtId="2" fontId="16" fillId="16" borderId="4" xfId="31" applyNumberFormat="1" applyFont="1" applyFill="1" applyBorder="1" applyAlignment="1">
      <alignment horizontal="right" vertical="center"/>
    </xf>
    <xf numFmtId="165" fontId="17" fillId="0" borderId="0" xfId="0" applyNumberFormat="1" applyFont="1" applyAlignment="1">
      <alignment horizontal="right" vertical="center"/>
    </xf>
    <xf numFmtId="165" fontId="32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16" fillId="0" borderId="7" xfId="31" applyNumberFormat="1" applyFont="1" applyBorder="1" applyAlignment="1">
      <alignment horizontal="right" vertical="center"/>
    </xf>
    <xf numFmtId="0" fontId="38" fillId="4" borderId="4" xfId="0" applyFont="1" applyFill="1" applyBorder="1" applyAlignment="1">
      <alignment horizontal="center" vertical="center"/>
    </xf>
    <xf numFmtId="0" fontId="0" fillId="0" borderId="58" xfId="0" applyBorder="1"/>
    <xf numFmtId="169" fontId="18" fillId="0" borderId="49" xfId="0" applyNumberFormat="1" applyFont="1" applyBorder="1" applyAlignment="1">
      <alignment horizontal="center" vertical="center"/>
    </xf>
    <xf numFmtId="169" fontId="18" fillId="0" borderId="48" xfId="0" applyNumberFormat="1" applyFont="1" applyBorder="1" applyAlignment="1">
      <alignment horizontal="center" vertical="center"/>
    </xf>
    <xf numFmtId="165" fontId="18" fillId="0" borderId="48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65" fontId="18" fillId="0" borderId="9" xfId="0" applyNumberFormat="1" applyFont="1" applyBorder="1" applyAlignment="1">
      <alignment horizontal="center" vertical="center"/>
    </xf>
    <xf numFmtId="165" fontId="18" fillId="0" borderId="59" xfId="0" applyNumberFormat="1" applyFont="1" applyBorder="1" applyAlignment="1">
      <alignment horizontal="center" vertical="center"/>
    </xf>
    <xf numFmtId="0" fontId="17" fillId="16" borderId="59" xfId="0" applyFont="1" applyFill="1" applyBorder="1" applyAlignment="1">
      <alignment horizontal="center" vertical="center"/>
    </xf>
    <xf numFmtId="165" fontId="31" fillId="0" borderId="0" xfId="31" applyNumberFormat="1" applyFont="1"/>
    <xf numFmtId="1" fontId="17" fillId="5" borderId="0" xfId="31" applyNumberFormat="1" applyFont="1" applyFill="1" applyAlignment="1">
      <alignment vertical="center"/>
    </xf>
    <xf numFmtId="165" fontId="16" fillId="0" borderId="58" xfId="31" applyNumberFormat="1" applyFont="1" applyBorder="1" applyAlignment="1">
      <alignment horizontal="right" vertical="center"/>
    </xf>
    <xf numFmtId="165" fontId="16" fillId="16" borderId="58" xfId="31" applyNumberFormat="1" applyFont="1" applyFill="1" applyBorder="1" applyAlignment="1">
      <alignment horizontal="right" vertical="center"/>
    </xf>
    <xf numFmtId="49" fontId="20" fillId="74" borderId="10" xfId="0" applyNumberFormat="1" applyFont="1" applyFill="1" applyBorder="1" applyAlignment="1">
      <alignment horizontal="center" vertical="center"/>
    </xf>
    <xf numFmtId="49" fontId="20" fillId="74" borderId="13" xfId="0" applyNumberFormat="1" applyFont="1" applyFill="1" applyBorder="1" applyAlignment="1">
      <alignment horizontal="center" vertical="center"/>
    </xf>
    <xf numFmtId="49" fontId="17" fillId="74" borderId="13" xfId="0" applyNumberFormat="1" applyFont="1" applyFill="1" applyBorder="1" applyAlignment="1">
      <alignment horizontal="center" vertical="center"/>
    </xf>
    <xf numFmtId="165" fontId="31" fillId="0" borderId="58" xfId="0" applyNumberFormat="1" applyFont="1" applyBorder="1"/>
    <xf numFmtId="165" fontId="16" fillId="0" borderId="60" xfId="0" applyNumberFormat="1" applyFont="1" applyBorder="1"/>
    <xf numFmtId="165" fontId="16" fillId="0" borderId="4" xfId="0" applyNumberFormat="1" applyFont="1" applyBorder="1"/>
    <xf numFmtId="0" fontId="20" fillId="74" borderId="10" xfId="0" applyFont="1" applyFill="1" applyBorder="1" applyAlignment="1">
      <alignment horizontal="center" vertical="center"/>
    </xf>
    <xf numFmtId="165" fontId="16" fillId="74" borderId="62" xfId="0" applyNumberFormat="1" applyFont="1" applyFill="1" applyBorder="1" applyAlignment="1">
      <alignment vertical="center"/>
    </xf>
    <xf numFmtId="165" fontId="31" fillId="0" borderId="49" xfId="0" applyNumberFormat="1" applyFont="1" applyBorder="1"/>
    <xf numFmtId="173" fontId="32" fillId="4" borderId="62" xfId="31" applyNumberFormat="1" applyFont="1" applyFill="1" applyBorder="1" applyAlignment="1">
      <alignment vertical="center"/>
    </xf>
    <xf numFmtId="165" fontId="16" fillId="17" borderId="61" xfId="31" applyNumberFormat="1" applyFont="1" applyFill="1" applyBorder="1" applyAlignment="1">
      <alignment horizontal="center" vertical="center"/>
    </xf>
    <xf numFmtId="165" fontId="16" fillId="17" borderId="58" xfId="31" applyNumberFormat="1" applyFont="1" applyFill="1" applyBorder="1" applyAlignment="1">
      <alignment horizontal="center" vertical="center"/>
    </xf>
    <xf numFmtId="165" fontId="16" fillId="17" borderId="58" xfId="31" applyNumberFormat="1" applyFont="1" applyFill="1" applyBorder="1" applyAlignment="1">
      <alignment horizontal="right" vertical="center"/>
    </xf>
    <xf numFmtId="173" fontId="32" fillId="4" borderId="62" xfId="31" applyNumberFormat="1" applyFont="1" applyFill="1" applyBorder="1" applyAlignment="1">
      <alignment horizontal="right"/>
    </xf>
    <xf numFmtId="165" fontId="16" fillId="16" borderId="62" xfId="31" applyNumberFormat="1" applyFont="1" applyFill="1" applyBorder="1" applyAlignment="1">
      <alignment horizontal="right" vertical="center"/>
    </xf>
    <xf numFmtId="165" fontId="32" fillId="4" borderId="62" xfId="31" applyNumberFormat="1" applyFont="1" applyFill="1" applyBorder="1" applyAlignment="1">
      <alignment horizontal="right"/>
    </xf>
    <xf numFmtId="165" fontId="17" fillId="4" borderId="62" xfId="31" applyNumberFormat="1" applyFont="1" applyFill="1" applyBorder="1" applyAlignment="1">
      <alignment horizontal="right" vertical="center"/>
    </xf>
    <xf numFmtId="165" fontId="32" fillId="17" borderId="62" xfId="31" applyNumberFormat="1" applyFont="1" applyFill="1" applyBorder="1" applyAlignment="1">
      <alignment horizontal="center" vertical="center"/>
    </xf>
    <xf numFmtId="165" fontId="16" fillId="17" borderId="27" xfId="31" applyNumberFormat="1" applyFont="1" applyFill="1" applyBorder="1" applyAlignment="1">
      <alignment horizontal="center" vertical="center"/>
    </xf>
    <xf numFmtId="1" fontId="17" fillId="5" borderId="60" xfId="31" applyNumberFormat="1" applyFont="1" applyFill="1" applyBorder="1"/>
    <xf numFmtId="165" fontId="32" fillId="4" borderId="62" xfId="31" applyNumberFormat="1" applyFont="1" applyFill="1" applyBorder="1" applyAlignment="1">
      <alignment horizontal="right" vertical="center"/>
    </xf>
    <xf numFmtId="165" fontId="16" fillId="16" borderId="60" xfId="31" applyNumberFormat="1" applyFont="1" applyFill="1" applyBorder="1" applyAlignment="1">
      <alignment horizontal="right" vertical="center"/>
    </xf>
    <xf numFmtId="1" fontId="17" fillId="5" borderId="59" xfId="31" applyNumberFormat="1" applyFont="1" applyFill="1" applyBorder="1" applyAlignment="1">
      <alignment horizontal="center"/>
    </xf>
    <xf numFmtId="1" fontId="17" fillId="5" borderId="61" xfId="31" applyNumberFormat="1" applyFont="1" applyFill="1" applyBorder="1" applyAlignment="1">
      <alignment horizontal="center"/>
    </xf>
    <xf numFmtId="1" fontId="17" fillId="5" borderId="47" xfId="31" applyNumberFormat="1" applyFont="1" applyFill="1" applyBorder="1" applyAlignment="1">
      <alignment horizontal="center" vertical="center"/>
    </xf>
    <xf numFmtId="1" fontId="17" fillId="5" borderId="58" xfId="31" applyNumberFormat="1" applyFont="1" applyFill="1" applyBorder="1" applyAlignment="1">
      <alignment horizontal="center" vertical="center"/>
    </xf>
    <xf numFmtId="165" fontId="31" fillId="0" borderId="58" xfId="31" applyNumberFormat="1" applyFont="1" applyBorder="1" applyAlignment="1">
      <alignment horizontal="right" vertical="center"/>
    </xf>
    <xf numFmtId="2" fontId="16" fillId="16" borderId="59" xfId="31" applyNumberFormat="1" applyFont="1" applyFill="1" applyBorder="1" applyAlignment="1">
      <alignment horizontal="right" vertical="center"/>
    </xf>
    <xf numFmtId="165" fontId="16" fillId="16" borderId="61" xfId="31" applyNumberFormat="1" applyFont="1" applyFill="1" applyBorder="1" applyAlignment="1">
      <alignment horizontal="right" vertical="center"/>
    </xf>
    <xf numFmtId="2" fontId="16" fillId="16" borderId="47" xfId="31" applyNumberFormat="1" applyFont="1" applyFill="1" applyBorder="1" applyAlignment="1">
      <alignment horizontal="right" vertical="center"/>
    </xf>
    <xf numFmtId="165" fontId="17" fillId="4" borderId="62" xfId="31" applyNumberFormat="1" applyFont="1" applyFill="1" applyBorder="1" applyAlignment="1">
      <alignment horizontal="right"/>
    </xf>
    <xf numFmtId="165" fontId="31" fillId="16" borderId="62" xfId="31" applyNumberFormat="1" applyFont="1" applyFill="1" applyBorder="1" applyAlignment="1">
      <alignment horizontal="right" vertical="center"/>
    </xf>
    <xf numFmtId="1" fontId="17" fillId="5" borderId="61" xfId="31" applyNumberFormat="1" applyFont="1" applyFill="1" applyBorder="1"/>
    <xf numFmtId="165" fontId="31" fillId="0" borderId="63" xfId="31" applyNumberFormat="1" applyFont="1" applyBorder="1" applyAlignment="1">
      <alignment horizontal="right" vertical="center"/>
    </xf>
    <xf numFmtId="165" fontId="130" fillId="16" borderId="4" xfId="31" applyNumberFormat="1" applyFont="1" applyFill="1" applyBorder="1" applyAlignment="1">
      <alignment horizontal="right" vertical="center"/>
    </xf>
    <xf numFmtId="49" fontId="17" fillId="74" borderId="62" xfId="0" applyNumberFormat="1" applyFont="1" applyFill="1" applyBorder="1" applyAlignment="1">
      <alignment horizontal="center" vertical="center"/>
    </xf>
    <xf numFmtId="165" fontId="31" fillId="0" borderId="6" xfId="0" applyNumberFormat="1" applyFont="1" applyBorder="1"/>
    <xf numFmtId="3" fontId="35" fillId="0" borderId="0" xfId="0" applyNumberFormat="1" applyFont="1" applyAlignment="1">
      <alignment horizontal="center"/>
    </xf>
    <xf numFmtId="0" fontId="16" fillId="0" borderId="0" xfId="31" applyFont="1" applyAlignment="1">
      <alignment horizontal="left"/>
    </xf>
    <xf numFmtId="0" fontId="13" fillId="0" borderId="48" xfId="31" applyBorder="1"/>
    <xf numFmtId="2" fontId="16" fillId="0" borderId="2" xfId="31" quotePrefix="1" applyNumberFormat="1" applyFont="1" applyBorder="1" applyAlignment="1">
      <alignment horizontal="right" vertical="center"/>
    </xf>
    <xf numFmtId="165" fontId="16" fillId="0" borderId="0" xfId="31" quotePrefix="1" applyNumberFormat="1" applyFont="1" applyAlignment="1">
      <alignment horizontal="right" vertical="center"/>
    </xf>
    <xf numFmtId="165" fontId="16" fillId="4" borderId="0" xfId="31" applyNumberFormat="1" applyFont="1" applyFill="1"/>
    <xf numFmtId="165" fontId="31" fillId="16" borderId="0" xfId="31" applyNumberFormat="1" applyFont="1" applyFill="1"/>
    <xf numFmtId="2" fontId="16" fillId="0" borderId="12" xfId="31" applyNumberFormat="1" applyFont="1" applyBorder="1" applyAlignment="1">
      <alignment horizontal="right" vertical="center"/>
    </xf>
    <xf numFmtId="2" fontId="31" fillId="0" borderId="2" xfId="31" applyNumberFormat="1" applyFont="1" applyBorder="1" applyAlignment="1">
      <alignment horizontal="right" vertical="center"/>
    </xf>
    <xf numFmtId="2" fontId="16" fillId="0" borderId="47" xfId="31" applyNumberFormat="1" applyFont="1" applyBorder="1" applyAlignment="1">
      <alignment horizontal="right" vertical="center"/>
    </xf>
    <xf numFmtId="2" fontId="16" fillId="0" borderId="16" xfId="31" applyNumberFormat="1" applyFont="1" applyBorder="1" applyAlignment="1">
      <alignment horizontal="right" vertical="center"/>
    </xf>
    <xf numFmtId="165" fontId="16" fillId="0" borderId="21" xfId="31" applyNumberFormat="1" applyFont="1" applyBorder="1" applyAlignment="1">
      <alignment horizontal="right" vertical="center"/>
    </xf>
    <xf numFmtId="165" fontId="16" fillId="16" borderId="27" xfId="31" applyNumberFormat="1" applyFont="1" applyFill="1" applyBorder="1" applyAlignment="1">
      <alignment horizontal="right" vertical="center"/>
    </xf>
    <xf numFmtId="165" fontId="16" fillId="6" borderId="0" xfId="31" quotePrefix="1" applyNumberFormat="1" applyFont="1" applyFill="1" applyAlignment="1">
      <alignment horizontal="right" vertical="center"/>
    </xf>
    <xf numFmtId="165" fontId="31" fillId="0" borderId="17" xfId="31" applyNumberFormat="1" applyFont="1" applyBorder="1"/>
    <xf numFmtId="165" fontId="16" fillId="0" borderId="16" xfId="31" applyNumberFormat="1" applyFont="1" applyBorder="1" applyAlignment="1">
      <alignment horizontal="right" vertical="center"/>
    </xf>
    <xf numFmtId="165" fontId="16" fillId="0" borderId="64" xfId="31" applyNumberFormat="1" applyFont="1" applyBorder="1" applyAlignment="1">
      <alignment horizontal="right" vertical="center"/>
    </xf>
    <xf numFmtId="165" fontId="16" fillId="0" borderId="61" xfId="31" applyNumberFormat="1" applyFont="1" applyBorder="1" applyAlignment="1">
      <alignment horizontal="right" vertical="center"/>
    </xf>
    <xf numFmtId="0" fontId="17" fillId="16" borderId="59" xfId="31" applyFont="1" applyFill="1" applyBorder="1" applyAlignment="1">
      <alignment horizontal="center" vertical="center"/>
    </xf>
    <xf numFmtId="0" fontId="131" fillId="0" borderId="0" xfId="31" applyFont="1"/>
    <xf numFmtId="0" fontId="128" fillId="0" borderId="2" xfId="31" applyFont="1" applyBorder="1" applyAlignment="1">
      <alignment horizontal="center" vertical="center"/>
    </xf>
    <xf numFmtId="2" fontId="129" fillId="0" borderId="2" xfId="31" applyNumberFormat="1" applyFont="1" applyBorder="1" applyAlignment="1">
      <alignment horizontal="right" vertical="center"/>
    </xf>
    <xf numFmtId="165" fontId="129" fillId="0" borderId="6" xfId="31" applyNumberFormat="1" applyFont="1" applyBorder="1" applyAlignment="1">
      <alignment horizontal="right" vertical="center"/>
    </xf>
    <xf numFmtId="165" fontId="129" fillId="0" borderId="0" xfId="31" applyNumberFormat="1" applyFont="1" applyAlignment="1">
      <alignment horizontal="right" vertical="center"/>
    </xf>
    <xf numFmtId="165" fontId="130" fillId="0" borderId="0" xfId="31" applyNumberFormat="1" applyFont="1" applyAlignment="1">
      <alignment horizontal="right" vertical="center"/>
    </xf>
    <xf numFmtId="165" fontId="129" fillId="74" borderId="0" xfId="31" applyNumberFormat="1" applyFont="1" applyFill="1" applyAlignment="1">
      <alignment horizontal="right" vertical="center"/>
    </xf>
    <xf numFmtId="0" fontId="17" fillId="0" borderId="5" xfId="31" applyFont="1" applyBorder="1" applyAlignment="1">
      <alignment horizontal="center" vertical="center"/>
    </xf>
    <xf numFmtId="0" fontId="17" fillId="0" borderId="48" xfId="0" applyFont="1" applyBorder="1" applyAlignment="1">
      <alignment horizontal="left" vertical="center"/>
    </xf>
    <xf numFmtId="1" fontId="17" fillId="4" borderId="2" xfId="0" applyNumberFormat="1" applyFont="1" applyFill="1" applyBorder="1" applyAlignment="1">
      <alignment horizontal="center" vertical="center"/>
    </xf>
    <xf numFmtId="2" fontId="16" fillId="0" borderId="15" xfId="0" quotePrefix="1" applyNumberFormat="1" applyFont="1" applyBorder="1" applyAlignment="1">
      <alignment horizontal="right" vertical="center"/>
    </xf>
    <xf numFmtId="2" fontId="16" fillId="0" borderId="61" xfId="0" quotePrefix="1" applyNumberFormat="1" applyFont="1" applyBorder="1" applyAlignment="1">
      <alignment horizontal="right" vertical="center"/>
    </xf>
    <xf numFmtId="2" fontId="16" fillId="0" borderId="61" xfId="0" applyNumberFormat="1" applyFont="1" applyBorder="1" applyAlignment="1">
      <alignment horizontal="right" vertical="center"/>
    </xf>
    <xf numFmtId="165" fontId="32" fillId="0" borderId="2" xfId="0" applyNumberFormat="1" applyFont="1" applyBorder="1" applyAlignment="1">
      <alignment horizontal="right" vertical="center"/>
    </xf>
    <xf numFmtId="2" fontId="16" fillId="0" borderId="6" xfId="0" quotePrefix="1" applyNumberFormat="1" applyFont="1" applyBorder="1" applyAlignment="1">
      <alignment horizontal="right" vertical="center"/>
    </xf>
    <xf numFmtId="2" fontId="16" fillId="0" borderId="0" xfId="0" quotePrefix="1" applyNumberFormat="1" applyFont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16" fillId="0" borderId="53" xfId="0" applyNumberFormat="1" applyFont="1" applyBorder="1" applyAlignment="1">
      <alignment horizontal="right" vertical="center"/>
    </xf>
    <xf numFmtId="2" fontId="16" fillId="0" borderId="6" xfId="0" applyNumberFormat="1" applyFont="1" applyBorder="1" applyAlignment="1">
      <alignment horizontal="right" vertical="center"/>
    </xf>
    <xf numFmtId="2" fontId="31" fillId="0" borderId="0" xfId="0" applyNumberFormat="1" applyFont="1" applyAlignment="1">
      <alignment horizontal="right" vertical="center"/>
    </xf>
    <xf numFmtId="2" fontId="16" fillId="0" borderId="18" xfId="0" applyNumberFormat="1" applyFont="1" applyBorder="1" applyAlignment="1">
      <alignment horizontal="right" vertical="center"/>
    </xf>
    <xf numFmtId="2" fontId="31" fillId="0" borderId="6" xfId="0" applyNumberFormat="1" applyFont="1" applyBorder="1" applyAlignment="1">
      <alignment horizontal="right" vertical="center"/>
    </xf>
    <xf numFmtId="1" fontId="17" fillId="4" borderId="6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right" vertical="center"/>
    </xf>
    <xf numFmtId="1" fontId="17" fillId="4" borderId="47" xfId="0" applyNumberFormat="1" applyFont="1" applyFill="1" applyBorder="1" applyAlignment="1">
      <alignment horizontal="center" vertical="center"/>
    </xf>
    <xf numFmtId="2" fontId="16" fillId="0" borderId="58" xfId="0" applyNumberFormat="1" applyFont="1" applyBorder="1" applyAlignment="1">
      <alignment horizontal="right" vertical="center"/>
    </xf>
    <xf numFmtId="165" fontId="31" fillId="16" borderId="58" xfId="31" applyNumberFormat="1" applyFont="1" applyFill="1" applyBorder="1" applyAlignment="1">
      <alignment horizontal="right" vertical="center"/>
    </xf>
    <xf numFmtId="2" fontId="16" fillId="0" borderId="4" xfId="31" applyNumberFormat="1" applyFont="1" applyBorder="1" applyAlignment="1">
      <alignment horizontal="right" vertical="center"/>
    </xf>
    <xf numFmtId="2" fontId="16" fillId="0" borderId="5" xfId="31" applyNumberFormat="1" applyFont="1" applyBorder="1" applyAlignment="1">
      <alignment horizontal="right" vertical="center"/>
    </xf>
    <xf numFmtId="165" fontId="16" fillId="0" borderId="62" xfId="31" applyNumberFormat="1" applyFont="1" applyBorder="1" applyAlignment="1">
      <alignment horizontal="right" vertical="center"/>
    </xf>
    <xf numFmtId="165" fontId="16" fillId="0" borderId="57" xfId="31" applyNumberFormat="1" applyFont="1" applyBorder="1" applyAlignment="1">
      <alignment horizontal="right" vertical="center"/>
    </xf>
    <xf numFmtId="165" fontId="16" fillId="0" borderId="56" xfId="31" applyNumberFormat="1" applyFont="1" applyBorder="1" applyAlignment="1">
      <alignment horizontal="right" vertical="center"/>
    </xf>
    <xf numFmtId="165" fontId="31" fillId="0" borderId="61" xfId="31" applyNumberFormat="1" applyFont="1" applyBorder="1" applyAlignment="1">
      <alignment horizontal="right" vertical="center"/>
    </xf>
    <xf numFmtId="165" fontId="129" fillId="16" borderId="0" xfId="31" applyNumberFormat="1" applyFont="1" applyFill="1" applyAlignment="1">
      <alignment horizontal="right" vertical="center"/>
    </xf>
    <xf numFmtId="0" fontId="20" fillId="4" borderId="59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 vertical="center"/>
    </xf>
    <xf numFmtId="165" fontId="16" fillId="0" borderId="58" xfId="0" applyNumberFormat="1" applyFont="1" applyBorder="1"/>
    <xf numFmtId="165" fontId="16" fillId="0" borderId="48" xfId="0" applyNumberFormat="1" applyFont="1" applyBorder="1"/>
    <xf numFmtId="0" fontId="17" fillId="16" borderId="10" xfId="0" applyFont="1" applyFill="1" applyBorder="1" applyAlignment="1">
      <alignment horizontal="center" vertical="center"/>
    </xf>
    <xf numFmtId="165" fontId="16" fillId="0" borderId="4" xfId="31" applyNumberFormat="1" applyFont="1" applyBorder="1" applyAlignment="1">
      <alignment horizontal="center" vertical="center"/>
    </xf>
    <xf numFmtId="165" fontId="16" fillId="16" borderId="60" xfId="31" applyNumberFormat="1" applyFont="1" applyFill="1" applyBorder="1" applyAlignment="1">
      <alignment horizontal="center" vertical="center"/>
    </xf>
    <xf numFmtId="165" fontId="16" fillId="0" borderId="49" xfId="31" applyNumberFormat="1" applyFont="1" applyBorder="1" applyAlignment="1">
      <alignment horizontal="right" vertical="center"/>
    </xf>
    <xf numFmtId="165" fontId="130" fillId="0" borderId="0" xfId="31" applyNumberFormat="1" applyFont="1"/>
    <xf numFmtId="165" fontId="130" fillId="4" borderId="0" xfId="31" applyNumberFormat="1" applyFont="1" applyFill="1" applyAlignment="1">
      <alignment horizontal="right" vertical="center"/>
    </xf>
    <xf numFmtId="165" fontId="129" fillId="6" borderId="0" xfId="31" applyNumberFormat="1" applyFont="1" applyFill="1" applyAlignment="1">
      <alignment horizontal="right" vertical="center"/>
    </xf>
    <xf numFmtId="165" fontId="129" fillId="4" borderId="0" xfId="31" applyNumberFormat="1" applyFont="1" applyFill="1"/>
    <xf numFmtId="165" fontId="129" fillId="4" borderId="0" xfId="31" applyNumberFormat="1" applyFont="1" applyFill="1" applyAlignment="1">
      <alignment horizontal="right" vertical="center"/>
    </xf>
    <xf numFmtId="165" fontId="130" fillId="16" borderId="0" xfId="31" applyNumberFormat="1" applyFont="1" applyFill="1" applyAlignment="1">
      <alignment horizontal="right" vertical="center"/>
    </xf>
    <xf numFmtId="165" fontId="129" fillId="0" borderId="4" xfId="31" applyNumberFormat="1" applyFont="1" applyBorder="1" applyAlignment="1">
      <alignment horizontal="right" vertical="center"/>
    </xf>
    <xf numFmtId="165" fontId="129" fillId="16" borderId="4" xfId="31" applyNumberFormat="1" applyFont="1" applyFill="1" applyBorder="1" applyAlignment="1">
      <alignment horizontal="right" vertical="center"/>
    </xf>
    <xf numFmtId="165" fontId="129" fillId="0" borderId="48" xfId="31" applyNumberFormat="1" applyFont="1" applyBorder="1" applyAlignment="1">
      <alignment horizontal="right" vertical="center"/>
    </xf>
    <xf numFmtId="165" fontId="129" fillId="16" borderId="58" xfId="31" applyNumberFormat="1" applyFont="1" applyFill="1" applyBorder="1" applyAlignment="1">
      <alignment horizontal="right" vertical="center"/>
    </xf>
    <xf numFmtId="165" fontId="130" fillId="16" borderId="61" xfId="31" applyNumberFormat="1" applyFont="1" applyFill="1" applyBorder="1" applyAlignment="1">
      <alignment horizontal="right" vertical="center"/>
    </xf>
    <xf numFmtId="165" fontId="18" fillId="0" borderId="55" xfId="0" applyNumberFormat="1" applyFont="1" applyBorder="1" applyAlignment="1">
      <alignment horizontal="center" vertical="center"/>
    </xf>
    <xf numFmtId="173" fontId="18" fillId="0" borderId="55" xfId="0" applyNumberFormat="1" applyFont="1" applyBorder="1" applyAlignment="1">
      <alignment horizontal="center" vertical="center"/>
    </xf>
    <xf numFmtId="0" fontId="38" fillId="4" borderId="49" xfId="0" applyFont="1" applyFill="1" applyBorder="1" applyAlignment="1">
      <alignment horizontal="center" vertical="center"/>
    </xf>
    <xf numFmtId="173" fontId="18" fillId="0" borderId="65" xfId="0" applyNumberFormat="1" applyFont="1" applyBorder="1" applyAlignment="1">
      <alignment horizontal="center" vertical="center"/>
    </xf>
    <xf numFmtId="169" fontId="18" fillId="0" borderId="55" xfId="0" applyNumberFormat="1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62" xfId="0" applyNumberFormat="1" applyFont="1" applyBorder="1" applyAlignment="1">
      <alignment horizontal="center" vertical="center"/>
    </xf>
    <xf numFmtId="0" fontId="18" fillId="0" borderId="61" xfId="0" applyFont="1" applyBorder="1"/>
    <xf numFmtId="0" fontId="38" fillId="4" borderId="5" xfId="0" applyFont="1" applyFill="1" applyBorder="1" applyAlignment="1">
      <alignment horizontal="center" vertical="center" wrapText="1"/>
    </xf>
    <xf numFmtId="0" fontId="127" fillId="4" borderId="47" xfId="0" applyFont="1" applyFill="1" applyBorder="1" applyAlignment="1">
      <alignment horizontal="center" vertical="center" wrapText="1"/>
    </xf>
    <xf numFmtId="165" fontId="18" fillId="0" borderId="47" xfId="0" applyNumberFormat="1" applyFont="1" applyBorder="1" applyAlignment="1">
      <alignment horizontal="center" vertical="center"/>
    </xf>
    <xf numFmtId="165" fontId="16" fillId="16" borderId="0" xfId="0" applyNumberFormat="1" applyFont="1" applyFill="1" applyAlignment="1">
      <alignment horizontal="right" vertical="center"/>
    </xf>
    <xf numFmtId="165" fontId="31" fillId="16" borderId="49" xfId="31" applyNumberFormat="1" applyFont="1" applyFill="1" applyBorder="1" applyAlignment="1">
      <alignment horizontal="right" vertical="center"/>
    </xf>
    <xf numFmtId="165" fontId="31" fillId="16" borderId="48" xfId="31" applyNumberFormat="1" applyFont="1" applyFill="1" applyBorder="1" applyAlignment="1">
      <alignment horizontal="right" vertical="center"/>
    </xf>
    <xf numFmtId="165" fontId="31" fillId="16" borderId="52" xfId="31" applyNumberFormat="1" applyFont="1" applyFill="1" applyBorder="1" applyAlignment="1">
      <alignment horizontal="right" vertical="center"/>
    </xf>
    <xf numFmtId="165" fontId="130" fillId="0" borderId="58" xfId="31" applyNumberFormat="1" applyFont="1" applyBorder="1" applyAlignment="1">
      <alignment horizontal="right" vertical="center"/>
    </xf>
    <xf numFmtId="165" fontId="16" fillId="4" borderId="58" xfId="31" applyNumberFormat="1" applyFont="1" applyFill="1" applyBorder="1" applyAlignment="1">
      <alignment horizontal="right" vertical="center"/>
    </xf>
    <xf numFmtId="165" fontId="16" fillId="16" borderId="0" xfId="31" applyNumberFormat="1" applyFont="1" applyFill="1" applyAlignment="1">
      <alignment vertical="top"/>
    </xf>
    <xf numFmtId="165" fontId="31" fillId="16" borderId="0" xfId="31" applyNumberFormat="1" applyFont="1" applyFill="1" applyAlignment="1">
      <alignment vertical="top"/>
    </xf>
    <xf numFmtId="1" fontId="16" fillId="0" borderId="0" xfId="31" applyNumberFormat="1" applyFont="1"/>
    <xf numFmtId="2" fontId="16" fillId="16" borderId="5" xfId="31" applyNumberFormat="1" applyFont="1" applyFill="1" applyBorder="1" applyAlignment="1">
      <alignment horizontal="right" vertical="center"/>
    </xf>
    <xf numFmtId="165" fontId="16" fillId="16" borderId="62" xfId="31" applyNumberFormat="1" applyFont="1" applyFill="1" applyBorder="1" applyAlignment="1">
      <alignment horizontal="right" vertical="center" wrapText="1"/>
    </xf>
    <xf numFmtId="2" fontId="31" fillId="0" borderId="58" xfId="0" applyNumberFormat="1" applyFont="1" applyBorder="1" applyAlignment="1">
      <alignment horizontal="right" vertical="center"/>
    </xf>
    <xf numFmtId="2" fontId="31" fillId="0" borderId="49" xfId="0" applyNumberFormat="1" applyFont="1" applyBorder="1" applyAlignment="1">
      <alignment horizontal="right" vertical="center"/>
    </xf>
    <xf numFmtId="0" fontId="0" fillId="0" borderId="55" xfId="0" applyBorder="1"/>
    <xf numFmtId="49" fontId="17" fillId="74" borderId="14" xfId="0" applyNumberFormat="1" applyFont="1" applyFill="1" applyBorder="1" applyAlignment="1">
      <alignment horizontal="center" vertical="center"/>
    </xf>
    <xf numFmtId="165" fontId="18" fillId="74" borderId="4" xfId="0" applyNumberFormat="1" applyFont="1" applyFill="1" applyBorder="1" applyAlignment="1">
      <alignment vertical="center"/>
    </xf>
    <xf numFmtId="165" fontId="18" fillId="74" borderId="4" xfId="0" applyNumberFormat="1" applyFont="1" applyFill="1" applyBorder="1" applyAlignment="1">
      <alignment horizontal="right" vertical="center"/>
    </xf>
    <xf numFmtId="165" fontId="16" fillId="74" borderId="14" xfId="0" applyNumberFormat="1" applyFont="1" applyFill="1" applyBorder="1" applyAlignment="1">
      <alignment vertical="center"/>
    </xf>
    <xf numFmtId="165" fontId="17" fillId="0" borderId="2" xfId="0" applyNumberFormat="1" applyFont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/>
    </xf>
    <xf numFmtId="165" fontId="17" fillId="16" borderId="2" xfId="0" applyNumberFormat="1" applyFont="1" applyFill="1" applyBorder="1" applyAlignment="1">
      <alignment horizontal="center" vertical="center"/>
    </xf>
    <xf numFmtId="165" fontId="17" fillId="0" borderId="47" xfId="0" applyNumberFormat="1" applyFont="1" applyBorder="1" applyAlignment="1">
      <alignment horizontal="center" vertical="center"/>
    </xf>
    <xf numFmtId="165" fontId="17" fillId="16" borderId="59" xfId="0" applyNumberFormat="1" applyFont="1" applyFill="1" applyBorder="1" applyAlignment="1">
      <alignment horizontal="center" vertical="center"/>
    </xf>
    <xf numFmtId="165" fontId="17" fillId="16" borderId="47" xfId="0" applyNumberFormat="1" applyFont="1" applyFill="1" applyBorder="1" applyAlignment="1">
      <alignment horizontal="center" vertical="center"/>
    </xf>
    <xf numFmtId="165" fontId="17" fillId="16" borderId="5" xfId="0" applyNumberFormat="1" applyFont="1" applyFill="1" applyBorder="1" applyAlignment="1">
      <alignment horizontal="center" vertical="center"/>
    </xf>
    <xf numFmtId="1" fontId="17" fillId="5" borderId="66" xfId="31" applyNumberFormat="1" applyFont="1" applyFill="1" applyBorder="1" applyAlignment="1">
      <alignment horizontal="center"/>
    </xf>
    <xf numFmtId="1" fontId="17" fillId="5" borderId="65" xfId="31" applyNumberFormat="1" applyFont="1" applyFill="1" applyBorder="1" applyAlignment="1">
      <alignment horizontal="center" vertical="center"/>
    </xf>
    <xf numFmtId="165" fontId="17" fillId="4" borderId="14" xfId="31" applyNumberFormat="1" applyFont="1" applyFill="1" applyBorder="1" applyAlignment="1">
      <alignment horizontal="right" vertical="center"/>
    </xf>
    <xf numFmtId="165" fontId="16" fillId="16" borderId="4" xfId="31" applyNumberFormat="1" applyFont="1" applyFill="1" applyBorder="1" applyAlignment="1">
      <alignment horizontal="center" vertical="center"/>
    </xf>
    <xf numFmtId="169" fontId="0" fillId="0" borderId="6" xfId="0" applyNumberFormat="1" applyBorder="1"/>
    <xf numFmtId="0" fontId="16" fillId="0" borderId="0" xfId="3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 wrapText="1"/>
    </xf>
    <xf numFmtId="0" fontId="15" fillId="0" borderId="0" xfId="0" quotePrefix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4" borderId="59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20" fillId="4" borderId="4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7" fillId="17" borderId="27" xfId="31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7" fillId="5" borderId="15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58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5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textRotation="90"/>
    </xf>
    <xf numFmtId="0" fontId="17" fillId="5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</cellXfs>
  <cellStyles count="296">
    <cellStyle name="€ : (passage a l'EURO)" xfId="15" xr:uid="{00000000-0005-0000-0000-000000000000}"/>
    <cellStyle name="20% - Accent1 2" xfId="157" xr:uid="{00000000-0005-0000-0000-000002000000}"/>
    <cellStyle name="20% - Accent1 3" xfId="267" xr:uid="{00000000-0005-0000-0000-000003000000}"/>
    <cellStyle name="20% - Accent2 2" xfId="158" xr:uid="{00000000-0005-0000-0000-000005000000}"/>
    <cellStyle name="20% - Accent2 3" xfId="269" xr:uid="{00000000-0005-0000-0000-000006000000}"/>
    <cellStyle name="20% - Accent3 2" xfId="159" xr:uid="{00000000-0005-0000-0000-000008000000}"/>
    <cellStyle name="20% - Accent3 3" xfId="271" xr:uid="{00000000-0005-0000-0000-000009000000}"/>
    <cellStyle name="20% - Accent4 2" xfId="160" xr:uid="{00000000-0005-0000-0000-00000B000000}"/>
    <cellStyle name="20% - Accent4 3" xfId="273" xr:uid="{00000000-0005-0000-0000-00000C000000}"/>
    <cellStyle name="20% - Accent5 2" xfId="161" xr:uid="{00000000-0005-0000-0000-00000E000000}"/>
    <cellStyle name="20% - Accent5 3" xfId="275" xr:uid="{00000000-0005-0000-0000-00000F000000}"/>
    <cellStyle name="20% - Accent6 2" xfId="162" xr:uid="{00000000-0005-0000-0000-000011000000}"/>
    <cellStyle name="20% - Accent6 3" xfId="277" xr:uid="{00000000-0005-0000-0000-000012000000}"/>
    <cellStyle name="20% - Акцент1" xfId="100" builtinId="30" customBuiltin="1"/>
    <cellStyle name="20% - Акцент2" xfId="104" builtinId="34" customBuiltin="1"/>
    <cellStyle name="20% - Акцент3" xfId="108" builtinId="38" customBuiltin="1"/>
    <cellStyle name="20% - Акцент4" xfId="112" builtinId="42" customBuiltin="1"/>
    <cellStyle name="20% - Акцент5" xfId="116" builtinId="46" customBuiltin="1"/>
    <cellStyle name="20% - Акцент6" xfId="120" builtinId="50" customBuiltin="1"/>
    <cellStyle name="40% - Accent1 2" xfId="163" xr:uid="{00000000-0005-0000-0000-000014000000}"/>
    <cellStyle name="40% - Accent1 3" xfId="268" xr:uid="{00000000-0005-0000-0000-000015000000}"/>
    <cellStyle name="40% - Accent2 2" xfId="164" xr:uid="{00000000-0005-0000-0000-000017000000}"/>
    <cellStyle name="40% - Accent2 3" xfId="270" xr:uid="{00000000-0005-0000-0000-000018000000}"/>
    <cellStyle name="40% - Accent3 2" xfId="165" xr:uid="{00000000-0005-0000-0000-00001A000000}"/>
    <cellStyle name="40% - Accent3 3" xfId="272" xr:uid="{00000000-0005-0000-0000-00001B000000}"/>
    <cellStyle name="40% - Accent4 2" xfId="166" xr:uid="{00000000-0005-0000-0000-00001D000000}"/>
    <cellStyle name="40% - Accent4 3" xfId="274" xr:uid="{00000000-0005-0000-0000-00001E000000}"/>
    <cellStyle name="40% - Accent5 2" xfId="167" xr:uid="{00000000-0005-0000-0000-000020000000}"/>
    <cellStyle name="40% - Accent5 3" xfId="276" xr:uid="{00000000-0005-0000-0000-000021000000}"/>
    <cellStyle name="40% - Accent6 2" xfId="168" xr:uid="{00000000-0005-0000-0000-000023000000}"/>
    <cellStyle name="40% - Accent6 3" xfId="278" xr:uid="{00000000-0005-0000-0000-000024000000}"/>
    <cellStyle name="40% - Акцент1" xfId="101" builtinId="31" customBuiltin="1"/>
    <cellStyle name="40% - Акцент2" xfId="105" builtinId="35" customBuiltin="1"/>
    <cellStyle name="40% - Акцент3" xfId="109" builtinId="39" customBuiltin="1"/>
    <cellStyle name="40% - Акцент4" xfId="113" builtinId="43" customBuiltin="1"/>
    <cellStyle name="40% - Акцент5" xfId="117" builtinId="47" customBuiltin="1"/>
    <cellStyle name="40% - Акцент6" xfId="121" builtinId="51" customBuiltin="1"/>
    <cellStyle name="60% - Accent1 2" xfId="169" xr:uid="{00000000-0005-0000-0000-000026000000}"/>
    <cellStyle name="60% - Accent2 2" xfId="170" xr:uid="{00000000-0005-0000-0000-000028000000}"/>
    <cellStyle name="60% - Accent3 2" xfId="171" xr:uid="{00000000-0005-0000-0000-00002A000000}"/>
    <cellStyle name="60% - Accent4 2" xfId="172" xr:uid="{00000000-0005-0000-0000-00002C000000}"/>
    <cellStyle name="60% - Accent5 2" xfId="173" xr:uid="{00000000-0005-0000-0000-00002E000000}"/>
    <cellStyle name="60% - Accent6 2" xfId="174" xr:uid="{00000000-0005-0000-0000-000030000000}"/>
    <cellStyle name="60% - Акцент1" xfId="102" builtinId="32" customBuiltin="1"/>
    <cellStyle name="60% - Акцент2" xfId="106" builtinId="36" customBuiltin="1"/>
    <cellStyle name="60% - Акцент3" xfId="110" builtinId="40" customBuiltin="1"/>
    <cellStyle name="60% - Акцент4" xfId="114" builtinId="44" customBuiltin="1"/>
    <cellStyle name="60% - Акцент5" xfId="118" builtinId="48" customBuiltin="1"/>
    <cellStyle name="60% - Акцент6" xfId="122" builtinId="52" customBuiltin="1"/>
    <cellStyle name="A2.Heading1" xfId="260" xr:uid="{00000000-0005-0000-0000-000031000000}"/>
    <cellStyle name="A2.Heading2" xfId="261" xr:uid="{00000000-0005-0000-0000-000032000000}"/>
    <cellStyle name="Accent1 2" xfId="175" xr:uid="{00000000-0005-0000-0000-000034000000}"/>
    <cellStyle name="Accent2 2" xfId="176" xr:uid="{00000000-0005-0000-0000-000036000000}"/>
    <cellStyle name="Accent3 2" xfId="177" xr:uid="{00000000-0005-0000-0000-000038000000}"/>
    <cellStyle name="Accent4 2" xfId="178" xr:uid="{00000000-0005-0000-0000-00003A000000}"/>
    <cellStyle name="Accent5 2" xfId="179" xr:uid="{00000000-0005-0000-0000-00003C000000}"/>
    <cellStyle name="Accent6 2" xfId="180" xr:uid="{00000000-0005-0000-0000-00003E000000}"/>
    <cellStyle name="Bad 2" xfId="181" xr:uid="{00000000-0005-0000-0000-000040000000}"/>
    <cellStyle name="C1.general" xfId="262" xr:uid="{00000000-0005-0000-0000-000041000000}"/>
    <cellStyle name="C1.percentage" xfId="263" xr:uid="{00000000-0005-0000-0000-000042000000}"/>
    <cellStyle name="Calculation 2" xfId="182" xr:uid="{00000000-0005-0000-0000-000044000000}"/>
    <cellStyle name="Check Cell 2" xfId="183" xr:uid="{00000000-0005-0000-0000-000046000000}"/>
    <cellStyle name="Column heading" xfId="34" xr:uid="{00000000-0005-0000-0000-000047000000}"/>
    <cellStyle name="Comma 2" xfId="137" xr:uid="{00000000-0005-0000-0000-000049000000}"/>
    <cellStyle name="Comma 2 2" xfId="144" xr:uid="{00000000-0005-0000-0000-00004A000000}"/>
    <cellStyle name="Comma 3" xfId="138" xr:uid="{00000000-0005-0000-0000-00004B000000}"/>
    <cellStyle name="Comma 4" xfId="145" xr:uid="{00000000-0005-0000-0000-00004C000000}"/>
    <cellStyle name="Comma 5" xfId="146" xr:uid="{00000000-0005-0000-0000-00004D000000}"/>
    <cellStyle name="Comma 6" xfId="75" xr:uid="{00000000-0005-0000-0000-00004E000000}"/>
    <cellStyle name="Comma 6 2" xfId="136" xr:uid="{00000000-0005-0000-0000-00004F000000}"/>
    <cellStyle name="Comma 7" xfId="228" xr:uid="{00000000-0005-0000-0000-000050000000}"/>
    <cellStyle name="contenu_unite" xfId="286" xr:uid="{00000000-0005-0000-0000-000051000000}"/>
    <cellStyle name="Corner heading" xfId="35" xr:uid="{00000000-0005-0000-0000-000052000000}"/>
    <cellStyle name="Currency 2" xfId="147" xr:uid="{00000000-0005-0000-0000-000053000000}"/>
    <cellStyle name="Currency 3" xfId="155" xr:uid="{00000000-0005-0000-0000-000054000000}"/>
    <cellStyle name="Currency 3 2" xfId="184" xr:uid="{00000000-0005-0000-0000-000055000000}"/>
    <cellStyle name="Currency 4" xfId="246" xr:uid="{00000000-0005-0000-0000-000056000000}"/>
    <cellStyle name="Data" xfId="36" xr:uid="{00000000-0005-0000-0000-000057000000}"/>
    <cellStyle name="Data 2" xfId="71" xr:uid="{00000000-0005-0000-0000-000058000000}"/>
    <cellStyle name="Data 2 2" xfId="133" xr:uid="{00000000-0005-0000-0000-000059000000}"/>
    <cellStyle name="Data 3" xfId="123" xr:uid="{00000000-0005-0000-0000-00005A000000}"/>
    <cellStyle name="Data no deci" xfId="37" xr:uid="{00000000-0005-0000-0000-00005B000000}"/>
    <cellStyle name="Data no deci 2" xfId="124" xr:uid="{00000000-0005-0000-0000-00005C000000}"/>
    <cellStyle name="Data Superscript" xfId="38" xr:uid="{00000000-0005-0000-0000-00005D000000}"/>
    <cellStyle name="Data Superscript 2" xfId="125" xr:uid="{00000000-0005-0000-0000-00005E000000}"/>
    <cellStyle name="Data_1-1A-Regular" xfId="39" xr:uid="{00000000-0005-0000-0000-00005F000000}"/>
    <cellStyle name="donn_normal" xfId="288" xr:uid="{00000000-0005-0000-0000-000060000000}"/>
    <cellStyle name="donnnormal1" xfId="289" xr:uid="{00000000-0005-0000-0000-000061000000}"/>
    <cellStyle name="donnnormal2" xfId="284" xr:uid="{00000000-0005-0000-0000-000062000000}"/>
    <cellStyle name="ent_col_ser" xfId="287" xr:uid="{00000000-0005-0000-0000-000063000000}"/>
    <cellStyle name="entete_source" xfId="285" xr:uid="{00000000-0005-0000-0000-000065000000}"/>
    <cellStyle name="Euro" xfId="26" xr:uid="{00000000-0005-0000-0000-000066000000}"/>
    <cellStyle name="Explanatory Text 2" xfId="185" xr:uid="{00000000-0005-0000-0000-000068000000}"/>
    <cellStyle name="Explanatory Text 3" xfId="241" xr:uid="{00000000-0005-0000-0000-000069000000}"/>
    <cellStyle name="FEST" xfId="243" xr:uid="{00000000-0005-0000-0000-00006A000000}"/>
    <cellStyle name="Följde hyperlänken" xfId="80" xr:uid="{00000000-0005-0000-0000-00006B000000}"/>
    <cellStyle name="Good 2" xfId="186" xr:uid="{00000000-0005-0000-0000-00006D000000}"/>
    <cellStyle name="Heading" xfId="10" xr:uid="{00000000-0005-0000-0000-00006E000000}"/>
    <cellStyle name="Heading 1 2" xfId="187" xr:uid="{00000000-0005-0000-0000-000070000000}"/>
    <cellStyle name="Heading 2 2" xfId="188" xr:uid="{00000000-0005-0000-0000-000072000000}"/>
    <cellStyle name="Heading 3 2" xfId="189" xr:uid="{00000000-0005-0000-0000-000074000000}"/>
    <cellStyle name="Heading 4 2" xfId="190" xr:uid="{00000000-0005-0000-0000-000076000000}"/>
    <cellStyle name="Heading 5" xfId="231" xr:uid="{00000000-0005-0000-0000-000077000000}"/>
    <cellStyle name="Hed Side" xfId="40" xr:uid="{00000000-0005-0000-0000-000078000000}"/>
    <cellStyle name="Hed Side 2" xfId="70" xr:uid="{00000000-0005-0000-0000-000079000000}"/>
    <cellStyle name="Hed Side 2 2" xfId="132" xr:uid="{00000000-0005-0000-0000-00007A000000}"/>
    <cellStyle name="Hed Side 3" xfId="126" xr:uid="{00000000-0005-0000-0000-00007B000000}"/>
    <cellStyle name="Hed Side bold" xfId="41" xr:uid="{00000000-0005-0000-0000-00007C000000}"/>
    <cellStyle name="Hed Side Indent" xfId="42" xr:uid="{00000000-0005-0000-0000-00007D000000}"/>
    <cellStyle name="Hed Side Indent 2" xfId="127" xr:uid="{00000000-0005-0000-0000-00007E000000}"/>
    <cellStyle name="Hed Side Regular" xfId="43" xr:uid="{00000000-0005-0000-0000-00007F000000}"/>
    <cellStyle name="Hed Side Regular 2" xfId="128" xr:uid="{00000000-0005-0000-0000-000080000000}"/>
    <cellStyle name="Hed Side_1-1A-Regular" xfId="44" xr:uid="{00000000-0005-0000-0000-000081000000}"/>
    <cellStyle name="Hed Top" xfId="45" xr:uid="{00000000-0005-0000-0000-000082000000}"/>
    <cellStyle name="Hed Top - SECTION" xfId="46" xr:uid="{00000000-0005-0000-0000-000083000000}"/>
    <cellStyle name="Hed Top - SECTION 2" xfId="129" xr:uid="{00000000-0005-0000-0000-000084000000}"/>
    <cellStyle name="Hed Top_3-new4" xfId="47" xr:uid="{00000000-0005-0000-0000-000085000000}"/>
    <cellStyle name="Hyperlänk 2" xfId="78" xr:uid="{00000000-0005-0000-0000-000086000000}"/>
    <cellStyle name="Hyperlink 2" xfId="27" xr:uid="{00000000-0005-0000-0000-000088000000}"/>
    <cellStyle name="Hyperlink 2 2" xfId="226" xr:uid="{00000000-0005-0000-0000-000089000000}"/>
    <cellStyle name="Hyperlink 2 3" xfId="233" xr:uid="{00000000-0005-0000-0000-00008A000000}"/>
    <cellStyle name="Hyperlink 3" xfId="232" xr:uid="{00000000-0005-0000-0000-00008B000000}"/>
    <cellStyle name="Hyperlink 4" xfId="240" xr:uid="{00000000-0005-0000-0000-00008C000000}"/>
    <cellStyle name="Hyperlink 5" xfId="282" xr:uid="{00000000-0005-0000-0000-00008D000000}"/>
    <cellStyle name="Input 2" xfId="191" xr:uid="{00000000-0005-0000-0000-00008F000000}"/>
    <cellStyle name="ligne_titre_0" xfId="283" xr:uid="{00000000-0005-0000-0000-000090000000}"/>
    <cellStyle name="Linked Cell 2" xfId="192" xr:uid="{00000000-0005-0000-0000-000092000000}"/>
    <cellStyle name="Milliers 2" xfId="290" xr:uid="{00000000-0005-0000-0000-000093000000}"/>
    <cellStyle name="Milliers 2 2" xfId="293" xr:uid="{00000000-0005-0000-0000-000094000000}"/>
    <cellStyle name="Neutral 2" xfId="193" xr:uid="{00000000-0005-0000-0000-000096000000}"/>
    <cellStyle name="Normal 10" xfId="30" xr:uid="{00000000-0005-0000-0000-000098000000}"/>
    <cellStyle name="Normal 11" xfId="32" xr:uid="{00000000-0005-0000-0000-000099000000}"/>
    <cellStyle name="Normal 11 2" xfId="227" xr:uid="{00000000-0005-0000-0000-00009A000000}"/>
    <cellStyle name="Normal 12" xfId="229" xr:uid="{00000000-0005-0000-0000-00009B000000}"/>
    <cellStyle name="Normal 13" xfId="239" xr:uid="{00000000-0005-0000-0000-00009C000000}"/>
    <cellStyle name="Normal 14" xfId="251" xr:uid="{00000000-0005-0000-0000-00009D000000}"/>
    <cellStyle name="Normal 15" xfId="252" xr:uid="{00000000-0005-0000-0000-00009E000000}"/>
    <cellStyle name="Normal 16" xfId="258" xr:uid="{00000000-0005-0000-0000-00009F000000}"/>
    <cellStyle name="Normal 17" xfId="279" xr:uid="{00000000-0005-0000-0000-0000A0000000}"/>
    <cellStyle name="Normal 18" xfId="280" xr:uid="{00000000-0005-0000-0000-0000A1000000}"/>
    <cellStyle name="Normal 19" xfId="291" xr:uid="{00000000-0005-0000-0000-0000A2000000}"/>
    <cellStyle name="Normal 2" xfId="4" xr:uid="{00000000-0005-0000-0000-0000A3000000}"/>
    <cellStyle name="Normal 2 2" xfId="31" xr:uid="{00000000-0005-0000-0000-0000A4000000}"/>
    <cellStyle name="Normal 2 3" xfId="77" xr:uid="{00000000-0005-0000-0000-0000A5000000}"/>
    <cellStyle name="Normal 2 3 2" xfId="148" xr:uid="{00000000-0005-0000-0000-0000A6000000}"/>
    <cellStyle name="Normal 2 4" xfId="234" xr:uid="{00000000-0005-0000-0000-0000A7000000}"/>
    <cellStyle name="Normal 2 5" xfId="264" xr:uid="{00000000-0005-0000-0000-0000A8000000}"/>
    <cellStyle name="Normal 3" xfId="5" xr:uid="{00000000-0005-0000-0000-0000A9000000}"/>
    <cellStyle name="Normal 3 2" xfId="79" xr:uid="{00000000-0005-0000-0000-0000AA000000}"/>
    <cellStyle name="Normal 3 2 2" xfId="194" xr:uid="{00000000-0005-0000-0000-0000AB000000}"/>
    <cellStyle name="Normal 3 2 2 2" xfId="195" xr:uid="{00000000-0005-0000-0000-0000AC000000}"/>
    <cellStyle name="Normal 3 2 3" xfId="196" xr:uid="{00000000-0005-0000-0000-0000AD000000}"/>
    <cellStyle name="Normal 3 3" xfId="197" xr:uid="{00000000-0005-0000-0000-0000AE000000}"/>
    <cellStyle name="Normal 3 3 2" xfId="198" xr:uid="{00000000-0005-0000-0000-0000AF000000}"/>
    <cellStyle name="Normal 3 3 2 2" xfId="199" xr:uid="{00000000-0005-0000-0000-0000B0000000}"/>
    <cellStyle name="Normal 3 3 3" xfId="200" xr:uid="{00000000-0005-0000-0000-0000B1000000}"/>
    <cellStyle name="Normal 3 4" xfId="201" xr:uid="{00000000-0005-0000-0000-0000B2000000}"/>
    <cellStyle name="Normal 3 4 2" xfId="202" xr:uid="{00000000-0005-0000-0000-0000B3000000}"/>
    <cellStyle name="Normal 3 5" xfId="203" xr:uid="{00000000-0005-0000-0000-0000B4000000}"/>
    <cellStyle name="Normal 3 6" xfId="204" xr:uid="{00000000-0005-0000-0000-0000B5000000}"/>
    <cellStyle name="Normal 3 7" xfId="205" xr:uid="{00000000-0005-0000-0000-0000B6000000}"/>
    <cellStyle name="Normal 3 8" xfId="235" xr:uid="{00000000-0005-0000-0000-0000B7000000}"/>
    <cellStyle name="Normal 3 9" xfId="295" xr:uid="{00000000-0005-0000-0000-0000B8000000}"/>
    <cellStyle name="Normal 4" xfId="6" xr:uid="{00000000-0005-0000-0000-0000B9000000}"/>
    <cellStyle name="Normal 4 2" xfId="82" xr:uid="{00000000-0005-0000-0000-0000BA000000}"/>
    <cellStyle name="Normal 4 2 2" xfId="206" xr:uid="{00000000-0005-0000-0000-0000BB000000}"/>
    <cellStyle name="Normal 4 2 2 2" xfId="207" xr:uid="{00000000-0005-0000-0000-0000BC000000}"/>
    <cellStyle name="Normal 4 2 3" xfId="208" xr:uid="{00000000-0005-0000-0000-0000BD000000}"/>
    <cellStyle name="Normal 4 2 4" xfId="149" xr:uid="{00000000-0005-0000-0000-0000BE000000}"/>
    <cellStyle name="Normal 4 3" xfId="209" xr:uid="{00000000-0005-0000-0000-0000BF000000}"/>
    <cellStyle name="Normal 4 3 2" xfId="210" xr:uid="{00000000-0005-0000-0000-0000C0000000}"/>
    <cellStyle name="Normal 4 3 2 2" xfId="211" xr:uid="{00000000-0005-0000-0000-0000C1000000}"/>
    <cellStyle name="Normal 4 3 3" xfId="212" xr:uid="{00000000-0005-0000-0000-0000C2000000}"/>
    <cellStyle name="Normal 4 4" xfId="213" xr:uid="{00000000-0005-0000-0000-0000C3000000}"/>
    <cellStyle name="Normal 4 4 2" xfId="214" xr:uid="{00000000-0005-0000-0000-0000C4000000}"/>
    <cellStyle name="Normal 4 5" xfId="215" xr:uid="{00000000-0005-0000-0000-0000C5000000}"/>
    <cellStyle name="Normal 4 6" xfId="216" xr:uid="{00000000-0005-0000-0000-0000C6000000}"/>
    <cellStyle name="Normal 4 7" xfId="217" xr:uid="{00000000-0005-0000-0000-0000C7000000}"/>
    <cellStyle name="Normal 4 8" xfId="139" xr:uid="{00000000-0005-0000-0000-0000C8000000}"/>
    <cellStyle name="Normal 4 9" xfId="253" xr:uid="{00000000-0005-0000-0000-0000C9000000}"/>
    <cellStyle name="Normal 5" xfId="7" xr:uid="{00000000-0005-0000-0000-0000CA000000}"/>
    <cellStyle name="Normal 5 2" xfId="33" xr:uid="{00000000-0005-0000-0000-0000CB000000}"/>
    <cellStyle name="Normal 5 2 2" xfId="150" xr:uid="{00000000-0005-0000-0000-0000CC000000}"/>
    <cellStyle name="Normal 5 3" xfId="218" xr:uid="{00000000-0005-0000-0000-0000CD000000}"/>
    <cellStyle name="Normal 5 4" xfId="140" xr:uid="{00000000-0005-0000-0000-0000CE000000}"/>
    <cellStyle name="Normal 5 5" xfId="254" xr:uid="{00000000-0005-0000-0000-0000CF000000}"/>
    <cellStyle name="Normal 6" xfId="8" xr:uid="{00000000-0005-0000-0000-0000D0000000}"/>
    <cellStyle name="Normal 6 2" xfId="219" xr:uid="{00000000-0005-0000-0000-0000D1000000}"/>
    <cellStyle name="Normal 6 3" xfId="151" xr:uid="{00000000-0005-0000-0000-0000D2000000}"/>
    <cellStyle name="Normal 6 4" xfId="255" xr:uid="{00000000-0005-0000-0000-0000D3000000}"/>
    <cellStyle name="Normal 7" xfId="9" xr:uid="{00000000-0005-0000-0000-0000D4000000}"/>
    <cellStyle name="Normal 7 2" xfId="73" xr:uid="{00000000-0005-0000-0000-0000D5000000}"/>
    <cellStyle name="Normal 7 2 2" xfId="143" xr:uid="{00000000-0005-0000-0000-0000D6000000}"/>
    <cellStyle name="Normal 7 3" xfId="134" xr:uid="{00000000-0005-0000-0000-0000D7000000}"/>
    <cellStyle name="Normal 7 4" xfId="256" xr:uid="{00000000-0005-0000-0000-0000D8000000}"/>
    <cellStyle name="Normal 8" xfId="16" xr:uid="{00000000-0005-0000-0000-0000D9000000}"/>
    <cellStyle name="Normal 8 2" xfId="74" xr:uid="{00000000-0005-0000-0000-0000DA000000}"/>
    <cellStyle name="Normal 8 3" xfId="135" xr:uid="{00000000-0005-0000-0000-0000DB000000}"/>
    <cellStyle name="Normal 8 4" xfId="257" xr:uid="{00000000-0005-0000-0000-0000DC000000}"/>
    <cellStyle name="Normal 9" xfId="29" xr:uid="{00000000-0005-0000-0000-0000DD000000}"/>
    <cellStyle name="Normal 9 2" xfId="152" xr:uid="{00000000-0005-0000-0000-0000DE000000}"/>
    <cellStyle name="Normalny 2" xfId="245" xr:uid="{00000000-0005-0000-0000-0000E1000000}"/>
    <cellStyle name="Normalny 3" xfId="248" xr:uid="{00000000-0005-0000-0000-0000E2000000}"/>
    <cellStyle name="Note 2" xfId="156" xr:uid="{00000000-0005-0000-0000-0000E3000000}"/>
    <cellStyle name="Note 2 2" xfId="220" xr:uid="{00000000-0005-0000-0000-0000E4000000}"/>
    <cellStyle name="Note 3" xfId="266" xr:uid="{00000000-0005-0000-0000-0000E5000000}"/>
    <cellStyle name="Output 2" xfId="221" xr:uid="{00000000-0005-0000-0000-0000E7000000}"/>
    <cellStyle name="Percent 2" xfId="11" xr:uid="{00000000-0005-0000-0000-0000E9000000}"/>
    <cellStyle name="Percent 2 2" xfId="153" xr:uid="{00000000-0005-0000-0000-0000EA000000}"/>
    <cellStyle name="Percent 2 3" xfId="141" xr:uid="{00000000-0005-0000-0000-0000EB000000}"/>
    <cellStyle name="Percent 3" xfId="28" xr:uid="{00000000-0005-0000-0000-0000EC000000}"/>
    <cellStyle name="Percent 3 2" xfId="222" xr:uid="{00000000-0005-0000-0000-0000ED000000}"/>
    <cellStyle name="Percent 3 3" xfId="142" xr:uid="{00000000-0005-0000-0000-0000EE000000}"/>
    <cellStyle name="Percent 4" xfId="154" xr:uid="{00000000-0005-0000-0000-0000EF000000}"/>
    <cellStyle name="Percent 5" xfId="230" xr:uid="{00000000-0005-0000-0000-0000F0000000}"/>
    <cellStyle name="Percent 6" xfId="259" xr:uid="{00000000-0005-0000-0000-0000F1000000}"/>
    <cellStyle name="Percent 7" xfId="281" xr:uid="{00000000-0005-0000-0000-0000F2000000}"/>
    <cellStyle name="Percent 8" xfId="292" xr:uid="{00000000-0005-0000-0000-0000F3000000}"/>
    <cellStyle name="Procent 2" xfId="76" xr:uid="{00000000-0005-0000-0000-0000F4000000}"/>
    <cellStyle name="Procent 3" xfId="81" xr:uid="{00000000-0005-0000-0000-0000F5000000}"/>
    <cellStyle name="Publication_style" xfId="12" xr:uid="{00000000-0005-0000-0000-0000F6000000}"/>
    <cellStyle name="Refdb standard" xfId="13" xr:uid="{00000000-0005-0000-0000-0000F7000000}"/>
    <cellStyle name="Refdb standard 2" xfId="236" xr:uid="{00000000-0005-0000-0000-0000F8000000}"/>
    <cellStyle name="Reference" xfId="48" xr:uid="{00000000-0005-0000-0000-0000F9000000}"/>
    <cellStyle name="Row heading" xfId="49" xr:uid="{00000000-0005-0000-0000-0000FA000000}"/>
    <cellStyle name="Row_Headings" xfId="237" xr:uid="{00000000-0005-0000-0000-0000FB000000}"/>
    <cellStyle name="Source" xfId="14" xr:uid="{00000000-0005-0000-0000-0000FC000000}"/>
    <cellStyle name="Source 2" xfId="238" xr:uid="{00000000-0005-0000-0000-0000FD000000}"/>
    <cellStyle name="Source Hed" xfId="50" xr:uid="{00000000-0005-0000-0000-0000FE000000}"/>
    <cellStyle name="Source Letter" xfId="51" xr:uid="{00000000-0005-0000-0000-0000FF000000}"/>
    <cellStyle name="Source Superscript" xfId="52" xr:uid="{00000000-0005-0000-0000-000000010000}"/>
    <cellStyle name="Source Superscript 2" xfId="72" xr:uid="{00000000-0005-0000-0000-000001010000}"/>
    <cellStyle name="Source Text" xfId="53" xr:uid="{00000000-0005-0000-0000-000002010000}"/>
    <cellStyle name="Source Text 2" xfId="3" xr:uid="{00000000-0005-0000-0000-000003010000}"/>
    <cellStyle name="Standard 2" xfId="242" xr:uid="{00000000-0005-0000-0000-000004010000}"/>
    <cellStyle name="Standard 2 2" xfId="249" xr:uid="{00000000-0005-0000-0000-000005010000}"/>
    <cellStyle name="Standard 3" xfId="247" xr:uid="{00000000-0005-0000-0000-000006010000}"/>
    <cellStyle name="Standard 3 2" xfId="294" xr:uid="{00000000-0005-0000-0000-000007010000}"/>
    <cellStyle name="Standard 5" xfId="250" xr:uid="{00000000-0005-0000-0000-000008010000}"/>
    <cellStyle name="Standard_02" xfId="244" xr:uid="{00000000-0005-0000-0000-000009010000}"/>
    <cellStyle name="State" xfId="54" xr:uid="{00000000-0005-0000-0000-00000A010000}"/>
    <cellStyle name="Superscript" xfId="55" xr:uid="{00000000-0005-0000-0000-00000B010000}"/>
    <cellStyle name="Superscript 2" xfId="130" xr:uid="{00000000-0005-0000-0000-00000C010000}"/>
    <cellStyle name="Table Data" xfId="56" xr:uid="{00000000-0005-0000-0000-00000D010000}"/>
    <cellStyle name="Table Head Top" xfId="57" xr:uid="{00000000-0005-0000-0000-00000E010000}"/>
    <cellStyle name="Table Hed Side" xfId="58" xr:uid="{00000000-0005-0000-0000-00000F010000}"/>
    <cellStyle name="Table Title" xfId="59" xr:uid="{00000000-0005-0000-0000-000010010000}"/>
    <cellStyle name="tableau | cellule | normal | decimal 1" xfId="17" xr:uid="{00000000-0005-0000-0000-000011010000}"/>
    <cellStyle name="tableau | cellule | normal | pourcentage | decimal 1" xfId="18" xr:uid="{00000000-0005-0000-0000-000012010000}"/>
    <cellStyle name="tableau | cellule | total | decimal 1" xfId="19" xr:uid="{00000000-0005-0000-0000-000013010000}"/>
    <cellStyle name="tableau | coin superieur gauche" xfId="20" xr:uid="{00000000-0005-0000-0000-000014010000}"/>
    <cellStyle name="tableau | entete-colonne | series" xfId="21" xr:uid="{00000000-0005-0000-0000-000015010000}"/>
    <cellStyle name="tableau | entete-ligne | normal" xfId="22" xr:uid="{00000000-0005-0000-0000-000016010000}"/>
    <cellStyle name="tableau | entete-ligne | total" xfId="23" xr:uid="{00000000-0005-0000-0000-000017010000}"/>
    <cellStyle name="tableau | ligne-titre | niveau1" xfId="24" xr:uid="{00000000-0005-0000-0000-000018010000}"/>
    <cellStyle name="tableau | ligne-titre | niveau2" xfId="25" xr:uid="{00000000-0005-0000-0000-000019010000}"/>
    <cellStyle name="Title 2" xfId="223" xr:uid="{00000000-0005-0000-0000-00001B010000}"/>
    <cellStyle name="Title 3" xfId="265" xr:uid="{00000000-0005-0000-0000-00001C010000}"/>
    <cellStyle name="Title Text" xfId="60" xr:uid="{00000000-0005-0000-0000-00001D010000}"/>
    <cellStyle name="Title Text 1" xfId="61" xr:uid="{00000000-0005-0000-0000-00001E010000}"/>
    <cellStyle name="Title Text 2" xfId="62" xr:uid="{00000000-0005-0000-0000-00001F010000}"/>
    <cellStyle name="Title-1" xfId="63" xr:uid="{00000000-0005-0000-0000-000020010000}"/>
    <cellStyle name="Title-2" xfId="64" xr:uid="{00000000-0005-0000-0000-000021010000}"/>
    <cellStyle name="Title-3" xfId="65" xr:uid="{00000000-0005-0000-0000-000022010000}"/>
    <cellStyle name="Titre ligne" xfId="1" xr:uid="{00000000-0005-0000-0000-000023010000}"/>
    <cellStyle name="Total 2" xfId="224" xr:uid="{00000000-0005-0000-0000-000025010000}"/>
    <cellStyle name="Total intermediaire" xfId="2" xr:uid="{00000000-0005-0000-0000-000026010000}"/>
    <cellStyle name="Warning Text 2" xfId="225" xr:uid="{00000000-0005-0000-0000-000028010000}"/>
    <cellStyle name="Wrap" xfId="66" xr:uid="{00000000-0005-0000-0000-000029010000}"/>
    <cellStyle name="Wrap 2" xfId="131" xr:uid="{00000000-0005-0000-0000-00002A010000}"/>
    <cellStyle name="Wrap Bold" xfId="67" xr:uid="{00000000-0005-0000-0000-00002B010000}"/>
    <cellStyle name="Wrap Title" xfId="68" xr:uid="{00000000-0005-0000-0000-00002C010000}"/>
    <cellStyle name="Wrap_NTS99-~11" xfId="69" xr:uid="{00000000-0005-0000-0000-00002D010000}"/>
    <cellStyle name="Акцент1" xfId="99" builtinId="29" customBuiltin="1"/>
    <cellStyle name="Акцент2" xfId="103" builtinId="33" customBuiltin="1"/>
    <cellStyle name="Акцент3" xfId="107" builtinId="37" customBuiltin="1"/>
    <cellStyle name="Акцент4" xfId="111" builtinId="41" customBuiltin="1"/>
    <cellStyle name="Акцент5" xfId="115" builtinId="45" customBuiltin="1"/>
    <cellStyle name="Акцент6" xfId="119" builtinId="49" customBuiltin="1"/>
    <cellStyle name="Вход" xfId="91" builtinId="20" customBuiltin="1"/>
    <cellStyle name="Добър" xfId="88" builtinId="26" customBuiltin="1"/>
    <cellStyle name="Заглавие" xfId="83" builtinId="15" customBuiltin="1"/>
    <cellStyle name="Заглавие 1" xfId="84" builtinId="16" customBuiltin="1"/>
    <cellStyle name="Заглавие 2" xfId="85" builtinId="17" customBuiltin="1"/>
    <cellStyle name="Заглавие 3" xfId="86" builtinId="18" customBuiltin="1"/>
    <cellStyle name="Заглавие 4" xfId="87" builtinId="19" customBuiltin="1"/>
    <cellStyle name="Изход" xfId="92" builtinId="21" customBuiltin="1"/>
    <cellStyle name="Изчисление" xfId="93" builtinId="22" customBuiltin="1"/>
    <cellStyle name="Контролна клетка" xfId="95" builtinId="23" customBuiltin="1"/>
    <cellStyle name="Лош" xfId="89" builtinId="27" customBuiltin="1"/>
    <cellStyle name="Неутрален" xfId="90" builtinId="28" customBuiltin="1"/>
    <cellStyle name="Нормален" xfId="0" builtinId="0"/>
    <cellStyle name="Обяснителен текст" xfId="97" builtinId="53" customBuiltin="1"/>
    <cellStyle name="Предупредителен текст" xfId="96" builtinId="11" customBuiltin="1"/>
    <cellStyle name="Свързана клетка" xfId="94" builtinId="24" customBuiltin="1"/>
    <cellStyle name="Сума" xfId="9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A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AF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00FFFF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EU-27 Performance by mode for passenger transport</a:t>
            </a:r>
            <a:endParaRPr lang="en-GB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1995 - 2021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GB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billion passenger-kilometres</a:t>
            </a:r>
            <a:endParaRPr lang="en-GB"/>
          </a:p>
        </c:rich>
      </c:tx>
      <c:layout>
        <c:manualLayout>
          <c:xMode val="edge"/>
          <c:yMode val="edge"/>
          <c:x val="0.16640016797900262"/>
          <c:y val="9.92063492063492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05030146356196E-2"/>
          <c:y val="0.14880971090918563"/>
          <c:w val="0.8256006450005039"/>
          <c:h val="0.70436644416241201"/>
        </c:manualLayout>
      </c:layout>
      <c:lineChart>
        <c:grouping val="standard"/>
        <c:varyColors val="0"/>
        <c:ser>
          <c:idx val="1"/>
          <c:order val="0"/>
          <c:tx>
            <c:strRef>
              <c:f>passeng_graph!$B$37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square"/>
            <c:size val="6"/>
            <c:spPr>
              <a:noFill/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passeng_graph!$C$37:$AC$37</c:f>
              <c:numCache>
                <c:formatCode>0.0</c:formatCode>
                <c:ptCount val="27"/>
                <c:pt idx="0">
                  <c:v>3283.7635352382986</c:v>
                </c:pt>
                <c:pt idx="1">
                  <c:v>3343.4005296782343</c:v>
                </c:pt>
                <c:pt idx="2">
                  <c:v>3412.1993932868522</c:v>
                </c:pt>
                <c:pt idx="3">
                  <c:v>3507.1338683711424</c:v>
                </c:pt>
                <c:pt idx="4">
                  <c:v>3610.5575238836655</c:v>
                </c:pt>
                <c:pt idx="5">
                  <c:v>3660.3550623140204</c:v>
                </c:pt>
                <c:pt idx="6">
                  <c:v>3734.2157647230588</c:v>
                </c:pt>
                <c:pt idx="7">
                  <c:v>3789.3050249260709</c:v>
                </c:pt>
                <c:pt idx="8">
                  <c:v>3826.1956189610128</c:v>
                </c:pt>
                <c:pt idx="9">
                  <c:v>3878.1627438382161</c:v>
                </c:pt>
                <c:pt idx="10">
                  <c:v>3839.1794808863438</c:v>
                </c:pt>
                <c:pt idx="11">
                  <c:v>3875.2614469870077</c:v>
                </c:pt>
                <c:pt idx="12">
                  <c:v>3921.2560941458078</c:v>
                </c:pt>
                <c:pt idx="13">
                  <c:v>3931.6239841889396</c:v>
                </c:pt>
                <c:pt idx="14">
                  <c:v>4009.2120907480175</c:v>
                </c:pt>
                <c:pt idx="15">
                  <c:v>3975.8509514257871</c:v>
                </c:pt>
                <c:pt idx="16">
                  <c:v>3943.6434280371873</c:v>
                </c:pt>
                <c:pt idx="17">
                  <c:v>3904.5431623219174</c:v>
                </c:pt>
                <c:pt idx="18">
                  <c:v>3964.794984671576</c:v>
                </c:pt>
                <c:pt idx="19">
                  <c:v>4020.2617494762826</c:v>
                </c:pt>
                <c:pt idx="20">
                  <c:v>4110.5450140439361</c:v>
                </c:pt>
                <c:pt idx="21">
                  <c:v>4196.60176279402</c:v>
                </c:pt>
                <c:pt idx="22">
                  <c:v>4241.3578006787102</c:v>
                </c:pt>
                <c:pt idx="23">
                  <c:v>4261.0432924775987</c:v>
                </c:pt>
                <c:pt idx="24">
                  <c:v>4298.3221246594003</c:v>
                </c:pt>
                <c:pt idx="25">
                  <c:v>3516.8992746836843</c:v>
                </c:pt>
                <c:pt idx="26">
                  <c:v>3742.2362108397956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9-481A-A762-17AF87CB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97856"/>
        <c:axId val="132299776"/>
      </c:lineChart>
      <c:lineChart>
        <c:grouping val="standard"/>
        <c:varyColors val="0"/>
        <c:ser>
          <c:idx val="0"/>
          <c:order val="1"/>
          <c:tx>
            <c:strRef>
              <c:f>passeng_graph!$B$38</c:f>
              <c:strCache>
                <c:ptCount val="1"/>
                <c:pt idx="0">
                  <c:v>Powered 2-wheelers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passeng_graph!$C$38:$AC$38</c:f>
              <c:numCache>
                <c:formatCode>0.0</c:formatCode>
                <c:ptCount val="27"/>
                <c:pt idx="0">
                  <c:v>108.17833035820433</c:v>
                </c:pt>
                <c:pt idx="1">
                  <c:v>109.8361427320414</c:v>
                </c:pt>
                <c:pt idx="2">
                  <c:v>113.86129153737258</c:v>
                </c:pt>
                <c:pt idx="3">
                  <c:v>117.9441173104518</c:v>
                </c:pt>
                <c:pt idx="4">
                  <c:v>121.23787595527121</c:v>
                </c:pt>
                <c:pt idx="5">
                  <c:v>98.941118865860219</c:v>
                </c:pt>
                <c:pt idx="6">
                  <c:v>102.90777877467487</c:v>
                </c:pt>
                <c:pt idx="7">
                  <c:v>104.22143765335814</c:v>
                </c:pt>
                <c:pt idx="8">
                  <c:v>107.27362723268587</c:v>
                </c:pt>
                <c:pt idx="9">
                  <c:v>110.79803852825337</c:v>
                </c:pt>
                <c:pt idx="10">
                  <c:v>114.31005461044045</c:v>
                </c:pt>
                <c:pt idx="11">
                  <c:v>113.24001948371354</c:v>
                </c:pt>
                <c:pt idx="12">
                  <c:v>109.24806554776958</c:v>
                </c:pt>
                <c:pt idx="13">
                  <c:v>114.17393516820219</c:v>
                </c:pt>
                <c:pt idx="14">
                  <c:v>111.64451382255247</c:v>
                </c:pt>
                <c:pt idx="15">
                  <c:v>113.4680396817656</c:v>
                </c:pt>
                <c:pt idx="16">
                  <c:v>117.39495933156536</c:v>
                </c:pt>
                <c:pt idx="17">
                  <c:v>114.77132204355871</c:v>
                </c:pt>
                <c:pt idx="18">
                  <c:v>114.30380862898357</c:v>
                </c:pt>
                <c:pt idx="19">
                  <c:v>117.04674852749726</c:v>
                </c:pt>
                <c:pt idx="20">
                  <c:v>116.98197982151579</c:v>
                </c:pt>
                <c:pt idx="21">
                  <c:v>118.27858662681939</c:v>
                </c:pt>
                <c:pt idx="22">
                  <c:v>111.81209518179628</c:v>
                </c:pt>
                <c:pt idx="23">
                  <c:v>106.39739533905855</c:v>
                </c:pt>
                <c:pt idx="24">
                  <c:v>112.9728842398344</c:v>
                </c:pt>
                <c:pt idx="25">
                  <c:v>100.53533138836386</c:v>
                </c:pt>
                <c:pt idx="26">
                  <c:v>104.77351557530889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9-481A-A762-17AF87CB0DD8}"/>
            </c:ext>
          </c:extLst>
        </c:ser>
        <c:ser>
          <c:idx val="3"/>
          <c:order val="2"/>
          <c:tx>
            <c:strRef>
              <c:f>passeng_graph!$B$39</c:f>
              <c:strCache>
                <c:ptCount val="1"/>
                <c:pt idx="0">
                  <c:v>Buses &amp; Coaches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passeng_graph!$C$39:$AC$39</c:f>
              <c:numCache>
                <c:formatCode>0.0</c:formatCode>
                <c:ptCount val="27"/>
                <c:pt idx="0">
                  <c:v>468.02840644355865</c:v>
                </c:pt>
                <c:pt idx="1">
                  <c:v>472.88897060546248</c:v>
                </c:pt>
                <c:pt idx="2">
                  <c:v>475.72177987370736</c:v>
                </c:pt>
                <c:pt idx="3">
                  <c:v>478.18777007612073</c:v>
                </c:pt>
                <c:pt idx="4">
                  <c:v>479.38473191406047</c:v>
                </c:pt>
                <c:pt idx="5">
                  <c:v>496.48234560773267</c:v>
                </c:pt>
                <c:pt idx="6">
                  <c:v>495.60992962193603</c:v>
                </c:pt>
                <c:pt idx="7">
                  <c:v>492.83179924435063</c:v>
                </c:pt>
                <c:pt idx="8">
                  <c:v>495.56518499416131</c:v>
                </c:pt>
                <c:pt idx="9">
                  <c:v>500.16537130745064</c:v>
                </c:pt>
                <c:pt idx="10">
                  <c:v>497.75543070272653</c:v>
                </c:pt>
                <c:pt idx="11">
                  <c:v>497.84121747374417</c:v>
                </c:pt>
                <c:pt idx="12">
                  <c:v>507.88321228594589</c:v>
                </c:pt>
                <c:pt idx="13">
                  <c:v>514.13296293375333</c:v>
                </c:pt>
                <c:pt idx="14">
                  <c:v>489.74897799444329</c:v>
                </c:pt>
                <c:pt idx="15">
                  <c:v>482.18730539438303</c:v>
                </c:pt>
                <c:pt idx="16">
                  <c:v>485.63631790802879</c:v>
                </c:pt>
                <c:pt idx="17">
                  <c:v>481.08994628181415</c:v>
                </c:pt>
                <c:pt idx="18">
                  <c:v>479.60734783520479</c:v>
                </c:pt>
                <c:pt idx="19">
                  <c:v>475.16563679056947</c:v>
                </c:pt>
                <c:pt idx="20">
                  <c:v>490.88932691649268</c:v>
                </c:pt>
                <c:pt idx="21">
                  <c:v>495.29620518255615</c:v>
                </c:pt>
                <c:pt idx="22">
                  <c:v>477.31698917737674</c:v>
                </c:pt>
                <c:pt idx="23">
                  <c:v>481.00326459190705</c:v>
                </c:pt>
                <c:pt idx="24">
                  <c:v>484.94605021896331</c:v>
                </c:pt>
                <c:pt idx="25">
                  <c:v>290.53601561368248</c:v>
                </c:pt>
                <c:pt idx="26">
                  <c:v>327.01146241477761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9-481A-A762-17AF87CB0DD8}"/>
            </c:ext>
          </c:extLst>
        </c:ser>
        <c:ser>
          <c:idx val="5"/>
          <c:order val="3"/>
          <c:tx>
            <c:strRef>
              <c:f>passeng_graph!$B$40</c:f>
              <c:strCache>
                <c:ptCount val="1"/>
                <c:pt idx="0">
                  <c:v>Railways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passeng_graph!$C$40:$AC$40</c:f>
              <c:numCache>
                <c:formatCode>0.0</c:formatCode>
                <c:ptCount val="27"/>
                <c:pt idx="0">
                  <c:v>312.65000000000009</c:v>
                </c:pt>
                <c:pt idx="1">
                  <c:v>315.47100000000012</c:v>
                </c:pt>
                <c:pt idx="2">
                  <c:v>313.14999999999992</c:v>
                </c:pt>
                <c:pt idx="3">
                  <c:v>311.64800000000008</c:v>
                </c:pt>
                <c:pt idx="4">
                  <c:v>316.50700000000001</c:v>
                </c:pt>
                <c:pt idx="5">
                  <c:v>338.58678502490824</c:v>
                </c:pt>
                <c:pt idx="6">
                  <c:v>339.89458030944149</c:v>
                </c:pt>
                <c:pt idx="7">
                  <c:v>331.90780261380462</c:v>
                </c:pt>
                <c:pt idx="8">
                  <c:v>326.77894756335343</c:v>
                </c:pt>
                <c:pt idx="9">
                  <c:v>331.947</c:v>
                </c:pt>
                <c:pt idx="10">
                  <c:v>339.82400000000007</c:v>
                </c:pt>
                <c:pt idx="11">
                  <c:v>349.37900000000002</c:v>
                </c:pt>
                <c:pt idx="12">
                  <c:v>352.63640746100009</c:v>
                </c:pt>
                <c:pt idx="13">
                  <c:v>365.52954694300007</c:v>
                </c:pt>
                <c:pt idx="14">
                  <c:v>358.18360376100009</c:v>
                </c:pt>
                <c:pt idx="15">
                  <c:v>357.05523726746628</c:v>
                </c:pt>
                <c:pt idx="16">
                  <c:v>363.23495330985861</c:v>
                </c:pt>
                <c:pt idx="17">
                  <c:v>366.39065120198177</c:v>
                </c:pt>
                <c:pt idx="18">
                  <c:v>370.80426886941399</c:v>
                </c:pt>
                <c:pt idx="19">
                  <c:v>375.20411951914656</c:v>
                </c:pt>
                <c:pt idx="20">
                  <c:v>381.10632936015401</c:v>
                </c:pt>
                <c:pt idx="21">
                  <c:v>386.32530790182039</c:v>
                </c:pt>
                <c:pt idx="22">
                  <c:v>400.73763582000009</c:v>
                </c:pt>
                <c:pt idx="23">
                  <c:v>407.129068754</c:v>
                </c:pt>
                <c:pt idx="24">
                  <c:v>420.75364493000001</c:v>
                </c:pt>
                <c:pt idx="25">
                  <c:v>227.23313354200002</c:v>
                </c:pt>
                <c:pt idx="26">
                  <c:v>265.23614263100001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9-481A-A762-17AF87CB0DD8}"/>
            </c:ext>
          </c:extLst>
        </c:ser>
        <c:ser>
          <c:idx val="6"/>
          <c:order val="4"/>
          <c:tx>
            <c:strRef>
              <c:f>passeng_graph!$B$41</c:f>
              <c:strCache>
                <c:ptCount val="1"/>
                <c:pt idx="0">
                  <c:v>Tram &amp; Metro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passeng_graph!$C$41:$AC$41</c:f>
              <c:numCache>
                <c:formatCode>0.0</c:formatCode>
                <c:ptCount val="27"/>
                <c:pt idx="0">
                  <c:v>63.801627306091206</c:v>
                </c:pt>
                <c:pt idx="1">
                  <c:v>64.910128525276747</c:v>
                </c:pt>
                <c:pt idx="2">
                  <c:v>65.322641438807437</c:v>
                </c:pt>
                <c:pt idx="3">
                  <c:v>66.047922130725382</c:v>
                </c:pt>
                <c:pt idx="4">
                  <c:v>67.010399918778532</c:v>
                </c:pt>
                <c:pt idx="5">
                  <c:v>67.843840564744099</c:v>
                </c:pt>
                <c:pt idx="6">
                  <c:v>68.539656573900217</c:v>
                </c:pt>
                <c:pt idx="7">
                  <c:v>69.374812774150158</c:v>
                </c:pt>
                <c:pt idx="8">
                  <c:v>70.18336190555614</c:v>
                </c:pt>
                <c:pt idx="9">
                  <c:v>72.445632887244102</c:v>
                </c:pt>
                <c:pt idx="10">
                  <c:v>73.154697458878715</c:v>
                </c:pt>
                <c:pt idx="11">
                  <c:v>74.583334218657839</c:v>
                </c:pt>
                <c:pt idx="12">
                  <c:v>76.350815575898523</c:v>
                </c:pt>
                <c:pt idx="13">
                  <c:v>79.124684832482046</c:v>
                </c:pt>
                <c:pt idx="14">
                  <c:v>78.491058768954531</c:v>
                </c:pt>
                <c:pt idx="15">
                  <c:v>80.818824573023448</c:v>
                </c:pt>
                <c:pt idx="16">
                  <c:v>81.212759154899217</c:v>
                </c:pt>
                <c:pt idx="17">
                  <c:v>82.300482448189484</c:v>
                </c:pt>
                <c:pt idx="18">
                  <c:v>81.8741939491415</c:v>
                </c:pt>
                <c:pt idx="19">
                  <c:v>82.028681334256589</c:v>
                </c:pt>
                <c:pt idx="20">
                  <c:v>79.939703886067946</c:v>
                </c:pt>
                <c:pt idx="21">
                  <c:v>82.344575219371464</c:v>
                </c:pt>
                <c:pt idx="22">
                  <c:v>84.124391371363302</c:v>
                </c:pt>
                <c:pt idx="23">
                  <c:v>86.275847035955294</c:v>
                </c:pt>
                <c:pt idx="24">
                  <c:v>86.131809635050871</c:v>
                </c:pt>
                <c:pt idx="25">
                  <c:v>51.633246886218757</c:v>
                </c:pt>
                <c:pt idx="26">
                  <c:v>55.543667320154668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9-481A-A762-17AF87CB0DD8}"/>
            </c:ext>
          </c:extLst>
        </c:ser>
        <c:ser>
          <c:idx val="2"/>
          <c:order val="5"/>
          <c:tx>
            <c:strRef>
              <c:f>passeng_graph!$B$42</c:f>
              <c:strCache>
                <c:ptCount val="1"/>
                <c:pt idx="0">
                  <c:v>Air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passeng_graph!$C$42:$AC$42</c:f>
              <c:numCache>
                <c:formatCode>0.0</c:formatCode>
                <c:ptCount val="27"/>
                <c:pt idx="0">
                  <c:v>237.23260425819345</c:v>
                </c:pt>
                <c:pt idx="1">
                  <c:v>250.94547155635493</c:v>
                </c:pt>
                <c:pt idx="2">
                  <c:v>267.40091231414868</c:v>
                </c:pt>
                <c:pt idx="3">
                  <c:v>280.42813624740205</c:v>
                </c:pt>
                <c:pt idx="4">
                  <c:v>291.39843008593124</c:v>
                </c:pt>
                <c:pt idx="5">
                  <c:v>313.33901776298956</c:v>
                </c:pt>
                <c:pt idx="6">
                  <c:v>310.59644430335726</c:v>
                </c:pt>
                <c:pt idx="7">
                  <c:v>305.11129738409272</c:v>
                </c:pt>
                <c:pt idx="8">
                  <c:v>317.45287795243803</c:v>
                </c:pt>
                <c:pt idx="9">
                  <c:v>338.02217889968028</c:v>
                </c:pt>
                <c:pt idx="10">
                  <c:v>361.33405330655478</c:v>
                </c:pt>
                <c:pt idx="11">
                  <c:v>376.41820733453238</c:v>
                </c:pt>
                <c:pt idx="12">
                  <c:v>392.1880047274181</c:v>
                </c:pt>
                <c:pt idx="13">
                  <c:v>376.11495059056739</c:v>
                </c:pt>
                <c:pt idx="14">
                  <c:v>354.92849264757626</c:v>
                </c:pt>
                <c:pt idx="15">
                  <c:v>370.75245692511044</c:v>
                </c:pt>
                <c:pt idx="16">
                  <c:v>401.77865536262908</c:v>
                </c:pt>
                <c:pt idx="17">
                  <c:v>396.27014489090743</c:v>
                </c:pt>
                <c:pt idx="18">
                  <c:v>397.73641968961851</c:v>
                </c:pt>
                <c:pt idx="19">
                  <c:v>419.02452329888411</c:v>
                </c:pt>
                <c:pt idx="20">
                  <c:v>445.01450441033342</c:v>
                </c:pt>
                <c:pt idx="21">
                  <c:v>485.00004454527959</c:v>
                </c:pt>
                <c:pt idx="22">
                  <c:v>529.25685144457611</c:v>
                </c:pt>
                <c:pt idx="23">
                  <c:v>562.20153599553566</c:v>
                </c:pt>
                <c:pt idx="24">
                  <c:v>575.376876197191</c:v>
                </c:pt>
                <c:pt idx="25">
                  <c:v>175.83677942627764</c:v>
                </c:pt>
                <c:pt idx="26">
                  <c:v>270.14726196373948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9-481A-A762-17AF87CB0DD8}"/>
            </c:ext>
          </c:extLst>
        </c:ser>
        <c:ser>
          <c:idx val="4"/>
          <c:order val="6"/>
          <c:tx>
            <c:strRef>
              <c:f>passeng_graph!$B$43</c:f>
              <c:strCache>
                <c:ptCount val="1"/>
                <c:pt idx="0">
                  <c:v>Sea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passeng_graph!$C$43:$AC$43</c:f>
              <c:numCache>
                <c:formatCode>0.0</c:formatCode>
                <c:ptCount val="27"/>
                <c:pt idx="0">
                  <c:v>22.75660718736945</c:v>
                </c:pt>
                <c:pt idx="1">
                  <c:v>22.551592708203962</c:v>
                </c:pt>
                <c:pt idx="2">
                  <c:v>22.346578229038471</c:v>
                </c:pt>
                <c:pt idx="3">
                  <c:v>22.090310130081608</c:v>
                </c:pt>
                <c:pt idx="4">
                  <c:v>21.834042031124746</c:v>
                </c:pt>
                <c:pt idx="5">
                  <c:v>21.372759453002395</c:v>
                </c:pt>
                <c:pt idx="6">
                  <c:v>21.526520312376515</c:v>
                </c:pt>
                <c:pt idx="7">
                  <c:v>22.200008505158266</c:v>
                </c:pt>
                <c:pt idx="8">
                  <c:v>22.097527288736458</c:v>
                </c:pt>
                <c:pt idx="9">
                  <c:v>21.838080383682794</c:v>
                </c:pt>
                <c:pt idx="10">
                  <c:v>21.301470549563206</c:v>
                </c:pt>
                <c:pt idx="11">
                  <c:v>21.376279934270869</c:v>
                </c:pt>
                <c:pt idx="12">
                  <c:v>21.335411366439864</c:v>
                </c:pt>
                <c:pt idx="13">
                  <c:v>21.870651616757328</c:v>
                </c:pt>
                <c:pt idx="14">
                  <c:v>22.447108828233201</c:v>
                </c:pt>
                <c:pt idx="15">
                  <c:v>22.489290677301</c:v>
                </c:pt>
                <c:pt idx="16">
                  <c:v>20.009872719529735</c:v>
                </c:pt>
                <c:pt idx="17">
                  <c:v>18.524148504413564</c:v>
                </c:pt>
                <c:pt idx="18">
                  <c:v>19.265155534676669</c:v>
                </c:pt>
                <c:pt idx="19">
                  <c:v>19.44140478978127</c:v>
                </c:pt>
                <c:pt idx="20">
                  <c:v>19.380846533397605</c:v>
                </c:pt>
                <c:pt idx="21">
                  <c:v>18.440519044155</c:v>
                </c:pt>
                <c:pt idx="22">
                  <c:v>19.68080598334593</c:v>
                </c:pt>
                <c:pt idx="23">
                  <c:v>20.807631828738668</c:v>
                </c:pt>
                <c:pt idx="24">
                  <c:v>21.133986957134791</c:v>
                </c:pt>
                <c:pt idx="25">
                  <c:v>10.371184808162786</c:v>
                </c:pt>
                <c:pt idx="26">
                  <c:v>13.778071528178804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9-481A-A762-17AF87CB0DD8}"/>
            </c:ext>
          </c:extLst>
        </c:ser>
        <c:ser>
          <c:idx val="7"/>
          <c:order val="7"/>
          <c:tx>
            <c:strRef>
              <c:f>passeng_graph!$B$44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passeng_graph!$C$36:$AC$36</c:f>
              <c:numCache>
                <c:formatCode>@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passeng_graph!$C$44:$Z$44</c:f>
              <c:numCache>
                <c:formatCode>0.0</c:formatCode>
                <c:ptCount val="24"/>
                <c:pt idx="0">
                  <c:v>4496.4111107917161</c:v>
                </c:pt>
                <c:pt idx="1">
                  <c:v>4580.0038358055745</c:v>
                </c:pt>
                <c:pt idx="2">
                  <c:v>4670.0025966799267</c:v>
                </c:pt>
                <c:pt idx="3">
                  <c:v>4783.4801242659241</c:v>
                </c:pt>
                <c:pt idx="4">
                  <c:v>4907.9300037888315</c:v>
                </c:pt>
                <c:pt idx="5">
                  <c:v>4996.9209295932578</c:v>
                </c:pt>
                <c:pt idx="6">
                  <c:v>5073.2906746187446</c:v>
                </c:pt>
                <c:pt idx="7">
                  <c:v>5114.9521831009861</c:v>
                </c:pt>
                <c:pt idx="8">
                  <c:v>5165.5471458979437</c:v>
                </c:pt>
                <c:pt idx="9">
                  <c:v>5253.3790458445274</c:v>
                </c:pt>
                <c:pt idx="10">
                  <c:v>5246.8591875145084</c:v>
                </c:pt>
                <c:pt idx="11">
                  <c:v>5308.0995054319274</c:v>
                </c:pt>
                <c:pt idx="12">
                  <c:v>5380.8980111102801</c:v>
                </c:pt>
                <c:pt idx="13">
                  <c:v>5402.5707162737026</c:v>
                </c:pt>
                <c:pt idx="14">
                  <c:v>5424.6558465707785</c:v>
                </c:pt>
                <c:pt idx="15">
                  <c:v>5402.6221059448371</c:v>
                </c:pt>
                <c:pt idx="16">
                  <c:v>5412.9109458236981</c:v>
                </c:pt>
                <c:pt idx="17">
                  <c:v>5363.8898576927832</c:v>
                </c:pt>
                <c:pt idx="18">
                  <c:v>5428.3861791786157</c:v>
                </c:pt>
                <c:pt idx="19">
                  <c:v>5508.1728637364185</c:v>
                </c:pt>
                <c:pt idx="20">
                  <c:v>5643.8577049718979</c:v>
                </c:pt>
                <c:pt idx="21">
                  <c:v>5782.2870013140218</c:v>
                </c:pt>
                <c:pt idx="22">
                  <c:v>5864.286569657168</c:v>
                </c:pt>
                <c:pt idx="23">
                  <c:v>5924.8580360227943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B-49C0-8D77-BADB7A83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7632"/>
        <c:axId val="134679168"/>
      </c:lineChart>
      <c:catAx>
        <c:axId val="132297856"/>
        <c:scaling>
          <c:orientation val="minMax"/>
        </c:scaling>
        <c:delete val="0"/>
        <c:axPos val="b"/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3229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299776"/>
        <c:scaling>
          <c:orientation val="minMax"/>
          <c:max val="5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Passenger Cars scale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7896908719743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32297856"/>
        <c:crosses val="autoZero"/>
        <c:crossBetween val="midCat"/>
        <c:majorUnit val="500"/>
      </c:valAx>
      <c:catAx>
        <c:axId val="13467763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34679168"/>
        <c:crosses val="autoZero"/>
        <c:auto val="0"/>
        <c:lblAlgn val="ctr"/>
        <c:lblOffset val="100"/>
        <c:noMultiLvlLbl val="0"/>
      </c:catAx>
      <c:valAx>
        <c:axId val="134679168"/>
        <c:scaling>
          <c:orientation val="minMax"/>
          <c:max val="100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Scale for other modes</a:t>
                </a:r>
              </a:p>
            </c:rich>
          </c:tx>
          <c:layout>
            <c:manualLayout>
              <c:xMode val="edge"/>
              <c:yMode val="edge"/>
              <c:x val="0.95840067191601042"/>
              <c:y val="0.371032370953630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34677632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11793487847581044"/>
          <c:y val="0.90648177611361236"/>
          <c:w val="0.77679000524934383"/>
          <c:h val="7.0808232304295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 alignWithMargins="0">
      <c:oddHeader>&amp;A</c:oddHeader>
      <c:oddFooter>Page &amp;P</c:oddFooter>
    </c:headerFooter>
    <c:pageMargins b="0.98425196850393704" l="0.74803149606299213" r="0.74803149606299213" t="0.98425196850393704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18</xdr:col>
      <xdr:colOff>381000</xdr:colOff>
      <xdr:row>30</xdr:row>
      <xdr:rowOff>114300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1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41"/>
  <dimension ref="B1:E59"/>
  <sheetViews>
    <sheetView workbookViewId="0">
      <selection activeCell="F23" sqref="F23"/>
    </sheetView>
  </sheetViews>
  <sheetFormatPr defaultColWidth="9.1328125" defaultRowHeight="13.15"/>
  <cols>
    <col min="1" max="1" width="0.86328125" style="1" customWidth="1"/>
    <col min="2" max="2" width="7.73046875" style="3" customWidth="1"/>
    <col min="3" max="3" width="2" style="5" customWidth="1"/>
    <col min="4" max="4" width="51.59765625" style="1" customWidth="1"/>
    <col min="5" max="5" width="12.1328125" style="1" customWidth="1"/>
    <col min="6" max="16384" width="9.1328125" style="1"/>
  </cols>
  <sheetData>
    <row r="1" spans="2:5" ht="20.100000000000001" customHeight="1">
      <c r="B1" s="391" t="s">
        <v>46</v>
      </c>
      <c r="C1" s="391"/>
      <c r="D1" s="391"/>
      <c r="E1" s="391"/>
    </row>
    <row r="2" spans="2:5" ht="20.100000000000001" customHeight="1">
      <c r="B2" s="392" t="s">
        <v>47</v>
      </c>
      <c r="C2" s="392"/>
      <c r="D2" s="392"/>
      <c r="E2" s="392"/>
    </row>
    <row r="3" spans="2:5" ht="20.100000000000001" customHeight="1">
      <c r="B3" s="393" t="s">
        <v>71</v>
      </c>
      <c r="C3" s="393"/>
      <c r="D3" s="393"/>
      <c r="E3" s="393"/>
    </row>
    <row r="4" spans="2:5" ht="20.100000000000001" customHeight="1">
      <c r="B4" s="394" t="s">
        <v>48</v>
      </c>
      <c r="C4" s="394"/>
      <c r="D4" s="394"/>
      <c r="E4" s="394"/>
    </row>
    <row r="5" spans="2:5" ht="20.100000000000001" customHeight="1">
      <c r="B5" s="21"/>
      <c r="C5" s="21"/>
      <c r="D5" s="21"/>
      <c r="E5" s="21"/>
    </row>
    <row r="6" spans="2:5" ht="20.100000000000001" customHeight="1"/>
    <row r="7" spans="2:5" ht="20.100000000000001" customHeight="1">
      <c r="B7" s="391" t="s">
        <v>72</v>
      </c>
      <c r="C7" s="391"/>
      <c r="D7" s="391"/>
      <c r="E7" s="391"/>
    </row>
    <row r="8" spans="2:5" ht="20.100000000000001" customHeight="1">
      <c r="B8" s="389">
        <v>2023</v>
      </c>
      <c r="C8" s="390"/>
      <c r="D8" s="390"/>
      <c r="E8" s="390"/>
    </row>
    <row r="9" spans="2:5" ht="20.100000000000001" customHeight="1">
      <c r="B9" s="22"/>
      <c r="C9" s="22"/>
      <c r="D9" s="22"/>
      <c r="E9" s="22"/>
    </row>
    <row r="10" spans="2:5" ht="20.100000000000001" customHeight="1">
      <c r="B10" s="387" t="s">
        <v>74</v>
      </c>
      <c r="C10" s="387"/>
      <c r="D10" s="387"/>
      <c r="E10" s="387"/>
    </row>
    <row r="11" spans="2:5" ht="20.100000000000001" customHeight="1">
      <c r="B11" s="2"/>
      <c r="E11" s="2"/>
    </row>
    <row r="12" spans="2:5" ht="20.100000000000001" customHeight="1">
      <c r="B12" s="388" t="s">
        <v>73</v>
      </c>
      <c r="C12" s="388"/>
      <c r="D12" s="388"/>
      <c r="E12" s="388"/>
    </row>
    <row r="13" spans="2:5" customFormat="1" ht="20.100000000000001" customHeight="1">
      <c r="B13" s="388" t="s">
        <v>49</v>
      </c>
      <c r="C13" s="388"/>
      <c r="D13" s="388"/>
      <c r="E13" s="388"/>
    </row>
    <row r="14" spans="2:5" customFormat="1" ht="20.100000000000001" customHeight="1">
      <c r="B14" s="388" t="s">
        <v>50</v>
      </c>
      <c r="C14" s="388"/>
      <c r="D14" s="388"/>
      <c r="E14" s="388"/>
    </row>
    <row r="15" spans="2:5" ht="20.100000000000001" customHeight="1">
      <c r="B15" s="2"/>
      <c r="D15"/>
      <c r="E15" s="2"/>
    </row>
    <row r="16" spans="2:5" ht="20.100000000000001" customHeight="1">
      <c r="B16" s="2"/>
      <c r="E16" s="2"/>
    </row>
    <row r="17" spans="2:5" customFormat="1" ht="15" customHeight="1">
      <c r="B17" s="23" t="s">
        <v>61</v>
      </c>
      <c r="C17" s="24"/>
      <c r="D17" s="207" t="s">
        <v>82</v>
      </c>
      <c r="E17" s="2"/>
    </row>
    <row r="18" spans="2:5" customFormat="1" ht="15" customHeight="1">
      <c r="B18" s="23" t="s">
        <v>64</v>
      </c>
      <c r="C18" s="24"/>
      <c r="D18" s="207" t="s">
        <v>83</v>
      </c>
      <c r="E18" s="2"/>
    </row>
    <row r="19" spans="2:5" customFormat="1" ht="15" customHeight="1">
      <c r="B19" s="23" t="s">
        <v>63</v>
      </c>
      <c r="C19" s="24"/>
      <c r="D19" s="207" t="s">
        <v>84</v>
      </c>
      <c r="E19" s="2"/>
    </row>
    <row r="20" spans="2:5" ht="15" customHeight="1">
      <c r="B20" s="23" t="s">
        <v>65</v>
      </c>
      <c r="C20" s="24"/>
      <c r="D20" s="208" t="s">
        <v>85</v>
      </c>
      <c r="E20" s="2"/>
    </row>
    <row r="21" spans="2:5" ht="15" customHeight="1">
      <c r="B21" s="23" t="s">
        <v>66</v>
      </c>
      <c r="C21" s="24"/>
      <c r="D21" s="208" t="s">
        <v>86</v>
      </c>
      <c r="E21" s="2"/>
    </row>
    <row r="22" spans="2:5" customFormat="1" ht="15" customHeight="1">
      <c r="B22" s="23" t="s">
        <v>67</v>
      </c>
      <c r="C22" s="25"/>
      <c r="D22" s="208" t="s">
        <v>87</v>
      </c>
    </row>
    <row r="23" spans="2:5" ht="15" customHeight="1">
      <c r="B23" s="23" t="s">
        <v>68</v>
      </c>
      <c r="C23" s="25"/>
      <c r="D23" s="26" t="s">
        <v>42</v>
      </c>
      <c r="E23"/>
    </row>
    <row r="24" spans="2:5" ht="15" customHeight="1">
      <c r="B24" s="23" t="s">
        <v>69</v>
      </c>
      <c r="C24" s="25"/>
      <c r="D24" s="207" t="s">
        <v>88</v>
      </c>
      <c r="E24" s="2"/>
    </row>
    <row r="25" spans="2:5" ht="15" customHeight="1">
      <c r="B25" s="23" t="s">
        <v>70</v>
      </c>
      <c r="C25" s="32"/>
      <c r="D25" s="207" t="s">
        <v>89</v>
      </c>
      <c r="E25" s="2"/>
    </row>
    <row r="26" spans="2:5">
      <c r="B26" s="2"/>
      <c r="E26" s="2"/>
    </row>
    <row r="27" spans="2:5">
      <c r="B27" s="2"/>
      <c r="E27" s="2"/>
    </row>
    <row r="28" spans="2:5">
      <c r="C28"/>
    </row>
    <row r="29" spans="2:5">
      <c r="B29"/>
      <c r="C29"/>
      <c r="D29"/>
      <c r="E29"/>
    </row>
    <row r="30" spans="2:5">
      <c r="B30" s="4"/>
      <c r="E30"/>
    </row>
    <row r="31" spans="2:5">
      <c r="B31" s="2"/>
      <c r="E31" s="2"/>
    </row>
    <row r="32" spans="2:5">
      <c r="B32" s="2"/>
      <c r="E32" s="2"/>
    </row>
    <row r="33" spans="2:5">
      <c r="B33" s="2"/>
      <c r="E33" s="2"/>
    </row>
    <row r="34" spans="2:5">
      <c r="B34" s="2"/>
      <c r="E34" s="2"/>
    </row>
    <row r="35" spans="2:5">
      <c r="B35" s="2"/>
      <c r="E35" s="2"/>
    </row>
    <row r="36" spans="2:5">
      <c r="B36" s="2"/>
      <c r="E36" s="2"/>
    </row>
    <row r="37" spans="2:5">
      <c r="B37" s="2"/>
      <c r="E37" s="2"/>
    </row>
    <row r="39" spans="2:5">
      <c r="B39" s="4"/>
      <c r="E39"/>
    </row>
    <row r="40" spans="2:5">
      <c r="B40" s="2"/>
      <c r="E40" s="2"/>
    </row>
    <row r="41" spans="2:5">
      <c r="B41" s="2"/>
      <c r="E41" s="2"/>
    </row>
    <row r="42" spans="2:5">
      <c r="B42" s="2"/>
      <c r="E42" s="2"/>
    </row>
    <row r="49" spans="3:5">
      <c r="C49" s="6"/>
      <c r="D49" s="7"/>
    </row>
    <row r="56" spans="3:5" customFormat="1" ht="12.75"/>
    <row r="59" spans="3:5">
      <c r="C59"/>
      <c r="D59"/>
      <c r="E59"/>
    </row>
  </sheetData>
  <mergeCells count="10">
    <mergeCell ref="B1:E1"/>
    <mergeCell ref="B2:E2"/>
    <mergeCell ref="B3:E3"/>
    <mergeCell ref="B4:E4"/>
    <mergeCell ref="B7:E7"/>
    <mergeCell ref="B10:E10"/>
    <mergeCell ref="B12:E12"/>
    <mergeCell ref="B13:E13"/>
    <mergeCell ref="B14:E14"/>
    <mergeCell ref="B8:E8"/>
  </mergeCells>
  <phoneticPr fontId="16" type="noConversion"/>
  <printOptions horizontalCentered="1"/>
  <pageMargins left="0.6692913385826772" right="0.27559055118110237" top="0.51181102362204722" bottom="0.27559055118110237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BI67"/>
  <sheetViews>
    <sheetView zoomScaleNormal="100" workbookViewId="0">
      <selection activeCell="A43" sqref="A43:XFD45"/>
    </sheetView>
  </sheetViews>
  <sheetFormatPr defaultColWidth="9.1328125" defaultRowHeight="12.75"/>
  <cols>
    <col min="1" max="1" width="4.73046875" style="62" customWidth="1"/>
    <col min="2" max="19" width="6.73046875" style="62" customWidth="1"/>
    <col min="20" max="23" width="7.265625" style="62" customWidth="1"/>
    <col min="24" max="24" width="6.265625" style="62" customWidth="1"/>
    <col min="25" max="34" width="7.265625" style="62" customWidth="1"/>
    <col min="35" max="35" width="6.265625" style="62" customWidth="1"/>
    <col min="36" max="44" width="9" style="62" hidden="1" customWidth="1"/>
    <col min="45" max="49" width="10" customWidth="1"/>
    <col min="50" max="54" width="9.1328125" style="107" customWidth="1"/>
    <col min="55" max="61" width="9.1328125" style="107"/>
    <col min="62" max="16384" width="9.1328125" style="62"/>
  </cols>
  <sheetData>
    <row r="1" spans="1:49" ht="24.75" customHeight="1">
      <c r="A1" s="99"/>
      <c r="B1" s="98">
        <v>1970</v>
      </c>
      <c r="C1" s="98">
        <v>1980</v>
      </c>
      <c r="D1" s="97">
        <v>1990</v>
      </c>
      <c r="E1" s="97">
        <v>1991</v>
      </c>
      <c r="F1" s="97">
        <v>1992</v>
      </c>
      <c r="G1" s="97">
        <v>1993</v>
      </c>
      <c r="H1" s="97">
        <v>1994</v>
      </c>
      <c r="I1" s="97">
        <v>1995</v>
      </c>
      <c r="J1" s="97">
        <v>1996</v>
      </c>
      <c r="K1" s="97">
        <v>1997</v>
      </c>
      <c r="L1" s="97">
        <v>1998</v>
      </c>
      <c r="M1" s="97">
        <v>1999</v>
      </c>
      <c r="N1" s="97">
        <v>2000</v>
      </c>
      <c r="O1" s="97">
        <v>2001</v>
      </c>
      <c r="P1" s="97">
        <v>2002</v>
      </c>
      <c r="Q1" s="97">
        <v>2003</v>
      </c>
      <c r="R1" s="97">
        <v>2004</v>
      </c>
      <c r="S1" s="97">
        <v>2005</v>
      </c>
      <c r="T1" s="97">
        <v>2006</v>
      </c>
      <c r="U1" s="97">
        <v>2007</v>
      </c>
      <c r="V1" s="97">
        <v>2008</v>
      </c>
      <c r="W1" s="97">
        <v>2009</v>
      </c>
      <c r="X1" s="97">
        <v>2010</v>
      </c>
      <c r="Y1" s="97">
        <v>2011</v>
      </c>
      <c r="Z1" s="97">
        <v>2012</v>
      </c>
      <c r="AA1" s="97">
        <v>2013</v>
      </c>
      <c r="AB1" s="138">
        <v>2014</v>
      </c>
      <c r="AC1" s="138">
        <v>2015</v>
      </c>
      <c r="AD1" s="138">
        <v>2016</v>
      </c>
      <c r="AE1" s="138">
        <v>2017</v>
      </c>
      <c r="AF1" s="138">
        <v>2018</v>
      </c>
      <c r="AG1" s="138">
        <v>2019</v>
      </c>
      <c r="AH1" s="138">
        <v>2020</v>
      </c>
      <c r="AI1" s="381">
        <v>2021</v>
      </c>
      <c r="AJ1" s="403"/>
      <c r="AK1" s="403"/>
      <c r="AL1" s="403"/>
      <c r="AM1" s="403"/>
      <c r="AN1" s="403"/>
      <c r="AO1" s="403"/>
      <c r="AP1" s="403"/>
      <c r="AQ1" s="403"/>
      <c r="AR1" s="403"/>
      <c r="AS1" s="107"/>
      <c r="AT1" s="107"/>
      <c r="AU1" s="107"/>
      <c r="AV1" s="107"/>
      <c r="AW1" s="107"/>
    </row>
    <row r="2" spans="1:49" ht="13.5" customHeight="1">
      <c r="A2" s="96"/>
      <c r="B2" s="95"/>
      <c r="C2" s="95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382"/>
      <c r="AJ2" s="129">
        <v>2012</v>
      </c>
      <c r="AK2" s="129">
        <v>2013</v>
      </c>
      <c r="AL2" s="141">
        <v>2014</v>
      </c>
      <c r="AM2" s="141">
        <v>2015</v>
      </c>
      <c r="AN2" s="141">
        <v>2016</v>
      </c>
      <c r="AO2" s="141">
        <v>2017</v>
      </c>
      <c r="AP2" s="141">
        <v>2018</v>
      </c>
      <c r="AQ2" s="141">
        <v>2019</v>
      </c>
      <c r="AR2" s="141">
        <v>2020</v>
      </c>
      <c r="AS2" s="107"/>
      <c r="AT2" s="107"/>
      <c r="AU2" s="107"/>
      <c r="AV2" s="107"/>
      <c r="AW2" s="107"/>
    </row>
    <row r="3" spans="1:49" ht="12.75" customHeight="1">
      <c r="A3" s="153" t="s">
        <v>81</v>
      </c>
      <c r="B3" s="156">
        <v>289.6509999999999</v>
      </c>
      <c r="C3" s="156">
        <v>330.68900000000008</v>
      </c>
      <c r="D3" s="252">
        <v>362.053</v>
      </c>
      <c r="E3" s="154">
        <f t="shared" ref="E3:U3" si="0">SUM(E4:E30)</f>
        <v>345.55400000000003</v>
      </c>
      <c r="F3" s="154">
        <f t="shared" si="0"/>
        <v>334.85500000000002</v>
      </c>
      <c r="G3" s="154">
        <f t="shared" si="0"/>
        <v>311.09099999999995</v>
      </c>
      <c r="H3" s="154">
        <f t="shared" si="0"/>
        <v>306.49</v>
      </c>
      <c r="I3" s="154">
        <f t="shared" si="0"/>
        <v>312.65000000000009</v>
      </c>
      <c r="J3" s="154">
        <f t="shared" si="0"/>
        <v>315.47100000000012</v>
      </c>
      <c r="K3" s="154">
        <f t="shared" si="0"/>
        <v>313.14999999999992</v>
      </c>
      <c r="L3" s="154">
        <f t="shared" si="0"/>
        <v>311.64800000000008</v>
      </c>
      <c r="M3" s="154">
        <f t="shared" si="0"/>
        <v>316.50700000000001</v>
      </c>
      <c r="N3" s="154">
        <f t="shared" si="0"/>
        <v>338.58678502490824</v>
      </c>
      <c r="O3" s="154">
        <f t="shared" si="0"/>
        <v>339.89458030944149</v>
      </c>
      <c r="P3" s="154">
        <f t="shared" si="0"/>
        <v>331.90780261380462</v>
      </c>
      <c r="Q3" s="154">
        <f t="shared" si="0"/>
        <v>326.77894756335343</v>
      </c>
      <c r="R3" s="154">
        <f t="shared" si="0"/>
        <v>331.947</v>
      </c>
      <c r="S3" s="154">
        <f t="shared" si="0"/>
        <v>339.82400000000007</v>
      </c>
      <c r="T3" s="154">
        <f t="shared" si="0"/>
        <v>349.37900000000002</v>
      </c>
      <c r="U3" s="154">
        <f t="shared" si="0"/>
        <v>352.63640746100009</v>
      </c>
      <c r="V3" s="154">
        <v>365.52954694300007</v>
      </c>
      <c r="W3" s="154">
        <v>358.18360376100009</v>
      </c>
      <c r="X3" s="154">
        <v>357.05523726746628</v>
      </c>
      <c r="Y3" s="154">
        <v>363.23495330985861</v>
      </c>
      <c r="Z3" s="154">
        <v>366.39065120198177</v>
      </c>
      <c r="AA3" s="154">
        <v>370.80426886941399</v>
      </c>
      <c r="AB3" s="154">
        <v>375.20411951914656</v>
      </c>
      <c r="AC3" s="154">
        <v>381.10632936015401</v>
      </c>
      <c r="AD3" s="154">
        <v>386.32530790182039</v>
      </c>
      <c r="AE3" s="154">
        <v>400.73763582000009</v>
      </c>
      <c r="AF3" s="154">
        <v>407.129068754</v>
      </c>
      <c r="AG3" s="154">
        <v>420.75364493000001</v>
      </c>
      <c r="AH3" s="154">
        <v>227.23313354200002</v>
      </c>
      <c r="AI3" s="383">
        <v>265.23614263100001</v>
      </c>
      <c r="AJ3" s="155"/>
      <c r="AK3" s="155"/>
      <c r="AL3" s="155"/>
      <c r="AM3" s="155"/>
      <c r="AN3" s="155"/>
      <c r="AO3" s="155"/>
      <c r="AP3" s="155"/>
      <c r="AQ3" s="253">
        <v>58.899748822523712</v>
      </c>
      <c r="AR3" s="253">
        <v>65.81</v>
      </c>
      <c r="AS3" s="107"/>
      <c r="AT3" s="107"/>
      <c r="AU3" s="107"/>
      <c r="AV3" s="107"/>
      <c r="AW3" s="107"/>
    </row>
    <row r="4" spans="1:49" ht="12.75" customHeight="1">
      <c r="A4" s="65" t="s">
        <v>25</v>
      </c>
      <c r="B4" s="66">
        <v>8.26</v>
      </c>
      <c r="C4" s="66">
        <v>6.9630000000000001</v>
      </c>
      <c r="D4" s="67">
        <v>6.5389999999999997</v>
      </c>
      <c r="E4" s="67">
        <v>6.77</v>
      </c>
      <c r="F4" s="67">
        <v>6.798</v>
      </c>
      <c r="G4" s="67">
        <v>6.694</v>
      </c>
      <c r="H4" s="67">
        <v>6.6379999999999999</v>
      </c>
      <c r="I4" s="67">
        <v>6.7569999999999997</v>
      </c>
      <c r="J4" s="67">
        <v>6.7880000000000003</v>
      </c>
      <c r="K4" s="67">
        <v>6.98</v>
      </c>
      <c r="L4" s="67">
        <v>7.0970000000000004</v>
      </c>
      <c r="M4" s="67">
        <v>7.3540000000000001</v>
      </c>
      <c r="N4" s="67">
        <v>7.734</v>
      </c>
      <c r="O4" s="67">
        <v>8.0380000000000003</v>
      </c>
      <c r="P4" s="67">
        <v>8.26</v>
      </c>
      <c r="Q4" s="67">
        <v>8.2650000000000006</v>
      </c>
      <c r="R4" s="67">
        <v>9.2249999999999996</v>
      </c>
      <c r="S4" s="67">
        <v>8.51</v>
      </c>
      <c r="T4" s="67">
        <v>8.9640000000000004</v>
      </c>
      <c r="U4" s="289">
        <v>8.6834074609999998</v>
      </c>
      <c r="V4" s="67">
        <v>9.082721943000001</v>
      </c>
      <c r="W4" s="67">
        <v>9.1706037610000006</v>
      </c>
      <c r="X4" s="67">
        <v>9.3717468240000006</v>
      </c>
      <c r="Y4" s="67">
        <v>9.8886585010000001</v>
      </c>
      <c r="Z4" s="67">
        <v>9.9056376560000015</v>
      </c>
      <c r="AA4" s="290">
        <v>9.8713488819999995</v>
      </c>
      <c r="AB4" s="290">
        <v>9.9175650139999991</v>
      </c>
      <c r="AC4" s="220">
        <v>9.9269490669999989</v>
      </c>
      <c r="AD4" s="67">
        <v>9.8404485380000004</v>
      </c>
      <c r="AE4" s="67">
        <v>10.167</v>
      </c>
      <c r="AF4" s="67">
        <v>10.505000000000001</v>
      </c>
      <c r="AG4" s="67">
        <v>10.849</v>
      </c>
      <c r="AH4" s="67">
        <v>7.3970000000000002</v>
      </c>
      <c r="AI4" s="110">
        <v>6.9690000000000003</v>
      </c>
      <c r="AJ4" s="125">
        <v>11.064</v>
      </c>
      <c r="AK4" s="125">
        <v>89.334925592504135</v>
      </c>
      <c r="AL4" s="125">
        <v>90.4</v>
      </c>
      <c r="AM4" s="125"/>
      <c r="AN4" s="126"/>
      <c r="AO4" s="126"/>
      <c r="AP4" s="246"/>
      <c r="AQ4" s="125">
        <v>89.668567650219003</v>
      </c>
      <c r="AR4" s="254">
        <v>94.193301922832035</v>
      </c>
      <c r="AS4" s="107"/>
      <c r="AT4" s="107"/>
      <c r="AU4" s="107"/>
      <c r="AV4" s="107"/>
      <c r="AW4" s="107"/>
    </row>
    <row r="5" spans="1:49" ht="12.75" customHeight="1">
      <c r="A5" s="83" t="s">
        <v>8</v>
      </c>
      <c r="B5" s="84">
        <v>6.2240000000000002</v>
      </c>
      <c r="C5" s="84">
        <v>7.0549999999999997</v>
      </c>
      <c r="D5" s="85">
        <v>7.7930000000000001</v>
      </c>
      <c r="E5" s="85">
        <v>4.8659999999999997</v>
      </c>
      <c r="F5" s="85">
        <v>5.3929999999999998</v>
      </c>
      <c r="G5" s="85">
        <v>5.8369999999999997</v>
      </c>
      <c r="H5" s="85">
        <v>5.0590000000000002</v>
      </c>
      <c r="I5" s="85">
        <v>4.6929999999999996</v>
      </c>
      <c r="J5" s="85">
        <v>5.0650000000000004</v>
      </c>
      <c r="K5" s="85">
        <v>5.8860000000000001</v>
      </c>
      <c r="L5" s="85">
        <v>4.74</v>
      </c>
      <c r="M5" s="85">
        <v>3.819</v>
      </c>
      <c r="N5" s="85">
        <v>3.472</v>
      </c>
      <c r="O5" s="85">
        <v>2.99</v>
      </c>
      <c r="P5" s="85">
        <v>2.5979999999999999</v>
      </c>
      <c r="Q5" s="85">
        <v>2.5169999999999999</v>
      </c>
      <c r="R5" s="85">
        <v>2.4039999999999999</v>
      </c>
      <c r="S5" s="85">
        <v>2.3889999999999998</v>
      </c>
      <c r="T5" s="85">
        <v>2.411</v>
      </c>
      <c r="U5" s="85">
        <v>2.4039999999999999</v>
      </c>
      <c r="V5" s="85">
        <v>2.3170000000000002</v>
      </c>
      <c r="W5" s="85">
        <v>2.1379999999999999</v>
      </c>
      <c r="X5" s="85">
        <v>2.09</v>
      </c>
      <c r="Y5" s="85">
        <v>2.0590000000000002</v>
      </c>
      <c r="Z5" s="85">
        <v>1.87</v>
      </c>
      <c r="AA5" s="85">
        <v>1.821</v>
      </c>
      <c r="AB5" s="85">
        <v>1.698</v>
      </c>
      <c r="AC5" s="85">
        <v>1.5489999999999999</v>
      </c>
      <c r="AD5" s="85">
        <v>1.4550000000000001</v>
      </c>
      <c r="AE5" s="85">
        <v>1.4339999999999999</v>
      </c>
      <c r="AF5" s="85">
        <v>1.476</v>
      </c>
      <c r="AG5" s="85">
        <v>1.52</v>
      </c>
      <c r="AH5" s="85">
        <v>1.1180000000000001</v>
      </c>
      <c r="AI5" s="147">
        <v>1.2030000000000001</v>
      </c>
      <c r="AJ5" s="125">
        <v>85.273416350839199</v>
      </c>
      <c r="AK5" s="125">
        <v>88.083470620538165</v>
      </c>
      <c r="AL5" s="125">
        <v>91.2</v>
      </c>
      <c r="AM5" s="125">
        <v>94.150238371343903</v>
      </c>
      <c r="AN5" s="125">
        <v>92.194252006310393</v>
      </c>
      <c r="AO5" s="125">
        <v>94.150238371343903</v>
      </c>
      <c r="AP5" s="125">
        <v>98.485872651074757</v>
      </c>
      <c r="AQ5" s="125">
        <v>98.116550728442093</v>
      </c>
      <c r="AR5" s="125">
        <v>99.383543285982327</v>
      </c>
      <c r="AS5" s="107"/>
      <c r="AT5" s="107"/>
      <c r="AU5" s="107"/>
      <c r="AV5" s="107"/>
      <c r="AW5" s="107"/>
    </row>
    <row r="6" spans="1:49" ht="12.75" customHeight="1">
      <c r="A6" s="65" t="s">
        <v>10</v>
      </c>
      <c r="B6" s="90"/>
      <c r="C6" s="90"/>
      <c r="D6" s="91">
        <v>13.313000000000001</v>
      </c>
      <c r="E6" s="122">
        <v>12.5</v>
      </c>
      <c r="F6" s="91">
        <v>11.147</v>
      </c>
      <c r="G6" s="91">
        <v>8.548</v>
      </c>
      <c r="H6" s="91">
        <v>8.4809999999999999</v>
      </c>
      <c r="I6" s="91">
        <v>8.0229999999999997</v>
      </c>
      <c r="J6" s="91">
        <v>8.1110000000000007</v>
      </c>
      <c r="K6" s="91">
        <v>7.71</v>
      </c>
      <c r="L6" s="91">
        <v>7.0010000000000003</v>
      </c>
      <c r="M6" s="91">
        <v>6.9290000000000003</v>
      </c>
      <c r="N6" s="91">
        <v>7.3</v>
      </c>
      <c r="O6" s="91">
        <v>7.2990000000000004</v>
      </c>
      <c r="P6" s="91">
        <v>6.5970000000000004</v>
      </c>
      <c r="Q6" s="91">
        <v>6.5179999999999998</v>
      </c>
      <c r="R6" s="91">
        <v>6.58</v>
      </c>
      <c r="S6" s="91">
        <v>6.6669999999999998</v>
      </c>
      <c r="T6" s="91">
        <v>6.9219999999999997</v>
      </c>
      <c r="U6" s="91">
        <v>6.8979999999999997</v>
      </c>
      <c r="V6" s="91">
        <v>6.7729999999999997</v>
      </c>
      <c r="W6" s="91">
        <v>6.4720000000000004</v>
      </c>
      <c r="X6" s="91">
        <v>6.5590000000000002</v>
      </c>
      <c r="Y6" s="91">
        <v>6.6689999999999996</v>
      </c>
      <c r="Z6" s="91">
        <v>7.1959999999999997</v>
      </c>
      <c r="AA6" s="91">
        <v>7.5119999999999996</v>
      </c>
      <c r="AB6" s="91">
        <v>7.6440000000000001</v>
      </c>
      <c r="AC6" s="91">
        <v>8.125</v>
      </c>
      <c r="AD6" s="91">
        <v>8.7379999999999995</v>
      </c>
      <c r="AE6" s="91">
        <v>9.4030000000000005</v>
      </c>
      <c r="AF6" s="91">
        <v>10.220000000000001</v>
      </c>
      <c r="AG6" s="91">
        <v>10.856</v>
      </c>
      <c r="AH6" s="91">
        <v>6.6230000000000002</v>
      </c>
      <c r="AI6" s="148">
        <v>6.7519999999999998</v>
      </c>
      <c r="AJ6" s="125">
        <v>92.307692307692307</v>
      </c>
      <c r="AK6" s="125"/>
      <c r="AL6" s="125">
        <v>93.2</v>
      </c>
      <c r="AM6" s="125">
        <v>99.998794919380103</v>
      </c>
      <c r="AN6" s="125">
        <v>94.990387877417206</v>
      </c>
      <c r="AO6" s="125">
        <v>84.3</v>
      </c>
      <c r="AP6" s="125">
        <v>85.827338129496411</v>
      </c>
      <c r="AQ6" s="125">
        <v>86.41428649845389</v>
      </c>
      <c r="AR6" s="125">
        <v>92.071402122932597</v>
      </c>
      <c r="AS6" s="107"/>
      <c r="AT6" s="107"/>
      <c r="AU6" s="107"/>
      <c r="AV6" s="107"/>
      <c r="AW6" s="107"/>
    </row>
    <row r="7" spans="1:49" ht="12.75" customHeight="1">
      <c r="A7" s="83" t="s">
        <v>21</v>
      </c>
      <c r="B7" s="84">
        <v>3.8980000000000001</v>
      </c>
      <c r="C7" s="84">
        <v>3.8029999999999999</v>
      </c>
      <c r="D7" s="85">
        <v>5.0510000000000002</v>
      </c>
      <c r="E7" s="85">
        <v>4.9130000000000003</v>
      </c>
      <c r="F7" s="85">
        <v>4.9740000000000002</v>
      </c>
      <c r="G7" s="85">
        <v>4.9390000000000001</v>
      </c>
      <c r="H7" s="85">
        <v>5.0519999999999996</v>
      </c>
      <c r="I7" s="85">
        <v>4.8879999999999999</v>
      </c>
      <c r="J7" s="85">
        <v>4.8209999999999997</v>
      </c>
      <c r="K7" s="85">
        <v>5.173</v>
      </c>
      <c r="L7" s="85">
        <v>5.3650000000000002</v>
      </c>
      <c r="M7" s="85">
        <v>5.31</v>
      </c>
      <c r="N7" s="85">
        <v>5.5369999999999999</v>
      </c>
      <c r="O7" s="85">
        <v>5.7210000000000001</v>
      </c>
      <c r="P7" s="85">
        <v>5.7450000000000001</v>
      </c>
      <c r="Q7" s="85">
        <v>5.8259999999999996</v>
      </c>
      <c r="R7" s="85">
        <v>5.9459999999999997</v>
      </c>
      <c r="S7" s="85">
        <v>5.9740000000000002</v>
      </c>
      <c r="T7" s="85">
        <v>6.11</v>
      </c>
      <c r="U7" s="85">
        <v>6.1760000000000002</v>
      </c>
      <c r="V7" s="85">
        <v>6.28</v>
      </c>
      <c r="W7" s="85">
        <v>6.1520000000000001</v>
      </c>
      <c r="X7" s="85">
        <v>6.3380000000000001</v>
      </c>
      <c r="Y7" s="85">
        <v>6.3650000000000002</v>
      </c>
      <c r="Z7" s="85">
        <v>6.5170000000000003</v>
      </c>
      <c r="AA7" s="85">
        <v>6.5510000000000002</v>
      </c>
      <c r="AB7" s="85">
        <v>6.5129999999999999</v>
      </c>
      <c r="AC7" s="85">
        <v>6.5060000000000002</v>
      </c>
      <c r="AD7" s="85">
        <v>6.3319999999999999</v>
      </c>
      <c r="AE7" s="85">
        <v>6.28</v>
      </c>
      <c r="AF7" s="85">
        <v>6.1970000000000001</v>
      </c>
      <c r="AG7" s="85">
        <v>6.1740000000000004</v>
      </c>
      <c r="AH7" s="85">
        <v>3.94</v>
      </c>
      <c r="AI7" s="147">
        <v>4.181</v>
      </c>
      <c r="AJ7" s="125">
        <v>90.592086535724448</v>
      </c>
      <c r="AK7" s="125">
        <v>95.972300734878459</v>
      </c>
      <c r="AL7" s="125">
        <v>100</v>
      </c>
      <c r="AM7" s="125">
        <v>100</v>
      </c>
      <c r="AN7" s="125">
        <v>100</v>
      </c>
      <c r="AO7" s="125"/>
      <c r="AP7" s="125">
        <v>100</v>
      </c>
      <c r="AQ7" s="125">
        <v>100</v>
      </c>
      <c r="AR7" s="125">
        <v>100</v>
      </c>
      <c r="AS7" s="107"/>
      <c r="AT7" s="107"/>
      <c r="AU7" s="107"/>
      <c r="AV7" s="107"/>
      <c r="AW7" s="107"/>
    </row>
    <row r="8" spans="1:49" ht="12.75" customHeight="1">
      <c r="A8" s="65" t="s">
        <v>26</v>
      </c>
      <c r="B8" s="90">
        <v>62.4</v>
      </c>
      <c r="C8" s="90">
        <v>62.499000000000002</v>
      </c>
      <c r="D8" s="91">
        <v>61.024000000000001</v>
      </c>
      <c r="E8" s="91">
        <v>67.31</v>
      </c>
      <c r="F8" s="105">
        <v>67.55</v>
      </c>
      <c r="G8" s="91">
        <v>63.360999999999997</v>
      </c>
      <c r="H8" s="91">
        <v>65.2</v>
      </c>
      <c r="I8" s="91">
        <v>70.977000000000004</v>
      </c>
      <c r="J8" s="91">
        <v>71.73</v>
      </c>
      <c r="K8" s="91">
        <v>72.402999999999992</v>
      </c>
      <c r="L8" s="91">
        <v>72.665999999999997</v>
      </c>
      <c r="M8" s="91">
        <v>73.795999999999992</v>
      </c>
      <c r="N8" s="91">
        <v>75.403999999999996</v>
      </c>
      <c r="O8" s="91">
        <v>75.753999999999991</v>
      </c>
      <c r="P8" s="91">
        <v>70.819000000000003</v>
      </c>
      <c r="Q8" s="91">
        <v>71.293000000000006</v>
      </c>
      <c r="R8" s="91">
        <v>72.900000000000006</v>
      </c>
      <c r="S8" s="91">
        <v>76.8</v>
      </c>
      <c r="T8" s="91">
        <v>79</v>
      </c>
      <c r="U8" s="91">
        <v>79.106999999999999</v>
      </c>
      <c r="V8" s="91">
        <v>82.538825000000003</v>
      </c>
      <c r="W8" s="91">
        <v>82.254000000000005</v>
      </c>
      <c r="X8" s="91">
        <v>83.891999999999996</v>
      </c>
      <c r="Y8" s="91">
        <v>85.412999999999997</v>
      </c>
      <c r="Z8" s="91">
        <v>88.795000000000002</v>
      </c>
      <c r="AA8" s="91">
        <v>89.614999999999995</v>
      </c>
      <c r="AB8" s="91">
        <v>90.975999999999999</v>
      </c>
      <c r="AC8" s="91">
        <v>91.709000000000003</v>
      </c>
      <c r="AD8" s="91">
        <v>94.195999999999998</v>
      </c>
      <c r="AE8" s="91">
        <v>95.55</v>
      </c>
      <c r="AF8" s="91">
        <v>98.2</v>
      </c>
      <c r="AG8" s="91">
        <v>100.252</v>
      </c>
      <c r="AH8" s="91">
        <v>57.786999999999999</v>
      </c>
      <c r="AI8" s="148">
        <v>57.518000000000001</v>
      </c>
      <c r="AJ8" s="125"/>
      <c r="AK8" s="125">
        <v>60.311042341965873</v>
      </c>
      <c r="AL8" s="125">
        <v>60.1</v>
      </c>
      <c r="AM8" s="125">
        <v>59.391965255157444</v>
      </c>
      <c r="AN8" s="125">
        <v>58.526315789473706</v>
      </c>
      <c r="AO8" s="125">
        <v>58.6</v>
      </c>
      <c r="AP8" s="125">
        <v>56.856856856856851</v>
      </c>
      <c r="AQ8" s="125">
        <v>56.073858114674501</v>
      </c>
      <c r="AR8" s="125">
        <v>59.663865546218489</v>
      </c>
      <c r="AS8" s="107"/>
      <c r="AT8" s="107"/>
      <c r="AU8" s="107"/>
      <c r="AV8" s="107"/>
      <c r="AW8" s="107"/>
    </row>
    <row r="9" spans="1:49" ht="12.75" customHeight="1">
      <c r="A9" s="83" t="s">
        <v>11</v>
      </c>
      <c r="B9" s="84">
        <v>1.2310000000000001</v>
      </c>
      <c r="C9" s="84">
        <v>1.5529999999999999</v>
      </c>
      <c r="D9" s="85">
        <v>1.51</v>
      </c>
      <c r="E9" s="85">
        <v>1.2729999999999999</v>
      </c>
      <c r="F9" s="85">
        <v>0.95</v>
      </c>
      <c r="G9" s="85">
        <v>0.72199999999999998</v>
      </c>
      <c r="H9" s="85">
        <v>0.53700000000000003</v>
      </c>
      <c r="I9" s="85">
        <v>0.42099999999999999</v>
      </c>
      <c r="J9" s="85">
        <v>0.309</v>
      </c>
      <c r="K9" s="85">
        <v>0.26200000000000001</v>
      </c>
      <c r="L9" s="85">
        <v>0.23599999999999999</v>
      </c>
      <c r="M9" s="85">
        <v>0.23799999999999999</v>
      </c>
      <c r="N9" s="85">
        <v>0.26100000000000001</v>
      </c>
      <c r="O9" s="85">
        <v>0.18264900000000001</v>
      </c>
      <c r="P9" s="85">
        <v>0.17695</v>
      </c>
      <c r="Q9" s="85">
        <v>0.181814</v>
      </c>
      <c r="R9" s="85">
        <v>0.193</v>
      </c>
      <c r="S9" s="85">
        <v>0.248</v>
      </c>
      <c r="T9" s="85">
        <v>0.25700000000000001</v>
      </c>
      <c r="U9" s="85">
        <v>0.27400000000000002</v>
      </c>
      <c r="V9" s="85">
        <v>0.27400000000000002</v>
      </c>
      <c r="W9" s="85">
        <v>0.249</v>
      </c>
      <c r="X9" s="85">
        <v>0.247</v>
      </c>
      <c r="Y9" s="85">
        <v>0.24299999999999999</v>
      </c>
      <c r="Z9" s="85">
        <v>0.23499999999999999</v>
      </c>
      <c r="AA9" s="85">
        <v>0.223</v>
      </c>
      <c r="AB9" s="85">
        <v>0.28000000000000003</v>
      </c>
      <c r="AC9" s="85">
        <v>0.28599999999999998</v>
      </c>
      <c r="AD9" s="85">
        <v>0.316</v>
      </c>
      <c r="AE9" s="85">
        <v>0.36599999999999999</v>
      </c>
      <c r="AF9" s="85">
        <v>0.41699999999999998</v>
      </c>
      <c r="AG9" s="85">
        <v>0.39200000000000002</v>
      </c>
      <c r="AH9" s="85">
        <v>0.26300000000000001</v>
      </c>
      <c r="AI9" s="147">
        <v>0.28999999999999998</v>
      </c>
      <c r="AJ9" s="125">
        <v>92.765957446808514</v>
      </c>
      <c r="AK9" s="125">
        <v>90.016143497757838</v>
      </c>
      <c r="AL9" s="125">
        <v>93.4</v>
      </c>
      <c r="AM9" s="125">
        <v>100</v>
      </c>
      <c r="AN9" s="125">
        <v>94.0057088487155</v>
      </c>
      <c r="AO9" s="125">
        <v>94.4</v>
      </c>
      <c r="AP9" s="125">
        <v>95.406854744695735</v>
      </c>
      <c r="AQ9" s="125">
        <v>94.803229061553992</v>
      </c>
      <c r="AR9" s="125">
        <v>100</v>
      </c>
      <c r="AS9" s="107"/>
      <c r="AT9" s="107"/>
      <c r="AU9" s="107"/>
      <c r="AV9" s="107"/>
      <c r="AW9" s="107"/>
    </row>
    <row r="10" spans="1:49" ht="12.75" customHeight="1">
      <c r="A10" s="65" t="s">
        <v>29</v>
      </c>
      <c r="B10" s="66">
        <v>0.58199999999999996</v>
      </c>
      <c r="C10" s="66">
        <v>1.032</v>
      </c>
      <c r="D10" s="67">
        <v>1.226</v>
      </c>
      <c r="E10" s="67">
        <v>1.29</v>
      </c>
      <c r="F10" s="67">
        <v>1.226</v>
      </c>
      <c r="G10" s="67">
        <v>1.274</v>
      </c>
      <c r="H10" s="67">
        <v>1.26</v>
      </c>
      <c r="I10" s="67">
        <v>1.2909999999999999</v>
      </c>
      <c r="J10" s="67">
        <v>1.2949999999999999</v>
      </c>
      <c r="K10" s="67">
        <v>1.387</v>
      </c>
      <c r="L10" s="67">
        <v>1.421</v>
      </c>
      <c r="M10" s="67">
        <v>1.458</v>
      </c>
      <c r="N10" s="67">
        <v>1.389</v>
      </c>
      <c r="O10" s="67">
        <v>1.5149999999999999</v>
      </c>
      <c r="P10" s="67">
        <v>1.6279999999999999</v>
      </c>
      <c r="Q10" s="67">
        <v>1.601</v>
      </c>
      <c r="R10" s="67">
        <v>1.5820000000000001</v>
      </c>
      <c r="S10" s="67">
        <v>1.7809999999999999</v>
      </c>
      <c r="T10" s="67">
        <v>1.8720000000000001</v>
      </c>
      <c r="U10" s="67">
        <v>2.0070000000000001</v>
      </c>
      <c r="V10" s="67">
        <v>1.976</v>
      </c>
      <c r="W10" s="67">
        <v>1.6830000000000001</v>
      </c>
      <c r="X10" s="67">
        <v>1.6779999999999999</v>
      </c>
      <c r="Y10" s="67">
        <v>1.6379999999999999</v>
      </c>
      <c r="Z10" s="67">
        <v>1.5780000000000001</v>
      </c>
      <c r="AA10" s="67">
        <v>1.569</v>
      </c>
      <c r="AB10" s="67">
        <v>1.728</v>
      </c>
      <c r="AC10" s="67">
        <v>1.9179999999999999</v>
      </c>
      <c r="AD10" s="67">
        <v>1.9910000000000001</v>
      </c>
      <c r="AE10" s="67">
        <v>2.1219999999999999</v>
      </c>
      <c r="AF10" s="67">
        <v>2.2810000000000001</v>
      </c>
      <c r="AG10" s="67">
        <v>2.399</v>
      </c>
      <c r="AH10" s="67">
        <v>0.83399999999999996</v>
      </c>
      <c r="AI10" s="110">
        <v>0.87</v>
      </c>
      <c r="AJ10" s="125">
        <v>93.931731984829327</v>
      </c>
      <c r="AK10" s="125">
        <v>100</v>
      </c>
      <c r="AL10" s="125"/>
      <c r="AM10" s="125"/>
      <c r="AN10" s="125">
        <v>95.306513409961696</v>
      </c>
      <c r="AO10" s="125">
        <v>100</v>
      </c>
      <c r="AP10" s="125">
        <v>100</v>
      </c>
      <c r="AQ10" s="125">
        <v>100</v>
      </c>
      <c r="AR10" s="125">
        <v>100</v>
      </c>
      <c r="AS10" s="107"/>
      <c r="AT10" s="107"/>
      <c r="AU10" s="107"/>
      <c r="AV10" s="107"/>
      <c r="AW10" s="107"/>
    </row>
    <row r="11" spans="1:49" ht="12.75" customHeight="1">
      <c r="A11" s="83" t="s">
        <v>22</v>
      </c>
      <c r="B11" s="84">
        <v>1.9510000000000001</v>
      </c>
      <c r="C11" s="84">
        <v>1.464</v>
      </c>
      <c r="D11" s="85">
        <v>1.9770000000000001</v>
      </c>
      <c r="E11" s="85">
        <v>1.9950000000000001</v>
      </c>
      <c r="F11" s="85">
        <v>2.0459999999999998</v>
      </c>
      <c r="G11" s="85">
        <v>1.726</v>
      </c>
      <c r="H11" s="85">
        <v>1.599</v>
      </c>
      <c r="I11" s="85">
        <v>1.5680000000000001</v>
      </c>
      <c r="J11" s="85">
        <v>1.7509999999999999</v>
      </c>
      <c r="K11" s="85">
        <v>1.8839999999999999</v>
      </c>
      <c r="L11" s="85">
        <v>1.552</v>
      </c>
      <c r="M11" s="85">
        <v>1.583</v>
      </c>
      <c r="N11" s="85">
        <v>1.8859999999999999</v>
      </c>
      <c r="O11" s="85">
        <v>1.7470000000000001</v>
      </c>
      <c r="P11" s="85">
        <v>1.8360000000000001</v>
      </c>
      <c r="Q11" s="85">
        <v>1.5740000000000001</v>
      </c>
      <c r="R11" s="85">
        <v>1.6679999999999999</v>
      </c>
      <c r="S11" s="85">
        <v>1.8540000000000001</v>
      </c>
      <c r="T11" s="85">
        <v>1.8109999999999999</v>
      </c>
      <c r="U11" s="85">
        <v>1.93</v>
      </c>
      <c r="V11" s="85">
        <v>1.657</v>
      </c>
      <c r="W11" s="85">
        <v>1.4670000000000001</v>
      </c>
      <c r="X11" s="85">
        <v>1.383</v>
      </c>
      <c r="Y11" s="85">
        <v>0.95799999999999996</v>
      </c>
      <c r="Z11" s="85">
        <v>0.83199999999999996</v>
      </c>
      <c r="AA11" s="85">
        <v>1.056</v>
      </c>
      <c r="AB11" s="85">
        <v>1.0720000000000001</v>
      </c>
      <c r="AC11" s="85">
        <v>1.2629999999999999</v>
      </c>
      <c r="AD11" s="85">
        <v>1.1919999999999999</v>
      </c>
      <c r="AE11" s="85">
        <v>1.1120000000000001</v>
      </c>
      <c r="AF11" s="85">
        <v>1.1040000000000001</v>
      </c>
      <c r="AG11" s="85">
        <v>1.252</v>
      </c>
      <c r="AH11" s="85">
        <v>0.64</v>
      </c>
      <c r="AI11" s="147">
        <v>0.65300000000000002</v>
      </c>
      <c r="AJ11" s="125">
        <v>100</v>
      </c>
      <c r="AK11" s="125"/>
      <c r="AL11" s="125"/>
      <c r="AM11" s="125">
        <v>93.013861386138615</v>
      </c>
      <c r="AN11" s="125">
        <v>97.283018867924497</v>
      </c>
      <c r="AO11" s="125">
        <v>97.5</v>
      </c>
      <c r="AP11" s="128">
        <v>97.52830351741423</v>
      </c>
      <c r="AQ11" s="125">
        <v>98.044068337857311</v>
      </c>
      <c r="AR11" s="125">
        <v>95.105740181268885</v>
      </c>
      <c r="AS11" s="107"/>
      <c r="AT11" s="107"/>
      <c r="AU11" s="107"/>
      <c r="AV11" s="107"/>
      <c r="AW11" s="107"/>
    </row>
    <row r="12" spans="1:49" ht="12.75" customHeight="1">
      <c r="A12" s="65" t="s">
        <v>27</v>
      </c>
      <c r="B12" s="66">
        <v>14.013</v>
      </c>
      <c r="C12" s="66">
        <v>13.526999999999999</v>
      </c>
      <c r="D12" s="67">
        <v>16.733000000000001</v>
      </c>
      <c r="E12" s="67">
        <v>16.356999999999999</v>
      </c>
      <c r="F12" s="67">
        <v>17.422000000000001</v>
      </c>
      <c r="G12" s="67">
        <v>16.486000000000001</v>
      </c>
      <c r="H12" s="67">
        <v>16.138999999999999</v>
      </c>
      <c r="I12" s="67">
        <v>16.594000000000001</v>
      </c>
      <c r="J12" s="73">
        <v>16.8</v>
      </c>
      <c r="K12" s="73">
        <v>17.878</v>
      </c>
      <c r="L12" s="73">
        <v>18.869</v>
      </c>
      <c r="M12" s="67">
        <v>19.655000000000001</v>
      </c>
      <c r="N12" s="67">
        <v>20.143999999999998</v>
      </c>
      <c r="O12" s="67">
        <v>20.827999999999999</v>
      </c>
      <c r="P12" s="67">
        <v>21.210999999999999</v>
      </c>
      <c r="Q12" s="67">
        <v>21.126999999999999</v>
      </c>
      <c r="R12" s="67">
        <v>20.385999999999999</v>
      </c>
      <c r="S12" s="67">
        <v>21.623999999999999</v>
      </c>
      <c r="T12" s="67">
        <v>22.105</v>
      </c>
      <c r="U12" s="67">
        <v>21.856999999999999</v>
      </c>
      <c r="V12" s="67">
        <v>23.969000000000001</v>
      </c>
      <c r="W12" s="67">
        <v>23.137</v>
      </c>
      <c r="X12" s="67">
        <v>22.456</v>
      </c>
      <c r="Y12" s="67">
        <v>22.795000000000002</v>
      </c>
      <c r="Z12" s="67">
        <v>22.475999999999999</v>
      </c>
      <c r="AA12" s="67">
        <v>23.788</v>
      </c>
      <c r="AB12" s="67">
        <v>25.071999999999999</v>
      </c>
      <c r="AC12" s="67">
        <v>26.141999999999999</v>
      </c>
      <c r="AD12" s="67">
        <v>26.670100000000001</v>
      </c>
      <c r="AE12" s="67">
        <v>27.515999999999998</v>
      </c>
      <c r="AF12" s="67">
        <v>28.42</v>
      </c>
      <c r="AG12" s="67">
        <v>28.847000000000001</v>
      </c>
      <c r="AH12" s="67">
        <v>12.06</v>
      </c>
      <c r="AI12" s="110">
        <v>17.001999999999999</v>
      </c>
      <c r="AJ12" s="125">
        <v>50.858063904427794</v>
      </c>
      <c r="AK12" s="125"/>
      <c r="AL12" s="125"/>
      <c r="AM12" s="125"/>
      <c r="AN12" s="125">
        <v>43.0469336918271</v>
      </c>
      <c r="AO12" s="125">
        <v>43.1</v>
      </c>
      <c r="AP12" s="125">
        <v>43.151015558278566</v>
      </c>
      <c r="AQ12" s="125">
        <v>42.508800234672897</v>
      </c>
      <c r="AR12" s="125">
        <v>52.4443650013406</v>
      </c>
      <c r="AS12" s="107"/>
      <c r="AT12" s="107"/>
      <c r="AU12" s="107"/>
      <c r="AV12" s="107"/>
      <c r="AW12" s="107"/>
    </row>
    <row r="13" spans="1:49" ht="12.75" customHeight="1">
      <c r="A13" s="83" t="s">
        <v>28</v>
      </c>
      <c r="B13" s="84">
        <v>40.978999999999999</v>
      </c>
      <c r="C13" s="84">
        <v>54.496000000000002</v>
      </c>
      <c r="D13" s="85">
        <v>53.8</v>
      </c>
      <c r="E13" s="85">
        <v>52.5</v>
      </c>
      <c r="F13" s="85">
        <v>53.1</v>
      </c>
      <c r="G13" s="85">
        <v>48.7</v>
      </c>
      <c r="H13" s="85">
        <v>49.7</v>
      </c>
      <c r="I13" s="85">
        <v>46.8</v>
      </c>
      <c r="J13" s="85">
        <v>50.7</v>
      </c>
      <c r="K13" s="85">
        <v>52.2</v>
      </c>
      <c r="L13" s="85">
        <v>55.7</v>
      </c>
      <c r="M13" s="85">
        <v>57</v>
      </c>
      <c r="N13" s="85">
        <v>74.900000000000006</v>
      </c>
      <c r="O13" s="85">
        <v>76.8</v>
      </c>
      <c r="P13" s="85">
        <v>78.599999999999994</v>
      </c>
      <c r="Q13" s="85">
        <v>76.599999999999994</v>
      </c>
      <c r="R13" s="85">
        <v>80.2</v>
      </c>
      <c r="S13" s="85">
        <v>82.3</v>
      </c>
      <c r="T13" s="85">
        <v>85.8</v>
      </c>
      <c r="U13" s="85">
        <v>87.9</v>
      </c>
      <c r="V13" s="85">
        <v>93.2</v>
      </c>
      <c r="W13" s="85">
        <v>92.3</v>
      </c>
      <c r="X13" s="85">
        <v>92.360490443466375</v>
      </c>
      <c r="Y13" s="85">
        <v>95.665294808858604</v>
      </c>
      <c r="Z13" s="85">
        <v>95.846013545981748</v>
      </c>
      <c r="AA13" s="85">
        <v>95.12491998741406</v>
      </c>
      <c r="AB13" s="85">
        <v>94.38455450514661</v>
      </c>
      <c r="AC13" s="85">
        <v>94.660380293154006</v>
      </c>
      <c r="AD13" s="85">
        <v>93.986694363820391</v>
      </c>
      <c r="AE13" s="85">
        <v>100.31763581999999</v>
      </c>
      <c r="AF13" s="85">
        <v>97.229068754000011</v>
      </c>
      <c r="AG13" s="85">
        <v>101.99364492999999</v>
      </c>
      <c r="AH13" s="85">
        <v>59.352133542000004</v>
      </c>
      <c r="AI13" s="147">
        <v>79.517142630999999</v>
      </c>
      <c r="AJ13" s="125">
        <v>37.609649122807014</v>
      </c>
      <c r="AK13" s="125">
        <v>37.086092715231786</v>
      </c>
      <c r="AL13" s="125">
        <v>38.200000000000003</v>
      </c>
      <c r="AM13" s="125">
        <v>37.655068573860099</v>
      </c>
      <c r="AN13" s="125">
        <v>38.027545281431301</v>
      </c>
      <c r="AO13" s="125">
        <v>40.4</v>
      </c>
      <c r="AP13" s="128">
        <v>40.407230128390459</v>
      </c>
      <c r="AQ13" s="125">
        <v>40.0796352479042</v>
      </c>
      <c r="AR13" s="125">
        <v>41.460462135507534</v>
      </c>
      <c r="AS13" s="107"/>
      <c r="AT13" s="107"/>
      <c r="AU13" s="107"/>
      <c r="AV13" s="107"/>
      <c r="AW13" s="107"/>
    </row>
    <row r="14" spans="1:49" ht="12.75" customHeight="1">
      <c r="A14" s="65" t="s">
        <v>39</v>
      </c>
      <c r="B14" s="66">
        <v>3.7320000000000002</v>
      </c>
      <c r="C14" s="66">
        <v>3.6190000000000002</v>
      </c>
      <c r="D14" s="67">
        <v>3.4289999999999998</v>
      </c>
      <c r="E14" s="67">
        <v>1.427</v>
      </c>
      <c r="F14" s="67">
        <v>1.145</v>
      </c>
      <c r="G14" s="67">
        <v>1.0940000000000001</v>
      </c>
      <c r="H14" s="67">
        <v>1.1819999999999999</v>
      </c>
      <c r="I14" s="67">
        <v>1.139</v>
      </c>
      <c r="J14" s="67">
        <v>1.2050000000000001</v>
      </c>
      <c r="K14" s="67">
        <v>1.1579999999999999</v>
      </c>
      <c r="L14" s="67">
        <v>1.0920000000000001</v>
      </c>
      <c r="M14" s="67">
        <v>1.137</v>
      </c>
      <c r="N14" s="67">
        <v>1.252</v>
      </c>
      <c r="O14" s="67">
        <v>1.2410000000000001</v>
      </c>
      <c r="P14" s="67">
        <v>1.1950000000000001</v>
      </c>
      <c r="Q14" s="67">
        <v>1.163</v>
      </c>
      <c r="R14" s="67">
        <v>1.169</v>
      </c>
      <c r="S14" s="67">
        <v>1.2270000000000001</v>
      </c>
      <c r="T14" s="67">
        <v>1.3220000000000001</v>
      </c>
      <c r="U14" s="67">
        <v>1.573</v>
      </c>
      <c r="V14" s="67">
        <v>1.7689999999999999</v>
      </c>
      <c r="W14" s="67">
        <v>1.802</v>
      </c>
      <c r="X14" s="67">
        <v>1.7110000000000001</v>
      </c>
      <c r="Y14" s="67">
        <v>1.4570000000000001</v>
      </c>
      <c r="Z14" s="67">
        <v>1.08</v>
      </c>
      <c r="AA14" s="67">
        <v>0.93500000000000005</v>
      </c>
      <c r="AB14" s="67">
        <v>0.91700000000000004</v>
      </c>
      <c r="AC14" s="67">
        <v>0.94099999999999995</v>
      </c>
      <c r="AD14" s="67">
        <v>0.82699999999999996</v>
      </c>
      <c r="AE14" s="67">
        <v>0.73599999999999999</v>
      </c>
      <c r="AF14" s="67">
        <v>0.747</v>
      </c>
      <c r="AG14" s="67">
        <v>0.72399999999999998</v>
      </c>
      <c r="AH14" s="67">
        <v>0.44800000000000001</v>
      </c>
      <c r="AI14" s="110">
        <v>0.53800000000000003</v>
      </c>
      <c r="AJ14" s="125"/>
      <c r="AK14" s="125">
        <v>100</v>
      </c>
      <c r="AL14" s="125">
        <v>100</v>
      </c>
      <c r="AM14" s="125">
        <v>100</v>
      </c>
      <c r="AN14" s="125">
        <v>100</v>
      </c>
      <c r="AO14" s="125">
        <v>99.2</v>
      </c>
      <c r="AP14" s="125">
        <v>98.80952380952381</v>
      </c>
      <c r="AQ14" s="125">
        <v>98.637602179836506</v>
      </c>
      <c r="AR14" s="125">
        <v>99.331848552338528</v>
      </c>
      <c r="AS14" s="107"/>
      <c r="AT14" s="107"/>
      <c r="AU14" s="107"/>
      <c r="AV14" s="107"/>
      <c r="AW14" s="107"/>
    </row>
    <row r="15" spans="1:49" ht="12.75" customHeight="1">
      <c r="A15" s="69" t="s">
        <v>30</v>
      </c>
      <c r="B15" s="74">
        <v>32.457000000000001</v>
      </c>
      <c r="C15" s="74">
        <v>39.587000000000003</v>
      </c>
      <c r="D15" s="70">
        <v>44.709000000000003</v>
      </c>
      <c r="E15" s="70">
        <v>45.064999999999998</v>
      </c>
      <c r="F15" s="70">
        <v>44.408999999999999</v>
      </c>
      <c r="G15" s="70">
        <v>42.72</v>
      </c>
      <c r="H15" s="81">
        <v>43.375</v>
      </c>
      <c r="I15" s="70">
        <f>43.859+2.792</f>
        <v>46.651000000000003</v>
      </c>
      <c r="J15" s="70">
        <f>44.78+2.8</f>
        <v>47.58</v>
      </c>
      <c r="K15" s="70">
        <f>43.591+2.8</f>
        <v>46.390999999999998</v>
      </c>
      <c r="L15" s="70">
        <f>41.391+2.8</f>
        <v>44.190999999999995</v>
      </c>
      <c r="M15" s="70">
        <f>43.424+2.878</f>
        <v>46.302</v>
      </c>
      <c r="N15" s="70">
        <f>47.133+2.439</f>
        <v>49.572000000000003</v>
      </c>
      <c r="O15" s="70">
        <f>46.752+3.324</f>
        <v>50.076000000000001</v>
      </c>
      <c r="P15" s="70">
        <f>45.956+3.348</f>
        <v>49.304000000000002</v>
      </c>
      <c r="Q15" s="70">
        <f>45.222+3.475</f>
        <v>48.697000000000003</v>
      </c>
      <c r="R15" s="70">
        <v>49.253999999999998</v>
      </c>
      <c r="S15" s="70">
        <v>50.088000000000001</v>
      </c>
      <c r="T15" s="70">
        <v>50.185000000000002</v>
      </c>
      <c r="U15" s="70">
        <v>49.78</v>
      </c>
      <c r="V15" s="70">
        <v>49.524000000000001</v>
      </c>
      <c r="W15" s="70">
        <v>48.124000000000002</v>
      </c>
      <c r="X15" s="70">
        <v>47.171999999999997</v>
      </c>
      <c r="Y15" s="70">
        <v>46.844999999999999</v>
      </c>
      <c r="Z15" s="70">
        <v>46.759</v>
      </c>
      <c r="AA15" s="70">
        <v>48.738999999999997</v>
      </c>
      <c r="AB15" s="70">
        <v>49.957000000000001</v>
      </c>
      <c r="AC15" s="70">
        <v>52.207000000000001</v>
      </c>
      <c r="AD15" s="70">
        <v>52.178064999999997</v>
      </c>
      <c r="AE15" s="70">
        <v>53.231000000000002</v>
      </c>
      <c r="AF15" s="70">
        <v>55.493000000000002</v>
      </c>
      <c r="AG15" s="70">
        <v>56.585999999999999</v>
      </c>
      <c r="AH15" s="70">
        <v>22.268999999999998</v>
      </c>
      <c r="AI15" s="150">
        <v>27.693000000000001</v>
      </c>
      <c r="AJ15" s="125">
        <v>51.367123467313611</v>
      </c>
      <c r="AK15" s="125">
        <v>61.089518687367381</v>
      </c>
      <c r="AL15" s="125">
        <v>66.7</v>
      </c>
      <c r="AM15" s="125">
        <v>60.161833826318691</v>
      </c>
      <c r="AN15" s="125">
        <v>56.630894182264399</v>
      </c>
      <c r="AO15" s="125">
        <v>57.3</v>
      </c>
      <c r="AP15" s="125">
        <v>55.934376085173668</v>
      </c>
      <c r="AQ15" s="125">
        <v>55.465390333224597</v>
      </c>
      <c r="AR15" s="125">
        <v>64.644838505993661</v>
      </c>
      <c r="AS15" s="107"/>
      <c r="AT15" s="107"/>
      <c r="AU15" s="107"/>
      <c r="AV15" s="107"/>
      <c r="AW15" s="107"/>
    </row>
    <row r="16" spans="1:49" ht="12.75" customHeight="1">
      <c r="A16" s="65" t="s">
        <v>9</v>
      </c>
      <c r="B16" s="114" t="s">
        <v>38</v>
      </c>
      <c r="C16" s="114" t="s">
        <v>38</v>
      </c>
      <c r="D16" s="115" t="s">
        <v>38</v>
      </c>
      <c r="E16" s="115" t="s">
        <v>38</v>
      </c>
      <c r="F16" s="115" t="s">
        <v>38</v>
      </c>
      <c r="G16" s="115" t="s">
        <v>38</v>
      </c>
      <c r="H16" s="115" t="s">
        <v>38</v>
      </c>
      <c r="I16" s="115" t="s">
        <v>38</v>
      </c>
      <c r="J16" s="115" t="s">
        <v>38</v>
      </c>
      <c r="K16" s="115" t="s">
        <v>38</v>
      </c>
      <c r="L16" s="115" t="s">
        <v>38</v>
      </c>
      <c r="M16" s="115" t="s">
        <v>38</v>
      </c>
      <c r="N16" s="115" t="s">
        <v>38</v>
      </c>
      <c r="O16" s="115" t="s">
        <v>38</v>
      </c>
      <c r="P16" s="115" t="s">
        <v>38</v>
      </c>
      <c r="Q16" s="115" t="s">
        <v>38</v>
      </c>
      <c r="R16" s="115" t="s">
        <v>38</v>
      </c>
      <c r="S16" s="115" t="s">
        <v>38</v>
      </c>
      <c r="T16" s="115" t="s">
        <v>38</v>
      </c>
      <c r="U16" s="115" t="s">
        <v>38</v>
      </c>
      <c r="V16" s="115" t="s">
        <v>38</v>
      </c>
      <c r="W16" s="115" t="s">
        <v>38</v>
      </c>
      <c r="X16" s="115" t="s">
        <v>38</v>
      </c>
      <c r="Y16" s="115" t="s">
        <v>38</v>
      </c>
      <c r="Z16" s="115" t="s">
        <v>38</v>
      </c>
      <c r="AA16" s="115" t="s">
        <v>38</v>
      </c>
      <c r="AB16" s="115" t="s">
        <v>38</v>
      </c>
      <c r="AC16" s="115" t="s">
        <v>38</v>
      </c>
      <c r="AD16" s="115" t="s">
        <v>38</v>
      </c>
      <c r="AE16" s="115" t="s">
        <v>38</v>
      </c>
      <c r="AF16" s="115" t="s">
        <v>38</v>
      </c>
      <c r="AG16" s="115" t="s">
        <v>38</v>
      </c>
      <c r="AH16" s="115" t="s">
        <v>38</v>
      </c>
      <c r="AI16" s="331" t="s">
        <v>38</v>
      </c>
      <c r="AJ16" s="125" t="s">
        <v>38</v>
      </c>
      <c r="AK16" s="125" t="s">
        <v>38</v>
      </c>
      <c r="AL16" s="125" t="s">
        <v>38</v>
      </c>
      <c r="AM16" s="125" t="s">
        <v>38</v>
      </c>
      <c r="AN16" s="125" t="s">
        <v>38</v>
      </c>
      <c r="AO16" s="125" t="s">
        <v>38</v>
      </c>
      <c r="AP16" s="125" t="s">
        <v>38</v>
      </c>
      <c r="AQ16" s="125" t="s">
        <v>38</v>
      </c>
      <c r="AR16" s="125" t="s">
        <v>38</v>
      </c>
      <c r="AS16" s="107"/>
      <c r="AT16" s="107"/>
      <c r="AU16" s="107"/>
      <c r="AV16" s="107"/>
      <c r="AW16" s="107"/>
    </row>
    <row r="17" spans="1:49" ht="12.75" customHeight="1">
      <c r="A17" s="69" t="s">
        <v>13</v>
      </c>
      <c r="B17" s="74">
        <v>3.7469999999999999</v>
      </c>
      <c r="C17" s="74">
        <v>4.6870000000000003</v>
      </c>
      <c r="D17" s="70">
        <v>5.3659999999999997</v>
      </c>
      <c r="E17" s="70">
        <v>3.93</v>
      </c>
      <c r="F17" s="70">
        <v>3.6560000000000001</v>
      </c>
      <c r="G17" s="70">
        <v>2.359</v>
      </c>
      <c r="H17" s="70">
        <v>1.794</v>
      </c>
      <c r="I17" s="70">
        <v>1.373</v>
      </c>
      <c r="J17" s="70">
        <v>1.149</v>
      </c>
      <c r="K17" s="70">
        <v>1.1539999999999999</v>
      </c>
      <c r="L17" s="70">
        <v>1.0589999999999999</v>
      </c>
      <c r="M17" s="70">
        <v>0.98399999999999999</v>
      </c>
      <c r="N17" s="70">
        <v>0.71499999999999997</v>
      </c>
      <c r="O17" s="70">
        <v>0.70599999999999996</v>
      </c>
      <c r="P17" s="70">
        <v>0.74399999999999999</v>
      </c>
      <c r="Q17" s="70">
        <v>0.76200000000000001</v>
      </c>
      <c r="R17" s="70">
        <v>0.80600000000000005</v>
      </c>
      <c r="S17" s="70">
        <v>0.88900000000000001</v>
      </c>
      <c r="T17" s="70">
        <v>0.98599999999999999</v>
      </c>
      <c r="U17" s="70">
        <v>0.97499999999999998</v>
      </c>
      <c r="V17" s="70">
        <v>0.94099999999999995</v>
      </c>
      <c r="W17" s="70">
        <v>0.748</v>
      </c>
      <c r="X17" s="70">
        <v>0.74099999999999999</v>
      </c>
      <c r="Y17" s="70">
        <v>0.73299999999999998</v>
      </c>
      <c r="Z17" s="70">
        <v>0.71699999999999997</v>
      </c>
      <c r="AA17" s="70">
        <v>0.72099999999999997</v>
      </c>
      <c r="AB17" s="70">
        <v>0.64400000000000002</v>
      </c>
      <c r="AC17" s="70">
        <v>0.59</v>
      </c>
      <c r="AD17" s="70">
        <v>0.58399999999999996</v>
      </c>
      <c r="AE17" s="70">
        <v>0.59599999999999997</v>
      </c>
      <c r="AF17" s="85">
        <v>0.624</v>
      </c>
      <c r="AG17" s="85">
        <v>0.64300000000000002</v>
      </c>
      <c r="AH17" s="85">
        <v>0.41299999999999998</v>
      </c>
      <c r="AI17" s="147">
        <v>0.36099999999999999</v>
      </c>
      <c r="AJ17" s="125">
        <v>88.275862068965523</v>
      </c>
      <c r="AK17" s="125">
        <v>88.520055325034576</v>
      </c>
      <c r="AL17" s="125">
        <v>89.8</v>
      </c>
      <c r="AM17" s="125">
        <v>91.832148900169202</v>
      </c>
      <c r="AN17" s="125">
        <v>93.12585499316009</v>
      </c>
      <c r="AO17" s="125">
        <v>92.9</v>
      </c>
      <c r="AP17" s="125">
        <v>93.304501041166105</v>
      </c>
      <c r="AQ17" s="125">
        <v>93.673247318513901</v>
      </c>
      <c r="AR17" s="125">
        <v>99.007984514880235</v>
      </c>
      <c r="AS17" s="107"/>
      <c r="AT17" s="107"/>
      <c r="AU17" s="107"/>
      <c r="AV17" s="107"/>
      <c r="AW17" s="107"/>
    </row>
    <row r="18" spans="1:49" ht="12.75" customHeight="1">
      <c r="A18" s="65" t="s">
        <v>14</v>
      </c>
      <c r="B18" s="66">
        <v>2.1320000000000001</v>
      </c>
      <c r="C18" s="66">
        <v>3.258</v>
      </c>
      <c r="D18" s="67">
        <v>3.64</v>
      </c>
      <c r="E18" s="67">
        <v>3.2250000000000001</v>
      </c>
      <c r="F18" s="67">
        <v>2.74</v>
      </c>
      <c r="G18" s="67">
        <v>2.7</v>
      </c>
      <c r="H18" s="67">
        <v>1.5740000000000001</v>
      </c>
      <c r="I18" s="67">
        <v>1.1299999999999999</v>
      </c>
      <c r="J18" s="67">
        <v>0.95399999999999996</v>
      </c>
      <c r="K18" s="67">
        <v>0.84199999999999997</v>
      </c>
      <c r="L18" s="67">
        <v>0.8</v>
      </c>
      <c r="M18" s="67">
        <v>0.745</v>
      </c>
      <c r="N18" s="67">
        <v>0.61099999999999999</v>
      </c>
      <c r="O18" s="67">
        <v>0.53300000000000003</v>
      </c>
      <c r="P18" s="67">
        <v>0.498</v>
      </c>
      <c r="Q18" s="67">
        <v>0.432</v>
      </c>
      <c r="R18" s="67">
        <v>0.44400000000000001</v>
      </c>
      <c r="S18" s="67">
        <v>0.28000000000000003</v>
      </c>
      <c r="T18" s="67">
        <v>0.26800000000000002</v>
      </c>
      <c r="U18" s="67">
        <v>0.246</v>
      </c>
      <c r="V18" s="67">
        <v>0.25800000000000001</v>
      </c>
      <c r="W18" s="67">
        <v>0.23100000000000001</v>
      </c>
      <c r="X18" s="67">
        <v>0.24399999999999999</v>
      </c>
      <c r="Y18" s="67">
        <v>0.26900000000000002</v>
      </c>
      <c r="Z18" s="67">
        <v>0.27800000000000002</v>
      </c>
      <c r="AA18" s="67">
        <v>0.27800000000000002</v>
      </c>
      <c r="AB18" s="67">
        <v>0.27</v>
      </c>
      <c r="AC18" s="67">
        <v>0.26200000000000001</v>
      </c>
      <c r="AD18" s="67">
        <v>0.28000000000000003</v>
      </c>
      <c r="AE18" s="67">
        <v>0.315</v>
      </c>
      <c r="AF18" s="67">
        <v>0.35399999999999998</v>
      </c>
      <c r="AG18" s="67">
        <v>0.35899999999999999</v>
      </c>
      <c r="AH18" s="67">
        <v>0.23699999999999999</v>
      </c>
      <c r="AI18" s="110">
        <v>0.28699999999999998</v>
      </c>
      <c r="AJ18" s="125">
        <v>100</v>
      </c>
      <c r="AK18" s="142">
        <v>64.514066496163679</v>
      </c>
      <c r="AL18" s="125">
        <v>67.2</v>
      </c>
      <c r="AM18" s="125">
        <v>68.69806094182826</v>
      </c>
      <c r="AN18" s="125">
        <v>67.424242424242394</v>
      </c>
      <c r="AO18" s="125">
        <v>71.3</v>
      </c>
      <c r="AP18" s="125">
        <v>72.441785943174537</v>
      </c>
      <c r="AQ18" s="125">
        <v>71.189979123173302</v>
      </c>
      <c r="AR18" s="125">
        <v>90</v>
      </c>
      <c r="AS18" s="107"/>
      <c r="AT18" s="107"/>
      <c r="AU18" s="107"/>
      <c r="AV18" s="107"/>
      <c r="AW18" s="107"/>
    </row>
    <row r="19" spans="1:49" ht="12.75" customHeight="1">
      <c r="A19" s="69" t="s">
        <v>31</v>
      </c>
      <c r="B19" s="74">
        <v>0.25600000000000001</v>
      </c>
      <c r="C19" s="74">
        <v>0.246</v>
      </c>
      <c r="D19" s="70">
        <v>0.20799999999999999</v>
      </c>
      <c r="E19" s="70">
        <v>0.22</v>
      </c>
      <c r="F19" s="70">
        <v>0.255</v>
      </c>
      <c r="G19" s="70">
        <v>0.26200000000000001</v>
      </c>
      <c r="H19" s="70">
        <v>0.28899999999999998</v>
      </c>
      <c r="I19" s="70">
        <v>0.28699999999999998</v>
      </c>
      <c r="J19" s="70">
        <v>0.28399999999999997</v>
      </c>
      <c r="K19" s="70">
        <v>0.29499999999999998</v>
      </c>
      <c r="L19" s="70">
        <v>0.3</v>
      </c>
      <c r="M19" s="70">
        <v>0.31</v>
      </c>
      <c r="N19" s="70">
        <v>0.33200000000000002</v>
      </c>
      <c r="O19" s="70">
        <v>0.34599999999999997</v>
      </c>
      <c r="P19" s="70">
        <v>0.26800000000000002</v>
      </c>
      <c r="Q19" s="70">
        <v>0.26200000000000001</v>
      </c>
      <c r="R19" s="70">
        <v>0.253</v>
      </c>
      <c r="S19" s="70">
        <v>0.26700000000000002</v>
      </c>
      <c r="T19" s="70">
        <v>0.29799999999999999</v>
      </c>
      <c r="U19" s="70">
        <v>0.316</v>
      </c>
      <c r="V19" s="70">
        <v>0.34499999999999997</v>
      </c>
      <c r="W19" s="70">
        <v>0.33300000000000002</v>
      </c>
      <c r="X19" s="70">
        <v>0.34699999999999998</v>
      </c>
      <c r="Y19" s="70">
        <v>0.34899999999999998</v>
      </c>
      <c r="Z19" s="70">
        <v>0.373</v>
      </c>
      <c r="AA19" s="70">
        <v>0.39400000000000002</v>
      </c>
      <c r="AB19" s="70">
        <v>0.36599999999999999</v>
      </c>
      <c r="AC19" s="70">
        <v>0.41799999999999998</v>
      </c>
      <c r="AD19" s="70">
        <v>0.41699999999999998</v>
      </c>
      <c r="AE19" s="70">
        <v>0.438</v>
      </c>
      <c r="AF19" s="85">
        <v>0.443</v>
      </c>
      <c r="AG19" s="85">
        <v>0.46300000000000002</v>
      </c>
      <c r="AH19" s="85">
        <v>0.26800000000000002</v>
      </c>
      <c r="AI19" s="147">
        <v>0.30399999999999999</v>
      </c>
      <c r="AJ19" s="128"/>
      <c r="AK19" s="125">
        <v>100</v>
      </c>
      <c r="AL19" s="125">
        <v>100</v>
      </c>
      <c r="AM19" s="125"/>
      <c r="AN19" s="125"/>
      <c r="AO19" s="125"/>
      <c r="AP19" s="125">
        <v>100</v>
      </c>
      <c r="AQ19" s="125">
        <v>100</v>
      </c>
      <c r="AR19" s="125">
        <v>100</v>
      </c>
      <c r="AS19" s="107"/>
      <c r="AT19" s="107"/>
      <c r="AU19" s="107"/>
      <c r="AV19" s="107"/>
      <c r="AW19" s="107"/>
    </row>
    <row r="20" spans="1:49" ht="12.75" customHeight="1">
      <c r="A20" s="65" t="s">
        <v>12</v>
      </c>
      <c r="B20" s="66">
        <v>16.350000000000001</v>
      </c>
      <c r="C20" s="66">
        <v>13.544</v>
      </c>
      <c r="D20" s="67">
        <v>11.403</v>
      </c>
      <c r="E20" s="67">
        <v>9.8610000000000007</v>
      </c>
      <c r="F20" s="67">
        <v>9.1829999999999998</v>
      </c>
      <c r="G20" s="67">
        <v>8.4320000000000004</v>
      </c>
      <c r="H20" s="67">
        <v>8.5079999999999991</v>
      </c>
      <c r="I20" s="67">
        <v>8.4410000000000007</v>
      </c>
      <c r="J20" s="67">
        <v>8.5820000000000007</v>
      </c>
      <c r="K20" s="67">
        <v>8.6690000000000005</v>
      </c>
      <c r="L20" s="67">
        <v>8.8840000000000003</v>
      </c>
      <c r="M20" s="67">
        <v>9.5139999999999993</v>
      </c>
      <c r="N20" s="67">
        <v>9.6929999999999996</v>
      </c>
      <c r="O20" s="67">
        <v>10.005000000000001</v>
      </c>
      <c r="P20" s="67">
        <v>10.531000000000001</v>
      </c>
      <c r="Q20" s="67">
        <v>10.286</v>
      </c>
      <c r="R20" s="67">
        <v>10.164999999999999</v>
      </c>
      <c r="S20" s="67">
        <v>9.8510000000000009</v>
      </c>
      <c r="T20" s="67">
        <v>9.6579999999999995</v>
      </c>
      <c r="U20" s="67">
        <v>8.7520000000000007</v>
      </c>
      <c r="V20" s="67">
        <v>8.2919999999999998</v>
      </c>
      <c r="W20" s="67">
        <v>8.0719999999999992</v>
      </c>
      <c r="X20" s="67">
        <v>7.681</v>
      </c>
      <c r="Y20" s="67">
        <v>7.7629999999999999</v>
      </c>
      <c r="Z20" s="67">
        <v>7.806</v>
      </c>
      <c r="AA20" s="67">
        <v>7.8419999999999996</v>
      </c>
      <c r="AB20" s="67">
        <v>7.7380000000000004</v>
      </c>
      <c r="AC20" s="67">
        <v>7.609</v>
      </c>
      <c r="AD20" s="67">
        <v>7.6529999999999996</v>
      </c>
      <c r="AE20" s="67">
        <v>7.7309999999999999</v>
      </c>
      <c r="AF20" s="67">
        <v>7.77</v>
      </c>
      <c r="AG20" s="67">
        <v>7.7519999999999998</v>
      </c>
      <c r="AH20" s="67">
        <v>4.8540000000000001</v>
      </c>
      <c r="AI20" s="110">
        <v>5.4349999999999996</v>
      </c>
      <c r="AJ20" s="125">
        <v>94.260089686098652</v>
      </c>
      <c r="AK20" s="125">
        <v>95.349135169762974</v>
      </c>
      <c r="AL20" s="125">
        <v>95.5</v>
      </c>
      <c r="AM20" s="125">
        <v>95.088271969547804</v>
      </c>
      <c r="AN20" s="125">
        <v>95.360083649196199</v>
      </c>
      <c r="AO20" s="125">
        <v>95.3</v>
      </c>
      <c r="AP20" s="125">
        <v>99.055231622710465</v>
      </c>
      <c r="AQ20" s="125">
        <v>99.274698328708794</v>
      </c>
      <c r="AR20" s="125">
        <v>99.355157708234628</v>
      </c>
      <c r="AS20" s="107"/>
      <c r="AT20" s="107"/>
      <c r="AU20" s="107"/>
      <c r="AV20" s="107"/>
      <c r="AW20" s="107"/>
    </row>
    <row r="21" spans="1:49" ht="12.75" customHeight="1">
      <c r="A21" s="69" t="s">
        <v>15</v>
      </c>
      <c r="B21" s="116" t="s">
        <v>38</v>
      </c>
      <c r="C21" s="116" t="s">
        <v>38</v>
      </c>
      <c r="D21" s="113" t="s">
        <v>38</v>
      </c>
      <c r="E21" s="113" t="s">
        <v>38</v>
      </c>
      <c r="F21" s="113" t="s">
        <v>38</v>
      </c>
      <c r="G21" s="113" t="s">
        <v>38</v>
      </c>
      <c r="H21" s="113" t="s">
        <v>38</v>
      </c>
      <c r="I21" s="113" t="s">
        <v>38</v>
      </c>
      <c r="J21" s="113" t="s">
        <v>38</v>
      </c>
      <c r="K21" s="113" t="s">
        <v>38</v>
      </c>
      <c r="L21" s="113" t="s">
        <v>38</v>
      </c>
      <c r="M21" s="113" t="s">
        <v>38</v>
      </c>
      <c r="N21" s="113" t="s">
        <v>38</v>
      </c>
      <c r="O21" s="113" t="s">
        <v>38</v>
      </c>
      <c r="P21" s="113" t="s">
        <v>38</v>
      </c>
      <c r="Q21" s="113" t="s">
        <v>38</v>
      </c>
      <c r="R21" s="113" t="s">
        <v>38</v>
      </c>
      <c r="S21" s="113" t="s">
        <v>38</v>
      </c>
      <c r="T21" s="113" t="s">
        <v>38</v>
      </c>
      <c r="U21" s="113" t="s">
        <v>38</v>
      </c>
      <c r="V21" s="113" t="s">
        <v>38</v>
      </c>
      <c r="W21" s="113" t="s">
        <v>38</v>
      </c>
      <c r="X21" s="113" t="s">
        <v>38</v>
      </c>
      <c r="Y21" s="113" t="s">
        <v>38</v>
      </c>
      <c r="Z21" s="113" t="s">
        <v>38</v>
      </c>
      <c r="AA21" s="113" t="s">
        <v>38</v>
      </c>
      <c r="AB21" s="113" t="s">
        <v>38</v>
      </c>
      <c r="AC21" s="113" t="s">
        <v>38</v>
      </c>
      <c r="AD21" s="113" t="s">
        <v>38</v>
      </c>
      <c r="AE21" s="113" t="s">
        <v>38</v>
      </c>
      <c r="AF21" s="113" t="s">
        <v>38</v>
      </c>
      <c r="AG21" s="113" t="s">
        <v>38</v>
      </c>
      <c r="AH21" s="113" t="s">
        <v>38</v>
      </c>
      <c r="AI21" s="384" t="s">
        <v>38</v>
      </c>
      <c r="AJ21" s="125" t="s">
        <v>38</v>
      </c>
      <c r="AK21" s="125" t="s">
        <v>38</v>
      </c>
      <c r="AL21" s="125" t="s">
        <v>38</v>
      </c>
      <c r="AM21" s="125" t="s">
        <v>38</v>
      </c>
      <c r="AN21" s="125" t="s">
        <v>38</v>
      </c>
      <c r="AO21" s="125" t="s">
        <v>38</v>
      </c>
      <c r="AP21" s="125" t="s">
        <v>38</v>
      </c>
      <c r="AQ21" s="125" t="s">
        <v>38</v>
      </c>
      <c r="AR21" s="125" t="s">
        <v>38</v>
      </c>
      <c r="AS21" s="107"/>
      <c r="AT21" s="107"/>
      <c r="AU21" s="107"/>
      <c r="AV21" s="107"/>
      <c r="AW21" s="107"/>
    </row>
    <row r="22" spans="1:49" ht="12.75" customHeight="1">
      <c r="A22" s="65" t="s">
        <v>23</v>
      </c>
      <c r="B22" s="66">
        <v>8.0109999999999992</v>
      </c>
      <c r="C22" s="66">
        <v>8.91</v>
      </c>
      <c r="D22" s="67">
        <v>11.06</v>
      </c>
      <c r="E22" s="67">
        <v>15.195</v>
      </c>
      <c r="F22" s="67">
        <v>15.35</v>
      </c>
      <c r="G22" s="67">
        <v>15.244999999999999</v>
      </c>
      <c r="H22" s="67">
        <v>14.439</v>
      </c>
      <c r="I22" s="67">
        <v>16.350000000000001</v>
      </c>
      <c r="J22" s="67">
        <v>14.092000000000001</v>
      </c>
      <c r="K22" s="67">
        <v>13.875</v>
      </c>
      <c r="L22" s="67">
        <v>14.106999999999999</v>
      </c>
      <c r="M22" s="67">
        <v>14.281000000000001</v>
      </c>
      <c r="N22" s="67">
        <v>14.666</v>
      </c>
      <c r="O22" s="67">
        <v>14.391999999999999</v>
      </c>
      <c r="P22" s="67">
        <v>14.288</v>
      </c>
      <c r="Q22" s="67">
        <v>13.848000000000001</v>
      </c>
      <c r="R22" s="67">
        <v>14.509</v>
      </c>
      <c r="S22" s="67">
        <v>15.153</v>
      </c>
      <c r="T22" s="67">
        <v>15.888999999999999</v>
      </c>
      <c r="U22" s="67">
        <v>16.324999999999999</v>
      </c>
      <c r="V22" s="67">
        <v>16.343</v>
      </c>
      <c r="W22" s="67">
        <v>16.454999999999998</v>
      </c>
      <c r="X22" s="67">
        <v>16.899999999999999</v>
      </c>
      <c r="Y22" s="67">
        <v>17.478999999999999</v>
      </c>
      <c r="Z22" s="67">
        <v>17.771000000000001</v>
      </c>
      <c r="AA22" s="67">
        <v>19.044</v>
      </c>
      <c r="AB22" s="67">
        <v>20.004999999999999</v>
      </c>
      <c r="AC22" s="67">
        <v>17.523</v>
      </c>
      <c r="AD22" s="67">
        <v>17.98</v>
      </c>
      <c r="AE22" s="67">
        <v>18.437000000000001</v>
      </c>
      <c r="AF22" s="67">
        <v>18.895</v>
      </c>
      <c r="AG22" s="67">
        <v>19.353000000000002</v>
      </c>
      <c r="AH22" s="67">
        <v>9.1649999999999991</v>
      </c>
      <c r="AI22" s="110">
        <v>10.853</v>
      </c>
      <c r="AJ22" s="125"/>
      <c r="AK22" s="125">
        <v>96.315580961005153</v>
      </c>
      <c r="AL22" s="125">
        <v>94.7</v>
      </c>
      <c r="AM22" s="125">
        <v>100</v>
      </c>
      <c r="AN22" s="125"/>
      <c r="AO22" s="125">
        <v>99.5</v>
      </c>
      <c r="AP22" s="125">
        <v>100</v>
      </c>
      <c r="AQ22" s="125">
        <v>100</v>
      </c>
      <c r="AR22" s="125">
        <v>100</v>
      </c>
      <c r="AS22" s="107"/>
      <c r="AT22" s="107"/>
      <c r="AU22" s="107"/>
      <c r="AV22" s="107"/>
      <c r="AW22" s="107"/>
    </row>
    <row r="23" spans="1:49" ht="12.75" customHeight="1">
      <c r="A23" s="69" t="s">
        <v>32</v>
      </c>
      <c r="B23" s="74">
        <v>6.4379999999999997</v>
      </c>
      <c r="C23" s="74">
        <v>7.5860000000000003</v>
      </c>
      <c r="D23" s="70">
        <v>8.9120000000000008</v>
      </c>
      <c r="E23" s="70">
        <v>9.59</v>
      </c>
      <c r="F23" s="70">
        <v>9.9570000000000007</v>
      </c>
      <c r="G23" s="70">
        <v>9.7639999999999993</v>
      </c>
      <c r="H23" s="70">
        <v>9.9489999999999998</v>
      </c>
      <c r="I23" s="70">
        <v>10.124000000000001</v>
      </c>
      <c r="J23" s="70">
        <v>10.222</v>
      </c>
      <c r="K23" s="70">
        <v>8.7089999999999996</v>
      </c>
      <c r="L23" s="70">
        <v>8.5370000000000008</v>
      </c>
      <c r="M23" s="70">
        <v>8.5540000000000003</v>
      </c>
      <c r="N23" s="70">
        <v>8.73978502490829</v>
      </c>
      <c r="O23" s="70">
        <v>8.7609313094415793</v>
      </c>
      <c r="P23" s="70">
        <v>8.8098526138045195</v>
      </c>
      <c r="Q23" s="70">
        <v>8.6731335633535007</v>
      </c>
      <c r="R23" s="70">
        <v>8.2739999999999991</v>
      </c>
      <c r="S23" s="70">
        <v>8.6850000000000005</v>
      </c>
      <c r="T23" s="70">
        <v>8.907</v>
      </c>
      <c r="U23" s="70">
        <v>9.1669999999999998</v>
      </c>
      <c r="V23" s="70">
        <v>10.365</v>
      </c>
      <c r="W23" s="70">
        <v>10.183999999999999</v>
      </c>
      <c r="X23" s="70">
        <v>10.263</v>
      </c>
      <c r="Y23" s="70">
        <v>10.778</v>
      </c>
      <c r="Z23" s="70">
        <v>11.211</v>
      </c>
      <c r="AA23" s="70">
        <v>11.804</v>
      </c>
      <c r="AB23" s="70">
        <v>11.981</v>
      </c>
      <c r="AC23" s="70">
        <v>12.103999999999999</v>
      </c>
      <c r="AD23" s="70">
        <v>12.497</v>
      </c>
      <c r="AE23" s="70">
        <v>12.561999999999999</v>
      </c>
      <c r="AF23" s="85">
        <v>13.122</v>
      </c>
      <c r="AG23" s="85">
        <v>13.252000000000001</v>
      </c>
      <c r="AH23" s="85">
        <v>7.375</v>
      </c>
      <c r="AI23" s="147">
        <v>8.3800000000000008</v>
      </c>
      <c r="AJ23" s="128"/>
      <c r="AK23" s="128"/>
      <c r="AL23" s="125">
        <v>71.099999999999994</v>
      </c>
      <c r="AM23" s="125">
        <v>69.107289107289105</v>
      </c>
      <c r="AN23" s="125">
        <v>69.391421870652309</v>
      </c>
      <c r="AO23" s="125">
        <v>67.8</v>
      </c>
      <c r="AP23" s="125">
        <v>66.882901616864814</v>
      </c>
      <c r="AQ23" s="125">
        <v>64.876497005988</v>
      </c>
      <c r="AR23" s="125">
        <v>86.313689007536851</v>
      </c>
      <c r="AS23" s="107"/>
      <c r="AT23" s="107"/>
      <c r="AU23" s="107"/>
      <c r="AV23" s="107"/>
      <c r="AW23" s="107"/>
    </row>
    <row r="24" spans="1:49" ht="12.75" customHeight="1">
      <c r="A24" s="65" t="s">
        <v>16</v>
      </c>
      <c r="B24" s="66">
        <v>36.890999999999998</v>
      </c>
      <c r="C24" s="66">
        <v>46.323999999999998</v>
      </c>
      <c r="D24" s="67">
        <v>50.372999999999998</v>
      </c>
      <c r="E24" s="67">
        <v>40.115000000000002</v>
      </c>
      <c r="F24" s="67">
        <v>32.570999999999998</v>
      </c>
      <c r="G24" s="67">
        <v>30.864999999999998</v>
      </c>
      <c r="H24" s="67">
        <v>27.61</v>
      </c>
      <c r="I24" s="67">
        <v>26.635000000000002</v>
      </c>
      <c r="J24" s="67">
        <v>26.568999999999999</v>
      </c>
      <c r="K24" s="67">
        <v>25.806000000000001</v>
      </c>
      <c r="L24" s="67">
        <v>25.664000000000001</v>
      </c>
      <c r="M24" s="67">
        <v>26.198</v>
      </c>
      <c r="N24" s="67">
        <v>24.091999999999999</v>
      </c>
      <c r="O24" s="67">
        <v>22.469000000000001</v>
      </c>
      <c r="P24" s="67">
        <v>20.748999999999999</v>
      </c>
      <c r="Q24" s="67">
        <v>19.638000000000002</v>
      </c>
      <c r="R24" s="67">
        <v>18.690000000000001</v>
      </c>
      <c r="S24" s="67">
        <v>18.157</v>
      </c>
      <c r="T24" s="67">
        <v>18.552</v>
      </c>
      <c r="U24" s="67">
        <v>19.859000000000002</v>
      </c>
      <c r="V24" s="67">
        <v>20.195</v>
      </c>
      <c r="W24" s="67">
        <v>18.637</v>
      </c>
      <c r="X24" s="67">
        <v>17.920999999999999</v>
      </c>
      <c r="Y24" s="67">
        <v>18.177</v>
      </c>
      <c r="Z24" s="67">
        <v>17.826000000000001</v>
      </c>
      <c r="AA24" s="67">
        <v>16.797000000000001</v>
      </c>
      <c r="AB24" s="67">
        <v>16.015000000000001</v>
      </c>
      <c r="AC24" s="67">
        <v>17.367000000000001</v>
      </c>
      <c r="AD24" s="67">
        <v>19.175000000000001</v>
      </c>
      <c r="AE24" s="67">
        <v>20.318999999999999</v>
      </c>
      <c r="AF24" s="67">
        <v>21.042999999999999</v>
      </c>
      <c r="AG24" s="67">
        <v>22.056000000000001</v>
      </c>
      <c r="AH24" s="67">
        <v>12.487</v>
      </c>
      <c r="AI24" s="110">
        <v>15.843999999999999</v>
      </c>
      <c r="AJ24" s="125">
        <v>81.909772752714645</v>
      </c>
      <c r="AK24" s="125">
        <v>86.513510296393278</v>
      </c>
      <c r="AL24" s="125">
        <v>86.2</v>
      </c>
      <c r="AM24" s="125">
        <v>82.21272664279941</v>
      </c>
      <c r="AN24" s="125">
        <v>85.438811665303902</v>
      </c>
      <c r="AO24" s="125">
        <v>88.9</v>
      </c>
      <c r="AP24" s="125">
        <v>88.556721725166327</v>
      </c>
      <c r="AQ24" s="125">
        <v>88.691960804876999</v>
      </c>
      <c r="AR24" s="125">
        <v>90.842024527749885</v>
      </c>
      <c r="AS24" s="107"/>
      <c r="AT24" s="107"/>
      <c r="AU24" s="107"/>
      <c r="AV24" s="107"/>
      <c r="AW24" s="107"/>
    </row>
    <row r="25" spans="1:49" ht="12.75" customHeight="1">
      <c r="A25" s="69" t="s">
        <v>33</v>
      </c>
      <c r="B25" s="74">
        <v>3.5459999999999998</v>
      </c>
      <c r="C25" s="74">
        <v>6.0759999999999996</v>
      </c>
      <c r="D25" s="70">
        <v>5.6639999999999997</v>
      </c>
      <c r="E25" s="70">
        <v>5.6920000000000002</v>
      </c>
      <c r="F25" s="70">
        <v>5.694</v>
      </c>
      <c r="G25" s="70">
        <v>5.3970000000000002</v>
      </c>
      <c r="H25" s="70">
        <v>5.1100000000000003</v>
      </c>
      <c r="I25" s="70">
        <v>4.8090000000000002</v>
      </c>
      <c r="J25" s="70">
        <v>4.5019999999999998</v>
      </c>
      <c r="K25" s="70">
        <v>4.5679999999999996</v>
      </c>
      <c r="L25" s="70">
        <v>4.601</v>
      </c>
      <c r="M25" s="70">
        <v>4.3289999999999997</v>
      </c>
      <c r="N25" s="71">
        <v>4.032</v>
      </c>
      <c r="O25" s="71">
        <v>3.992</v>
      </c>
      <c r="P25" s="70">
        <v>3.9249999999999998</v>
      </c>
      <c r="Q25" s="70">
        <v>3.7530000000000001</v>
      </c>
      <c r="R25" s="70">
        <v>3.7519999999999998</v>
      </c>
      <c r="S25" s="70">
        <v>3.8090000000000002</v>
      </c>
      <c r="T25" s="70">
        <v>3.8759999999999999</v>
      </c>
      <c r="U25" s="70">
        <v>3.9870000000000001</v>
      </c>
      <c r="V25" s="70">
        <v>4.2130000000000001</v>
      </c>
      <c r="W25" s="70">
        <v>4.2130000000000001</v>
      </c>
      <c r="X25" s="70">
        <v>4.1109999999999998</v>
      </c>
      <c r="Y25" s="70">
        <v>4.2370000000000001</v>
      </c>
      <c r="Z25" s="70">
        <v>3.8029999999999999</v>
      </c>
      <c r="AA25" s="70">
        <v>3.649</v>
      </c>
      <c r="AB25" s="70">
        <v>3.8519999999999999</v>
      </c>
      <c r="AC25" s="70">
        <v>3.9569999999999999</v>
      </c>
      <c r="AD25" s="70">
        <v>4.266</v>
      </c>
      <c r="AE25" s="70">
        <v>4.516</v>
      </c>
      <c r="AF25" s="85">
        <v>4.57</v>
      </c>
      <c r="AG25" s="85">
        <v>5.0549999999999997</v>
      </c>
      <c r="AH25" s="85">
        <v>2.5630000000000002</v>
      </c>
      <c r="AI25" s="147">
        <v>2.9119999999999999</v>
      </c>
      <c r="AJ25" s="125"/>
      <c r="AK25" s="125">
        <v>67.753424657534239</v>
      </c>
      <c r="AL25" s="125">
        <v>65</v>
      </c>
      <c r="AM25" s="125"/>
      <c r="AN25" s="125"/>
      <c r="AO25" s="125">
        <v>8.1999999999999993</v>
      </c>
      <c r="AP25" s="128">
        <v>8.1687692239112017</v>
      </c>
      <c r="AQ25" s="125">
        <v>10.5212199451347</v>
      </c>
      <c r="AR25" s="125">
        <v>90.275437840379254</v>
      </c>
      <c r="AS25" s="107"/>
      <c r="AT25" s="107"/>
      <c r="AU25" s="107"/>
      <c r="AV25" s="107"/>
      <c r="AW25" s="107"/>
    </row>
    <row r="26" spans="1:49" ht="12.75" customHeight="1">
      <c r="A26" s="65" t="s">
        <v>17</v>
      </c>
      <c r="B26" s="66">
        <v>17.792999999999999</v>
      </c>
      <c r="C26" s="66">
        <v>23.22</v>
      </c>
      <c r="D26" s="67">
        <v>30.582000000000001</v>
      </c>
      <c r="E26" s="67">
        <v>25.428999999999998</v>
      </c>
      <c r="F26" s="67">
        <v>24.268999999999998</v>
      </c>
      <c r="G26" s="67">
        <v>19.402000000000001</v>
      </c>
      <c r="H26" s="67">
        <v>18.312999999999999</v>
      </c>
      <c r="I26" s="67">
        <v>18.879000000000001</v>
      </c>
      <c r="J26" s="67">
        <v>18.356000000000002</v>
      </c>
      <c r="K26" s="67">
        <v>15.794</v>
      </c>
      <c r="L26" s="67">
        <v>13.422000000000001</v>
      </c>
      <c r="M26" s="67">
        <v>12.304</v>
      </c>
      <c r="N26" s="67">
        <v>11.632</v>
      </c>
      <c r="O26" s="67">
        <v>10.965</v>
      </c>
      <c r="P26" s="67">
        <v>8.5020000000000007</v>
      </c>
      <c r="Q26" s="67">
        <v>8.4969999999999999</v>
      </c>
      <c r="R26" s="67">
        <v>8.6379999999999999</v>
      </c>
      <c r="S26" s="67">
        <v>7.9850000000000003</v>
      </c>
      <c r="T26" s="67">
        <v>8.0920000000000005</v>
      </c>
      <c r="U26" s="67">
        <v>7.476</v>
      </c>
      <c r="V26" s="67">
        <v>6.9580000000000002</v>
      </c>
      <c r="W26" s="67">
        <v>6.1280000000000001</v>
      </c>
      <c r="X26" s="67">
        <v>5.4370000000000003</v>
      </c>
      <c r="Y26" s="67">
        <v>5.0730000000000004</v>
      </c>
      <c r="Z26" s="67">
        <v>4.5709999999999997</v>
      </c>
      <c r="AA26" s="67">
        <v>4.4109999999999996</v>
      </c>
      <c r="AB26" s="67">
        <v>4.976</v>
      </c>
      <c r="AC26" s="67">
        <v>5.149</v>
      </c>
      <c r="AD26" s="67">
        <v>4.9880000000000004</v>
      </c>
      <c r="AE26" s="67">
        <v>5.6630000000000003</v>
      </c>
      <c r="AF26" s="67">
        <v>5.577</v>
      </c>
      <c r="AG26" s="67">
        <v>5.9059999999999997</v>
      </c>
      <c r="AH26" s="67">
        <v>3.72</v>
      </c>
      <c r="AI26" s="67">
        <v>4.2709999999999999</v>
      </c>
      <c r="AJ26" s="125">
        <v>94.597550306211716</v>
      </c>
      <c r="AK26" s="125">
        <v>96.425379803395899</v>
      </c>
      <c r="AL26" s="125">
        <v>95.4</v>
      </c>
      <c r="AM26" s="125">
        <v>100</v>
      </c>
      <c r="AN26" s="125">
        <v>100</v>
      </c>
      <c r="AO26" s="125"/>
      <c r="AP26" s="125"/>
      <c r="AQ26" s="125"/>
      <c r="AR26" s="125">
        <v>100</v>
      </c>
      <c r="AS26" s="107"/>
      <c r="AT26" s="107"/>
      <c r="AU26" s="107"/>
      <c r="AV26" s="107"/>
      <c r="AW26" s="107"/>
    </row>
    <row r="27" spans="1:49" ht="12.75" customHeight="1">
      <c r="A27" s="69" t="s">
        <v>19</v>
      </c>
      <c r="B27" s="74">
        <v>1.38</v>
      </c>
      <c r="C27" s="74">
        <v>1.4359999999999999</v>
      </c>
      <c r="D27" s="70">
        <v>1.429</v>
      </c>
      <c r="E27" s="70">
        <v>0.81399999999999995</v>
      </c>
      <c r="F27" s="70">
        <v>0.54700000000000004</v>
      </c>
      <c r="G27" s="70">
        <v>0.56599999999999995</v>
      </c>
      <c r="H27" s="70">
        <v>0.59</v>
      </c>
      <c r="I27" s="70">
        <v>0.59499999999999997</v>
      </c>
      <c r="J27" s="70">
        <v>0.61299999999999999</v>
      </c>
      <c r="K27" s="70">
        <v>0.61599999999999999</v>
      </c>
      <c r="L27" s="70">
        <v>0.64500000000000002</v>
      </c>
      <c r="M27" s="70">
        <v>0.623</v>
      </c>
      <c r="N27" s="70">
        <v>0.70499999999999996</v>
      </c>
      <c r="O27" s="70">
        <v>0.71499999999999997</v>
      </c>
      <c r="P27" s="70">
        <v>0.749</v>
      </c>
      <c r="Q27" s="70">
        <v>0.77700000000000002</v>
      </c>
      <c r="R27" s="70">
        <v>0.69499999999999995</v>
      </c>
      <c r="S27" s="70">
        <v>0.71599999999999997</v>
      </c>
      <c r="T27" s="70">
        <v>0.72399999999999998</v>
      </c>
      <c r="U27" s="70">
        <v>0.74</v>
      </c>
      <c r="V27" s="70">
        <v>0.76500000000000001</v>
      </c>
      <c r="W27" s="70">
        <v>0.77300000000000002</v>
      </c>
      <c r="X27" s="70">
        <v>0.72899999999999998</v>
      </c>
      <c r="Y27" s="70">
        <v>0.68899999999999995</v>
      </c>
      <c r="Z27" s="70">
        <v>0.65900000000000003</v>
      </c>
      <c r="AA27" s="70">
        <v>0.67900000000000005</v>
      </c>
      <c r="AB27" s="70">
        <v>0.62</v>
      </c>
      <c r="AC27" s="70">
        <v>0.628</v>
      </c>
      <c r="AD27" s="70">
        <v>0.61099999999999999</v>
      </c>
      <c r="AE27" s="70">
        <v>0.56999999999999995</v>
      </c>
      <c r="AF27" s="85">
        <v>0.56799999999999995</v>
      </c>
      <c r="AG27" s="85">
        <v>0.57199999999999995</v>
      </c>
      <c r="AH27" s="85">
        <v>0.33800000000000002</v>
      </c>
      <c r="AI27" s="85">
        <v>0.504</v>
      </c>
      <c r="AJ27" s="125">
        <v>83.870967741935488</v>
      </c>
      <c r="AK27" s="142">
        <v>98.291721419185279</v>
      </c>
      <c r="AL27" s="125">
        <v>98.5</v>
      </c>
      <c r="AM27" s="125">
        <v>94.555712270803951</v>
      </c>
      <c r="AN27" s="125">
        <v>97.412145272754003</v>
      </c>
      <c r="AO27" s="125">
        <v>98.4</v>
      </c>
      <c r="AP27" s="125">
        <v>98.475377344107329</v>
      </c>
      <c r="AQ27" s="125">
        <v>98.567950737505399</v>
      </c>
      <c r="AR27" s="125">
        <v>90.929705215419503</v>
      </c>
      <c r="AS27" s="107"/>
      <c r="AT27" s="107"/>
      <c r="AU27" s="107"/>
      <c r="AV27" s="107"/>
      <c r="AW27" s="107"/>
    </row>
    <row r="28" spans="1:49" ht="12.75" customHeight="1">
      <c r="A28" s="65" t="s">
        <v>18</v>
      </c>
      <c r="B28" s="66"/>
      <c r="C28" s="66"/>
      <c r="D28" s="67">
        <v>6.3810000000000002</v>
      </c>
      <c r="E28" s="67">
        <v>6.0019999999999998</v>
      </c>
      <c r="F28" s="67">
        <v>5.4530000000000003</v>
      </c>
      <c r="G28" s="67">
        <v>4.569</v>
      </c>
      <c r="H28" s="67">
        <v>4.548</v>
      </c>
      <c r="I28" s="67">
        <v>4.202</v>
      </c>
      <c r="J28" s="67">
        <v>3.7690000000000001</v>
      </c>
      <c r="K28" s="67">
        <v>3.0950000000000002</v>
      </c>
      <c r="L28" s="67">
        <v>3.0920000000000001</v>
      </c>
      <c r="M28" s="67">
        <v>2.968</v>
      </c>
      <c r="N28" s="67">
        <v>2.87</v>
      </c>
      <c r="O28" s="67">
        <v>2.8050000000000002</v>
      </c>
      <c r="P28" s="67">
        <v>2.6819999999999999</v>
      </c>
      <c r="Q28" s="67">
        <v>2.3159999999999998</v>
      </c>
      <c r="R28" s="67">
        <v>2.2280000000000002</v>
      </c>
      <c r="S28" s="67">
        <v>2.1819999999999999</v>
      </c>
      <c r="T28" s="67">
        <v>2.2130000000000001</v>
      </c>
      <c r="U28" s="67">
        <v>2.165</v>
      </c>
      <c r="V28" s="67">
        <v>2.2959999999999998</v>
      </c>
      <c r="W28" s="67">
        <v>2.2639999999999998</v>
      </c>
      <c r="X28" s="67">
        <v>2.3090000000000002</v>
      </c>
      <c r="Y28" s="67">
        <v>2.431</v>
      </c>
      <c r="Z28" s="67">
        <v>2.4590000000000001</v>
      </c>
      <c r="AA28" s="67">
        <v>2.4849999999999999</v>
      </c>
      <c r="AB28" s="67">
        <v>2.5830000000000002</v>
      </c>
      <c r="AC28" s="67">
        <v>3.411</v>
      </c>
      <c r="AD28" s="67">
        <v>3.484</v>
      </c>
      <c r="AE28" s="67">
        <v>3.754</v>
      </c>
      <c r="AF28" s="67">
        <v>3.7919999999999998</v>
      </c>
      <c r="AG28" s="67">
        <v>3.9569999999999999</v>
      </c>
      <c r="AH28" s="67">
        <v>2.133</v>
      </c>
      <c r="AI28" s="67">
        <v>1.9690000000000001</v>
      </c>
      <c r="AJ28" s="125">
        <v>92.288557213930346</v>
      </c>
      <c r="AK28" s="125">
        <v>90.214698596201487</v>
      </c>
      <c r="AL28" s="125">
        <v>91</v>
      </c>
      <c r="AM28" s="125">
        <v>99.7</v>
      </c>
      <c r="AN28" s="125">
        <v>91.718960107575072</v>
      </c>
      <c r="AO28" s="125">
        <v>93.6</v>
      </c>
      <c r="AP28" s="125">
        <v>91.489892687796356</v>
      </c>
      <c r="AQ28" s="125">
        <v>74</v>
      </c>
      <c r="AR28" s="125">
        <v>97.042233492913681</v>
      </c>
      <c r="AS28" s="107"/>
      <c r="AT28" s="107"/>
      <c r="AU28" s="107"/>
      <c r="AV28" s="107"/>
      <c r="AW28" s="107"/>
    </row>
    <row r="29" spans="1:49" ht="12.75" customHeight="1">
      <c r="A29" s="69" t="s">
        <v>34</v>
      </c>
      <c r="B29" s="74">
        <v>2.1560000000000001</v>
      </c>
      <c r="C29" s="74">
        <v>3.2160000000000002</v>
      </c>
      <c r="D29" s="70">
        <v>3.331</v>
      </c>
      <c r="E29" s="70">
        <v>3.23</v>
      </c>
      <c r="F29" s="70">
        <v>3.0569999999999999</v>
      </c>
      <c r="G29" s="70">
        <v>3.0070000000000001</v>
      </c>
      <c r="H29" s="70">
        <v>3.0369999999999999</v>
      </c>
      <c r="I29" s="70">
        <v>3.1840000000000002</v>
      </c>
      <c r="J29" s="70">
        <v>3.254</v>
      </c>
      <c r="K29" s="70">
        <v>3.3759999999999999</v>
      </c>
      <c r="L29" s="70">
        <v>3.3769999999999998</v>
      </c>
      <c r="M29" s="70">
        <v>3.415</v>
      </c>
      <c r="N29" s="70">
        <v>3.4049999999999998</v>
      </c>
      <c r="O29" s="70">
        <v>3.282</v>
      </c>
      <c r="P29" s="70">
        <v>3.3180000000000001</v>
      </c>
      <c r="Q29" s="70">
        <v>3.3380000000000001</v>
      </c>
      <c r="R29" s="70">
        <v>3.3519999999999999</v>
      </c>
      <c r="S29" s="70">
        <v>3.4780000000000002</v>
      </c>
      <c r="T29" s="70">
        <v>3.54</v>
      </c>
      <c r="U29" s="70">
        <v>3.778</v>
      </c>
      <c r="V29" s="70">
        <v>4.0519999999999996</v>
      </c>
      <c r="W29" s="70">
        <v>3.8759999999999999</v>
      </c>
      <c r="X29" s="70">
        <v>3.9590000000000001</v>
      </c>
      <c r="Y29" s="70">
        <v>3.8820000000000001</v>
      </c>
      <c r="Z29" s="70">
        <v>4.0350000000000001</v>
      </c>
      <c r="AA29" s="70">
        <v>4.0529999999999999</v>
      </c>
      <c r="AB29" s="70">
        <v>3.8740000000000001</v>
      </c>
      <c r="AC29" s="70">
        <v>4.1139999999999999</v>
      </c>
      <c r="AD29" s="70">
        <v>3.8679999999999999</v>
      </c>
      <c r="AE29" s="70">
        <v>4.2709999999999999</v>
      </c>
      <c r="AF29" s="85">
        <v>4.5350000000000001</v>
      </c>
      <c r="AG29" s="85">
        <v>4.9240000000000004</v>
      </c>
      <c r="AH29" s="85">
        <v>2.82</v>
      </c>
      <c r="AI29" s="85">
        <v>2.903</v>
      </c>
      <c r="AJ29" s="125">
        <v>96.827757125154903</v>
      </c>
      <c r="AK29" s="125">
        <v>96.175672341475405</v>
      </c>
      <c r="AL29" s="125">
        <v>96.5</v>
      </c>
      <c r="AM29" s="125">
        <v>97.301239970824213</v>
      </c>
      <c r="AN29" s="125">
        <v>96.975180972078604</v>
      </c>
      <c r="AO29" s="125">
        <v>96.7</v>
      </c>
      <c r="AP29" s="125">
        <v>96.846747519294368</v>
      </c>
      <c r="AQ29" s="125">
        <v>96.649065800162504</v>
      </c>
      <c r="AR29" s="125">
        <v>98.900709219858157</v>
      </c>
      <c r="AS29" s="107"/>
      <c r="AT29" s="107"/>
      <c r="AU29" s="107"/>
      <c r="AV29" s="107"/>
      <c r="AW29" s="107"/>
    </row>
    <row r="30" spans="1:49" ht="12.75" customHeight="1">
      <c r="A30" s="187" t="s">
        <v>35</v>
      </c>
      <c r="B30" s="188">
        <v>4.6399999999999997</v>
      </c>
      <c r="C30" s="188">
        <v>6.9980000000000002</v>
      </c>
      <c r="D30" s="167">
        <v>6.6</v>
      </c>
      <c r="E30" s="167">
        <v>5.9850000000000003</v>
      </c>
      <c r="F30" s="167">
        <v>5.9630000000000001</v>
      </c>
      <c r="G30" s="167">
        <v>6.4219999999999997</v>
      </c>
      <c r="H30" s="167">
        <v>6.5069999999999997</v>
      </c>
      <c r="I30" s="167">
        <v>6.8390000000000004</v>
      </c>
      <c r="J30" s="167">
        <v>6.97</v>
      </c>
      <c r="K30" s="167">
        <v>7.0389999999999997</v>
      </c>
      <c r="L30" s="167">
        <v>7.23</v>
      </c>
      <c r="M30" s="167">
        <v>7.7009999999999996</v>
      </c>
      <c r="N30" s="167">
        <v>8.2430000000000003</v>
      </c>
      <c r="O30" s="167">
        <v>8.7319999999999993</v>
      </c>
      <c r="P30" s="167">
        <v>8.8740000000000006</v>
      </c>
      <c r="Q30" s="167">
        <v>8.8339999999999996</v>
      </c>
      <c r="R30" s="167">
        <v>8.6340000000000003</v>
      </c>
      <c r="S30" s="167">
        <v>8.91</v>
      </c>
      <c r="T30" s="167">
        <v>9.6170000000000009</v>
      </c>
      <c r="U30" s="167">
        <v>10.260999999999999</v>
      </c>
      <c r="V30" s="167">
        <v>11.146000000000001</v>
      </c>
      <c r="W30" s="167">
        <v>11.321</v>
      </c>
      <c r="X30" s="167">
        <v>11.154999999999999</v>
      </c>
      <c r="Y30" s="167">
        <v>11.379</v>
      </c>
      <c r="Z30" s="167">
        <v>11.792</v>
      </c>
      <c r="AA30" s="167">
        <v>11.842000000000001</v>
      </c>
      <c r="AB30" s="167">
        <v>12.121</v>
      </c>
      <c r="AC30" s="167">
        <v>12.741</v>
      </c>
      <c r="AD30" s="167">
        <v>12.8</v>
      </c>
      <c r="AE30" s="167">
        <v>13.331</v>
      </c>
      <c r="AF30" s="167">
        <v>13.547000000000001</v>
      </c>
      <c r="AG30" s="190">
        <v>14.617000000000001</v>
      </c>
      <c r="AH30" s="190">
        <v>8.1289999999999996</v>
      </c>
      <c r="AI30" s="234">
        <v>8.0269999999999992</v>
      </c>
      <c r="AJ30" s="189">
        <v>46.530332848464106</v>
      </c>
      <c r="AK30" s="189">
        <v>50</v>
      </c>
      <c r="AL30" s="189">
        <v>49.8</v>
      </c>
      <c r="AM30" s="189">
        <v>49.941134918766188</v>
      </c>
      <c r="AN30" s="180">
        <v>49.4453125</v>
      </c>
      <c r="AO30" s="180">
        <v>51.3</v>
      </c>
      <c r="AP30" s="247">
        <v>50.313722595408571</v>
      </c>
      <c r="AQ30" s="247">
        <v>53.027296982964998</v>
      </c>
      <c r="AR30" s="247">
        <v>61.114528232254898</v>
      </c>
      <c r="AS30" s="107"/>
      <c r="AT30" s="107"/>
      <c r="AU30" s="107"/>
      <c r="AV30" s="107"/>
      <c r="AW30" s="107"/>
    </row>
    <row r="31" spans="1:49" ht="12.75" customHeight="1">
      <c r="A31" s="69" t="s">
        <v>6</v>
      </c>
      <c r="B31" s="111" t="s">
        <v>38</v>
      </c>
      <c r="C31" s="111" t="s">
        <v>38</v>
      </c>
      <c r="D31" s="112" t="s">
        <v>38</v>
      </c>
      <c r="E31" s="112" t="s">
        <v>38</v>
      </c>
      <c r="F31" s="112" t="s">
        <v>38</v>
      </c>
      <c r="G31" s="112" t="s">
        <v>38</v>
      </c>
      <c r="H31" s="112" t="s">
        <v>38</v>
      </c>
      <c r="I31" s="112" t="s">
        <v>38</v>
      </c>
      <c r="J31" s="112" t="s">
        <v>38</v>
      </c>
      <c r="K31" s="112" t="s">
        <v>38</v>
      </c>
      <c r="L31" s="112" t="s">
        <v>38</v>
      </c>
      <c r="M31" s="112" t="s">
        <v>38</v>
      </c>
      <c r="N31" s="112" t="s">
        <v>38</v>
      </c>
      <c r="O31" s="112" t="s">
        <v>38</v>
      </c>
      <c r="P31" s="112" t="s">
        <v>38</v>
      </c>
      <c r="Q31" s="112" t="s">
        <v>38</v>
      </c>
      <c r="R31" s="112" t="s">
        <v>38</v>
      </c>
      <c r="S31" s="112" t="s">
        <v>38</v>
      </c>
      <c r="T31" s="112" t="s">
        <v>38</v>
      </c>
      <c r="U31" s="112" t="s">
        <v>38</v>
      </c>
      <c r="V31" s="112" t="s">
        <v>38</v>
      </c>
      <c r="W31" s="112" t="s">
        <v>38</v>
      </c>
      <c r="X31" s="112" t="s">
        <v>38</v>
      </c>
      <c r="Y31" s="112" t="s">
        <v>38</v>
      </c>
      <c r="Z31" s="112" t="s">
        <v>38</v>
      </c>
      <c r="AA31" s="112" t="s">
        <v>38</v>
      </c>
      <c r="AB31" s="139" t="s">
        <v>38</v>
      </c>
      <c r="AC31" s="139" t="s">
        <v>38</v>
      </c>
      <c r="AD31" s="139" t="s">
        <v>38</v>
      </c>
      <c r="AE31" s="113" t="s">
        <v>38</v>
      </c>
      <c r="AF31" s="113" t="s">
        <v>38</v>
      </c>
      <c r="AG31" s="113" t="s">
        <v>38</v>
      </c>
      <c r="AH31" s="113" t="s">
        <v>38</v>
      </c>
      <c r="AI31" s="332" t="s">
        <v>38</v>
      </c>
      <c r="AJ31" s="125" t="s">
        <v>38</v>
      </c>
      <c r="AK31" s="125" t="s">
        <v>38</v>
      </c>
      <c r="AL31" s="125" t="s">
        <v>38</v>
      </c>
      <c r="AM31" s="125" t="s">
        <v>38</v>
      </c>
      <c r="AN31" s="125" t="s">
        <v>38</v>
      </c>
      <c r="AO31" s="125" t="s">
        <v>38</v>
      </c>
      <c r="AP31" s="125" t="s">
        <v>38</v>
      </c>
      <c r="AQ31" s="254" t="s">
        <v>38</v>
      </c>
      <c r="AR31" s="254" t="s">
        <v>38</v>
      </c>
      <c r="AS31" s="107"/>
      <c r="AT31" s="107"/>
      <c r="AU31" s="107"/>
      <c r="AV31" s="107"/>
      <c r="AW31" s="107"/>
    </row>
    <row r="32" spans="1:49" ht="12.75" customHeight="1">
      <c r="A32" s="65" t="s">
        <v>36</v>
      </c>
      <c r="B32" s="66">
        <v>1.86</v>
      </c>
      <c r="C32" s="66">
        <v>2.3940000000000001</v>
      </c>
      <c r="D32" s="67">
        <v>2.1040000000000001</v>
      </c>
      <c r="E32" s="67">
        <v>2.15</v>
      </c>
      <c r="F32" s="67">
        <v>2.2559999999999998</v>
      </c>
      <c r="G32" s="67">
        <v>2.3159999999999998</v>
      </c>
      <c r="H32" s="67">
        <v>2.3980000000000001</v>
      </c>
      <c r="I32" s="67">
        <v>2.3809999999999998</v>
      </c>
      <c r="J32" s="67">
        <v>2.4489999999999998</v>
      </c>
      <c r="K32" s="67">
        <v>2.5609999999999999</v>
      </c>
      <c r="L32" s="67">
        <v>2.59</v>
      </c>
      <c r="M32" s="67">
        <v>2.6739999999999999</v>
      </c>
      <c r="N32" s="67">
        <v>2.6349999999999998</v>
      </c>
      <c r="O32" s="67">
        <v>2.677</v>
      </c>
      <c r="P32" s="67">
        <v>2.4769999999999999</v>
      </c>
      <c r="Q32" s="67">
        <v>2.3809999999999998</v>
      </c>
      <c r="R32" s="67">
        <v>2.62</v>
      </c>
      <c r="S32" s="67">
        <v>2.7229999999999999</v>
      </c>
      <c r="T32" s="67">
        <v>2.8330000000000002</v>
      </c>
      <c r="U32" s="67">
        <v>2.9580000000000002</v>
      </c>
      <c r="V32" s="67">
        <v>3.1230000000000002</v>
      </c>
      <c r="W32" s="67">
        <v>3.08</v>
      </c>
      <c r="X32" s="67">
        <v>3.1859999999999999</v>
      </c>
      <c r="Y32" s="67">
        <v>3.0760000000000001</v>
      </c>
      <c r="Z32" s="67">
        <v>3.0920000000000001</v>
      </c>
      <c r="AA32" s="67">
        <v>3.26</v>
      </c>
      <c r="AB32" s="67">
        <v>3.44</v>
      </c>
      <c r="AC32" s="67">
        <v>3.5550000000000002</v>
      </c>
      <c r="AD32" s="67">
        <v>3.6949999999999998</v>
      </c>
      <c r="AE32" s="67">
        <v>3.605</v>
      </c>
      <c r="AF32" s="67">
        <v>3.7589999999999999</v>
      </c>
      <c r="AG32" s="67">
        <v>3.8109999999999999</v>
      </c>
      <c r="AH32" s="67">
        <v>1.8009999999999999</v>
      </c>
      <c r="AI32" s="67">
        <v>1.78</v>
      </c>
      <c r="AJ32" s="125">
        <v>74.141161773891312</v>
      </c>
      <c r="AK32" s="125">
        <v>74.577832361068459</v>
      </c>
      <c r="AL32" s="125">
        <v>74.400000000000006</v>
      </c>
      <c r="AM32" s="125">
        <v>44.872513309050156</v>
      </c>
      <c r="AN32" s="125">
        <v>98.895087472241812</v>
      </c>
      <c r="AO32" s="125">
        <v>98.895087472241812</v>
      </c>
      <c r="AP32" s="125">
        <v>99.085824908582481</v>
      </c>
      <c r="AQ32" s="125">
        <v>99.864901378005939</v>
      </c>
      <c r="AR32" s="125">
        <v>99.944933920704841</v>
      </c>
      <c r="AS32" s="107"/>
      <c r="AT32" s="107"/>
      <c r="AU32" s="107"/>
      <c r="AV32" s="107"/>
      <c r="AW32" s="107"/>
    </row>
    <row r="33" spans="1:49" ht="12.75" customHeight="1">
      <c r="A33" s="166" t="s">
        <v>7</v>
      </c>
      <c r="B33" s="157">
        <v>9.3390000000000004</v>
      </c>
      <c r="C33" s="157">
        <v>9.9640000000000004</v>
      </c>
      <c r="D33" s="235">
        <v>12.68</v>
      </c>
      <c r="E33" s="235">
        <v>13.83</v>
      </c>
      <c r="F33" s="235">
        <v>13.21</v>
      </c>
      <c r="G33" s="235">
        <v>13.38</v>
      </c>
      <c r="H33" s="235">
        <v>13.84</v>
      </c>
      <c r="I33" s="235">
        <v>11.71</v>
      </c>
      <c r="J33" s="235">
        <v>11.89</v>
      </c>
      <c r="K33" s="235">
        <v>12.05</v>
      </c>
      <c r="L33" s="235">
        <v>12.15</v>
      </c>
      <c r="M33" s="235">
        <v>12.5</v>
      </c>
      <c r="N33" s="235">
        <v>12.62</v>
      </c>
      <c r="O33" s="235">
        <v>13.301</v>
      </c>
      <c r="P33" s="235">
        <v>14.147</v>
      </c>
      <c r="Q33" s="235">
        <v>14.509</v>
      </c>
      <c r="R33" s="235">
        <v>14.914</v>
      </c>
      <c r="S33" s="235">
        <v>16.143999999999998</v>
      </c>
      <c r="T33" s="235">
        <v>16.577999999999999</v>
      </c>
      <c r="U33" s="235">
        <v>17.434000000000001</v>
      </c>
      <c r="V33" s="235">
        <v>17.775500000000001</v>
      </c>
      <c r="W33" s="235">
        <v>18.570700000000002</v>
      </c>
      <c r="X33" s="235">
        <v>19.176599999999997</v>
      </c>
      <c r="Y33" s="235">
        <v>19.471400000000003</v>
      </c>
      <c r="Z33" s="235">
        <v>19.262400000000003</v>
      </c>
      <c r="AA33" s="235">
        <v>19.367999999999999</v>
      </c>
      <c r="AB33" s="235">
        <v>19.934000000000001</v>
      </c>
      <c r="AC33" s="235">
        <v>20.228000000000002</v>
      </c>
      <c r="AD33" s="235">
        <v>20.657</v>
      </c>
      <c r="AE33" s="235">
        <v>20.707000000000001</v>
      </c>
      <c r="AF33" s="361">
        <v>20.451000000000001</v>
      </c>
      <c r="AG33" s="361">
        <v>21.559000000000001</v>
      </c>
      <c r="AH33" s="361">
        <v>13.260999999999999</v>
      </c>
      <c r="AI33" s="361">
        <v>14.223000000000001</v>
      </c>
      <c r="AJ33" s="248"/>
      <c r="AK33" s="248"/>
      <c r="AL33" s="248"/>
      <c r="AM33" s="248"/>
      <c r="AN33" s="248"/>
      <c r="AO33" s="248"/>
      <c r="AP33" s="248"/>
      <c r="AQ33" s="247"/>
      <c r="AR33" s="247"/>
      <c r="AS33" s="107"/>
      <c r="AT33" s="107"/>
      <c r="AU33" s="107"/>
      <c r="AV33" s="107"/>
      <c r="AW33" s="107"/>
    </row>
    <row r="34" spans="1:49" ht="12.75" customHeight="1">
      <c r="A34" s="65" t="s">
        <v>100</v>
      </c>
      <c r="B34" s="66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>
        <v>3.5000000000000003E-2</v>
      </c>
      <c r="AC34" s="67">
        <v>3.4000000000000002E-2</v>
      </c>
      <c r="AD34" s="67">
        <v>2.4E-2</v>
      </c>
      <c r="AE34" s="67">
        <v>2.9000000000000001E-2</v>
      </c>
      <c r="AF34" s="67">
        <v>3.9E-2</v>
      </c>
      <c r="AG34" s="67">
        <v>5.6000000000000001E-2</v>
      </c>
      <c r="AH34" s="67">
        <v>1.4E-2</v>
      </c>
      <c r="AI34" s="67">
        <v>1.7999999999999999E-2</v>
      </c>
      <c r="AJ34" s="125"/>
      <c r="AK34" s="125"/>
      <c r="AL34" s="125"/>
      <c r="AM34" s="125"/>
      <c r="AN34" s="125"/>
      <c r="AO34" s="125"/>
      <c r="AP34" s="246"/>
      <c r="AQ34" s="246"/>
      <c r="AR34" s="254"/>
      <c r="AS34" s="107"/>
      <c r="AT34" s="107"/>
      <c r="AU34" s="107"/>
      <c r="AV34" s="107"/>
      <c r="AW34" s="107"/>
    </row>
    <row r="35" spans="1:49" ht="12.75" customHeight="1">
      <c r="A35" s="69" t="s">
        <v>75</v>
      </c>
      <c r="B35" s="74"/>
      <c r="C35" s="74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>
        <v>9.0660000000000004E-2</v>
      </c>
      <c r="Y35" s="70">
        <v>6.5100000000000005E-2</v>
      </c>
      <c r="Z35" s="70">
        <v>6.2E-2</v>
      </c>
      <c r="AA35" s="70">
        <v>7.2999999999999995E-2</v>
      </c>
      <c r="AB35" s="70">
        <v>7.5999999999999998E-2</v>
      </c>
      <c r="AC35" s="70">
        <v>8.1000000000000003E-2</v>
      </c>
      <c r="AD35" s="70">
        <v>8.3896999999999999E-2</v>
      </c>
      <c r="AE35" s="70">
        <v>0.06</v>
      </c>
      <c r="AF35" s="70">
        <v>6.7000000000000004E-2</v>
      </c>
      <c r="AG35" s="70">
        <v>6.6000000000000003E-2</v>
      </c>
      <c r="AH35" s="70">
        <v>2.8000000000000001E-2</v>
      </c>
      <c r="AI35" s="70">
        <v>3.7093000000000001E-2</v>
      </c>
      <c r="AJ35" s="127"/>
      <c r="AK35" s="127"/>
      <c r="AL35" s="127"/>
      <c r="AM35" s="127"/>
      <c r="AN35" s="127"/>
      <c r="AO35" s="127"/>
      <c r="AP35" s="127"/>
      <c r="AQ35" s="127"/>
      <c r="AR35" s="127"/>
      <c r="AS35" s="107"/>
      <c r="AT35" s="107"/>
      <c r="AU35" s="107"/>
      <c r="AV35" s="107"/>
      <c r="AW35" s="107"/>
    </row>
    <row r="36" spans="1:49" ht="12.75" customHeight="1">
      <c r="A36" s="65" t="s">
        <v>101</v>
      </c>
      <c r="B36" s="66"/>
      <c r="C36" s="66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>
        <v>0.315</v>
      </c>
      <c r="O36" s="67">
        <v>0.32500000000000001</v>
      </c>
      <c r="P36" s="67">
        <v>0.35499999999999998</v>
      </c>
      <c r="Q36" s="67">
        <v>0.35199999999999998</v>
      </c>
      <c r="R36" s="67">
        <v>0.34599999999999997</v>
      </c>
      <c r="S36" s="67">
        <v>0.35499999999999998</v>
      </c>
      <c r="T36" s="67">
        <v>0.47099999999999997</v>
      </c>
      <c r="U36" s="67">
        <v>0.46800000000000003</v>
      </c>
      <c r="V36" s="67">
        <v>0.48599999999999999</v>
      </c>
      <c r="W36" s="67">
        <v>0.42299999999999999</v>
      </c>
      <c r="X36" s="67">
        <v>0.39900000000000002</v>
      </c>
      <c r="Y36" s="67">
        <v>0.36299999999999999</v>
      </c>
      <c r="Z36" s="67">
        <v>0.34699999999999998</v>
      </c>
      <c r="AA36" s="67">
        <v>0.33</v>
      </c>
      <c r="AB36" s="67">
        <v>0.25700000000000001</v>
      </c>
      <c r="AC36" s="67">
        <v>0.18099999999999999</v>
      </c>
      <c r="AD36" s="67">
        <v>0.122</v>
      </c>
      <c r="AE36" s="67">
        <v>9.9000000000000005E-2</v>
      </c>
      <c r="AF36" s="67">
        <v>9.459999999999999E-2</v>
      </c>
      <c r="AG36" s="67">
        <v>7.4099999999999999E-2</v>
      </c>
      <c r="AH36" s="67">
        <v>2.9190000000000001E-2</v>
      </c>
      <c r="AI36" s="67">
        <v>2.3300000000000001E-2</v>
      </c>
      <c r="AJ36" s="127"/>
      <c r="AK36" s="127"/>
      <c r="AL36" s="127"/>
      <c r="AM36" s="127"/>
      <c r="AN36" s="127"/>
      <c r="AO36" s="127"/>
      <c r="AP36" s="125"/>
      <c r="AQ36" s="125"/>
      <c r="AR36" s="125"/>
      <c r="AS36" s="107"/>
      <c r="AT36" s="107"/>
      <c r="AU36" s="107"/>
      <c r="AV36" s="107"/>
      <c r="AW36" s="107"/>
    </row>
    <row r="37" spans="1:49" ht="12.75" customHeight="1">
      <c r="A37" s="69" t="s">
        <v>3</v>
      </c>
      <c r="B37" s="158"/>
      <c r="C37" s="158"/>
      <c r="D37" s="100"/>
      <c r="E37" s="70"/>
      <c r="F37" s="70"/>
      <c r="G37" s="70"/>
      <c r="H37" s="70"/>
      <c r="I37" s="71">
        <v>0.1</v>
      </c>
      <c r="J37" s="71">
        <v>0.1</v>
      </c>
      <c r="K37" s="71">
        <v>0.1</v>
      </c>
      <c r="L37" s="71">
        <v>0.1</v>
      </c>
      <c r="M37" s="71">
        <v>0.1</v>
      </c>
      <c r="N37" s="71">
        <v>0.1</v>
      </c>
      <c r="O37" s="70">
        <v>0.13300000000000001</v>
      </c>
      <c r="P37" s="70">
        <v>9.8000000000000004E-2</v>
      </c>
      <c r="Q37" s="70">
        <v>9.1999999999999998E-2</v>
      </c>
      <c r="R37" s="70">
        <v>9.4E-2</v>
      </c>
      <c r="S37" s="70">
        <v>9.4E-2</v>
      </c>
      <c r="T37" s="70">
        <v>0.105</v>
      </c>
      <c r="U37" s="70">
        <v>0.109</v>
      </c>
      <c r="V37" s="70">
        <v>0.14799999999999999</v>
      </c>
      <c r="W37" s="70">
        <v>0.154</v>
      </c>
      <c r="X37" s="70">
        <v>0.155</v>
      </c>
      <c r="Y37" s="70">
        <v>0.14499999999999999</v>
      </c>
      <c r="Z37" s="70">
        <v>9.9000000000000005E-2</v>
      </c>
      <c r="AA37" s="70">
        <v>0.08</v>
      </c>
      <c r="AB37" s="70">
        <v>0.08</v>
      </c>
      <c r="AC37" s="70">
        <v>0.17699999999999999</v>
      </c>
      <c r="AD37" s="70">
        <v>8.3000000000000004E-2</v>
      </c>
      <c r="AE37" s="70">
        <v>5.8999999999999997E-2</v>
      </c>
      <c r="AF37" s="70">
        <v>6.3E-2</v>
      </c>
      <c r="AG37" s="70">
        <v>6.2E-2</v>
      </c>
      <c r="AH37" s="70">
        <v>2.5000000000000001E-2</v>
      </c>
      <c r="AI37" s="70">
        <v>2.5000000000000001E-2</v>
      </c>
      <c r="AJ37" s="127"/>
      <c r="AK37" s="127"/>
      <c r="AL37" s="127"/>
      <c r="AM37" s="127"/>
      <c r="AN37" s="127"/>
      <c r="AO37" s="127"/>
      <c r="AP37" s="125"/>
      <c r="AQ37" s="125"/>
      <c r="AR37" s="125"/>
      <c r="AS37" s="107"/>
      <c r="AT37" s="107"/>
      <c r="AU37" s="107"/>
      <c r="AV37" s="107"/>
      <c r="AW37" s="107"/>
    </row>
    <row r="38" spans="1:49" ht="12.75" customHeight="1">
      <c r="A38" s="65" t="s">
        <v>79</v>
      </c>
      <c r="B38" s="66">
        <v>0.253</v>
      </c>
      <c r="C38" s="66">
        <v>0.36899999999999999</v>
      </c>
      <c r="D38" s="67">
        <v>0.77900000000000003</v>
      </c>
      <c r="E38" s="67">
        <v>0.318</v>
      </c>
      <c r="F38" s="67">
        <v>0.191</v>
      </c>
      <c r="G38" s="67">
        <v>0.223</v>
      </c>
      <c r="H38" s="67">
        <v>0.215</v>
      </c>
      <c r="I38" s="67">
        <v>0.19700000000000001</v>
      </c>
      <c r="J38" s="67">
        <v>0.16800000000000001</v>
      </c>
      <c r="K38" s="67">
        <v>9.5000000000000001E-2</v>
      </c>
      <c r="L38" s="67">
        <v>0.11600000000000001</v>
      </c>
      <c r="M38" s="67">
        <v>0.121</v>
      </c>
      <c r="N38" s="67">
        <v>0.125</v>
      </c>
      <c r="O38" s="67">
        <v>0.13800000000000001</v>
      </c>
      <c r="P38" s="67">
        <v>0.123</v>
      </c>
      <c r="Q38" s="67">
        <v>0.105</v>
      </c>
      <c r="R38" s="67">
        <v>8.8999999999999996E-2</v>
      </c>
      <c r="S38" s="67">
        <v>7.2999999999999995E-2</v>
      </c>
      <c r="T38" s="67">
        <v>0.08</v>
      </c>
      <c r="U38" s="67">
        <v>5.0999999999999997E-2</v>
      </c>
      <c r="V38" s="67">
        <v>4.1000000000000002E-2</v>
      </c>
      <c r="W38" s="67">
        <v>3.2000000000000001E-2</v>
      </c>
      <c r="X38" s="67">
        <v>1.9E-2</v>
      </c>
      <c r="Y38" s="67">
        <v>1.7999999999999999E-2</v>
      </c>
      <c r="Z38" s="67">
        <v>1.6E-2</v>
      </c>
      <c r="AA38" s="67">
        <v>1.2E-2</v>
      </c>
      <c r="AB38" s="67">
        <v>8.0000000000000002E-3</v>
      </c>
      <c r="AC38" s="67">
        <v>7.0000000000000001E-3</v>
      </c>
      <c r="AD38" s="67">
        <v>3.2000000000000002E-3</v>
      </c>
      <c r="AE38" s="67">
        <v>2.3999999999999998E-3</v>
      </c>
      <c r="AF38" s="67">
        <v>2.7000000000000001E-3</v>
      </c>
      <c r="AG38" s="67">
        <v>2E-3</v>
      </c>
      <c r="AH38" s="67">
        <v>1E-3</v>
      </c>
      <c r="AI38" s="67">
        <v>1E-3</v>
      </c>
      <c r="AJ38" s="125"/>
      <c r="AK38" s="125"/>
      <c r="AL38" s="125"/>
      <c r="AM38" s="125"/>
      <c r="AN38" s="125"/>
      <c r="AO38" s="125"/>
      <c r="AP38" s="125"/>
      <c r="AQ38" s="125"/>
      <c r="AR38" s="125"/>
      <c r="AS38" s="107"/>
      <c r="AT38" s="107"/>
      <c r="AU38" s="107"/>
      <c r="AV38" s="107"/>
      <c r="AW38" s="107"/>
    </row>
    <row r="39" spans="1:49" ht="12.75" customHeight="1">
      <c r="A39" s="69" t="s">
        <v>76</v>
      </c>
      <c r="B39" s="158">
        <v>3.6709999999999998</v>
      </c>
      <c r="C39" s="158">
        <v>3.3519999999999999</v>
      </c>
      <c r="D39" s="100">
        <v>4.452</v>
      </c>
      <c r="E39" s="70">
        <v>2.6749999999999998</v>
      </c>
      <c r="F39" s="70">
        <v>2.544</v>
      </c>
      <c r="G39" s="70">
        <v>3.0760000000000001</v>
      </c>
      <c r="H39" s="70">
        <v>2.2989999999999999</v>
      </c>
      <c r="I39" s="71">
        <v>2.3260000000000001</v>
      </c>
      <c r="J39" s="71">
        <v>1.415</v>
      </c>
      <c r="K39" s="71">
        <v>1.304</v>
      </c>
      <c r="L39" s="71">
        <v>1.3680000000000001</v>
      </c>
      <c r="M39" s="71">
        <v>0.78900000000000003</v>
      </c>
      <c r="N39" s="71">
        <v>1.236</v>
      </c>
      <c r="O39" s="70">
        <v>1.0469999999999999</v>
      </c>
      <c r="P39" s="70">
        <v>0.95399999999999996</v>
      </c>
      <c r="Q39" s="70">
        <v>0.80900000000000005</v>
      </c>
      <c r="R39" s="70">
        <v>0.82099999999999995</v>
      </c>
      <c r="S39" s="70">
        <v>0.71299999999999997</v>
      </c>
      <c r="T39" s="70">
        <v>0.68400000000000005</v>
      </c>
      <c r="U39" s="70">
        <v>0.68700000000000006</v>
      </c>
      <c r="V39" s="70">
        <v>0.58299999999999996</v>
      </c>
      <c r="W39" s="70">
        <v>0.52200000000000002</v>
      </c>
      <c r="X39" s="70">
        <v>0.52200000000000002</v>
      </c>
      <c r="Y39" s="70">
        <v>0.54100000000000004</v>
      </c>
      <c r="Z39" s="70">
        <v>0.54</v>
      </c>
      <c r="AA39" s="70">
        <v>0.61199999999999999</v>
      </c>
      <c r="AB39" s="70">
        <v>0.45300000000000001</v>
      </c>
      <c r="AC39" s="70">
        <v>0.50900000000000001</v>
      </c>
      <c r="AD39" s="70">
        <v>0.438</v>
      </c>
      <c r="AE39" s="70">
        <v>0.377</v>
      </c>
      <c r="AF39" s="85">
        <v>0.34699999999999998</v>
      </c>
      <c r="AG39" s="85">
        <v>0.28499999999999998</v>
      </c>
      <c r="AH39" s="85">
        <v>0.157</v>
      </c>
      <c r="AI39" s="85">
        <v>0.191</v>
      </c>
      <c r="AJ39" s="127"/>
      <c r="AK39" s="127"/>
      <c r="AL39" s="127"/>
      <c r="AM39" s="127"/>
      <c r="AN39" s="127"/>
      <c r="AO39" s="127"/>
      <c r="AP39" s="125"/>
      <c r="AQ39" s="125"/>
      <c r="AR39" s="125"/>
      <c r="AS39" s="107"/>
      <c r="AT39" s="107"/>
      <c r="AU39" s="107"/>
      <c r="AV39" s="107"/>
      <c r="AW39" s="107"/>
    </row>
    <row r="40" spans="1:49" ht="12.75" customHeight="1">
      <c r="A40" s="65" t="s">
        <v>20</v>
      </c>
      <c r="B40" s="66">
        <v>5.5609999999999999</v>
      </c>
      <c r="C40" s="66">
        <v>6.0110000000000001</v>
      </c>
      <c r="D40" s="67">
        <v>6.41</v>
      </c>
      <c r="E40" s="67">
        <v>6.048</v>
      </c>
      <c r="F40" s="67">
        <v>6.2590000000000003</v>
      </c>
      <c r="G40" s="67">
        <v>7.1470000000000002</v>
      </c>
      <c r="H40" s="67">
        <v>6.335</v>
      </c>
      <c r="I40" s="67">
        <v>5.7969999999999997</v>
      </c>
      <c r="J40" s="67">
        <v>5.2290000000000001</v>
      </c>
      <c r="K40" s="67">
        <v>5.84</v>
      </c>
      <c r="L40" s="67">
        <v>6.16</v>
      </c>
      <c r="M40" s="67">
        <v>6.1459999999999999</v>
      </c>
      <c r="N40" s="67">
        <v>5.8319999999999999</v>
      </c>
      <c r="O40" s="67">
        <v>5.5679999999999996</v>
      </c>
      <c r="P40" s="67">
        <v>5.2039999999999997</v>
      </c>
      <c r="Q40" s="67">
        <v>5.8780000000000001</v>
      </c>
      <c r="R40" s="67">
        <v>5.2370000000000001</v>
      </c>
      <c r="S40" s="67">
        <v>5.0359999999999996</v>
      </c>
      <c r="T40" s="67">
        <v>5.2770000000000001</v>
      </c>
      <c r="U40" s="67">
        <v>5.5529999999999999</v>
      </c>
      <c r="V40" s="67">
        <v>5.0970000000000004</v>
      </c>
      <c r="W40" s="67">
        <v>5.3739999999999997</v>
      </c>
      <c r="X40" s="67">
        <v>5.4909999999999997</v>
      </c>
      <c r="Y40" s="67">
        <v>5.8819999999999997</v>
      </c>
      <c r="Z40" s="67">
        <v>4.5979999999999999</v>
      </c>
      <c r="AA40" s="67">
        <v>3.7749999999999999</v>
      </c>
      <c r="AB40" s="67">
        <v>4.3929999999999998</v>
      </c>
      <c r="AC40" s="67">
        <v>4.8280000000000003</v>
      </c>
      <c r="AD40" s="67">
        <v>4.3250000000000002</v>
      </c>
      <c r="AE40" s="67">
        <v>4.5659999999999998</v>
      </c>
      <c r="AF40" s="67">
        <v>5.56</v>
      </c>
      <c r="AG40" s="67">
        <v>11.068</v>
      </c>
      <c r="AH40" s="67">
        <v>6.0940000000000003</v>
      </c>
      <c r="AI40" s="67">
        <v>8.5440000000000005</v>
      </c>
      <c r="AJ40" s="127"/>
      <c r="AK40" s="127"/>
      <c r="AL40" s="127"/>
      <c r="AM40" s="127"/>
      <c r="AN40" s="127"/>
      <c r="AO40" s="127"/>
      <c r="AP40" s="125"/>
      <c r="AQ40" s="125"/>
      <c r="AR40" s="125"/>
      <c r="AS40" s="107"/>
      <c r="AT40" s="107"/>
      <c r="AU40" s="107"/>
      <c r="AV40" s="107"/>
      <c r="AW40" s="107"/>
    </row>
    <row r="41" spans="1:49" ht="12.75" customHeight="1">
      <c r="A41" s="166" t="s">
        <v>102</v>
      </c>
      <c r="B41" s="157"/>
      <c r="C41" s="15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>
        <v>51.767000000000003</v>
      </c>
      <c r="O41" s="235">
        <v>49.661000000000001</v>
      </c>
      <c r="P41" s="235">
        <v>50.543999999999997</v>
      </c>
      <c r="Q41" s="235">
        <v>52.558</v>
      </c>
      <c r="R41" s="235">
        <v>51.725999999999999</v>
      </c>
      <c r="S41" s="235">
        <v>52.655000000000001</v>
      </c>
      <c r="T41" s="235">
        <v>53.23</v>
      </c>
      <c r="U41" s="235">
        <v>53.088999999999999</v>
      </c>
      <c r="V41" s="235">
        <v>53.055999999999997</v>
      </c>
      <c r="W41" s="235">
        <v>48.326999999999998</v>
      </c>
      <c r="X41" s="235">
        <v>50.247999999999998</v>
      </c>
      <c r="Y41" s="235">
        <v>50.593000000000004</v>
      </c>
      <c r="Z41" s="235">
        <v>49.329000000000001</v>
      </c>
      <c r="AA41" s="235">
        <v>48.981000000000002</v>
      </c>
      <c r="AB41" s="235">
        <v>35.865000000000002</v>
      </c>
      <c r="AC41" s="235">
        <v>35.366999999999997</v>
      </c>
      <c r="AD41" s="235">
        <v>36.838999999999999</v>
      </c>
      <c r="AE41" s="235">
        <v>28.074999999999999</v>
      </c>
      <c r="AF41" s="235">
        <v>28.684999999999999</v>
      </c>
      <c r="AG41" s="235">
        <v>28.413</v>
      </c>
      <c r="AH41" s="235">
        <v>10.696</v>
      </c>
      <c r="AI41" s="318">
        <v>12.484824450378023</v>
      </c>
      <c r="AJ41" s="191"/>
      <c r="AK41" s="168"/>
      <c r="AL41" s="168"/>
      <c r="AM41" s="168"/>
      <c r="AN41" s="191"/>
      <c r="AO41" s="191"/>
      <c r="AP41" s="247"/>
      <c r="AQ41" s="247"/>
      <c r="AR41" s="247"/>
      <c r="AS41" s="107"/>
      <c r="AT41" s="107"/>
      <c r="AU41" s="107"/>
      <c r="AV41" s="107"/>
      <c r="AW41" s="107"/>
    </row>
    <row r="42" spans="1:49" ht="12.75" customHeight="1">
      <c r="A42" s="187" t="s">
        <v>24</v>
      </c>
      <c r="B42" s="188">
        <v>30.6</v>
      </c>
      <c r="C42" s="188">
        <v>30.5</v>
      </c>
      <c r="D42" s="333">
        <v>33.4</v>
      </c>
      <c r="E42" s="234">
        <v>32.700000000000003</v>
      </c>
      <c r="F42" s="234">
        <v>31.9</v>
      </c>
      <c r="G42" s="234">
        <v>30.6</v>
      </c>
      <c r="H42" s="234">
        <v>28.9</v>
      </c>
      <c r="I42" s="234">
        <f>30.039+0.2317</f>
        <v>30.270700000000001</v>
      </c>
      <c r="J42" s="234">
        <f>32.135+0.2128</f>
        <v>32.347799999999999</v>
      </c>
      <c r="K42" s="234">
        <f>34.66+0.2256</f>
        <v>34.885599999999997</v>
      </c>
      <c r="L42" s="234">
        <f>36.28+0.2172</f>
        <v>36.497199999999999</v>
      </c>
      <c r="M42" s="234">
        <f>38.472+0.2217</f>
        <v>38.6937</v>
      </c>
      <c r="N42" s="234">
        <f>38.179+0.2271</f>
        <v>38.406100000000002</v>
      </c>
      <c r="O42" s="234">
        <f>39.141+0.2397</f>
        <v>39.380699999999997</v>
      </c>
      <c r="P42" s="234">
        <f>39.687+0.2363</f>
        <v>39.923299999999998</v>
      </c>
      <c r="Q42" s="234">
        <f>40.931+0.233</f>
        <v>41.163999999999994</v>
      </c>
      <c r="R42" s="234">
        <v>43.473999999999997</v>
      </c>
      <c r="S42" s="234">
        <v>44.642000000000003</v>
      </c>
      <c r="T42" s="234">
        <v>47.296999999999997</v>
      </c>
      <c r="U42" s="234">
        <v>50.473999999999997</v>
      </c>
      <c r="V42" s="234">
        <v>53.002000000000002</v>
      </c>
      <c r="W42" s="234">
        <v>52.765000000000001</v>
      </c>
      <c r="X42" s="234">
        <v>55.831000000000003</v>
      </c>
      <c r="Y42" s="234">
        <v>58.462000000000003</v>
      </c>
      <c r="Z42" s="234">
        <v>60.783000000000001</v>
      </c>
      <c r="AA42" s="234">
        <v>61.95</v>
      </c>
      <c r="AB42" s="234">
        <v>64.710999999999999</v>
      </c>
      <c r="AC42" s="234">
        <v>66.593999999999994</v>
      </c>
      <c r="AD42" s="234">
        <v>68.010000000000005</v>
      </c>
      <c r="AE42" s="234">
        <v>68.912000000000006</v>
      </c>
      <c r="AF42" s="234">
        <v>69.706000000000003</v>
      </c>
      <c r="AG42" s="234">
        <v>71.822999999999993</v>
      </c>
      <c r="AH42" s="322">
        <v>24.536000000000001</v>
      </c>
      <c r="AI42" s="321">
        <v>30.841000000000001</v>
      </c>
      <c r="AJ42" s="191">
        <v>96.189491986942897</v>
      </c>
      <c r="AK42" s="168">
        <v>95.483870967741936</v>
      </c>
      <c r="AL42" s="168">
        <v>96.1</v>
      </c>
      <c r="AM42" s="168">
        <v>96.907560983018925</v>
      </c>
      <c r="AN42" s="191">
        <v>97.038069259962001</v>
      </c>
      <c r="AO42" s="191">
        <v>97</v>
      </c>
      <c r="AP42" s="247">
        <v>96.859354256509931</v>
      </c>
      <c r="AQ42" s="247">
        <v>96.912507962878308</v>
      </c>
      <c r="AR42" s="247"/>
      <c r="AS42" s="107"/>
      <c r="AT42" s="107"/>
      <c r="AU42" s="107"/>
      <c r="AV42" s="107"/>
      <c r="AW42" s="107"/>
    </row>
    <row r="43" spans="1:49" ht="12" customHeight="1">
      <c r="A43" s="274"/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</row>
    <row r="45" spans="1:49"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</row>
    <row r="52" ht="12.75" customHeight="1"/>
    <row r="53" ht="12.75" customHeight="1"/>
    <row r="54" ht="12.75" customHeight="1"/>
    <row r="67" ht="38.25" customHeight="1"/>
  </sheetData>
  <mergeCells count="1">
    <mergeCell ref="AJ1:AR1"/>
  </mergeCells>
  <printOptions horizontalCentered="1"/>
  <pageMargins left="0.47244094488188981" right="0.47244094488188981" top="0.51181102362204722" bottom="0.27559055118110237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4"/>
  <dimension ref="B1:P33"/>
  <sheetViews>
    <sheetView topLeftCell="A18" zoomScaleNormal="100" workbookViewId="0">
      <selection activeCell="T7" sqref="T7"/>
    </sheetView>
  </sheetViews>
  <sheetFormatPr defaultRowHeight="12.75"/>
  <cols>
    <col min="1" max="1" width="3.265625" customWidth="1"/>
    <col min="2" max="2" width="7.265625" customWidth="1"/>
    <col min="3" max="3" width="5.86328125" customWidth="1"/>
    <col min="4" max="10" width="5.73046875" customWidth="1"/>
    <col min="11" max="11" width="5" customWidth="1"/>
    <col min="12" max="14" width="5.73046875" customWidth="1"/>
    <col min="15" max="15" width="7.59765625" customWidth="1"/>
    <col min="16" max="16" width="15.3984375" customWidth="1"/>
  </cols>
  <sheetData>
    <row r="1" spans="2:16" ht="32.25" customHeight="1">
      <c r="B1" s="300"/>
      <c r="C1" s="61" t="s">
        <v>25</v>
      </c>
      <c r="D1" s="61" t="s">
        <v>10</v>
      </c>
      <c r="E1" s="61" t="s">
        <v>26</v>
      </c>
      <c r="F1" s="195" t="s">
        <v>27</v>
      </c>
      <c r="G1" s="61" t="s">
        <v>28</v>
      </c>
      <c r="H1" s="61" t="s">
        <v>30</v>
      </c>
      <c r="I1" s="61" t="s">
        <v>23</v>
      </c>
      <c r="J1" s="61" t="s">
        <v>16</v>
      </c>
      <c r="K1" s="61" t="s">
        <v>33</v>
      </c>
      <c r="L1" s="61" t="s">
        <v>19</v>
      </c>
      <c r="M1" s="61" t="s">
        <v>34</v>
      </c>
      <c r="N1" s="61" t="s">
        <v>35</v>
      </c>
      <c r="O1" s="61" t="s">
        <v>106</v>
      </c>
    </row>
    <row r="2" spans="2:16" ht="15" customHeight="1">
      <c r="B2" s="301">
        <v>1990</v>
      </c>
      <c r="C2" s="302" t="s">
        <v>107</v>
      </c>
      <c r="D2" s="303" t="s">
        <v>107</v>
      </c>
      <c r="E2" s="303" t="s">
        <v>107</v>
      </c>
      <c r="F2" s="303" t="s">
        <v>107</v>
      </c>
      <c r="G2" s="304">
        <v>14.92</v>
      </c>
      <c r="H2" s="304">
        <v>0.3</v>
      </c>
      <c r="I2" s="303" t="s">
        <v>107</v>
      </c>
      <c r="J2" s="303" t="s">
        <v>107</v>
      </c>
      <c r="K2" s="303" t="s">
        <v>107</v>
      </c>
      <c r="L2" s="303" t="s">
        <v>107</v>
      </c>
      <c r="M2" s="303" t="s">
        <v>107</v>
      </c>
      <c r="N2" s="303">
        <v>6.0000000000000001E-3</v>
      </c>
      <c r="O2" s="305">
        <f t="shared" ref="O2:O31" si="0">SUM(C2:N2)</f>
        <v>15.226000000000001</v>
      </c>
      <c r="P2" s="217"/>
    </row>
    <row r="3" spans="2:16" ht="15" customHeight="1">
      <c r="B3" s="301">
        <v>1991</v>
      </c>
      <c r="C3" s="306" t="s">
        <v>107</v>
      </c>
      <c r="D3" s="307" t="s">
        <v>107</v>
      </c>
      <c r="E3" s="308">
        <v>2</v>
      </c>
      <c r="F3" s="307" t="s">
        <v>107</v>
      </c>
      <c r="G3" s="308">
        <v>17.87</v>
      </c>
      <c r="H3" s="308">
        <v>0.4</v>
      </c>
      <c r="I3" s="307" t="s">
        <v>107</v>
      </c>
      <c r="J3" s="307" t="s">
        <v>107</v>
      </c>
      <c r="K3" s="307" t="s">
        <v>107</v>
      </c>
      <c r="L3" s="307" t="s">
        <v>107</v>
      </c>
      <c r="M3" s="307" t="s">
        <v>107</v>
      </c>
      <c r="N3" s="308">
        <v>9.4E-2</v>
      </c>
      <c r="O3" s="305">
        <f t="shared" si="0"/>
        <v>20.364000000000001</v>
      </c>
      <c r="P3" s="217"/>
    </row>
    <row r="4" spans="2:16" ht="15" customHeight="1">
      <c r="B4" s="301">
        <v>1992</v>
      </c>
      <c r="C4" s="306" t="s">
        <v>107</v>
      </c>
      <c r="D4" s="307" t="s">
        <v>107</v>
      </c>
      <c r="E4" s="308">
        <v>5.2</v>
      </c>
      <c r="F4" s="308">
        <v>0.4</v>
      </c>
      <c r="G4" s="308">
        <v>18.96</v>
      </c>
      <c r="H4" s="308">
        <v>0.4</v>
      </c>
      <c r="I4" s="307" t="s">
        <v>107</v>
      </c>
      <c r="J4" s="307" t="s">
        <v>107</v>
      </c>
      <c r="K4" s="307" t="s">
        <v>107</v>
      </c>
      <c r="L4" s="307" t="s">
        <v>107</v>
      </c>
      <c r="M4" s="307" t="s">
        <v>107</v>
      </c>
      <c r="N4" s="308">
        <v>0.154</v>
      </c>
      <c r="O4" s="305">
        <f t="shared" si="0"/>
        <v>25.114000000000001</v>
      </c>
      <c r="P4" s="217"/>
    </row>
    <row r="5" spans="2:16" ht="15" customHeight="1">
      <c r="B5" s="301">
        <v>1993</v>
      </c>
      <c r="C5" s="306" t="s">
        <v>107</v>
      </c>
      <c r="D5" s="307" t="s">
        <v>107</v>
      </c>
      <c r="E5" s="308">
        <v>7</v>
      </c>
      <c r="F5" s="308">
        <v>0.9</v>
      </c>
      <c r="G5" s="308">
        <v>18.93</v>
      </c>
      <c r="H5" s="308">
        <v>0.5</v>
      </c>
      <c r="I5" s="307" t="s">
        <v>107</v>
      </c>
      <c r="J5" s="307" t="s">
        <v>107</v>
      </c>
      <c r="K5" s="307" t="s">
        <v>107</v>
      </c>
      <c r="L5" s="307" t="s">
        <v>107</v>
      </c>
      <c r="M5" s="307" t="s">
        <v>107</v>
      </c>
      <c r="N5" s="308">
        <v>0.27200000000000002</v>
      </c>
      <c r="O5" s="305">
        <f t="shared" si="0"/>
        <v>27.601999999999997</v>
      </c>
      <c r="P5" s="217"/>
    </row>
    <row r="6" spans="2:16" ht="15" customHeight="1" thickBot="1">
      <c r="B6" s="301">
        <v>1994</v>
      </c>
      <c r="C6" s="306" t="s">
        <v>107</v>
      </c>
      <c r="D6" s="307" t="s">
        <v>107</v>
      </c>
      <c r="E6" s="308">
        <v>8.1999999999999993</v>
      </c>
      <c r="F6" s="308">
        <v>0.9</v>
      </c>
      <c r="G6" s="309">
        <v>20.51</v>
      </c>
      <c r="H6" s="308">
        <v>0.8</v>
      </c>
      <c r="I6" s="307" t="s">
        <v>107</v>
      </c>
      <c r="J6" s="307" t="s">
        <v>107</v>
      </c>
      <c r="K6" s="307" t="s">
        <v>107</v>
      </c>
      <c r="L6" s="307" t="s">
        <v>107</v>
      </c>
      <c r="M6" s="307" t="s">
        <v>107</v>
      </c>
      <c r="N6" s="308">
        <v>0.30499999999999999</v>
      </c>
      <c r="O6" s="305">
        <f t="shared" si="0"/>
        <v>30.715</v>
      </c>
      <c r="P6" s="217"/>
    </row>
    <row r="7" spans="2:16" ht="15" customHeight="1" thickTop="1">
      <c r="B7" s="301">
        <v>1995</v>
      </c>
      <c r="C7" s="306" t="s">
        <v>107</v>
      </c>
      <c r="D7" s="307" t="s">
        <v>107</v>
      </c>
      <c r="E7" s="308">
        <v>8.6999999999999993</v>
      </c>
      <c r="F7" s="308">
        <v>1.294</v>
      </c>
      <c r="G7" s="308">
        <v>21.43</v>
      </c>
      <c r="H7" s="308">
        <v>1.1000000000000001</v>
      </c>
      <c r="I7" s="307" t="s">
        <v>107</v>
      </c>
      <c r="J7" s="307" t="s">
        <v>107</v>
      </c>
      <c r="K7" s="307" t="s">
        <v>107</v>
      </c>
      <c r="L7" s="307" t="s">
        <v>107</v>
      </c>
      <c r="M7" s="307" t="s">
        <v>107</v>
      </c>
      <c r="N7" s="308">
        <v>0.41499999999999998</v>
      </c>
      <c r="O7" s="305">
        <f t="shared" si="0"/>
        <v>32.939</v>
      </c>
      <c r="P7" s="217"/>
    </row>
    <row r="8" spans="2:16" ht="15" customHeight="1">
      <c r="B8" s="301">
        <v>1996</v>
      </c>
      <c r="C8" s="306">
        <v>0.32</v>
      </c>
      <c r="D8" s="307" t="s">
        <v>107</v>
      </c>
      <c r="E8" s="308">
        <v>8.85</v>
      </c>
      <c r="F8" s="308">
        <v>1.1000000000000001</v>
      </c>
      <c r="G8" s="308">
        <v>24.79</v>
      </c>
      <c r="H8" s="308">
        <v>1.3</v>
      </c>
      <c r="I8" s="307">
        <v>3.1E-2</v>
      </c>
      <c r="J8" s="307" t="s">
        <v>107</v>
      </c>
      <c r="K8" s="307" t="s">
        <v>107</v>
      </c>
      <c r="L8" s="307" t="s">
        <v>107</v>
      </c>
      <c r="M8" s="307">
        <v>2.4E-2</v>
      </c>
      <c r="N8" s="308">
        <v>1.101</v>
      </c>
      <c r="O8" s="305">
        <f t="shared" si="0"/>
        <v>37.515999999999998</v>
      </c>
      <c r="P8" s="217"/>
    </row>
    <row r="9" spans="2:16" ht="15" customHeight="1">
      <c r="B9" s="301">
        <v>1997</v>
      </c>
      <c r="C9" s="310">
        <v>0.55500000000000005</v>
      </c>
      <c r="D9" s="307" t="s">
        <v>107</v>
      </c>
      <c r="E9" s="308">
        <v>10.073</v>
      </c>
      <c r="F9" s="308">
        <v>1.3</v>
      </c>
      <c r="G9" s="308">
        <v>27.58</v>
      </c>
      <c r="H9" s="308">
        <v>2.4</v>
      </c>
      <c r="I9" s="307">
        <v>7.2999999999999995E-2</v>
      </c>
      <c r="J9" s="307" t="s">
        <v>107</v>
      </c>
      <c r="K9" s="307" t="s">
        <v>107</v>
      </c>
      <c r="L9" s="307" t="s">
        <v>107</v>
      </c>
      <c r="M9" s="307">
        <v>5.2999999999999999E-2</v>
      </c>
      <c r="N9" s="308">
        <v>1.3280000000000001</v>
      </c>
      <c r="O9" s="305">
        <f t="shared" si="0"/>
        <v>43.361999999999995</v>
      </c>
      <c r="P9" s="217"/>
    </row>
    <row r="10" spans="2:16" ht="15" customHeight="1">
      <c r="B10" s="301">
        <v>1998</v>
      </c>
      <c r="C10" s="310">
        <v>0.78800000000000003</v>
      </c>
      <c r="D10" s="307" t="s">
        <v>107</v>
      </c>
      <c r="E10" s="308">
        <v>10.154999999999999</v>
      </c>
      <c r="F10" s="308">
        <v>1.516</v>
      </c>
      <c r="G10" s="308">
        <v>30.619</v>
      </c>
      <c r="H10" s="308">
        <v>3.6379999999999999</v>
      </c>
      <c r="I10" s="308">
        <v>0.09</v>
      </c>
      <c r="J10" s="308"/>
      <c r="K10" s="307" t="s">
        <v>107</v>
      </c>
      <c r="L10" s="307" t="s">
        <v>107</v>
      </c>
      <c r="M10" s="308">
        <v>5.6000000000000001E-2</v>
      </c>
      <c r="N10" s="308">
        <v>1.605</v>
      </c>
      <c r="O10" s="305">
        <f t="shared" si="0"/>
        <v>48.466999999999999</v>
      </c>
      <c r="P10" s="217"/>
    </row>
    <row r="11" spans="2:16" ht="15" customHeight="1">
      <c r="B11" s="301">
        <v>1999</v>
      </c>
      <c r="C11" s="310">
        <v>0.80400000000000005</v>
      </c>
      <c r="D11" s="307" t="s">
        <v>107</v>
      </c>
      <c r="E11" s="308">
        <v>11.590999999999999</v>
      </c>
      <c r="F11" s="308">
        <v>1.6739999999999999</v>
      </c>
      <c r="G11" s="308">
        <v>32.192</v>
      </c>
      <c r="H11" s="308">
        <v>4.4640000000000004</v>
      </c>
      <c r="I11" s="308">
        <v>0.1</v>
      </c>
      <c r="J11" s="308"/>
      <c r="K11" s="307" t="s">
        <v>107</v>
      </c>
      <c r="L11" s="307" t="s">
        <v>107</v>
      </c>
      <c r="M11" s="308">
        <v>5.3999999999999999E-2</v>
      </c>
      <c r="N11" s="308">
        <v>1.8120000000000001</v>
      </c>
      <c r="O11" s="305">
        <f t="shared" si="0"/>
        <v>52.690999999999995</v>
      </c>
      <c r="P11" s="217"/>
    </row>
    <row r="12" spans="2:16" ht="15" customHeight="1">
      <c r="B12" s="301">
        <v>2000</v>
      </c>
      <c r="C12" s="310">
        <v>0.86499999999999999</v>
      </c>
      <c r="D12" s="307" t="s">
        <v>107</v>
      </c>
      <c r="E12" s="308">
        <v>13.925000000000001</v>
      </c>
      <c r="F12" s="308">
        <v>1.9419999999999999</v>
      </c>
      <c r="G12" s="308">
        <v>34.747</v>
      </c>
      <c r="H12" s="308">
        <v>5.0860000000000003</v>
      </c>
      <c r="I12" s="308">
        <v>0.113</v>
      </c>
      <c r="J12" s="308"/>
      <c r="K12" s="307" t="s">
        <v>107</v>
      </c>
      <c r="L12" s="307" t="s">
        <v>107</v>
      </c>
      <c r="M12" s="308">
        <v>7.0999999999999994E-2</v>
      </c>
      <c r="N12" s="308">
        <v>2.0470000000000002</v>
      </c>
      <c r="O12" s="305">
        <f t="shared" si="0"/>
        <v>58.795999999999992</v>
      </c>
      <c r="P12" s="217"/>
    </row>
    <row r="13" spans="2:16" ht="15" customHeight="1">
      <c r="B13" s="301">
        <v>2001</v>
      </c>
      <c r="C13" s="310">
        <v>0.88900000000000001</v>
      </c>
      <c r="D13" s="307" t="s">
        <v>107</v>
      </c>
      <c r="E13" s="308">
        <v>15.515000000000001</v>
      </c>
      <c r="F13" s="308">
        <v>2.077</v>
      </c>
      <c r="G13" s="308">
        <v>37.404000000000003</v>
      </c>
      <c r="H13" s="308">
        <v>6.7629999999999999</v>
      </c>
      <c r="I13" s="308">
        <v>0.191</v>
      </c>
      <c r="J13" s="308"/>
      <c r="K13" s="307" t="s">
        <v>107</v>
      </c>
      <c r="L13" s="307" t="s">
        <v>107</v>
      </c>
      <c r="M13" s="308">
        <v>0.06</v>
      </c>
      <c r="N13" s="308">
        <v>2.2269999999999999</v>
      </c>
      <c r="O13" s="305">
        <f t="shared" si="0"/>
        <v>65.126000000000005</v>
      </c>
      <c r="P13" s="217"/>
    </row>
    <row r="14" spans="2:16" ht="15" customHeight="1">
      <c r="B14" s="301">
        <v>2002</v>
      </c>
      <c r="C14" s="310">
        <v>0.90900000000000003</v>
      </c>
      <c r="D14" s="307" t="s">
        <v>107</v>
      </c>
      <c r="E14" s="308">
        <v>15.255000000000001</v>
      </c>
      <c r="F14" s="308">
        <v>2.181</v>
      </c>
      <c r="G14" s="308">
        <v>39.856000000000002</v>
      </c>
      <c r="H14" s="308">
        <v>7.0780000000000003</v>
      </c>
      <c r="I14" s="308">
        <v>0.20100000000000001</v>
      </c>
      <c r="J14" s="308"/>
      <c r="K14" s="307" t="s">
        <v>107</v>
      </c>
      <c r="L14" s="307" t="s">
        <v>107</v>
      </c>
      <c r="M14" s="308">
        <v>0.13500000000000001</v>
      </c>
      <c r="N14" s="308">
        <v>2.39</v>
      </c>
      <c r="O14" s="305">
        <f t="shared" si="0"/>
        <v>68.00500000000001</v>
      </c>
      <c r="P14" s="217"/>
    </row>
    <row r="15" spans="2:16" ht="15" customHeight="1">
      <c r="B15" s="301">
        <v>2003</v>
      </c>
      <c r="C15" s="310">
        <v>0.878</v>
      </c>
      <c r="D15" s="307" t="s">
        <v>107</v>
      </c>
      <c r="E15" s="308">
        <v>17.457000000000001</v>
      </c>
      <c r="F15" s="308">
        <v>2.0270000000000001</v>
      </c>
      <c r="G15" s="308">
        <v>39.603999999999999</v>
      </c>
      <c r="H15" s="308">
        <v>7.431</v>
      </c>
      <c r="I15" s="308">
        <v>0.66400000000000003</v>
      </c>
      <c r="J15" s="308"/>
      <c r="K15" s="307" t="s">
        <v>107</v>
      </c>
      <c r="L15" s="307" t="s">
        <v>107</v>
      </c>
      <c r="M15" s="308">
        <v>0.2</v>
      </c>
      <c r="N15" s="308">
        <v>2.4</v>
      </c>
      <c r="O15" s="305">
        <f t="shared" si="0"/>
        <v>70.661000000000016</v>
      </c>
      <c r="P15" s="217"/>
    </row>
    <row r="16" spans="2:16" ht="15" customHeight="1">
      <c r="B16" s="301">
        <v>2004</v>
      </c>
      <c r="C16" s="310">
        <v>0.94</v>
      </c>
      <c r="D16" s="308">
        <v>1E-3</v>
      </c>
      <c r="E16" s="308">
        <v>19.603999999999999</v>
      </c>
      <c r="F16" s="308">
        <v>2.085</v>
      </c>
      <c r="G16" s="308">
        <v>41.439</v>
      </c>
      <c r="H16" s="308">
        <v>7.9249999999999998</v>
      </c>
      <c r="I16" s="308">
        <v>0.65700000000000003</v>
      </c>
      <c r="J16" s="308"/>
      <c r="K16" s="308">
        <v>0.436</v>
      </c>
      <c r="L16" s="308"/>
      <c r="M16" s="308">
        <v>0.16200000000000001</v>
      </c>
      <c r="N16" s="308">
        <v>2.4220000000000002</v>
      </c>
      <c r="O16" s="305">
        <f t="shared" si="0"/>
        <v>75.671000000000006</v>
      </c>
      <c r="P16" s="217"/>
    </row>
    <row r="17" spans="2:16" ht="15" customHeight="1">
      <c r="B17" s="301">
        <v>2005</v>
      </c>
      <c r="C17" s="310">
        <v>0.98199999999999998</v>
      </c>
      <c r="D17" s="308">
        <v>6.0000000000000001E-3</v>
      </c>
      <c r="E17" s="308">
        <v>20.853000000000002</v>
      </c>
      <c r="F17" s="308">
        <v>2.3239999999999998</v>
      </c>
      <c r="G17" s="308">
        <v>43.13</v>
      </c>
      <c r="H17" s="308">
        <v>8.5500000000000007</v>
      </c>
      <c r="I17" s="308">
        <v>0.68700000000000006</v>
      </c>
      <c r="J17" s="308"/>
      <c r="K17" s="308">
        <v>0.49</v>
      </c>
      <c r="L17" s="308"/>
      <c r="M17" s="308">
        <v>0.311</v>
      </c>
      <c r="N17" s="308">
        <v>2.33</v>
      </c>
      <c r="O17" s="305">
        <f t="shared" si="0"/>
        <v>79.662999999999997</v>
      </c>
      <c r="P17" s="217"/>
    </row>
    <row r="18" spans="2:16" ht="15" customHeight="1">
      <c r="B18" s="301">
        <v>2006</v>
      </c>
      <c r="C18" s="310">
        <v>1</v>
      </c>
      <c r="D18" s="308">
        <v>0.14799999999999999</v>
      </c>
      <c r="E18" s="308">
        <v>21.635000000000002</v>
      </c>
      <c r="F18" s="308">
        <v>2.6970000000000001</v>
      </c>
      <c r="G18" s="308">
        <v>44.853000000000002</v>
      </c>
      <c r="H18" s="308">
        <v>8.9120000000000008</v>
      </c>
      <c r="I18" s="308">
        <v>0.73299999999999998</v>
      </c>
      <c r="J18" s="308"/>
      <c r="K18" s="308">
        <v>0.50800000000000001</v>
      </c>
      <c r="L18" s="308"/>
      <c r="M18" s="308">
        <v>0.435</v>
      </c>
      <c r="N18" s="308">
        <v>2.4900000000000002</v>
      </c>
      <c r="O18" s="305">
        <f t="shared" si="0"/>
        <v>83.411000000000001</v>
      </c>
      <c r="P18" s="217"/>
    </row>
    <row r="19" spans="2:16" ht="15" customHeight="1">
      <c r="B19" s="301">
        <v>2007</v>
      </c>
      <c r="C19" s="310">
        <v>1.018</v>
      </c>
      <c r="D19" s="308">
        <v>0.32900000000000001</v>
      </c>
      <c r="E19" s="308">
        <v>21.919</v>
      </c>
      <c r="F19" s="308">
        <v>2.5920000000000001</v>
      </c>
      <c r="G19" s="308">
        <v>47.966000000000001</v>
      </c>
      <c r="H19" s="308">
        <v>8.8179999999999996</v>
      </c>
      <c r="I19" s="308">
        <v>0.8</v>
      </c>
      <c r="J19" s="308"/>
      <c r="K19" s="308">
        <v>0.50600000000000001</v>
      </c>
      <c r="L19" s="308"/>
      <c r="M19" s="308">
        <v>0.57999999999999996</v>
      </c>
      <c r="N19" s="308">
        <v>2.7749999999999999</v>
      </c>
      <c r="O19" s="305">
        <f t="shared" si="0"/>
        <v>87.302999999999997</v>
      </c>
      <c r="P19" s="217"/>
    </row>
    <row r="20" spans="2:16" ht="15" customHeight="1">
      <c r="B20" s="301">
        <v>2008</v>
      </c>
      <c r="C20" s="310">
        <v>1.079</v>
      </c>
      <c r="D20" s="308">
        <v>0.253</v>
      </c>
      <c r="E20" s="308">
        <v>23.332999999999998</v>
      </c>
      <c r="F20" s="308">
        <v>5.4829999999999997</v>
      </c>
      <c r="G20" s="308">
        <v>52.564</v>
      </c>
      <c r="H20" s="308">
        <v>8.8780000000000001</v>
      </c>
      <c r="I20" s="308">
        <v>0.86699999999999999</v>
      </c>
      <c r="J20" s="308"/>
      <c r="K20" s="308">
        <v>0.52500000000000002</v>
      </c>
      <c r="L20" s="311">
        <v>1.4E-2</v>
      </c>
      <c r="M20" s="308">
        <v>0.622</v>
      </c>
      <c r="N20" s="308">
        <v>2.992</v>
      </c>
      <c r="O20" s="305">
        <f t="shared" si="0"/>
        <v>96.610000000000014</v>
      </c>
      <c r="P20" s="217"/>
    </row>
    <row r="21" spans="2:16" ht="15" customHeight="1" thickBot="1">
      <c r="B21" s="301">
        <v>2009</v>
      </c>
      <c r="C21" s="308">
        <v>1.0609999999999999</v>
      </c>
      <c r="D21" s="308">
        <v>0.23499999999999999</v>
      </c>
      <c r="E21" s="308">
        <v>22.561</v>
      </c>
      <c r="F21" s="308">
        <v>11.505000000000001</v>
      </c>
      <c r="G21" s="308">
        <v>51.863999999999997</v>
      </c>
      <c r="H21" s="308">
        <v>10.746</v>
      </c>
      <c r="I21" s="308">
        <v>0.91500000000000004</v>
      </c>
      <c r="J21" s="308"/>
      <c r="K21" s="308">
        <v>0.52900000000000003</v>
      </c>
      <c r="L21" s="311">
        <v>1.6E-2</v>
      </c>
      <c r="M21" s="308">
        <v>0.60399999999999998</v>
      </c>
      <c r="N21" s="308">
        <v>3.05</v>
      </c>
      <c r="O21" s="305">
        <f t="shared" si="0"/>
        <v>103.086</v>
      </c>
      <c r="P21" s="217"/>
    </row>
    <row r="22" spans="2:16" ht="15" customHeight="1" thickTop="1">
      <c r="B22" s="301">
        <v>2010</v>
      </c>
      <c r="C22" s="308">
        <v>1.0609999999999999</v>
      </c>
      <c r="D22" s="308">
        <v>0.27100000000000002</v>
      </c>
      <c r="E22" s="308">
        <v>23.903134902000001</v>
      </c>
      <c r="F22" s="308">
        <v>11.715</v>
      </c>
      <c r="G22" s="308">
        <v>51.890184043437998</v>
      </c>
      <c r="H22" s="308">
        <v>11.606199999999999</v>
      </c>
      <c r="I22" s="312">
        <v>0.28499999999999998</v>
      </c>
      <c r="J22" s="308"/>
      <c r="K22" s="308">
        <v>0.51925939799999998</v>
      </c>
      <c r="L22" s="311">
        <f>15.1/1000</f>
        <v>1.5099999999999999E-2</v>
      </c>
      <c r="M22" s="308">
        <v>0.65100000000000002</v>
      </c>
      <c r="N22" s="311">
        <v>2.9384999999999999</v>
      </c>
      <c r="O22" s="305">
        <f t="shared" si="0"/>
        <v>104.85537834343801</v>
      </c>
      <c r="P22" s="217"/>
    </row>
    <row r="23" spans="2:16" ht="15" customHeight="1">
      <c r="B23" s="301">
        <v>2011</v>
      </c>
      <c r="C23" s="308">
        <v>0.90500000000000003</v>
      </c>
      <c r="D23" s="308">
        <v>0.28499999999999998</v>
      </c>
      <c r="E23" s="308">
        <v>23.306000000000001</v>
      </c>
      <c r="F23" s="308">
        <v>11.231</v>
      </c>
      <c r="G23" s="308">
        <v>51.365000000000002</v>
      </c>
      <c r="H23" s="308">
        <v>12.282999999999999</v>
      </c>
      <c r="I23" s="308">
        <v>0.30499999999999999</v>
      </c>
      <c r="J23" s="308"/>
      <c r="K23" s="308">
        <v>0.46600000000000003</v>
      </c>
      <c r="L23" s="311">
        <f>13.34/1000</f>
        <v>1.3339999999999999E-2</v>
      </c>
      <c r="M23" s="308">
        <v>0.70899999999999996</v>
      </c>
      <c r="N23" s="308">
        <v>2.827</v>
      </c>
      <c r="O23" s="305">
        <f t="shared" si="0"/>
        <v>103.69534000000002</v>
      </c>
      <c r="P23" s="217"/>
    </row>
    <row r="24" spans="2:16" ht="15" customHeight="1">
      <c r="B24" s="301">
        <v>2012</v>
      </c>
      <c r="C24" s="311">
        <v>0.90500000000000003</v>
      </c>
      <c r="D24" s="308">
        <v>0.27100000000000002</v>
      </c>
      <c r="E24" s="308">
        <v>24.753</v>
      </c>
      <c r="F24" s="308">
        <v>11.177</v>
      </c>
      <c r="G24" s="308">
        <v>51.085999999999999</v>
      </c>
      <c r="H24" s="308">
        <v>12.794</v>
      </c>
      <c r="I24" s="308">
        <v>0.32400000000000001</v>
      </c>
      <c r="J24" s="308"/>
      <c r="K24" s="308">
        <v>0.46200000000000002</v>
      </c>
      <c r="L24" s="311">
        <f>11.88/1000</f>
        <v>1.188E-2</v>
      </c>
      <c r="M24" s="308">
        <v>0.70799999999999996</v>
      </c>
      <c r="N24" s="308">
        <v>2.948</v>
      </c>
      <c r="O24" s="305">
        <f t="shared" si="0"/>
        <v>105.43988</v>
      </c>
      <c r="P24" s="217"/>
    </row>
    <row r="25" spans="2:16" ht="15" customHeight="1">
      <c r="B25" s="301">
        <v>2013</v>
      </c>
      <c r="C25" s="313">
        <v>0.90500000000000003</v>
      </c>
      <c r="D25" s="308">
        <v>0.246</v>
      </c>
      <c r="E25" s="308">
        <v>25.178000000000001</v>
      </c>
      <c r="F25" s="308">
        <v>12.744</v>
      </c>
      <c r="G25" s="308">
        <v>50.786000000000001</v>
      </c>
      <c r="H25" s="311">
        <v>12.794</v>
      </c>
      <c r="I25" s="308">
        <v>0.36299999999999999</v>
      </c>
      <c r="J25" s="308"/>
      <c r="K25" s="308">
        <v>0.46500000000000002</v>
      </c>
      <c r="L25" s="311">
        <f>11.05/1000</f>
        <v>1.1050000000000001E-2</v>
      </c>
      <c r="M25" s="308">
        <v>0.75700000000000001</v>
      </c>
      <c r="N25" s="308">
        <v>3.0550000000000002</v>
      </c>
      <c r="O25" s="305">
        <f t="shared" si="0"/>
        <v>107.30405000000002</v>
      </c>
      <c r="P25" s="217"/>
    </row>
    <row r="26" spans="2:16" ht="15" customHeight="1">
      <c r="B26" s="314">
        <v>2014</v>
      </c>
      <c r="C26" s="313">
        <v>0.91</v>
      </c>
      <c r="D26" s="311">
        <v>0.246</v>
      </c>
      <c r="E26" s="308">
        <v>24.315999999999999</v>
      </c>
      <c r="F26" s="308">
        <v>12.788</v>
      </c>
      <c r="G26" s="308">
        <v>50.658999999999999</v>
      </c>
      <c r="H26" s="311">
        <v>12.794</v>
      </c>
      <c r="I26" s="308">
        <v>0.24199999999999999</v>
      </c>
      <c r="J26" s="308"/>
      <c r="K26" s="308">
        <v>0.53800000000000003</v>
      </c>
      <c r="L26" s="311">
        <f>7.7/1000</f>
        <v>7.7000000000000002E-3</v>
      </c>
      <c r="M26" s="308">
        <v>0.65100000000000002</v>
      </c>
      <c r="N26" s="308">
        <v>3.2280000000000002</v>
      </c>
      <c r="O26" s="315">
        <f t="shared" si="0"/>
        <v>106.37969999999999</v>
      </c>
      <c r="P26" s="216"/>
    </row>
    <row r="27" spans="2:16" ht="15" customHeight="1">
      <c r="B27" s="301">
        <v>2015</v>
      </c>
      <c r="C27" s="308">
        <v>1.2</v>
      </c>
      <c r="D27" s="308">
        <v>0.56699999999999995</v>
      </c>
      <c r="E27" s="308">
        <v>25.28</v>
      </c>
      <c r="F27" s="308">
        <v>14.129</v>
      </c>
      <c r="G27" s="308">
        <v>49.98</v>
      </c>
      <c r="H27" s="311">
        <v>12.794</v>
      </c>
      <c r="I27" s="308">
        <v>0.996</v>
      </c>
      <c r="J27" s="308">
        <v>0.46700000000000003</v>
      </c>
      <c r="K27" s="308">
        <v>0.56899999999999995</v>
      </c>
      <c r="L27" s="311">
        <f>5.6/1000</f>
        <v>5.5999999999999999E-3</v>
      </c>
      <c r="M27" s="308">
        <v>0.57099999999999995</v>
      </c>
      <c r="N27" s="308">
        <v>3.3650000000000002</v>
      </c>
      <c r="O27" s="315">
        <f t="shared" si="0"/>
        <v>109.92359999999999</v>
      </c>
      <c r="P27" s="216"/>
    </row>
    <row r="28" spans="2:16" ht="15" customHeight="1">
      <c r="B28" s="301">
        <v>2016</v>
      </c>
      <c r="C28" s="308">
        <v>1.5</v>
      </c>
      <c r="D28" s="308">
        <v>0.69799999999999995</v>
      </c>
      <c r="E28" s="308">
        <v>27.213000000000001</v>
      </c>
      <c r="F28" s="308">
        <v>15.058999999999999</v>
      </c>
      <c r="G28" s="308">
        <v>50.539000000000001</v>
      </c>
      <c r="H28" s="311">
        <v>12.794</v>
      </c>
      <c r="I28" s="308">
        <v>0.36499999999999999</v>
      </c>
      <c r="J28" s="308">
        <v>1.4354899999999999</v>
      </c>
      <c r="K28" s="308">
        <v>0.61411000000000004</v>
      </c>
      <c r="L28" s="311">
        <f>3.9/1000</f>
        <v>3.8999999999999998E-3</v>
      </c>
      <c r="M28" s="308">
        <v>0.61299999999999999</v>
      </c>
      <c r="N28" s="308">
        <v>3.4809999999999999</v>
      </c>
      <c r="O28" s="315">
        <f t="shared" si="0"/>
        <v>114.31549999999999</v>
      </c>
      <c r="P28" s="216"/>
    </row>
    <row r="29" spans="2:16" ht="15" customHeight="1">
      <c r="B29" s="301">
        <v>2017</v>
      </c>
      <c r="C29" s="308">
        <v>1.5640000000000001</v>
      </c>
      <c r="D29" s="308">
        <v>0.76900000000000002</v>
      </c>
      <c r="E29" s="308">
        <v>28.501999999999999</v>
      </c>
      <c r="F29" s="308">
        <v>15.54</v>
      </c>
      <c r="G29" s="308">
        <v>58.28</v>
      </c>
      <c r="H29" s="311">
        <v>12.79</v>
      </c>
      <c r="I29" s="308">
        <v>0.41299999999999998</v>
      </c>
      <c r="J29" s="308">
        <v>1.44</v>
      </c>
      <c r="K29" s="308">
        <v>0.65300000000000002</v>
      </c>
      <c r="L29" s="311">
        <f>1.54/1000</f>
        <v>1.5400000000000001E-3</v>
      </c>
      <c r="M29" s="308">
        <v>0.67800000000000005</v>
      </c>
      <c r="N29" s="308">
        <v>3.6040000000000001</v>
      </c>
      <c r="O29" s="315">
        <f t="shared" si="0"/>
        <v>124.23454</v>
      </c>
      <c r="P29" s="216"/>
    </row>
    <row r="30" spans="2:16" ht="14.25" customHeight="1">
      <c r="B30" s="301">
        <v>2018</v>
      </c>
      <c r="C30" s="313">
        <f>C29</f>
        <v>1.5640000000000001</v>
      </c>
      <c r="D30" s="308">
        <v>0.79400000000000004</v>
      </c>
      <c r="E30" s="308">
        <v>31.067</v>
      </c>
      <c r="F30" s="308">
        <v>16.126000000000001</v>
      </c>
      <c r="G30" s="308">
        <v>56.808</v>
      </c>
      <c r="H30" s="311">
        <v>12.79</v>
      </c>
      <c r="I30" s="308">
        <v>0.39500000000000002</v>
      </c>
      <c r="J30" s="308">
        <v>1.55</v>
      </c>
      <c r="K30" s="308">
        <v>0.66100000000000003</v>
      </c>
      <c r="L30" s="311">
        <f>1.79/1000</f>
        <v>1.7900000000000001E-3</v>
      </c>
      <c r="M30" s="308">
        <v>0.79500000000000004</v>
      </c>
      <c r="N30" s="308">
        <v>3.5230000000000001</v>
      </c>
      <c r="O30" s="315">
        <f t="shared" si="0"/>
        <v>126.07478999999999</v>
      </c>
      <c r="P30" s="216"/>
    </row>
    <row r="31" spans="2:16" ht="14.25" customHeight="1">
      <c r="B31" s="301">
        <v>2019</v>
      </c>
      <c r="C31" s="311">
        <f>C30</f>
        <v>1.5640000000000001</v>
      </c>
      <c r="D31" s="308">
        <f>881/1000</f>
        <v>0.88100000000000001</v>
      </c>
      <c r="E31" s="308">
        <f>33204/1000</f>
        <v>33.204000000000001</v>
      </c>
      <c r="F31" s="308">
        <f>16071/1000</f>
        <v>16.071000000000002</v>
      </c>
      <c r="G31" s="308">
        <f>59951/1000</f>
        <v>59.951000000000001</v>
      </c>
      <c r="H31" s="311">
        <f>H30</f>
        <v>12.79</v>
      </c>
      <c r="I31" s="308">
        <f>452/1000</f>
        <v>0.45200000000000001</v>
      </c>
      <c r="J31" s="308">
        <f>1683/1000</f>
        <v>1.6830000000000001</v>
      </c>
      <c r="K31" s="308">
        <f>696/1000</f>
        <v>0.69599999999999995</v>
      </c>
      <c r="L31" s="311">
        <f>1.74/1000</f>
        <v>1.74E-3</v>
      </c>
      <c r="M31" s="308">
        <f>814/1000</f>
        <v>0.81399999999999995</v>
      </c>
      <c r="N31" s="308">
        <f>3900/1000</f>
        <v>3.9</v>
      </c>
      <c r="O31" s="315">
        <f t="shared" si="0"/>
        <v>132.00773999999998</v>
      </c>
      <c r="P31" s="216"/>
    </row>
    <row r="32" spans="2:16" ht="17.25" customHeight="1">
      <c r="B32" s="301">
        <v>2020</v>
      </c>
      <c r="C32" s="311">
        <v>0.99</v>
      </c>
      <c r="D32" s="311">
        <v>0.53747816875460575</v>
      </c>
      <c r="E32" s="308">
        <v>18.152999999999999</v>
      </c>
      <c r="F32" s="308">
        <v>5.609</v>
      </c>
      <c r="G32" s="308">
        <v>35.804000000000002</v>
      </c>
      <c r="H32" s="311">
        <v>5.0334095005831818</v>
      </c>
      <c r="I32" s="308">
        <v>0.14099999999999999</v>
      </c>
      <c r="J32" s="308">
        <v>0.75800000000000001</v>
      </c>
      <c r="K32" s="308">
        <v>0.223</v>
      </c>
      <c r="L32" s="311">
        <v>4.0000000000000002E-4</v>
      </c>
      <c r="M32" s="308">
        <v>0.32500000000000001</v>
      </c>
      <c r="N32" s="308">
        <v>1.798</v>
      </c>
      <c r="O32" s="315">
        <v>69.372287669337794</v>
      </c>
      <c r="P32" s="216"/>
    </row>
    <row r="33" spans="2:16" ht="15" customHeight="1">
      <c r="B33" s="316">
        <v>2021</v>
      </c>
      <c r="C33" s="368">
        <v>0.93271731783155343</v>
      </c>
      <c r="D33" s="367">
        <v>0.54794694178334558</v>
      </c>
      <c r="E33" s="317">
        <v>19.57</v>
      </c>
      <c r="F33" s="317">
        <v>6.37</v>
      </c>
      <c r="G33" s="317">
        <v>47.7</v>
      </c>
      <c r="H33" s="311">
        <v>6.2593834163927458</v>
      </c>
      <c r="I33" s="317">
        <v>0.14299999999999999</v>
      </c>
      <c r="J33" s="317">
        <v>1.1243000000000001</v>
      </c>
      <c r="K33" s="317">
        <v>0.27</v>
      </c>
      <c r="L33" s="367">
        <v>2.7E-2</v>
      </c>
      <c r="M33" s="317">
        <v>0.34</v>
      </c>
      <c r="N33" s="317">
        <v>1.9390000000000001</v>
      </c>
      <c r="O33" s="315">
        <v>85.223347676007648</v>
      </c>
      <c r="P33" s="214"/>
    </row>
  </sheetData>
  <phoneticPr fontId="16" type="noConversion"/>
  <printOptions horizontalCentered="1"/>
  <pageMargins left="0.6692913385826772" right="0.47244094488188981" top="0.51181102362204722" bottom="0.27559055118110237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AD81"/>
  <sheetViews>
    <sheetView zoomScale="85" zoomScaleNormal="85" workbookViewId="0">
      <selection activeCell="Z23" sqref="Z23"/>
    </sheetView>
  </sheetViews>
  <sheetFormatPr defaultRowHeight="12.75"/>
  <cols>
    <col min="1" max="1" width="2.59765625" customWidth="1"/>
    <col min="2" max="2" width="6.1328125" customWidth="1"/>
    <col min="3" max="3" width="9.73046875" customWidth="1"/>
    <col min="4" max="6" width="8.73046875" customWidth="1"/>
    <col min="7" max="7" width="9.265625" customWidth="1"/>
    <col min="8" max="8" width="8.73046875" customWidth="1"/>
    <col min="9" max="9" width="7.3984375" customWidth="1"/>
    <col min="13" max="13" width="9.3984375" customWidth="1"/>
    <col min="17" max="17" width="10.3984375" customWidth="1"/>
  </cols>
  <sheetData>
    <row r="1" spans="2:30" ht="14.25" customHeight="1">
      <c r="B1" s="33"/>
      <c r="C1" s="33"/>
      <c r="D1" s="33"/>
      <c r="E1" s="33"/>
      <c r="F1" s="33"/>
      <c r="G1" s="33"/>
      <c r="H1" s="34"/>
      <c r="I1" s="10" t="s">
        <v>70</v>
      </c>
    </row>
    <row r="2" spans="2:30" s="11" customFormat="1" ht="30" customHeight="1">
      <c r="B2" s="428" t="s">
        <v>94</v>
      </c>
      <c r="C2" s="428"/>
      <c r="D2" s="428"/>
      <c r="E2" s="428"/>
      <c r="F2" s="428"/>
      <c r="G2" s="428"/>
      <c r="H2" s="428"/>
      <c r="I2" s="428"/>
      <c r="L2"/>
      <c r="N2"/>
      <c r="O2"/>
      <c r="P2"/>
      <c r="Q2"/>
      <c r="R2"/>
      <c r="U2"/>
      <c r="V2"/>
      <c r="W2"/>
      <c r="X2"/>
      <c r="Y2"/>
      <c r="Z2"/>
      <c r="AA2"/>
      <c r="AB2"/>
      <c r="AC2"/>
      <c r="AD2"/>
    </row>
    <row r="3" spans="2:30" ht="15" customHeight="1">
      <c r="B3" s="429" t="s">
        <v>91</v>
      </c>
      <c r="C3" s="429"/>
      <c r="D3" s="429"/>
      <c r="E3" s="429"/>
      <c r="F3" s="429"/>
      <c r="G3" s="429"/>
      <c r="H3" s="429"/>
      <c r="I3" s="429"/>
      <c r="L3" s="218"/>
      <c r="M3" s="404" t="s">
        <v>105</v>
      </c>
      <c r="N3" s="405"/>
      <c r="O3" s="405"/>
      <c r="P3" s="405"/>
      <c r="Q3" s="405"/>
      <c r="R3" s="405"/>
    </row>
    <row r="4" spans="2:30" ht="12" customHeight="1">
      <c r="B4" s="409" t="s">
        <v>77</v>
      </c>
      <c r="C4" s="430"/>
      <c r="D4" s="430"/>
      <c r="E4" s="430"/>
      <c r="F4" s="430"/>
      <c r="G4" s="430"/>
      <c r="H4" s="430"/>
      <c r="I4" s="430"/>
      <c r="L4" s="219"/>
      <c r="M4" s="406"/>
      <c r="N4" s="406"/>
      <c r="O4" s="406"/>
      <c r="P4" s="406"/>
      <c r="Q4" s="406"/>
      <c r="R4" s="406"/>
      <c r="S4" s="218"/>
    </row>
    <row r="5" spans="2:30" ht="12.75" customHeight="1">
      <c r="B5" s="16"/>
      <c r="C5" s="412" t="s">
        <v>51</v>
      </c>
      <c r="D5" s="412" t="s">
        <v>52</v>
      </c>
      <c r="E5" s="414" t="s">
        <v>53</v>
      </c>
      <c r="F5" s="427" t="s">
        <v>96</v>
      </c>
      <c r="G5" s="412" t="s">
        <v>55</v>
      </c>
      <c r="H5" s="414" t="s">
        <v>44</v>
      </c>
      <c r="I5" s="414" t="s">
        <v>45</v>
      </c>
      <c r="L5" s="16"/>
      <c r="M5" s="412" t="s">
        <v>51</v>
      </c>
      <c r="N5" s="412" t="s">
        <v>52</v>
      </c>
      <c r="O5" s="414" t="s">
        <v>53</v>
      </c>
      <c r="P5" s="427" t="s">
        <v>96</v>
      </c>
      <c r="Q5" s="412" t="s">
        <v>55</v>
      </c>
      <c r="R5" s="414" t="s">
        <v>44</v>
      </c>
      <c r="S5" s="219"/>
    </row>
    <row r="6" spans="2:30" ht="22.5" customHeight="1">
      <c r="B6" s="16"/>
      <c r="C6" s="413"/>
      <c r="D6" s="413"/>
      <c r="E6" s="415"/>
      <c r="F6" s="415"/>
      <c r="G6" s="413"/>
      <c r="H6" s="415"/>
      <c r="I6" s="415"/>
      <c r="L6" s="16"/>
      <c r="M6" s="413"/>
      <c r="N6" s="413"/>
      <c r="O6" s="415"/>
      <c r="P6" s="415"/>
      <c r="Q6" s="413"/>
      <c r="R6" s="415"/>
      <c r="S6" s="426"/>
    </row>
    <row r="7" spans="2:30" ht="15" customHeight="1">
      <c r="B7" s="35">
        <v>1990</v>
      </c>
      <c r="C7" s="130">
        <v>5280.4901498342397</v>
      </c>
      <c r="D7" s="131">
        <v>19.994650790400001</v>
      </c>
      <c r="E7" s="131">
        <v>28.215019008000002</v>
      </c>
      <c r="F7" s="134">
        <v>195.36953356800004</v>
      </c>
      <c r="G7" s="131">
        <v>12.316309632000001</v>
      </c>
      <c r="H7" s="134">
        <v>563.61677192500838</v>
      </c>
      <c r="I7" s="132">
        <f t="shared" ref="I7:I26" si="0">SUM(C7:H7)</f>
        <v>6100.0024347576491</v>
      </c>
      <c r="L7" s="35">
        <v>1990</v>
      </c>
      <c r="M7" s="53">
        <f t="shared" ref="M7:M29" si="1">100*(C7/$I7)</f>
        <v>86.565377740607929</v>
      </c>
      <c r="N7" s="54">
        <f t="shared" ref="N7:R22" si="2">100*(D7/$I7)</f>
        <v>0.32778102966764444</v>
      </c>
      <c r="O7" s="54">
        <f t="shared" si="2"/>
        <v>0.46254111059417918</v>
      </c>
      <c r="P7" s="54">
        <f t="shared" si="2"/>
        <v>3.2027779604609616</v>
      </c>
      <c r="Q7" s="54">
        <f t="shared" si="2"/>
        <v>0.20190663468955361</v>
      </c>
      <c r="R7" s="55">
        <f t="shared" si="2"/>
        <v>9.2396155239797153</v>
      </c>
      <c r="S7" s="426"/>
    </row>
    <row r="8" spans="2:30" ht="18.75" customHeight="1">
      <c r="B8" s="37">
        <v>1995</v>
      </c>
      <c r="C8" s="133">
        <v>5701.9589003520005</v>
      </c>
      <c r="D8" s="134">
        <v>17.343900288</v>
      </c>
      <c r="E8" s="134">
        <v>25.916875776000001</v>
      </c>
      <c r="F8" s="134">
        <v>219.03815577600002</v>
      </c>
      <c r="G8" s="134">
        <v>14.651467776</v>
      </c>
      <c r="H8" s="134">
        <v>647.59009500122579</v>
      </c>
      <c r="I8" s="135">
        <f t="shared" si="0"/>
        <v>6626.4993949692262</v>
      </c>
      <c r="L8" s="37">
        <v>1995</v>
      </c>
      <c r="M8" s="44">
        <f t="shared" si="1"/>
        <v>86.047829487177978</v>
      </c>
      <c r="N8" s="45">
        <f t="shared" si="2"/>
        <v>0.26173548436701466</v>
      </c>
      <c r="O8" s="45">
        <f t="shared" si="2"/>
        <v>0.39110960752031215</v>
      </c>
      <c r="P8" s="45">
        <f t="shared" si="2"/>
        <v>3.3054882030516999</v>
      </c>
      <c r="Q8" s="45">
        <f t="shared" si="2"/>
        <v>0.2211041894476479</v>
      </c>
      <c r="R8" s="46">
        <f t="shared" si="2"/>
        <v>9.7727330284353453</v>
      </c>
      <c r="S8" s="36"/>
      <c r="T8" s="176"/>
    </row>
    <row r="9" spans="2:30" ht="22.5" customHeight="1">
      <c r="B9" s="37">
        <v>1996</v>
      </c>
      <c r="C9" s="133">
        <v>5850.5560692480003</v>
      </c>
      <c r="D9" s="134">
        <v>17.561161728000002</v>
      </c>
      <c r="E9" s="134">
        <v>26.683278058483204</v>
      </c>
      <c r="F9" s="134">
        <v>223.91768678400001</v>
      </c>
      <c r="G9" s="134">
        <v>14.9759861999616</v>
      </c>
      <c r="H9" s="134">
        <v>694.08037885552835</v>
      </c>
      <c r="I9" s="135">
        <f t="shared" si="0"/>
        <v>6827.7745608739733</v>
      </c>
      <c r="L9" s="37">
        <v>1996</v>
      </c>
      <c r="M9" s="44">
        <f t="shared" si="1"/>
        <v>85.68759874958603</v>
      </c>
      <c r="N9" s="45">
        <f t="shared" si="2"/>
        <v>0.2572018389217603</v>
      </c>
      <c r="O9" s="45">
        <f t="shared" si="2"/>
        <v>0.39080490752271807</v>
      </c>
      <c r="P9" s="45">
        <f t="shared" si="2"/>
        <v>3.2795120106504796</v>
      </c>
      <c r="Q9" s="45">
        <f t="shared" si="2"/>
        <v>0.21933920146954347</v>
      </c>
      <c r="R9" s="46">
        <f t="shared" si="2"/>
        <v>10.165543291849463</v>
      </c>
      <c r="S9" s="36"/>
    </row>
    <row r="10" spans="2:30" ht="21" customHeight="1">
      <c r="B10" s="37">
        <v>1997</v>
      </c>
      <c r="C10" s="133">
        <v>6021.7468185600001</v>
      </c>
      <c r="D10" s="134">
        <v>17.846015615999999</v>
      </c>
      <c r="E10" s="134">
        <v>27.716231159654402</v>
      </c>
      <c r="F10" s="134">
        <v>233.45144064000004</v>
      </c>
      <c r="G10" s="134">
        <v>14.582578245016322</v>
      </c>
      <c r="H10" s="134">
        <v>727.04154261378824</v>
      </c>
      <c r="I10" s="135">
        <f t="shared" si="0"/>
        <v>7042.3846268344596</v>
      </c>
      <c r="L10" s="37">
        <v>1997</v>
      </c>
      <c r="M10" s="44">
        <f t="shared" si="1"/>
        <v>85.507212934871546</v>
      </c>
      <c r="N10" s="45">
        <f t="shared" si="2"/>
        <v>0.2534087040346979</v>
      </c>
      <c r="O10" s="45">
        <f t="shared" si="2"/>
        <v>0.39356315549769683</v>
      </c>
      <c r="P10" s="45">
        <f t="shared" si="2"/>
        <v>3.314948742652474</v>
      </c>
      <c r="Q10" s="45">
        <f t="shared" si="2"/>
        <v>0.20706875607802702</v>
      </c>
      <c r="R10" s="46">
        <f t="shared" si="2"/>
        <v>10.323797706865554</v>
      </c>
      <c r="S10" s="36"/>
    </row>
    <row r="11" spans="2:30" ht="12.75" customHeight="1">
      <c r="B11" s="37">
        <v>1998</v>
      </c>
      <c r="C11" s="133">
        <v>6186.937933440001</v>
      </c>
      <c r="D11" s="134">
        <v>18.203289984000001</v>
      </c>
      <c r="E11" s="134">
        <v>28.305757559616769</v>
      </c>
      <c r="F11" s="134">
        <v>239.0812985332476</v>
      </c>
      <c r="G11" s="134">
        <v>15.79991311900109</v>
      </c>
      <c r="H11" s="134">
        <v>743.84491086361845</v>
      </c>
      <c r="I11" s="135">
        <f t="shared" si="0"/>
        <v>7232.1731034994846</v>
      </c>
      <c r="L11" s="37">
        <v>1998</v>
      </c>
      <c r="M11" s="44">
        <f t="shared" si="1"/>
        <v>85.547425993527199</v>
      </c>
      <c r="N11" s="45">
        <f t="shared" si="2"/>
        <v>0.2516987594668032</v>
      </c>
      <c r="O11" s="45">
        <f t="shared" si="2"/>
        <v>0.39138661581427381</v>
      </c>
      <c r="P11" s="45">
        <f t="shared" si="2"/>
        <v>3.3058016603275382</v>
      </c>
      <c r="Q11" s="45">
        <f t="shared" si="2"/>
        <v>0.21846702080949737</v>
      </c>
      <c r="R11" s="46">
        <f t="shared" si="2"/>
        <v>10.285219950054691</v>
      </c>
      <c r="S11" s="36"/>
    </row>
    <row r="12" spans="2:30" ht="12.75" customHeight="1" thickBot="1">
      <c r="B12" s="38">
        <v>1999</v>
      </c>
      <c r="C12" s="133">
        <v>6320.6905132800002</v>
      </c>
      <c r="D12" s="134">
        <v>18.735982847999999</v>
      </c>
      <c r="E12" s="134">
        <v>29.34165086629287</v>
      </c>
      <c r="F12" s="134">
        <v>261.4642487027653</v>
      </c>
      <c r="G12" s="134">
        <v>16.01970877368576</v>
      </c>
      <c r="H12" s="134">
        <v>784.04340156458341</v>
      </c>
      <c r="I12" s="135">
        <f t="shared" si="0"/>
        <v>7430.2955060353279</v>
      </c>
      <c r="L12" s="38">
        <v>1999</v>
      </c>
      <c r="M12" s="44">
        <f t="shared" si="1"/>
        <v>85.066475595027953</v>
      </c>
      <c r="N12" s="45">
        <f t="shared" si="2"/>
        <v>0.25215663135849065</v>
      </c>
      <c r="O12" s="45">
        <f t="shared" si="2"/>
        <v>0.39489211219741982</v>
      </c>
      <c r="P12" s="45">
        <f t="shared" si="2"/>
        <v>3.518894349361859</v>
      </c>
      <c r="Q12" s="45">
        <f t="shared" si="2"/>
        <v>0.21559988779280176</v>
      </c>
      <c r="R12" s="46">
        <f t="shared" si="2"/>
        <v>10.551981424261481</v>
      </c>
    </row>
    <row r="13" spans="2:30" ht="12.75" customHeight="1" thickTop="1">
      <c r="B13" s="38">
        <v>2000</v>
      </c>
      <c r="C13" s="136">
        <v>6372.1836777083063</v>
      </c>
      <c r="D13" s="137">
        <v>24.885070523583629</v>
      </c>
      <c r="E13" s="134">
        <v>31.127146408828796</v>
      </c>
      <c r="F13" s="134">
        <v>258.9734630893891</v>
      </c>
      <c r="G13" s="134">
        <v>17.283235676458752</v>
      </c>
      <c r="H13" s="134">
        <v>829.82890353895493</v>
      </c>
      <c r="I13" s="135">
        <f t="shared" si="0"/>
        <v>7534.2814969455212</v>
      </c>
      <c r="L13" s="37">
        <v>2000</v>
      </c>
      <c r="M13" s="44">
        <f t="shared" si="1"/>
        <v>84.57586407266119</v>
      </c>
      <c r="N13" s="45">
        <f t="shared" si="2"/>
        <v>0.33029122330606187</v>
      </c>
      <c r="O13" s="45">
        <f t="shared" si="2"/>
        <v>0.41314021013746405</v>
      </c>
      <c r="P13" s="45">
        <f t="shared" si="2"/>
        <v>3.4372682145521076</v>
      </c>
      <c r="Q13" s="45">
        <f t="shared" si="2"/>
        <v>0.22939461026861765</v>
      </c>
      <c r="R13" s="46">
        <f t="shared" si="2"/>
        <v>11.014041669074569</v>
      </c>
    </row>
    <row r="14" spans="2:30" ht="12.75" customHeight="1">
      <c r="B14" s="38">
        <v>2001</v>
      </c>
      <c r="C14" s="133">
        <v>6481.2387394498746</v>
      </c>
      <c r="D14" s="134">
        <v>22.728754903041427</v>
      </c>
      <c r="E14" s="134">
        <v>31.763769898848775</v>
      </c>
      <c r="F14" s="134">
        <v>241.46972309401932</v>
      </c>
      <c r="G14" s="134">
        <v>17.65590302713882</v>
      </c>
      <c r="H14" s="134">
        <v>787.7604448437927</v>
      </c>
      <c r="I14" s="135">
        <f t="shared" si="0"/>
        <v>7582.6173352167161</v>
      </c>
      <c r="L14" s="37">
        <v>2001</v>
      </c>
      <c r="M14" s="44">
        <f t="shared" si="1"/>
        <v>85.474954793622544</v>
      </c>
      <c r="N14" s="45">
        <f t="shared" si="2"/>
        <v>0.29974814629613411</v>
      </c>
      <c r="O14" s="45">
        <f t="shared" si="2"/>
        <v>0.41890245141773264</v>
      </c>
      <c r="P14" s="45">
        <f t="shared" si="2"/>
        <v>3.1845168022990831</v>
      </c>
      <c r="Q14" s="45">
        <f t="shared" si="2"/>
        <v>0.23284707966387441</v>
      </c>
      <c r="R14" s="46">
        <f t="shared" si="2"/>
        <v>10.389030726700623</v>
      </c>
    </row>
    <row r="15" spans="2:30" ht="12.75" customHeight="1">
      <c r="B15" s="38">
        <v>2002</v>
      </c>
      <c r="C15" s="133">
        <v>6626.440066457998</v>
      </c>
      <c r="D15" s="134">
        <v>22.831654508056062</v>
      </c>
      <c r="E15" s="134">
        <v>30.788721081702143</v>
      </c>
      <c r="F15" s="134">
        <v>233.55380169260454</v>
      </c>
      <c r="G15" s="134">
        <v>17.59254593158656</v>
      </c>
      <c r="H15" s="134">
        <v>759.91737671618</v>
      </c>
      <c r="I15" s="135">
        <f t="shared" si="0"/>
        <v>7691.1241663881283</v>
      </c>
      <c r="L15" s="37">
        <v>2002</v>
      </c>
      <c r="M15" s="44">
        <f t="shared" si="1"/>
        <v>86.156976835934728</v>
      </c>
      <c r="N15" s="45">
        <f t="shared" si="2"/>
        <v>0.29685718256682575</v>
      </c>
      <c r="O15" s="45">
        <f t="shared" si="2"/>
        <v>0.40031496587008042</v>
      </c>
      <c r="P15" s="45">
        <f t="shared" si="2"/>
        <v>3.0366666385817176</v>
      </c>
      <c r="Q15" s="45">
        <f t="shared" si="2"/>
        <v>0.22873829041104005</v>
      </c>
      <c r="R15" s="46">
        <f t="shared" si="2"/>
        <v>9.8804460866355903</v>
      </c>
      <c r="S15" s="13"/>
    </row>
    <row r="16" spans="2:30" ht="12.75" customHeight="1">
      <c r="B16" s="38">
        <v>2003</v>
      </c>
      <c r="C16" s="133">
        <v>6688.9502334589106</v>
      </c>
      <c r="D16" s="134">
        <v>23.266748527352291</v>
      </c>
      <c r="E16" s="134">
        <v>31.038014883756674</v>
      </c>
      <c r="F16" s="134">
        <v>231.42526120247379</v>
      </c>
      <c r="G16" s="134">
        <v>17.753342758424065</v>
      </c>
      <c r="H16" s="134">
        <v>800.88705464787995</v>
      </c>
      <c r="I16" s="135">
        <f t="shared" si="0"/>
        <v>7793.3206554787976</v>
      </c>
      <c r="L16" s="37">
        <v>2003</v>
      </c>
      <c r="M16" s="44">
        <f t="shared" si="1"/>
        <v>85.829270078300951</v>
      </c>
      <c r="N16" s="45">
        <f t="shared" si="2"/>
        <v>0.29854730166909649</v>
      </c>
      <c r="O16" s="45">
        <f t="shared" si="2"/>
        <v>0.39826431191351758</v>
      </c>
      <c r="P16" s="45">
        <f t="shared" si="2"/>
        <v>2.9695334175654517</v>
      </c>
      <c r="Q16" s="45">
        <f t="shared" si="2"/>
        <v>0.22780203129385226</v>
      </c>
      <c r="R16" s="46">
        <f t="shared" si="2"/>
        <v>10.276582859257136</v>
      </c>
      <c r="S16" s="13"/>
    </row>
    <row r="17" spans="2:19" ht="12.75" customHeight="1">
      <c r="B17" s="38">
        <v>2004</v>
      </c>
      <c r="C17" s="133">
        <v>6884.4806461510834</v>
      </c>
      <c r="D17" s="134">
        <v>30.607388387317819</v>
      </c>
      <c r="E17" s="134">
        <v>31.969881822928901</v>
      </c>
      <c r="F17" s="134">
        <v>232.04878554931324</v>
      </c>
      <c r="G17" s="134">
        <v>18.171870032055171</v>
      </c>
      <c r="H17" s="134">
        <v>881.80971381228221</v>
      </c>
      <c r="I17" s="135">
        <f t="shared" si="0"/>
        <v>8079.0882857549805</v>
      </c>
      <c r="L17" s="37">
        <v>2004</v>
      </c>
      <c r="M17" s="44">
        <f t="shared" si="1"/>
        <v>85.213583546175315</v>
      </c>
      <c r="N17" s="45">
        <f t="shared" si="2"/>
        <v>0.37884705928123918</v>
      </c>
      <c r="O17" s="45">
        <f t="shared" si="2"/>
        <v>0.39571150471641814</v>
      </c>
      <c r="P17" s="45">
        <f t="shared" si="2"/>
        <v>2.8722149992897199</v>
      </c>
      <c r="Q17" s="45">
        <f t="shared" si="2"/>
        <v>0.22492476117751736</v>
      </c>
      <c r="R17" s="46">
        <f t="shared" si="2"/>
        <v>10.914718129359793</v>
      </c>
      <c r="S17" s="13"/>
    </row>
    <row r="18" spans="2:19" ht="12.75" customHeight="1">
      <c r="B18" s="38">
        <v>2005</v>
      </c>
      <c r="C18" s="133">
        <v>6952.3540534159229</v>
      </c>
      <c r="D18" s="134">
        <v>28.15017241567654</v>
      </c>
      <c r="E18" s="134">
        <v>31.863280678834176</v>
      </c>
      <c r="F18" s="134">
        <v>238.16999098052287</v>
      </c>
      <c r="G18" s="134">
        <v>17.975917190145026</v>
      </c>
      <c r="H18" s="134">
        <v>921.94299832810987</v>
      </c>
      <c r="I18" s="135">
        <f t="shared" si="0"/>
        <v>8190.4564130092122</v>
      </c>
      <c r="L18" s="37">
        <v>2005</v>
      </c>
      <c r="M18" s="44">
        <f t="shared" si="1"/>
        <v>84.883597480272726</v>
      </c>
      <c r="N18" s="45">
        <f t="shared" si="2"/>
        <v>0.34369479545687531</v>
      </c>
      <c r="O18" s="45">
        <f t="shared" si="2"/>
        <v>0.3890293662783495</v>
      </c>
      <c r="P18" s="45">
        <f t="shared" si="2"/>
        <v>2.9078964464328076</v>
      </c>
      <c r="Q18" s="45">
        <f t="shared" si="2"/>
        <v>0.21947393751577993</v>
      </c>
      <c r="R18" s="46">
        <f t="shared" si="2"/>
        <v>11.256307974043461</v>
      </c>
      <c r="S18" s="13"/>
    </row>
    <row r="19" spans="2:19" ht="12.75" customHeight="1" thickBot="1">
      <c r="B19" s="38">
        <v>2006</v>
      </c>
      <c r="C19" s="133">
        <v>6972.4258527475095</v>
      </c>
      <c r="D19" s="134">
        <v>39.153999290151461</v>
      </c>
      <c r="E19" s="134">
        <v>32.398135356926595</v>
      </c>
      <c r="F19" s="172">
        <v>231.44917964703794</v>
      </c>
      <c r="G19" s="134">
        <v>19.673661797843334</v>
      </c>
      <c r="H19" s="134">
        <v>928.30671356853213</v>
      </c>
      <c r="I19" s="135">
        <f t="shared" si="0"/>
        <v>8223.407542408002</v>
      </c>
      <c r="L19" s="37">
        <v>2006</v>
      </c>
      <c r="M19" s="44">
        <f t="shared" si="1"/>
        <v>84.787550863687628</v>
      </c>
      <c r="N19" s="45">
        <f t="shared" si="2"/>
        <v>0.47612864968974006</v>
      </c>
      <c r="O19" s="45">
        <f t="shared" si="2"/>
        <v>0.39397458036525429</v>
      </c>
      <c r="P19" s="45">
        <f t="shared" si="2"/>
        <v>2.8145167128523987</v>
      </c>
      <c r="Q19" s="45">
        <f t="shared" si="2"/>
        <v>0.23923977616804865</v>
      </c>
      <c r="R19" s="46">
        <f t="shared" si="2"/>
        <v>11.288589417236917</v>
      </c>
      <c r="S19" s="13"/>
    </row>
    <row r="20" spans="2:19" ht="12.75" customHeight="1" thickTop="1">
      <c r="B20" s="38">
        <v>2007</v>
      </c>
      <c r="C20" s="133">
        <v>6987.746520530769</v>
      </c>
      <c r="D20" s="134">
        <v>43.730951230767076</v>
      </c>
      <c r="E20" s="134">
        <v>35.280365167986048</v>
      </c>
      <c r="F20" s="134">
        <v>495.2804440320001</v>
      </c>
      <c r="G20" s="134">
        <v>21.029485214707201</v>
      </c>
      <c r="H20" s="134">
        <v>956.93861863954271</v>
      </c>
      <c r="I20" s="135">
        <f t="shared" si="0"/>
        <v>8540.0063848157715</v>
      </c>
      <c r="L20" s="37">
        <v>2007</v>
      </c>
      <c r="M20" s="44">
        <f t="shared" si="1"/>
        <v>81.823668574242063</v>
      </c>
      <c r="N20" s="45">
        <f t="shared" si="2"/>
        <v>0.51207164561985818</v>
      </c>
      <c r="O20" s="45">
        <f t="shared" si="2"/>
        <v>0.41311872120745641</v>
      </c>
      <c r="P20" s="45">
        <f t="shared" si="2"/>
        <v>5.7995324794207921</v>
      </c>
      <c r="Q20" s="45">
        <f t="shared" si="2"/>
        <v>0.24624671536660514</v>
      </c>
      <c r="R20" s="46">
        <f t="shared" si="2"/>
        <v>11.205361864143223</v>
      </c>
      <c r="S20" s="13"/>
    </row>
    <row r="21" spans="2:19" ht="12.75" customHeight="1" thickBot="1">
      <c r="B21" s="38">
        <v>2008</v>
      </c>
      <c r="C21" s="171">
        <v>6837.7527222190893</v>
      </c>
      <c r="D21" s="172">
        <v>42.53431488319994</v>
      </c>
      <c r="E21" s="134">
        <v>37.060658890675199</v>
      </c>
      <c r="F21" s="134">
        <v>505.78141363200007</v>
      </c>
      <c r="G21" s="134">
        <v>21.103427812262403</v>
      </c>
      <c r="H21" s="134">
        <v>917.47083560844101</v>
      </c>
      <c r="I21" s="135">
        <f t="shared" si="0"/>
        <v>8361.7033730456678</v>
      </c>
      <c r="L21" s="37">
        <v>2008</v>
      </c>
      <c r="M21" s="44">
        <f t="shared" si="1"/>
        <v>81.774638696953744</v>
      </c>
      <c r="N21" s="45">
        <f t="shared" si="2"/>
        <v>0.50868002589414074</v>
      </c>
      <c r="O21" s="45">
        <f t="shared" si="2"/>
        <v>0.44321900977905915</v>
      </c>
      <c r="P21" s="45">
        <f t="shared" si="2"/>
        <v>6.0487844529669577</v>
      </c>
      <c r="Q21" s="45">
        <f t="shared" si="2"/>
        <v>0.2523819235239827</v>
      </c>
      <c r="R21" s="46">
        <f t="shared" si="2"/>
        <v>10.972295890882116</v>
      </c>
    </row>
    <row r="22" spans="2:19" ht="12.75" customHeight="1" thickTop="1">
      <c r="B22" s="37">
        <v>2009</v>
      </c>
      <c r="C22" s="133">
        <v>7089.5755849090729</v>
      </c>
      <c r="D22" s="134">
        <v>38.885428366040003</v>
      </c>
      <c r="E22" s="134">
        <v>36.563017920409699</v>
      </c>
      <c r="F22" s="134">
        <v>490.87245081600008</v>
      </c>
      <c r="G22" s="134">
        <v>21.445372166385027</v>
      </c>
      <c r="H22" s="134">
        <v>870.16213410563284</v>
      </c>
      <c r="I22" s="135">
        <f>SUM(C22:H22)</f>
        <v>8547.5039882835408</v>
      </c>
      <c r="L22" s="37">
        <v>2009</v>
      </c>
      <c r="M22" s="44">
        <f t="shared" si="1"/>
        <v>82.943226404188664</v>
      </c>
      <c r="N22" s="45">
        <f t="shared" si="2"/>
        <v>0.45493314094198795</v>
      </c>
      <c r="O22" s="45">
        <f t="shared" si="2"/>
        <v>0.42776251371778612</v>
      </c>
      <c r="P22" s="45">
        <f t="shared" si="2"/>
        <v>5.7428747794544659</v>
      </c>
      <c r="Q22" s="45">
        <f t="shared" si="2"/>
        <v>0.25089631073329938</v>
      </c>
      <c r="R22" s="46">
        <f t="shared" si="2"/>
        <v>10.180306850963794</v>
      </c>
    </row>
    <row r="23" spans="2:19" ht="12.75" customHeight="1">
      <c r="B23" s="37">
        <v>2010</v>
      </c>
      <c r="C23" s="133">
        <v>7131.7296716572646</v>
      </c>
      <c r="D23" s="134">
        <v>34.573079491961693</v>
      </c>
      <c r="E23" s="134">
        <v>36.735922793281503</v>
      </c>
      <c r="F23" s="134">
        <v>469.79011677144837</v>
      </c>
      <c r="G23" s="134">
        <v>20.835343856840829</v>
      </c>
      <c r="H23" s="134">
        <v>892.72005083577687</v>
      </c>
      <c r="I23" s="135">
        <f>SUM(C23:H23)</f>
        <v>8586.384185406574</v>
      </c>
      <c r="L23" s="37">
        <v>2010</v>
      </c>
      <c r="M23" s="44">
        <f t="shared" si="1"/>
        <v>83.058590410831584</v>
      </c>
      <c r="N23" s="45">
        <f t="shared" ref="N23:R29" si="3">100*(D23/$I23)</f>
        <v>0.40265004157072459</v>
      </c>
      <c r="O23" s="45">
        <f t="shared" si="3"/>
        <v>0.42783926272152961</v>
      </c>
      <c r="P23" s="45">
        <f t="shared" si="3"/>
        <v>5.4713381864499384</v>
      </c>
      <c r="Q23" s="45">
        <f t="shared" si="3"/>
        <v>0.24265562088699222</v>
      </c>
      <c r="R23" s="46">
        <f t="shared" si="3"/>
        <v>10.396926477539225</v>
      </c>
    </row>
    <row r="24" spans="2:19" ht="15" customHeight="1">
      <c r="B24" s="37">
        <v>2011</v>
      </c>
      <c r="C24" s="133">
        <v>7140.3176271041402</v>
      </c>
      <c r="D24" s="134">
        <v>34.627856513031887</v>
      </c>
      <c r="E24" s="134">
        <v>38.438300076320999</v>
      </c>
      <c r="F24" s="134">
        <v>471.08028751025904</v>
      </c>
      <c r="G24" s="134">
        <v>22.012058910796419</v>
      </c>
      <c r="H24" s="134">
        <v>910.26692647502512</v>
      </c>
      <c r="I24" s="135">
        <f t="shared" si="0"/>
        <v>8616.7430565895738</v>
      </c>
      <c r="L24" s="37">
        <v>2011</v>
      </c>
      <c r="M24" s="44">
        <f t="shared" si="1"/>
        <v>82.86562080603818</v>
      </c>
      <c r="N24" s="45">
        <f t="shared" si="3"/>
        <v>0.40186711249966489</v>
      </c>
      <c r="O24" s="45">
        <f t="shared" si="3"/>
        <v>0.44608850262658889</v>
      </c>
      <c r="P24" s="45">
        <f t="shared" si="3"/>
        <v>5.4670341730801031</v>
      </c>
      <c r="Q24" s="45">
        <f t="shared" si="3"/>
        <v>0.25545683289189991</v>
      </c>
      <c r="R24" s="46">
        <f t="shared" si="3"/>
        <v>10.56393257286356</v>
      </c>
    </row>
    <row r="25" spans="2:19" ht="15" customHeight="1">
      <c r="B25" s="37">
        <v>2012</v>
      </c>
      <c r="C25" s="134">
        <v>7179.4569118116206</v>
      </c>
      <c r="D25" s="134">
        <v>39.937345750121111</v>
      </c>
      <c r="E25" s="134">
        <v>39.056952786331401</v>
      </c>
      <c r="F25" s="134">
        <v>504.29963053229085</v>
      </c>
      <c r="G25" s="134">
        <v>21.902334620626942</v>
      </c>
      <c r="H25" s="134">
        <v>918.03134371108729</v>
      </c>
      <c r="I25" s="135">
        <f t="shared" si="0"/>
        <v>8702.6845192120782</v>
      </c>
      <c r="L25" s="37">
        <v>2012</v>
      </c>
      <c r="M25" s="44">
        <f t="shared" si="1"/>
        <v>82.497037505636627</v>
      </c>
      <c r="N25" s="45">
        <f t="shared" si="3"/>
        <v>0.45890834790064239</v>
      </c>
      <c r="O25" s="45">
        <f t="shared" si="3"/>
        <v>0.44879201009882785</v>
      </c>
      <c r="P25" s="45">
        <f t="shared" si="3"/>
        <v>5.7947594149712902</v>
      </c>
      <c r="Q25" s="45">
        <f t="shared" si="3"/>
        <v>0.25167331496706868</v>
      </c>
      <c r="R25" s="46">
        <f t="shared" si="3"/>
        <v>10.548829406425545</v>
      </c>
    </row>
    <row r="26" spans="2:19" ht="15" customHeight="1">
      <c r="B26" s="37">
        <v>2013</v>
      </c>
      <c r="C26" s="134">
        <v>7218.2292555860677</v>
      </c>
      <c r="D26" s="134">
        <v>38.034099208994583</v>
      </c>
      <c r="E26" s="134">
        <f>28.976+11.721</f>
        <v>40.697000000000003</v>
      </c>
      <c r="F26" s="134">
        <v>517.46623050914104</v>
      </c>
      <c r="G26" s="134">
        <v>23.013916104655873</v>
      </c>
      <c r="H26" s="134">
        <v>932.55280742830701</v>
      </c>
      <c r="I26" s="135">
        <f t="shared" si="0"/>
        <v>8769.9933088371654</v>
      </c>
      <c r="L26" s="37">
        <v>2013</v>
      </c>
      <c r="M26" s="44">
        <f t="shared" si="1"/>
        <v>82.305983612468111</v>
      </c>
      <c r="N26" s="45">
        <f t="shared" si="3"/>
        <v>0.43368447237775165</v>
      </c>
      <c r="O26" s="45">
        <f t="shared" si="3"/>
        <v>0.46404824458635896</v>
      </c>
      <c r="P26" s="45">
        <f t="shared" si="3"/>
        <v>5.9004176204753929</v>
      </c>
      <c r="Q26" s="45">
        <f t="shared" si="3"/>
        <v>0.26241657540907909</v>
      </c>
      <c r="R26" s="46">
        <f t="shared" si="3"/>
        <v>10.63344947468331</v>
      </c>
    </row>
    <row r="27" spans="2:19" ht="15" customHeight="1">
      <c r="B27" s="38">
        <v>2014</v>
      </c>
      <c r="C27" s="133">
        <v>7305.0212711271806</v>
      </c>
      <c r="D27" s="134">
        <v>37.293607548791009</v>
      </c>
      <c r="E27" s="134">
        <v>40.255697099401303</v>
      </c>
      <c r="F27" s="134">
        <v>545.85209877852628</v>
      </c>
      <c r="G27" s="134">
        <v>22.972368011788799</v>
      </c>
      <c r="H27" s="134">
        <v>960.78642043639002</v>
      </c>
      <c r="I27" s="135">
        <f t="shared" ref="I27:I34" si="4">SUM(C27:H27)</f>
        <v>8912.1814630020781</v>
      </c>
      <c r="L27" s="38">
        <v>2014</v>
      </c>
      <c r="M27" s="44">
        <f t="shared" si="1"/>
        <v>81.966702557091736</v>
      </c>
      <c r="N27" s="45">
        <f t="shared" si="3"/>
        <v>0.41845655526215703</v>
      </c>
      <c r="O27" s="45">
        <f t="shared" si="3"/>
        <v>0.45169296952175303</v>
      </c>
      <c r="P27" s="45">
        <f t="shared" si="3"/>
        <v>6.1247866310237296</v>
      </c>
      <c r="Q27" s="45">
        <f t="shared" si="3"/>
        <v>0.25776369239288954</v>
      </c>
      <c r="R27" s="46">
        <f t="shared" si="3"/>
        <v>10.780597594707727</v>
      </c>
    </row>
    <row r="28" spans="2:19" ht="15" customHeight="1">
      <c r="B28" s="38">
        <v>2015</v>
      </c>
      <c r="C28" s="133">
        <v>7494.9605384583256</v>
      </c>
      <c r="D28" s="134">
        <v>36.615041722073279</v>
      </c>
      <c r="E28" s="134">
        <v>40.131160257386902</v>
      </c>
      <c r="F28" s="134">
        <v>553.73214716507016</v>
      </c>
      <c r="G28" s="143">
        <v>23.180190365984298</v>
      </c>
      <c r="H28" s="134">
        <v>1017.3545732798428</v>
      </c>
      <c r="I28" s="162">
        <f t="shared" si="4"/>
        <v>9165.9736512486834</v>
      </c>
      <c r="L28" s="38">
        <v>2015</v>
      </c>
      <c r="M28" s="44">
        <f t="shared" si="1"/>
        <v>81.769387777339773</v>
      </c>
      <c r="N28" s="45">
        <f t="shared" si="3"/>
        <v>0.39946701916479105</v>
      </c>
      <c r="O28" s="45">
        <f t="shared" si="3"/>
        <v>0.43782757603628741</v>
      </c>
      <c r="P28" s="45">
        <f t="shared" si="3"/>
        <v>6.0411710554026641</v>
      </c>
      <c r="Q28" s="45">
        <f t="shared" si="3"/>
        <v>0.25289392319850768</v>
      </c>
      <c r="R28" s="46">
        <f t="shared" si="3"/>
        <v>11.099252648857966</v>
      </c>
    </row>
    <row r="29" spans="2:19" ht="17.25" customHeight="1">
      <c r="B29" s="38">
        <v>2016</v>
      </c>
      <c r="C29" s="28">
        <v>7684.6625702408001</v>
      </c>
      <c r="D29" s="134">
        <v>38.18186657478568</v>
      </c>
      <c r="E29" s="134">
        <v>40.033999999999999</v>
      </c>
      <c r="F29" s="134">
        <v>557.81421228128909</v>
      </c>
      <c r="G29" s="134">
        <v>23.37</v>
      </c>
      <c r="H29" s="134">
        <v>1064.5455337255919</v>
      </c>
      <c r="I29" s="162">
        <f t="shared" si="4"/>
        <v>9408.6081828224669</v>
      </c>
      <c r="L29" s="38">
        <v>2016</v>
      </c>
      <c r="M29" s="44">
        <f t="shared" si="1"/>
        <v>81.676932665459304</v>
      </c>
      <c r="N29" s="45">
        <f t="shared" si="3"/>
        <v>0.40581843597754746</v>
      </c>
      <c r="O29" s="45">
        <f t="shared" si="3"/>
        <v>0.42550395576139605</v>
      </c>
      <c r="P29" s="45">
        <f t="shared" si="3"/>
        <v>5.9287643979021736</v>
      </c>
      <c r="Q29" s="45">
        <f t="shared" si="3"/>
        <v>0.24838955503181862</v>
      </c>
      <c r="R29" s="46">
        <f t="shared" si="3"/>
        <v>11.314590989867764</v>
      </c>
    </row>
    <row r="30" spans="2:19" ht="12.75" customHeight="1">
      <c r="B30" s="38">
        <v>2017</v>
      </c>
      <c r="C30" s="28">
        <v>7750.9590108457733</v>
      </c>
      <c r="D30" s="134">
        <v>37.62907308141753</v>
      </c>
      <c r="E30" s="134">
        <v>38.872</v>
      </c>
      <c r="F30" s="134">
        <v>587.76495248211756</v>
      </c>
      <c r="G30" s="134">
        <v>24.183</v>
      </c>
      <c r="H30" s="134">
        <v>1103.1609984007473</v>
      </c>
      <c r="I30" s="162">
        <f t="shared" si="4"/>
        <v>9542.5690348100579</v>
      </c>
      <c r="L30" s="37">
        <v>2017</v>
      </c>
      <c r="M30" s="44">
        <f t="shared" ref="M30:R30" si="5">100*(C30/$I30)</f>
        <v>81.225076628434934</v>
      </c>
      <c r="N30" s="45">
        <f t="shared" si="5"/>
        <v>0.39432853924505584</v>
      </c>
      <c r="O30" s="45">
        <f t="shared" si="5"/>
        <v>0.40735361576321816</v>
      </c>
      <c r="P30" s="45">
        <f t="shared" si="5"/>
        <v>6.1593995321178925</v>
      </c>
      <c r="Q30" s="45">
        <f t="shared" si="5"/>
        <v>0.25342232172262563</v>
      </c>
      <c r="R30" s="46">
        <f t="shared" si="5"/>
        <v>11.560419362716253</v>
      </c>
    </row>
    <row r="31" spans="2:19" ht="15" customHeight="1">
      <c r="B31" s="37">
        <v>2018</v>
      </c>
      <c r="C31" s="28">
        <v>7804.1180000000004</v>
      </c>
      <c r="D31" s="134">
        <v>37.493000000000002</v>
      </c>
      <c r="E31" s="134">
        <v>37.457999999999998</v>
      </c>
      <c r="F31" s="134">
        <v>624.47711639115346</v>
      </c>
      <c r="G31" s="134">
        <f>24685/1000</f>
        <v>24.684999999999999</v>
      </c>
      <c r="H31" s="134">
        <v>1162.6147827031414</v>
      </c>
      <c r="I31" s="162">
        <f t="shared" si="4"/>
        <v>9690.8458990942945</v>
      </c>
      <c r="K31" s="196"/>
      <c r="L31" s="221">
        <v>2018</v>
      </c>
      <c r="M31" s="44">
        <f t="shared" ref="M31:R32" si="6">100*(C31/$I31)</f>
        <v>80.530823431310296</v>
      </c>
      <c r="N31" s="45">
        <f t="shared" si="6"/>
        <v>0.38689089054139325</v>
      </c>
      <c r="O31" s="45">
        <f t="shared" si="6"/>
        <v>0.38652972495931259</v>
      </c>
      <c r="P31" s="45">
        <f t="shared" si="6"/>
        <v>6.4439897496411227</v>
      </c>
      <c r="Q31" s="45">
        <f t="shared" si="6"/>
        <v>0.2547249255331473</v>
      </c>
      <c r="R31" s="46">
        <f t="shared" si="6"/>
        <v>11.997041278014741</v>
      </c>
    </row>
    <row r="32" spans="2:19" ht="15" customHeight="1">
      <c r="B32" s="37">
        <v>2019</v>
      </c>
      <c r="C32" s="29">
        <f>7876749/1000</f>
        <v>7876.7489999999998</v>
      </c>
      <c r="D32" s="134">
        <f>36768/1000</f>
        <v>36.768000000000001</v>
      </c>
      <c r="E32" s="134">
        <f>38279/1000</f>
        <v>38.279000000000003</v>
      </c>
      <c r="F32" s="134">
        <v>613.44293006632086</v>
      </c>
      <c r="G32" s="134">
        <f>24784/1000</f>
        <v>24.783999999999999</v>
      </c>
      <c r="H32" s="134">
        <f>1214170/1000</f>
        <v>1214.17</v>
      </c>
      <c r="I32" s="162">
        <f t="shared" si="4"/>
        <v>9804.1929300663214</v>
      </c>
      <c r="K32" s="196"/>
      <c r="L32" s="37">
        <v>2019</v>
      </c>
      <c r="M32" s="44">
        <f t="shared" si="6"/>
        <v>80.340616062792193</v>
      </c>
      <c r="N32" s="45">
        <f t="shared" ref="N32:R34" si="7">100*(D32/$I32)</f>
        <v>0.37502321978226594</v>
      </c>
      <c r="O32" s="45">
        <f t="shared" si="7"/>
        <v>0.39043499320184294</v>
      </c>
      <c r="P32" s="45">
        <f t="shared" si="7"/>
        <v>6.2569447015377238</v>
      </c>
      <c r="Q32" s="45">
        <f t="shared" si="7"/>
        <v>0.25278980306472143</v>
      </c>
      <c r="R32" s="46">
        <f t="shared" si="7"/>
        <v>12.384191219621243</v>
      </c>
    </row>
    <row r="33" spans="1:19" ht="15" customHeight="1">
      <c r="B33" s="37">
        <v>2020</v>
      </c>
      <c r="C33" s="29">
        <v>6936.6636344393919</v>
      </c>
      <c r="D33" s="134">
        <f>34790/1000</f>
        <v>34.79</v>
      </c>
      <c r="E33" s="134">
        <f>(14399+5553)/1000</f>
        <v>19.952000000000002</v>
      </c>
      <c r="F33" s="134">
        <f>515314/1000</f>
        <v>515.31399999999996</v>
      </c>
      <c r="G33" s="134">
        <f>12641/1000</f>
        <v>12.641</v>
      </c>
      <c r="H33" s="134">
        <f>489648/1000</f>
        <v>489.64800000000002</v>
      </c>
      <c r="I33" s="162">
        <f t="shared" si="4"/>
        <v>8009.0086344393922</v>
      </c>
      <c r="J33" s="179"/>
      <c r="L33" s="37">
        <v>2020</v>
      </c>
      <c r="M33" s="44">
        <f>100*(C33/$I33)</f>
        <v>86.610764840621741</v>
      </c>
      <c r="N33" s="45">
        <f t="shared" si="7"/>
        <v>0.43438584708724315</v>
      </c>
      <c r="O33" s="45">
        <f t="shared" si="7"/>
        <v>0.24911947171844429</v>
      </c>
      <c r="P33" s="45">
        <f t="shared" si="7"/>
        <v>6.4341796035043295</v>
      </c>
      <c r="Q33" s="45">
        <f t="shared" si="7"/>
        <v>0.15783476553693132</v>
      </c>
      <c r="R33" s="46">
        <f t="shared" si="7"/>
        <v>6.1137154715313144</v>
      </c>
    </row>
    <row r="34" spans="1:19" ht="15" customHeight="1">
      <c r="B34" s="347">
        <v>2021</v>
      </c>
      <c r="C34" s="173">
        <v>7485.4568400272046</v>
      </c>
      <c r="D34" s="346">
        <f>38261/1000</f>
        <v>38.261000000000003</v>
      </c>
      <c r="E34" s="346">
        <v>16.520526513368065</v>
      </c>
      <c r="F34" s="346">
        <v>572.94208559711808</v>
      </c>
      <c r="G34" s="346">
        <v>7.6399784964391682</v>
      </c>
      <c r="H34" s="348">
        <f>278.067</f>
        <v>278.06700000000001</v>
      </c>
      <c r="I34" s="162">
        <f t="shared" si="4"/>
        <v>8398.8874306341313</v>
      </c>
      <c r="J34" s="179"/>
      <c r="L34" s="347">
        <v>2021</v>
      </c>
      <c r="M34" s="223">
        <f>100*(C34/$I34)</f>
        <v>89.124385840971314</v>
      </c>
      <c r="N34" s="349">
        <f t="shared" si="7"/>
        <v>0.45554843205121065</v>
      </c>
      <c r="O34" s="349">
        <f t="shared" si="7"/>
        <v>0.19669898721479512</v>
      </c>
      <c r="P34" s="349">
        <f t="shared" si="7"/>
        <v>6.8216426321820567</v>
      </c>
      <c r="Q34" s="349">
        <f t="shared" si="7"/>
        <v>9.0964173047171512E-2</v>
      </c>
      <c r="R34" s="224">
        <f t="shared" si="7"/>
        <v>3.3107599345334418</v>
      </c>
      <c r="S34" s="385"/>
    </row>
    <row r="35" spans="1:19" ht="15.75" customHeight="1">
      <c r="B35" s="161" t="s">
        <v>80</v>
      </c>
      <c r="C35" s="39"/>
      <c r="D35" s="39"/>
      <c r="E35" s="39"/>
      <c r="F35" s="39"/>
      <c r="G35" s="40"/>
      <c r="H35" s="40"/>
      <c r="I35" s="352"/>
      <c r="S35" s="176"/>
    </row>
    <row r="36" spans="1:19" ht="12" customHeight="1">
      <c r="B36" s="407" t="s">
        <v>95</v>
      </c>
      <c r="C36" s="408"/>
      <c r="D36" s="408"/>
      <c r="E36" s="408"/>
      <c r="F36" s="408"/>
      <c r="G36" s="408"/>
      <c r="H36" s="408"/>
      <c r="I36" s="408"/>
    </row>
    <row r="37" spans="1:19" ht="12.75" customHeight="1">
      <c r="B37" s="416" t="s">
        <v>97</v>
      </c>
      <c r="C37" s="417"/>
      <c r="D37" s="417"/>
      <c r="E37" s="417"/>
      <c r="F37" s="417"/>
      <c r="G37" s="417"/>
      <c r="H37" s="417"/>
      <c r="I37" s="417"/>
    </row>
    <row r="38" spans="1:19" ht="27.75" customHeight="1">
      <c r="B38" s="407" t="s">
        <v>98</v>
      </c>
      <c r="C38" s="407"/>
      <c r="D38" s="407"/>
      <c r="E38" s="407"/>
      <c r="F38" s="407"/>
      <c r="G38" s="407"/>
      <c r="H38" s="407"/>
      <c r="I38" s="407"/>
    </row>
    <row r="39" spans="1:19" ht="23.25" customHeight="1">
      <c r="B39" s="418"/>
      <c r="C39" s="417"/>
      <c r="D39" s="417"/>
      <c r="E39" s="417"/>
      <c r="F39" s="417"/>
      <c r="G39" s="417"/>
      <c r="H39" s="417"/>
      <c r="I39" s="417"/>
    </row>
    <row r="40" spans="1:19" ht="9.9499999999999993" customHeight="1">
      <c r="B40" s="41"/>
      <c r="C40" s="40"/>
      <c r="D40" s="40"/>
      <c r="E40" s="19"/>
      <c r="F40" s="19"/>
      <c r="G40" s="19"/>
      <c r="H40" s="19"/>
      <c r="I40" s="19"/>
    </row>
    <row r="41" spans="1:19" ht="9.9499999999999993" customHeight="1">
      <c r="B41" s="419" t="s">
        <v>56</v>
      </c>
      <c r="C41" s="419"/>
      <c r="D41" s="419"/>
      <c r="E41" s="419"/>
      <c r="F41" s="419"/>
      <c r="G41" s="419"/>
      <c r="H41" s="419"/>
      <c r="I41" s="419"/>
    </row>
    <row r="42" spans="1:19" ht="9.9499999999999993" customHeight="1">
      <c r="B42" s="409" t="s">
        <v>57</v>
      </c>
      <c r="C42" s="409"/>
      <c r="D42" s="409"/>
      <c r="E42" s="409"/>
      <c r="F42" s="409"/>
      <c r="G42" s="409"/>
      <c r="H42" s="409"/>
      <c r="I42" s="409"/>
    </row>
    <row r="43" spans="1:19" ht="5.25" customHeight="1">
      <c r="B43" s="16"/>
      <c r="C43" s="410" t="s">
        <v>92</v>
      </c>
      <c r="D43" s="420" t="s">
        <v>52</v>
      </c>
      <c r="E43" s="422" t="s">
        <v>53</v>
      </c>
      <c r="F43" s="422" t="s">
        <v>54</v>
      </c>
      <c r="G43" s="424" t="s">
        <v>93</v>
      </c>
      <c r="H43" s="414" t="s">
        <v>44</v>
      </c>
      <c r="I43" s="414" t="s">
        <v>45</v>
      </c>
    </row>
    <row r="44" spans="1:19" ht="15.75" customHeight="1">
      <c r="B44" s="193"/>
      <c r="C44" s="411"/>
      <c r="D44" s="421"/>
      <c r="E44" s="423"/>
      <c r="F44" s="423"/>
      <c r="G44" s="425"/>
      <c r="H44" s="415"/>
      <c r="I44" s="415"/>
    </row>
    <row r="45" spans="1:19" ht="17.25" customHeight="1">
      <c r="B45" s="37">
        <v>2001</v>
      </c>
      <c r="C45" s="227">
        <f t="shared" ref="C45:C65" si="8">100*(C14/C13-1)</f>
        <v>1.7114237011571776</v>
      </c>
      <c r="D45" s="228">
        <f t="shared" ref="D45:I45" si="9">100*(D14/D13-1)</f>
        <v>-8.6650974868592741</v>
      </c>
      <c r="E45" s="228">
        <f t="shared" si="9"/>
        <v>2.0452356334193622</v>
      </c>
      <c r="F45" s="29">
        <f t="shared" si="9"/>
        <v>-6.7588932806324165</v>
      </c>
      <c r="G45" s="228">
        <f t="shared" si="9"/>
        <v>2.1562360061297525</v>
      </c>
      <c r="H45" s="229">
        <f t="shared" si="9"/>
        <v>-5.0695340347574946</v>
      </c>
      <c r="I45" s="230">
        <f t="shared" si="9"/>
        <v>0.64154542527765646</v>
      </c>
    </row>
    <row r="46" spans="1:19" ht="17.25" customHeight="1">
      <c r="A46" s="42"/>
      <c r="B46" s="37">
        <v>2002</v>
      </c>
      <c r="C46" s="28">
        <f t="shared" si="8"/>
        <v>2.2403329493838164</v>
      </c>
      <c r="D46" s="29">
        <f t="shared" ref="D46:E64" si="10">100*(D15/D14-1)</f>
        <v>0.45272873702757455</v>
      </c>
      <c r="E46" s="29">
        <f t="shared" si="10"/>
        <v>-3.069688579950236</v>
      </c>
      <c r="F46" s="29">
        <f t="shared" ref="F46:I50" si="11">100*(F15/F14-1)</f>
        <v>-3.2782252366822084</v>
      </c>
      <c r="G46" s="29">
        <f t="shared" si="11"/>
        <v>-0.35884369921421744</v>
      </c>
      <c r="H46" s="30">
        <f t="shared" si="11"/>
        <v>-3.5344587697766161</v>
      </c>
      <c r="I46" s="31">
        <f t="shared" si="11"/>
        <v>1.4309944228289462</v>
      </c>
    </row>
    <row r="47" spans="1:19" ht="15.75" customHeight="1">
      <c r="A47" s="42"/>
      <c r="B47" s="37">
        <v>2003</v>
      </c>
      <c r="C47" s="28">
        <f t="shared" si="8"/>
        <v>0.94334463715033401</v>
      </c>
      <c r="D47" s="29">
        <f t="shared" si="10"/>
        <v>1.9056613665151101</v>
      </c>
      <c r="E47" s="29">
        <f t="shared" si="10"/>
        <v>0.80969196931888199</v>
      </c>
      <c r="F47" s="29">
        <f t="shared" si="11"/>
        <v>-0.91137051707351757</v>
      </c>
      <c r="G47" s="29">
        <f t="shared" si="11"/>
        <v>0.91400543993351846</v>
      </c>
      <c r="H47" s="30">
        <f t="shared" si="11"/>
        <v>5.3913332142425219</v>
      </c>
      <c r="I47" s="31">
        <f t="shared" si="11"/>
        <v>1.328758798841001</v>
      </c>
    </row>
    <row r="48" spans="1:19" ht="16.5" customHeight="1">
      <c r="A48" s="42"/>
      <c r="B48" s="37">
        <v>2004</v>
      </c>
      <c r="C48" s="28">
        <f t="shared" si="8"/>
        <v>2.923185341013701</v>
      </c>
      <c r="D48" s="29">
        <f t="shared" si="10"/>
        <v>31.549917047222564</v>
      </c>
      <c r="E48" s="29">
        <f t="shared" si="10"/>
        <v>3.0023406543950859</v>
      </c>
      <c r="F48" s="29">
        <f t="shared" si="11"/>
        <v>0.26942795423439136</v>
      </c>
      <c r="G48" s="29">
        <f t="shared" si="11"/>
        <v>2.3574561665718585</v>
      </c>
      <c r="H48" s="30">
        <f t="shared" si="11"/>
        <v>10.10412875258433</v>
      </c>
      <c r="I48" s="31">
        <f t="shared" si="11"/>
        <v>3.666827568236708</v>
      </c>
    </row>
    <row r="49" spans="1:9" ht="16.5" customHeight="1">
      <c r="A49" s="42"/>
      <c r="B49" s="37">
        <v>2005</v>
      </c>
      <c r="C49" s="28">
        <f t="shared" si="8"/>
        <v>0.98589001485225314</v>
      </c>
      <c r="D49" s="29">
        <f t="shared" si="10"/>
        <v>-8.0281791459849821</v>
      </c>
      <c r="E49" s="29">
        <f t="shared" si="10"/>
        <v>-0.3334424089683985</v>
      </c>
      <c r="F49" s="29">
        <f t="shared" si="11"/>
        <v>2.6378959134473856</v>
      </c>
      <c r="G49" s="29">
        <f t="shared" si="11"/>
        <v>-1.078330637212821</v>
      </c>
      <c r="H49" s="30">
        <f t="shared" si="11"/>
        <v>4.5512409182159708</v>
      </c>
      <c r="I49" s="31">
        <f t="shared" si="11"/>
        <v>1.3784739479898445</v>
      </c>
    </row>
    <row r="50" spans="1:9" ht="20.100000000000001" customHeight="1">
      <c r="A50" s="42"/>
      <c r="B50" s="37">
        <v>2006</v>
      </c>
      <c r="C50" s="28">
        <f t="shared" si="8"/>
        <v>0.28870507999696482</v>
      </c>
      <c r="D50" s="29">
        <f t="shared" si="10"/>
        <v>39.089731714563158</v>
      </c>
      <c r="E50" s="29">
        <f t="shared" si="10"/>
        <v>1.6785926204005319</v>
      </c>
      <c r="F50" s="29">
        <f t="shared" si="11"/>
        <v>-2.8218548045519931</v>
      </c>
      <c r="G50" s="29">
        <f t="shared" si="11"/>
        <v>9.4445506715455263</v>
      </c>
      <c r="H50" s="30">
        <f t="shared" si="11"/>
        <v>0.69025040072570043</v>
      </c>
      <c r="I50" s="31">
        <f t="shared" si="11"/>
        <v>0.40231127225647256</v>
      </c>
    </row>
    <row r="51" spans="1:9" ht="20.100000000000001" customHeight="1">
      <c r="A51" s="42"/>
      <c r="B51" s="37">
        <v>2007</v>
      </c>
      <c r="C51" s="28">
        <f t="shared" si="8"/>
        <v>0.21973224393949664</v>
      </c>
      <c r="D51" s="29">
        <f t="shared" si="10"/>
        <v>11.689615425229039</v>
      </c>
      <c r="E51" s="29">
        <f t="shared" si="10"/>
        <v>8.8962830092110359</v>
      </c>
      <c r="F51" s="29">
        <f t="shared" ref="F51:G64" si="12">100*(F20/F19-1)</f>
        <v>113.99101296764465</v>
      </c>
      <c r="G51" s="29">
        <f t="shared" si="12"/>
        <v>6.891566149685957</v>
      </c>
      <c r="H51" s="30">
        <f t="shared" ref="H51:I54" si="13">100*(H20/H19-1)</f>
        <v>3.0843152001934548</v>
      </c>
      <c r="I51" s="31">
        <f t="shared" si="13"/>
        <v>3.8499714476641689</v>
      </c>
    </row>
    <row r="52" spans="1:9" ht="20.100000000000001" customHeight="1">
      <c r="A52" s="42"/>
      <c r="B52" s="37">
        <v>2008</v>
      </c>
      <c r="C52" s="28">
        <f t="shared" si="8"/>
        <v>-2.1465260348380033</v>
      </c>
      <c r="D52" s="29">
        <f t="shared" si="10"/>
        <v>-2.7363602068761761</v>
      </c>
      <c r="E52" s="29">
        <f t="shared" si="10"/>
        <v>5.0461317909050951</v>
      </c>
      <c r="F52" s="29">
        <f t="shared" si="12"/>
        <v>2.1202067892108101</v>
      </c>
      <c r="G52" s="29">
        <f t="shared" si="12"/>
        <v>0.35161392112199596</v>
      </c>
      <c r="H52" s="30">
        <f t="shared" si="13"/>
        <v>-4.1243797943082416</v>
      </c>
      <c r="I52" s="31">
        <f t="shared" si="13"/>
        <v>-2.0878557197232084</v>
      </c>
    </row>
    <row r="53" spans="1:9" ht="20.100000000000001" customHeight="1">
      <c r="A53" s="42"/>
      <c r="B53" s="37">
        <v>2009</v>
      </c>
      <c r="C53" s="28">
        <f t="shared" si="8"/>
        <v>3.6828307913459923</v>
      </c>
      <c r="D53" s="29">
        <f t="shared" si="10"/>
        <v>-8.5786888237881609</v>
      </c>
      <c r="E53" s="29">
        <f t="shared" si="10"/>
        <v>-1.342774211687614</v>
      </c>
      <c r="F53" s="29">
        <f t="shared" si="12"/>
        <v>-2.9477087164866744</v>
      </c>
      <c r="G53" s="29">
        <f t="shared" si="12"/>
        <v>1.6203261250474776</v>
      </c>
      <c r="H53" s="29">
        <f t="shared" si="13"/>
        <v>-5.1564256504605277</v>
      </c>
      <c r="I53" s="56">
        <f t="shared" si="13"/>
        <v>2.2220426502667978</v>
      </c>
    </row>
    <row r="54" spans="1:9" ht="20.100000000000001" customHeight="1">
      <c r="A54" s="42"/>
      <c r="B54" s="37">
        <v>2010</v>
      </c>
      <c r="C54" s="28">
        <f t="shared" si="8"/>
        <v>0.59459252875335711</v>
      </c>
      <c r="D54" s="29">
        <f t="shared" si="10"/>
        <v>-11.089883936689338</v>
      </c>
      <c r="E54" s="29">
        <f t="shared" si="10"/>
        <v>0.47289551767357718</v>
      </c>
      <c r="F54" s="29">
        <f t="shared" si="12"/>
        <v>-4.2948700847858845</v>
      </c>
      <c r="G54" s="29">
        <f t="shared" si="12"/>
        <v>-2.8445685381967789</v>
      </c>
      <c r="H54" s="30">
        <f t="shared" si="13"/>
        <v>2.5923808731725062</v>
      </c>
      <c r="I54" s="31">
        <f t="shared" si="13"/>
        <v>0.45487193894648836</v>
      </c>
    </row>
    <row r="55" spans="1:9" ht="20.100000000000001" customHeight="1">
      <c r="A55" s="42"/>
      <c r="B55" s="37">
        <v>2011</v>
      </c>
      <c r="C55" s="28">
        <f t="shared" si="8"/>
        <v>0.12041897046386474</v>
      </c>
      <c r="D55" s="29">
        <f t="shared" si="10"/>
        <v>0.15843836266575817</v>
      </c>
      <c r="E55" s="29">
        <f t="shared" si="10"/>
        <v>4.634094242355169</v>
      </c>
      <c r="F55" s="29">
        <f t="shared" si="12"/>
        <v>0.27462704998504339</v>
      </c>
      <c r="G55" s="29">
        <f t="shared" si="12"/>
        <v>5.6476872282059443</v>
      </c>
      <c r="H55" s="30">
        <f t="shared" ref="H55:I64" si="14">100*(H24/H23-1)</f>
        <v>1.9655518684519979</v>
      </c>
      <c r="I55" s="31">
        <f t="shared" si="14"/>
        <v>0.35356991403434623</v>
      </c>
    </row>
    <row r="56" spans="1:9" ht="20.100000000000001" customHeight="1">
      <c r="A56" s="42"/>
      <c r="B56" s="37">
        <v>2012</v>
      </c>
      <c r="C56" s="28">
        <f t="shared" si="8"/>
        <v>0.54814486905891968</v>
      </c>
      <c r="D56" s="29">
        <f t="shared" si="10"/>
        <v>15.332999994068498</v>
      </c>
      <c r="E56" s="29">
        <f t="shared" si="10"/>
        <v>1.6094694842957002</v>
      </c>
      <c r="F56" s="29">
        <f t="shared" si="12"/>
        <v>7.0517370186729211</v>
      </c>
      <c r="G56" s="29">
        <f t="shared" si="12"/>
        <v>-0.49847354404298772</v>
      </c>
      <c r="H56" s="30">
        <f t="shared" si="14"/>
        <v>0.85298246154341673</v>
      </c>
      <c r="I56" s="31">
        <f t="shared" si="14"/>
        <v>0.9973775712945443</v>
      </c>
    </row>
    <row r="57" spans="1:9" ht="20.100000000000001" customHeight="1">
      <c r="A57" s="42"/>
      <c r="B57" s="38">
        <v>2013</v>
      </c>
      <c r="C57" s="28">
        <f t="shared" si="8"/>
        <v>0.54004563646949943</v>
      </c>
      <c r="D57" s="29">
        <f t="shared" si="10"/>
        <v>-4.7655809503082907</v>
      </c>
      <c r="E57" s="29">
        <f t="shared" si="10"/>
        <v>4.199117178036893</v>
      </c>
      <c r="F57" s="29">
        <f t="shared" si="12"/>
        <v>2.6108684559123629</v>
      </c>
      <c r="G57" s="29">
        <f t="shared" si="12"/>
        <v>5.0751735067643411</v>
      </c>
      <c r="H57" s="30">
        <f t="shared" si="14"/>
        <v>1.5818047844115668</v>
      </c>
      <c r="I57" s="31">
        <f t="shared" si="14"/>
        <v>0.77342559616513373</v>
      </c>
    </row>
    <row r="58" spans="1:9" ht="19.5" customHeight="1">
      <c r="B58" s="38">
        <v>2014</v>
      </c>
      <c r="C58" s="28">
        <f t="shared" si="8"/>
        <v>1.202400373664303</v>
      </c>
      <c r="D58" s="29">
        <f t="shared" si="10"/>
        <v>-1.9469152039979343</v>
      </c>
      <c r="E58" s="29">
        <f t="shared" si="10"/>
        <v>-1.0843622394739127</v>
      </c>
      <c r="F58" s="29">
        <f t="shared" si="12"/>
        <v>5.4855498959721638</v>
      </c>
      <c r="G58" s="29">
        <f t="shared" si="12"/>
        <v>-0.18053464989675749</v>
      </c>
      <c r="H58" s="30">
        <f t="shared" si="14"/>
        <v>3.0275618477781041</v>
      </c>
      <c r="I58" s="31">
        <f t="shared" si="14"/>
        <v>1.6213028808315766</v>
      </c>
    </row>
    <row r="59" spans="1:9" ht="19.5" customHeight="1">
      <c r="B59" s="38">
        <v>2015</v>
      </c>
      <c r="C59" s="28">
        <f t="shared" si="8"/>
        <v>2.6001192916695892</v>
      </c>
      <c r="D59" s="29">
        <f t="shared" si="10"/>
        <v>-1.8195231604503981</v>
      </c>
      <c r="E59" s="29">
        <f t="shared" si="10"/>
        <v>-0.30936451480864102</v>
      </c>
      <c r="F59" s="29">
        <f t="shared" si="12"/>
        <v>1.4436233558829059</v>
      </c>
      <c r="G59" s="29">
        <f t="shared" si="12"/>
        <v>0.90466230598800212</v>
      </c>
      <c r="H59" s="30">
        <f t="shared" si="14"/>
        <v>5.8876927941757806</v>
      </c>
      <c r="I59" s="31">
        <f t="shared" si="14"/>
        <v>2.8476999632491173</v>
      </c>
    </row>
    <row r="60" spans="1:9" ht="19.5" customHeight="1">
      <c r="B60" s="38">
        <v>2016</v>
      </c>
      <c r="C60" s="28">
        <f t="shared" si="8"/>
        <v>2.5310611151195594</v>
      </c>
      <c r="D60" s="29">
        <f t="shared" si="10"/>
        <v>4.2791835787199028</v>
      </c>
      <c r="E60" s="29">
        <f t="shared" si="10"/>
        <v>-0.24210677379810086</v>
      </c>
      <c r="F60" s="29">
        <f t="shared" si="12"/>
        <v>0.73719128230458342</v>
      </c>
      <c r="G60" s="29">
        <f t="shared" si="12"/>
        <v>0.81884415537085697</v>
      </c>
      <c r="H60" s="30">
        <f t="shared" si="14"/>
        <v>4.6385952041883005</v>
      </c>
      <c r="I60" s="31">
        <f t="shared" si="14"/>
        <v>2.6471222895205315</v>
      </c>
    </row>
    <row r="61" spans="1:9" ht="20.25" customHeight="1">
      <c r="B61" s="38">
        <v>2017</v>
      </c>
      <c r="C61" s="28">
        <f t="shared" si="8"/>
        <v>0.86271114702822782</v>
      </c>
      <c r="D61" s="29">
        <f t="shared" si="10"/>
        <v>-1.4477906476505265</v>
      </c>
      <c r="E61" s="29">
        <f t="shared" si="10"/>
        <v>-2.9025328470799749</v>
      </c>
      <c r="F61" s="29">
        <f t="shared" si="12"/>
        <v>5.3693038903292134</v>
      </c>
      <c r="G61" s="29">
        <f t="shared" si="12"/>
        <v>3.4788189987162932</v>
      </c>
      <c r="H61" s="30">
        <f t="shared" si="14"/>
        <v>3.627413149723413</v>
      </c>
      <c r="I61" s="31">
        <f t="shared" si="14"/>
        <v>1.4238115711117327</v>
      </c>
    </row>
    <row r="62" spans="1:9" ht="20.25" customHeight="1">
      <c r="B62" s="38">
        <v>2018</v>
      </c>
      <c r="C62" s="28">
        <f t="shared" si="8"/>
        <v>0.68583757287121738</v>
      </c>
      <c r="D62" s="29">
        <f t="shared" si="10"/>
        <v>-0.36161688363438582</v>
      </c>
      <c r="E62" s="29">
        <f t="shared" si="10"/>
        <v>-3.6375797489195394</v>
      </c>
      <c r="F62" s="29">
        <f t="shared" si="12"/>
        <v>6.246062095741034</v>
      </c>
      <c r="G62" s="29">
        <f t="shared" si="12"/>
        <v>2.0758383988752405</v>
      </c>
      <c r="H62" s="30">
        <f t="shared" si="14"/>
        <v>5.3894023074224195</v>
      </c>
      <c r="I62" s="31">
        <f t="shared" si="14"/>
        <v>1.5538463881512588</v>
      </c>
    </row>
    <row r="63" spans="1:9" ht="20.25" customHeight="1">
      <c r="B63" s="37">
        <v>2019</v>
      </c>
      <c r="C63" s="29">
        <f t="shared" si="8"/>
        <v>0.93067531782577984</v>
      </c>
      <c r="D63" s="29">
        <f t="shared" si="10"/>
        <v>-1.9336942896007292</v>
      </c>
      <c r="E63" s="29">
        <f t="shared" si="10"/>
        <v>2.1917881360457248</v>
      </c>
      <c r="F63" s="29">
        <f t="shared" si="12"/>
        <v>-1.7669480650626679</v>
      </c>
      <c r="G63" s="29">
        <f t="shared" si="12"/>
        <v>0.40105327121733314</v>
      </c>
      <c r="H63" s="30">
        <f t="shared" si="14"/>
        <v>4.4344195570083844</v>
      </c>
      <c r="I63" s="31">
        <f t="shared" si="14"/>
        <v>1.169629897660629</v>
      </c>
    </row>
    <row r="64" spans="1:9" ht="20.25" customHeight="1">
      <c r="B64" s="177">
        <v>2020</v>
      </c>
      <c r="C64" s="173">
        <f t="shared" si="8"/>
        <v>-11.93494125000819</v>
      </c>
      <c r="D64" s="345">
        <f t="shared" si="10"/>
        <v>-5.3796779808529145</v>
      </c>
      <c r="E64" s="345">
        <f t="shared" si="10"/>
        <v>-47.877426265053948</v>
      </c>
      <c r="F64" s="345">
        <f t="shared" si="12"/>
        <v>-15.996423669877801</v>
      </c>
      <c r="G64" s="345">
        <f t="shared" si="12"/>
        <v>-48.995319561007101</v>
      </c>
      <c r="H64" s="225">
        <f t="shared" si="14"/>
        <v>-59.6722040570925</v>
      </c>
      <c r="I64" s="355">
        <f t="shared" si="14"/>
        <v>-18.310373005019866</v>
      </c>
    </row>
    <row r="65" spans="2:9" ht="20.25" customHeight="1">
      <c r="B65" s="37">
        <v>2021</v>
      </c>
      <c r="C65" s="174">
        <f t="shared" si="8"/>
        <v>7.9114864797990903</v>
      </c>
      <c r="D65" s="351">
        <f t="shared" ref="D65:I65" si="15">100*(D34/D33-1)</f>
        <v>9.9770048864616268</v>
      </c>
      <c r="E65" s="351">
        <f t="shared" si="15"/>
        <v>-17.198644179189738</v>
      </c>
      <c r="F65" s="351">
        <f t="shared" si="15"/>
        <v>11.183101098964542</v>
      </c>
      <c r="G65" s="351">
        <f t="shared" si="15"/>
        <v>-39.561913642598142</v>
      </c>
      <c r="H65" s="175">
        <f t="shared" si="15"/>
        <v>-43.210837172826203</v>
      </c>
      <c r="I65" s="350">
        <f t="shared" si="15"/>
        <v>4.8680031947802904</v>
      </c>
    </row>
    <row r="66" spans="2:9" ht="23.25" customHeight="1">
      <c r="B66" s="353" t="s">
        <v>58</v>
      </c>
      <c r="C66" s="174">
        <f t="shared" ref="C66:I66" si="16">100*(POWER((C8/C7), 1/5) -1)</f>
        <v>1.5476714348274356</v>
      </c>
      <c r="D66" s="351">
        <f t="shared" si="16"/>
        <v>-2.8044036148359153</v>
      </c>
      <c r="E66" s="351">
        <f t="shared" si="16"/>
        <v>-1.6848468710477849</v>
      </c>
      <c r="F66" s="351">
        <f t="shared" si="16"/>
        <v>2.3134164589174278</v>
      </c>
      <c r="G66" s="351">
        <f t="shared" si="16"/>
        <v>3.5333119902342114</v>
      </c>
      <c r="H66" s="175">
        <f t="shared" si="16"/>
        <v>2.8166046397187117</v>
      </c>
      <c r="I66" s="226">
        <f t="shared" si="16"/>
        <v>1.6695335028992231</v>
      </c>
    </row>
    <row r="67" spans="2:9" ht="24" customHeight="1">
      <c r="B67" s="353" t="s">
        <v>78</v>
      </c>
      <c r="C67" s="174">
        <f t="shared" ref="C67:I67" si="17">100*(POWER((C13/C8), 1/5) -1)</f>
        <v>2.2475335590066647</v>
      </c>
      <c r="D67" s="351">
        <f t="shared" si="17"/>
        <v>7.4876137514655605</v>
      </c>
      <c r="E67" s="351">
        <f t="shared" si="17"/>
        <v>3.7316610452985843</v>
      </c>
      <c r="F67" s="351">
        <f t="shared" si="17"/>
        <v>3.4063236198697888</v>
      </c>
      <c r="G67" s="351">
        <f t="shared" si="17"/>
        <v>3.3591153554357156</v>
      </c>
      <c r="H67" s="175">
        <f t="shared" si="17"/>
        <v>5.0842604147218307</v>
      </c>
      <c r="I67" s="226">
        <f t="shared" si="17"/>
        <v>2.6009863670732214</v>
      </c>
    </row>
    <row r="68" spans="2:9" ht="27.75" customHeight="1">
      <c r="B68" s="354" t="s">
        <v>99</v>
      </c>
      <c r="C68" s="174">
        <f>100*(POWER((C23/C13), 1/10) -1)</f>
        <v>1.1324803352320778</v>
      </c>
      <c r="D68" s="351">
        <f t="shared" ref="D68:I68" si="18">100*(POWER((D23/D13), 1/10) -1)</f>
        <v>3.3427273322068629</v>
      </c>
      <c r="E68" s="351">
        <f t="shared" si="18"/>
        <v>1.6705480303091047</v>
      </c>
      <c r="F68" s="351">
        <f t="shared" si="18"/>
        <v>6.1365242208446746</v>
      </c>
      <c r="G68" s="351">
        <f t="shared" si="18"/>
        <v>1.8867154547976384</v>
      </c>
      <c r="H68" s="175">
        <f t="shared" si="18"/>
        <v>0.73320991262801893</v>
      </c>
      <c r="I68" s="226">
        <f t="shared" si="18"/>
        <v>1.3157228745275029</v>
      </c>
    </row>
    <row r="69" spans="2:9" ht="27.75" customHeight="1">
      <c r="B69" s="354" t="s">
        <v>104</v>
      </c>
      <c r="C69" s="345">
        <f>100*(POWER((C34/C24), 1/10) -1)</f>
        <v>0.47316379253028451</v>
      </c>
      <c r="D69" s="345">
        <f t="shared" ref="D69:I69" si="19">100*(POWER((D34/D24), 1/10) -1)</f>
        <v>1.0027202940802393</v>
      </c>
      <c r="E69" s="345">
        <f t="shared" si="19"/>
        <v>-8.0977866098647659</v>
      </c>
      <c r="F69" s="345">
        <f t="shared" si="19"/>
        <v>1.9768468441416998</v>
      </c>
      <c r="G69" s="345">
        <f t="shared" si="19"/>
        <v>-10.041304931903783</v>
      </c>
      <c r="H69" s="225">
        <f t="shared" si="19"/>
        <v>-11.182597318243015</v>
      </c>
      <c r="I69" s="355">
        <f t="shared" si="19"/>
        <v>-0.25575168940160653</v>
      </c>
    </row>
    <row r="70" spans="2:9" ht="9.9499999999999993" customHeight="1"/>
    <row r="71" spans="2:9" ht="9.9499999999999993" hidden="1" customHeight="1"/>
    <row r="72" spans="2:9" ht="9.9499999999999993" hidden="1" customHeight="1"/>
    <row r="73" spans="2:9" ht="9.9499999999999993" hidden="1" customHeight="1"/>
    <row r="74" spans="2:9" ht="9.9499999999999993" hidden="1" customHeight="1"/>
    <row r="75" spans="2:9" ht="9.9499999999999993" customHeight="1"/>
    <row r="76" spans="2:9" ht="9.9499999999999993" customHeight="1"/>
    <row r="77" spans="2:9" ht="9.9499999999999993" customHeight="1"/>
    <row r="78" spans="2:9" ht="9.9499999999999993" customHeight="1"/>
    <row r="79" spans="2:9" ht="9.9499999999999993" customHeight="1"/>
    <row r="80" spans="2:9" ht="9.9499999999999993" customHeight="1"/>
    <row r="81" ht="9.9499999999999993" customHeight="1"/>
  </sheetData>
  <mergeCells count="31">
    <mergeCell ref="B2:I2"/>
    <mergeCell ref="B3:I3"/>
    <mergeCell ref="B4:I4"/>
    <mergeCell ref="C5:C6"/>
    <mergeCell ref="D5:D6"/>
    <mergeCell ref="E5:E6"/>
    <mergeCell ref="F5:F6"/>
    <mergeCell ref="G5:G6"/>
    <mergeCell ref="H5:H6"/>
    <mergeCell ref="I5:I6"/>
    <mergeCell ref="S6:S7"/>
    <mergeCell ref="M5:M6"/>
    <mergeCell ref="N5:N6"/>
    <mergeCell ref="O5:O6"/>
    <mergeCell ref="P5:P6"/>
    <mergeCell ref="M3:R4"/>
    <mergeCell ref="B36:I36"/>
    <mergeCell ref="B42:I42"/>
    <mergeCell ref="C43:C44"/>
    <mergeCell ref="Q5:Q6"/>
    <mergeCell ref="R5:R6"/>
    <mergeCell ref="B37:I37"/>
    <mergeCell ref="B39:I39"/>
    <mergeCell ref="B41:I41"/>
    <mergeCell ref="H43:H44"/>
    <mergeCell ref="I43:I44"/>
    <mergeCell ref="B38:I38"/>
    <mergeCell ref="D43:D44"/>
    <mergeCell ref="E43:E44"/>
    <mergeCell ref="F43:F44"/>
    <mergeCell ref="G43:G44"/>
  </mergeCells>
  <phoneticPr fontId="16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7"/>
  <dimension ref="A1:J64"/>
  <sheetViews>
    <sheetView zoomScaleNormal="100" workbookViewId="0">
      <selection activeCell="A30" sqref="A30:XFD34"/>
    </sheetView>
  </sheetViews>
  <sheetFormatPr defaultRowHeight="12.75"/>
  <cols>
    <col min="1" max="1" width="4.86328125" customWidth="1"/>
    <col min="2" max="9" width="6.73046875" customWidth="1"/>
  </cols>
  <sheetData>
    <row r="1" spans="1:10" s="12" customFormat="1" ht="20.100000000000001" customHeight="1">
      <c r="A1" s="16"/>
      <c r="B1" s="395" t="s">
        <v>59</v>
      </c>
      <c r="C1" s="395" t="s">
        <v>5</v>
      </c>
      <c r="D1" s="395" t="s">
        <v>1</v>
      </c>
      <c r="E1" s="395" t="s">
        <v>60</v>
      </c>
      <c r="F1" s="395" t="s">
        <v>0</v>
      </c>
      <c r="G1" s="395" t="s">
        <v>44</v>
      </c>
      <c r="H1" s="399" t="s">
        <v>43</v>
      </c>
      <c r="I1" s="397" t="s">
        <v>45</v>
      </c>
    </row>
    <row r="2" spans="1:10" s="12" customFormat="1" ht="20.100000000000001" customHeight="1">
      <c r="A2" s="16"/>
      <c r="B2" s="396"/>
      <c r="C2" s="396"/>
      <c r="D2" s="396"/>
      <c r="E2" s="396"/>
      <c r="F2" s="396"/>
      <c r="G2" s="396"/>
      <c r="H2" s="400"/>
      <c r="I2" s="398"/>
      <c r="J2" s="198"/>
    </row>
    <row r="3" spans="1:10" s="12" customFormat="1" ht="12.75" customHeight="1">
      <c r="A3" s="326">
        <v>1995</v>
      </c>
      <c r="B3" s="50">
        <v>3283.7635352382986</v>
      </c>
      <c r="C3" s="50">
        <v>108.17833035820433</v>
      </c>
      <c r="D3" s="50">
        <v>468.02840644355865</v>
      </c>
      <c r="E3" s="50">
        <v>312.65000000000009</v>
      </c>
      <c r="F3" s="50">
        <v>63.801627306091206</v>
      </c>
      <c r="G3" s="60">
        <v>237.23260425819345</v>
      </c>
      <c r="H3" s="240">
        <v>22.75660718736945</v>
      </c>
      <c r="I3" s="197">
        <f t="shared" ref="I3:I29" si="0">SUM(B3:H3)</f>
        <v>4496.4111107917161</v>
      </c>
      <c r="J3" s="198"/>
    </row>
    <row r="4" spans="1:10" s="12" customFormat="1" ht="12.75" customHeight="1">
      <c r="A4" s="27">
        <v>1996</v>
      </c>
      <c r="B4" s="50">
        <v>3343.4005296782343</v>
      </c>
      <c r="C4" s="50">
        <v>109.8361427320414</v>
      </c>
      <c r="D4" s="50">
        <v>472.88897060546248</v>
      </c>
      <c r="E4" s="50">
        <v>315.47100000000012</v>
      </c>
      <c r="F4" s="50">
        <v>64.910128525276747</v>
      </c>
      <c r="G4" s="60">
        <v>250.94547155635493</v>
      </c>
      <c r="H4" s="241">
        <v>22.551592708203962</v>
      </c>
      <c r="I4" s="197">
        <f t="shared" si="0"/>
        <v>4580.0038358055745</v>
      </c>
      <c r="J4" s="198"/>
    </row>
    <row r="5" spans="1:10" s="12" customFormat="1" ht="12.75" customHeight="1">
      <c r="A5" s="27">
        <v>1997</v>
      </c>
      <c r="B5" s="50">
        <v>3412.1993932868522</v>
      </c>
      <c r="C5" s="50">
        <v>113.86129153737258</v>
      </c>
      <c r="D5" s="50">
        <v>475.72177987370736</v>
      </c>
      <c r="E5" s="50">
        <v>313.14999999999992</v>
      </c>
      <c r="F5" s="50">
        <v>65.322641438807437</v>
      </c>
      <c r="G5" s="60">
        <v>267.40091231414868</v>
      </c>
      <c r="H5" s="241">
        <v>22.346578229038471</v>
      </c>
      <c r="I5" s="197">
        <f t="shared" si="0"/>
        <v>4670.0025966799267</v>
      </c>
      <c r="J5" s="198"/>
    </row>
    <row r="6" spans="1:10" s="12" customFormat="1" ht="12.75" customHeight="1">
      <c r="A6" s="27">
        <v>1998</v>
      </c>
      <c r="B6" s="50">
        <v>3507.1338683711424</v>
      </c>
      <c r="C6" s="50">
        <v>117.9441173104518</v>
      </c>
      <c r="D6" s="50">
        <v>478.18777007612073</v>
      </c>
      <c r="E6" s="50">
        <v>311.64800000000008</v>
      </c>
      <c r="F6" s="50">
        <v>66.047922130725382</v>
      </c>
      <c r="G6" s="60">
        <v>280.42813624740205</v>
      </c>
      <c r="H6" s="241">
        <v>22.090310130081608</v>
      </c>
      <c r="I6" s="197">
        <f t="shared" si="0"/>
        <v>4783.4801242659241</v>
      </c>
      <c r="J6" s="198"/>
    </row>
    <row r="7" spans="1:10" s="13" customFormat="1" ht="12.75" customHeight="1">
      <c r="A7" s="27">
        <v>1999</v>
      </c>
      <c r="B7" s="50">
        <v>3610.5575238836655</v>
      </c>
      <c r="C7" s="50">
        <v>121.23787595527121</v>
      </c>
      <c r="D7" s="50">
        <v>479.38473191406047</v>
      </c>
      <c r="E7" s="50">
        <v>316.50700000000001</v>
      </c>
      <c r="F7" s="50">
        <v>67.010399918778532</v>
      </c>
      <c r="G7" s="60">
        <v>291.39843008593124</v>
      </c>
      <c r="H7" s="241">
        <v>21.834042031124746</v>
      </c>
      <c r="I7" s="197">
        <f t="shared" si="0"/>
        <v>4907.9300037888315</v>
      </c>
      <c r="J7" s="192"/>
    </row>
    <row r="8" spans="1:10" s="13" customFormat="1" ht="12.75" customHeight="1">
      <c r="A8" s="27">
        <v>2000</v>
      </c>
      <c r="B8" s="50">
        <v>3660.3550623140204</v>
      </c>
      <c r="C8" s="50">
        <v>98.941118865860219</v>
      </c>
      <c r="D8" s="50">
        <v>496.48234560773267</v>
      </c>
      <c r="E8" s="50">
        <v>338.58678502490824</v>
      </c>
      <c r="F8" s="50">
        <v>67.843840564744099</v>
      </c>
      <c r="G8" s="60">
        <v>313.33901776298956</v>
      </c>
      <c r="H8" s="241">
        <v>21.372759453002395</v>
      </c>
      <c r="I8" s="197">
        <f t="shared" si="0"/>
        <v>4996.9209295932578</v>
      </c>
      <c r="J8" s="192"/>
    </row>
    <row r="9" spans="1:10" s="13" customFormat="1" ht="13.5" customHeight="1">
      <c r="A9" s="27">
        <v>2001</v>
      </c>
      <c r="B9" s="50">
        <v>3734.2157647230588</v>
      </c>
      <c r="C9" s="50">
        <v>102.90777877467487</v>
      </c>
      <c r="D9" s="50">
        <v>495.60992962193603</v>
      </c>
      <c r="E9" s="50">
        <v>339.89458030944149</v>
      </c>
      <c r="F9" s="50">
        <v>68.539656573900217</v>
      </c>
      <c r="G9" s="60">
        <v>310.59644430335726</v>
      </c>
      <c r="H9" s="241">
        <v>21.526520312376515</v>
      </c>
      <c r="I9" s="197">
        <f t="shared" si="0"/>
        <v>5073.2906746187446</v>
      </c>
      <c r="J9" s="192"/>
    </row>
    <row r="10" spans="1:10" s="13" customFormat="1" ht="12.75" customHeight="1">
      <c r="A10" s="27">
        <v>2002</v>
      </c>
      <c r="B10" s="50">
        <v>3789.3050249260709</v>
      </c>
      <c r="C10" s="50">
        <v>104.22143765335814</v>
      </c>
      <c r="D10" s="50">
        <v>492.83179924435063</v>
      </c>
      <c r="E10" s="50">
        <v>331.90780261380462</v>
      </c>
      <c r="F10" s="50">
        <v>69.374812774150158</v>
      </c>
      <c r="G10" s="60">
        <v>305.11129738409272</v>
      </c>
      <c r="H10" s="241">
        <v>22.200008505158266</v>
      </c>
      <c r="I10" s="197">
        <f t="shared" si="0"/>
        <v>5114.9521831009861</v>
      </c>
      <c r="J10" s="192"/>
    </row>
    <row r="11" spans="1:10" s="13" customFormat="1" ht="12.75" customHeight="1">
      <c r="A11" s="27">
        <v>2003</v>
      </c>
      <c r="B11" s="50">
        <v>3826.1956189610128</v>
      </c>
      <c r="C11" s="50">
        <v>107.27362723268587</v>
      </c>
      <c r="D11" s="50">
        <v>495.56518499416131</v>
      </c>
      <c r="E11" s="50">
        <v>326.77894756335343</v>
      </c>
      <c r="F11" s="50">
        <v>70.18336190555614</v>
      </c>
      <c r="G11" s="60">
        <v>317.45287795243803</v>
      </c>
      <c r="H11" s="241">
        <v>22.097527288736458</v>
      </c>
      <c r="I11" s="197">
        <f t="shared" si="0"/>
        <v>5165.5471458979437</v>
      </c>
      <c r="J11" s="192"/>
    </row>
    <row r="12" spans="1:10" s="13" customFormat="1" ht="12.75" customHeight="1">
      <c r="A12" s="27">
        <v>2004</v>
      </c>
      <c r="B12" s="50">
        <v>3878.1627438382161</v>
      </c>
      <c r="C12" s="50">
        <v>110.79803852825337</v>
      </c>
      <c r="D12" s="50">
        <v>500.16537130745064</v>
      </c>
      <c r="E12" s="50">
        <v>331.947</v>
      </c>
      <c r="F12" s="50">
        <v>72.445632887244102</v>
      </c>
      <c r="G12" s="60">
        <v>338.02217889968028</v>
      </c>
      <c r="H12" s="241">
        <v>21.838080383682794</v>
      </c>
      <c r="I12" s="197">
        <f t="shared" si="0"/>
        <v>5253.3790458445274</v>
      </c>
      <c r="J12" s="192"/>
    </row>
    <row r="13" spans="1:10" s="13" customFormat="1" ht="12.75" customHeight="1">
      <c r="A13" s="27">
        <v>2005</v>
      </c>
      <c r="B13" s="50">
        <v>3839.1794808863438</v>
      </c>
      <c r="C13" s="50">
        <v>114.31005461044045</v>
      </c>
      <c r="D13" s="50">
        <v>497.75543070272653</v>
      </c>
      <c r="E13" s="50">
        <v>339.82400000000007</v>
      </c>
      <c r="F13" s="50">
        <v>73.154697458878715</v>
      </c>
      <c r="G13" s="60">
        <v>361.33405330655478</v>
      </c>
      <c r="H13" s="241">
        <v>21.301470549563206</v>
      </c>
      <c r="I13" s="197">
        <f t="shared" si="0"/>
        <v>5246.8591875145084</v>
      </c>
      <c r="J13" s="192"/>
    </row>
    <row r="14" spans="1:10" ht="12.75" customHeight="1">
      <c r="A14" s="27">
        <v>2006</v>
      </c>
      <c r="B14" s="50">
        <v>3875.2614469870077</v>
      </c>
      <c r="C14" s="50">
        <v>113.24001948371354</v>
      </c>
      <c r="D14" s="50">
        <v>497.84121747374417</v>
      </c>
      <c r="E14" s="50">
        <v>349.37900000000002</v>
      </c>
      <c r="F14" s="50">
        <v>74.583334218657839</v>
      </c>
      <c r="G14" s="60">
        <v>376.41820733453238</v>
      </c>
      <c r="H14" s="241">
        <v>21.376279934270869</v>
      </c>
      <c r="I14" s="197">
        <f t="shared" si="0"/>
        <v>5308.0995054319274</v>
      </c>
      <c r="J14" s="179"/>
    </row>
    <row r="15" spans="1:10" ht="12.75" customHeight="1">
      <c r="A15" s="27">
        <v>2007</v>
      </c>
      <c r="B15" s="50">
        <v>3921.2560941458078</v>
      </c>
      <c r="C15" s="50">
        <v>109.24806554776958</v>
      </c>
      <c r="D15" s="50">
        <v>507.88321228594589</v>
      </c>
      <c r="E15" s="50">
        <v>352.63640746100009</v>
      </c>
      <c r="F15" s="50">
        <v>76.350815575898523</v>
      </c>
      <c r="G15" s="60">
        <v>392.1880047274181</v>
      </c>
      <c r="H15" s="241">
        <v>21.335411366439864</v>
      </c>
      <c r="I15" s="197">
        <f t="shared" si="0"/>
        <v>5380.8980111102801</v>
      </c>
      <c r="J15" s="179"/>
    </row>
    <row r="16" spans="1:10" ht="12.75" customHeight="1">
      <c r="A16" s="27">
        <v>2008</v>
      </c>
      <c r="B16" s="50">
        <v>3931.6239841889396</v>
      </c>
      <c r="C16" s="50">
        <v>114.17393516820219</v>
      </c>
      <c r="D16" s="50">
        <v>514.13296293375333</v>
      </c>
      <c r="E16" s="50">
        <v>365.52954694300007</v>
      </c>
      <c r="F16" s="50">
        <v>79.124684832482046</v>
      </c>
      <c r="G16" s="60">
        <v>376.11495059056739</v>
      </c>
      <c r="H16" s="241">
        <v>21.870651616757328</v>
      </c>
      <c r="I16" s="197">
        <f t="shared" si="0"/>
        <v>5402.5707162737026</v>
      </c>
      <c r="J16" s="179"/>
    </row>
    <row r="17" spans="1:10" ht="12.75" customHeight="1">
      <c r="A17" s="27">
        <v>2009</v>
      </c>
      <c r="B17" s="50">
        <v>4009.2120907480175</v>
      </c>
      <c r="C17" s="50">
        <v>111.64451382255247</v>
      </c>
      <c r="D17" s="50">
        <v>489.74897799444329</v>
      </c>
      <c r="E17" s="50">
        <v>358.18360376100009</v>
      </c>
      <c r="F17" s="50">
        <v>78.491058768954531</v>
      </c>
      <c r="G17" s="60">
        <v>354.92849264757626</v>
      </c>
      <c r="H17" s="241">
        <v>22.447108828233201</v>
      </c>
      <c r="I17" s="197">
        <f t="shared" si="0"/>
        <v>5424.6558465707785</v>
      </c>
      <c r="J17" s="179"/>
    </row>
    <row r="18" spans="1:10" ht="12.75" customHeight="1">
      <c r="A18" s="27">
        <v>2010</v>
      </c>
      <c r="B18" s="50">
        <v>3975.8509514257871</v>
      </c>
      <c r="C18" s="50">
        <v>113.4680396817656</v>
      </c>
      <c r="D18" s="50">
        <v>482.18730539438303</v>
      </c>
      <c r="E18" s="50">
        <v>357.05523726746628</v>
      </c>
      <c r="F18" s="50">
        <v>80.818824573023448</v>
      </c>
      <c r="G18" s="60">
        <v>370.75245692511044</v>
      </c>
      <c r="H18" s="241">
        <v>22.489290677301</v>
      </c>
      <c r="I18" s="197">
        <f t="shared" si="0"/>
        <v>5402.6221059448371</v>
      </c>
      <c r="J18" s="179"/>
    </row>
    <row r="19" spans="1:10" ht="12.75" customHeight="1">
      <c r="A19" s="27">
        <v>2011</v>
      </c>
      <c r="B19" s="50">
        <v>3943.6434280371873</v>
      </c>
      <c r="C19" s="50">
        <v>117.39495933156536</v>
      </c>
      <c r="D19" s="50">
        <v>485.63631790802879</v>
      </c>
      <c r="E19" s="50">
        <v>363.23495330985861</v>
      </c>
      <c r="F19" s="50">
        <v>81.212759154899217</v>
      </c>
      <c r="G19" s="60">
        <v>401.77865536262908</v>
      </c>
      <c r="H19" s="241">
        <v>20.009872719529735</v>
      </c>
      <c r="I19" s="197">
        <f t="shared" si="0"/>
        <v>5412.9109458236981</v>
      </c>
      <c r="J19" s="179"/>
    </row>
    <row r="20" spans="1:10" ht="12.75" customHeight="1">
      <c r="A20" s="27">
        <v>2012</v>
      </c>
      <c r="B20" s="50">
        <v>3904.5431623219174</v>
      </c>
      <c r="C20" s="50">
        <v>114.77132204355871</v>
      </c>
      <c r="D20" s="50">
        <v>481.08994628181415</v>
      </c>
      <c r="E20" s="50">
        <v>366.39065120198177</v>
      </c>
      <c r="F20" s="50">
        <v>82.300482448189484</v>
      </c>
      <c r="G20" s="60">
        <v>396.27014489090743</v>
      </c>
      <c r="H20" s="241">
        <v>18.524148504413564</v>
      </c>
      <c r="I20" s="197">
        <f t="shared" si="0"/>
        <v>5363.8898576927832</v>
      </c>
      <c r="J20" s="179"/>
    </row>
    <row r="21" spans="1:10" ht="12.75" customHeight="1">
      <c r="A21" s="27">
        <v>2013</v>
      </c>
      <c r="B21" s="50">
        <v>3964.794984671576</v>
      </c>
      <c r="C21" s="50">
        <v>114.30380862898357</v>
      </c>
      <c r="D21" s="50">
        <v>479.60734783520479</v>
      </c>
      <c r="E21" s="50">
        <v>370.80426886941399</v>
      </c>
      <c r="F21" s="50">
        <v>81.8741939491415</v>
      </c>
      <c r="G21" s="60">
        <v>397.73641968961851</v>
      </c>
      <c r="H21" s="241">
        <v>19.265155534676669</v>
      </c>
      <c r="I21" s="197">
        <f t="shared" si="0"/>
        <v>5428.3861791786157</v>
      </c>
      <c r="J21" s="179"/>
    </row>
    <row r="22" spans="1:10" ht="12.75" customHeight="1">
      <c r="A22" s="27">
        <v>2014</v>
      </c>
      <c r="B22" s="50">
        <v>4020.2617494762826</v>
      </c>
      <c r="C22" s="50">
        <v>117.04674852749726</v>
      </c>
      <c r="D22" s="50">
        <v>475.16563679056947</v>
      </c>
      <c r="E22" s="50">
        <v>375.20411951914656</v>
      </c>
      <c r="F22" s="50">
        <v>82.028681334256589</v>
      </c>
      <c r="G22" s="60">
        <v>419.02452329888411</v>
      </c>
      <c r="H22" s="241">
        <v>19.44140478978127</v>
      </c>
      <c r="I22" s="197">
        <f t="shared" si="0"/>
        <v>5508.1728637364185</v>
      </c>
      <c r="J22" s="179"/>
    </row>
    <row r="23" spans="1:10" ht="12.75" customHeight="1">
      <c r="A23" s="27">
        <v>2015</v>
      </c>
      <c r="B23" s="50">
        <v>4110.5450140439361</v>
      </c>
      <c r="C23" s="50">
        <v>116.98197982151579</v>
      </c>
      <c r="D23" s="50">
        <v>490.88932691649268</v>
      </c>
      <c r="E23" s="50">
        <v>381.10632936015401</v>
      </c>
      <c r="F23" s="50">
        <v>79.939703886067946</v>
      </c>
      <c r="G23" s="60">
        <v>445.01450441033342</v>
      </c>
      <c r="H23" s="241">
        <v>19.380846533397605</v>
      </c>
      <c r="I23" s="197">
        <f t="shared" si="0"/>
        <v>5643.8577049718979</v>
      </c>
      <c r="J23" s="179"/>
    </row>
    <row r="24" spans="1:10" ht="12.75" customHeight="1">
      <c r="A24" s="27">
        <v>2016</v>
      </c>
      <c r="B24" s="50">
        <v>4196.60176279402</v>
      </c>
      <c r="C24" s="50">
        <v>118.27858662681939</v>
      </c>
      <c r="D24" s="50">
        <v>495.29620518255615</v>
      </c>
      <c r="E24" s="50">
        <v>386.32530790182039</v>
      </c>
      <c r="F24" s="50">
        <v>82.344575219371464</v>
      </c>
      <c r="G24" s="60">
        <v>485.00004454527959</v>
      </c>
      <c r="H24" s="241">
        <v>18.440519044155</v>
      </c>
      <c r="I24" s="197">
        <f t="shared" si="0"/>
        <v>5782.2870013140218</v>
      </c>
      <c r="J24" s="179"/>
    </row>
    <row r="25" spans="1:10" ht="12.75" customHeight="1">
      <c r="A25" s="27">
        <v>2017</v>
      </c>
      <c r="B25" s="50">
        <v>4241.3578006787102</v>
      </c>
      <c r="C25" s="50">
        <v>111.81209518179628</v>
      </c>
      <c r="D25" s="50">
        <v>477.31698917737674</v>
      </c>
      <c r="E25" s="50">
        <v>400.73763582000009</v>
      </c>
      <c r="F25" s="50">
        <v>84.124391371363302</v>
      </c>
      <c r="G25" s="60">
        <v>529.25685144457611</v>
      </c>
      <c r="H25" s="241">
        <v>19.68080598334593</v>
      </c>
      <c r="I25" s="197">
        <f t="shared" si="0"/>
        <v>5864.286569657168</v>
      </c>
      <c r="J25" s="179"/>
    </row>
    <row r="26" spans="1:10" ht="12.75" customHeight="1">
      <c r="A26" s="27">
        <v>2018</v>
      </c>
      <c r="B26" s="50">
        <v>4261.0432924775987</v>
      </c>
      <c r="C26" s="50">
        <v>106.39739533905855</v>
      </c>
      <c r="D26" s="50">
        <v>481.00326459190705</v>
      </c>
      <c r="E26" s="50">
        <v>407.129068754</v>
      </c>
      <c r="F26" s="50">
        <v>86.275847035955294</v>
      </c>
      <c r="G26" s="60">
        <v>562.20153599553566</v>
      </c>
      <c r="H26" s="241">
        <v>20.807631828738668</v>
      </c>
      <c r="I26" s="197">
        <f t="shared" si="0"/>
        <v>5924.8580360227943</v>
      </c>
      <c r="J26" s="179"/>
    </row>
    <row r="27" spans="1:10" ht="12.75" customHeight="1">
      <c r="A27" s="27">
        <v>2019</v>
      </c>
      <c r="B27" s="50">
        <v>4298.3221246594003</v>
      </c>
      <c r="C27" s="50">
        <v>112.9728842398344</v>
      </c>
      <c r="D27" s="50">
        <v>484.94605021896331</v>
      </c>
      <c r="E27" s="50">
        <v>420.75364493000001</v>
      </c>
      <c r="F27" s="50">
        <v>86.131809635050871</v>
      </c>
      <c r="G27" s="60">
        <v>575.376876197191</v>
      </c>
      <c r="H27" s="241">
        <v>21.133986957134791</v>
      </c>
      <c r="I27" s="197">
        <f t="shared" si="0"/>
        <v>5999.6373768375743</v>
      </c>
      <c r="J27" s="179"/>
    </row>
    <row r="28" spans="1:10" ht="15" customHeight="1">
      <c r="A28" s="27">
        <v>2020</v>
      </c>
      <c r="B28" s="50">
        <v>3516.8992746836843</v>
      </c>
      <c r="C28" s="50">
        <v>100.53533138836386</v>
      </c>
      <c r="D28" s="50">
        <v>290.53601561368248</v>
      </c>
      <c r="E28" s="50">
        <v>227.23313354200002</v>
      </c>
      <c r="F28" s="50">
        <v>51.633246886218757</v>
      </c>
      <c r="G28" s="60">
        <v>175.83677942627764</v>
      </c>
      <c r="H28" s="241">
        <v>10.371184808162786</v>
      </c>
      <c r="I28" s="197">
        <f t="shared" si="0"/>
        <v>4373.0449663483896</v>
      </c>
      <c r="J28" s="179"/>
    </row>
    <row r="29" spans="1:10" ht="15" customHeight="1">
      <c r="A29" s="327">
        <v>2021</v>
      </c>
      <c r="B29" s="239">
        <v>3742.2362108397956</v>
      </c>
      <c r="C29" s="239">
        <v>104.77351557530889</v>
      </c>
      <c r="D29" s="239">
        <v>327.01146241477761</v>
      </c>
      <c r="E29" s="239">
        <v>265.23614263100001</v>
      </c>
      <c r="F29" s="239">
        <v>55.658322939186391</v>
      </c>
      <c r="G29" s="328">
        <v>270.14726196373948</v>
      </c>
      <c r="H29" s="329">
        <v>13.778071528178804</v>
      </c>
      <c r="I29" s="197">
        <f t="shared" si="0"/>
        <v>4778.8409878919865</v>
      </c>
      <c r="J29" s="179"/>
    </row>
    <row r="30" spans="1:10" ht="12" customHeight="1"/>
    <row r="31" spans="1:10" s="12" customFormat="1" ht="20.100000000000001" customHeight="1"/>
    <row r="32" spans="1:10" s="12" customFormat="1" ht="20.100000000000001" customHeight="1"/>
    <row r="33" spans="10:10" s="12" customFormat="1" ht="17.25" customHeight="1"/>
    <row r="34" spans="10:10" s="12" customFormat="1" ht="12.75" customHeight="1"/>
    <row r="35" spans="10:10" s="12" customFormat="1" ht="12.75" customHeight="1">
      <c r="J35" s="178"/>
    </row>
    <row r="36" spans="10:10" s="12" customFormat="1" ht="12.75" customHeight="1">
      <c r="J36" s="178"/>
    </row>
    <row r="37" spans="10:10" ht="12.75" customHeight="1">
      <c r="J37" s="178"/>
    </row>
    <row r="38" spans="10:10" ht="12.75" customHeight="1">
      <c r="J38" s="178"/>
    </row>
    <row r="39" spans="10:10" ht="12.75" customHeight="1">
      <c r="J39" s="178"/>
    </row>
    <row r="40" spans="10:10" ht="12.75" customHeight="1">
      <c r="J40" s="178"/>
    </row>
    <row r="41" spans="10:10" ht="12.75" customHeight="1">
      <c r="J41" s="178"/>
    </row>
    <row r="42" spans="10:10" s="13" customFormat="1" ht="12.75" customHeight="1">
      <c r="J42" s="178"/>
    </row>
    <row r="43" spans="10:10" s="13" customFormat="1" ht="12.75" customHeight="1">
      <c r="J43" s="178"/>
    </row>
    <row r="44" spans="10:10" ht="12.75" customHeight="1">
      <c r="J44" s="178"/>
    </row>
    <row r="45" spans="10:10" ht="12.75" customHeight="1">
      <c r="J45" s="178"/>
    </row>
    <row r="46" spans="10:10" ht="12.75" customHeight="1">
      <c r="J46" s="178"/>
    </row>
    <row r="47" spans="10:10" ht="15" customHeight="1">
      <c r="J47" s="178"/>
    </row>
    <row r="48" spans="10:10" ht="15" customHeight="1">
      <c r="J48" s="178"/>
    </row>
    <row r="49" spans="10:10" ht="15" customHeight="1">
      <c r="J49" s="178"/>
    </row>
    <row r="50" spans="10:10" ht="15" customHeight="1">
      <c r="J50" s="178"/>
    </row>
    <row r="51" spans="10:10" ht="12.75" customHeight="1">
      <c r="J51" s="178"/>
    </row>
    <row r="52" spans="10:10" ht="12.75" customHeight="1">
      <c r="J52" s="178"/>
    </row>
    <row r="53" spans="10:10" ht="12.75" customHeight="1">
      <c r="J53" s="178"/>
    </row>
    <row r="54" spans="10:10" ht="11.85" customHeight="1">
      <c r="J54" s="178"/>
    </row>
    <row r="55" spans="10:10" ht="11.85" customHeight="1">
      <c r="J55" s="178"/>
    </row>
    <row r="56" spans="10:10" ht="11.85" customHeight="1">
      <c r="J56" s="178"/>
    </row>
    <row r="57" spans="10:10" ht="11.85" customHeight="1">
      <c r="J57" s="178"/>
    </row>
    <row r="58" spans="10:10" ht="11.85" customHeight="1">
      <c r="J58" s="178"/>
    </row>
    <row r="59" spans="10:10" ht="11.85" customHeight="1">
      <c r="J59" s="178"/>
    </row>
    <row r="60" spans="10:10" ht="11.85" customHeight="1">
      <c r="J60" s="178"/>
    </row>
    <row r="61" spans="10:10" ht="11.85" customHeight="1">
      <c r="J61" s="178"/>
    </row>
    <row r="62" spans="10:10" ht="13.5" customHeight="1"/>
    <row r="63" spans="10:10" ht="17.25" customHeight="1"/>
    <row r="64" spans="10:10" ht="11.85" customHeight="1"/>
  </sheetData>
  <mergeCells count="8">
    <mergeCell ref="C1:C2"/>
    <mergeCell ref="B1:B2"/>
    <mergeCell ref="E1:E2"/>
    <mergeCell ref="G1:G2"/>
    <mergeCell ref="I1:I2"/>
    <mergeCell ref="D1:D2"/>
    <mergeCell ref="F1:F2"/>
    <mergeCell ref="H1:H2"/>
  </mergeCells>
  <phoneticPr fontId="16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AC1-DFF8-476D-A86B-8E1433498CB5}">
  <dimension ref="A1:I29"/>
  <sheetViews>
    <sheetView workbookViewId="0">
      <selection activeCell="H1" sqref="H1:H2"/>
    </sheetView>
  </sheetViews>
  <sheetFormatPr defaultRowHeight="12.75"/>
  <sheetData>
    <row r="1" spans="1:9" ht="13.15">
      <c r="A1" s="16"/>
      <c r="B1" s="401" t="s">
        <v>40</v>
      </c>
      <c r="C1" s="397" t="s">
        <v>5</v>
      </c>
      <c r="D1" s="397" t="s">
        <v>1</v>
      </c>
      <c r="E1" s="401" t="s">
        <v>53</v>
      </c>
      <c r="F1" s="397" t="s">
        <v>0</v>
      </c>
      <c r="G1" s="397" t="s">
        <v>44</v>
      </c>
      <c r="H1" s="397" t="s">
        <v>43</v>
      </c>
      <c r="I1" s="12"/>
    </row>
    <row r="2" spans="1:9" ht="13.15">
      <c r="A2" s="193"/>
      <c r="B2" s="396"/>
      <c r="C2" s="396"/>
      <c r="D2" s="396"/>
      <c r="E2" s="396"/>
      <c r="F2" s="396"/>
      <c r="G2" s="396"/>
      <c r="H2" s="396"/>
      <c r="I2" s="178"/>
    </row>
    <row r="3" spans="1:9" ht="13.15">
      <c r="A3" s="48">
        <v>1995</v>
      </c>
      <c r="B3" s="50">
        <f>perf_mode_pkm!B3/perf_mode_pkm!$I3*100</f>
        <v>73.030767301437933</v>
      </c>
      <c r="C3" s="50">
        <f>perf_mode_pkm!C3/perf_mode_pkm!$I3*100</f>
        <v>2.4058816619007195</v>
      </c>
      <c r="D3" s="50">
        <f>perf_mode_pkm!D3/perf_mode_pkm!$I3*100</f>
        <v>10.408932700131805</v>
      </c>
      <c r="E3" s="50">
        <f>perf_mode_pkm!E3/perf_mode_pkm!$I3*100</f>
        <v>6.9533232681864243</v>
      </c>
      <c r="F3" s="50">
        <f>perf_mode_pkm!F3/perf_mode_pkm!$I3*100</f>
        <v>1.4189455931412194</v>
      </c>
      <c r="G3" s="50">
        <f>perf_mode_pkm!G3/perf_mode_pkm!$I3*100</f>
        <v>5.2760434580551987</v>
      </c>
      <c r="H3" s="51">
        <f>perf_mode_pkm!H3/perf_mode_pkm!$I3*100</f>
        <v>0.50610601714669556</v>
      </c>
      <c r="I3" s="12"/>
    </row>
    <row r="4" spans="1:9">
      <c r="A4" s="27">
        <v>1996</v>
      </c>
      <c r="B4" s="50">
        <f>perf_mode_pkm!B4/perf_mode_pkm!$I4*100</f>
        <v>72.999950426682673</v>
      </c>
      <c r="C4" s="50">
        <f>perf_mode_pkm!C4/perf_mode_pkm!$I4*100</f>
        <v>2.3981670467907454</v>
      </c>
      <c r="D4" s="50">
        <f>perf_mode_pkm!D4/perf_mode_pkm!$I4*100</f>
        <v>10.325078047064263</v>
      </c>
      <c r="E4" s="50">
        <f>perf_mode_pkm!E4/perf_mode_pkm!$I4*100</f>
        <v>6.8880073316469632</v>
      </c>
      <c r="F4" s="50">
        <f>perf_mode_pkm!F4/perf_mode_pkm!$I4*100</f>
        <v>1.4172505275611793</v>
      </c>
      <c r="G4" s="50">
        <f>perf_mode_pkm!G4/perf_mode_pkm!$I4*100</f>
        <v>5.4791541787478932</v>
      </c>
      <c r="H4" s="51">
        <f>perf_mode_pkm!H4/perf_mode_pkm!$I4*100</f>
        <v>0.49239244150627165</v>
      </c>
    </row>
    <row r="5" spans="1:9">
      <c r="A5" s="27">
        <v>1997</v>
      </c>
      <c r="B5" s="50">
        <f>perf_mode_pkm!B5/perf_mode_pkm!$I5*100</f>
        <v>73.066327537220388</v>
      </c>
      <c r="C5" s="50">
        <f>perf_mode_pkm!C5/perf_mode_pkm!$I5*100</f>
        <v>2.4381419320477611</v>
      </c>
      <c r="D5" s="50">
        <f>perf_mode_pkm!D5/perf_mode_pkm!$I5*100</f>
        <v>10.186756217478662</v>
      </c>
      <c r="E5" s="50">
        <f>perf_mode_pkm!E5/perf_mode_pkm!$I5*100</f>
        <v>6.705563723297062</v>
      </c>
      <c r="F5" s="50">
        <f>perf_mode_pkm!F5/perf_mode_pkm!$I5*100</f>
        <v>1.3987709875203851</v>
      </c>
      <c r="G5" s="50">
        <f>perf_mode_pkm!G5/perf_mode_pkm!$I5*100</f>
        <v>5.7259264160635297</v>
      </c>
      <c r="H5" s="51">
        <f>perf_mode_pkm!H5/perf_mode_pkm!$I5*100</f>
        <v>0.47851318637221874</v>
      </c>
    </row>
    <row r="6" spans="1:9">
      <c r="A6" s="27">
        <v>1998</v>
      </c>
      <c r="B6" s="50">
        <f>perf_mode_pkm!B6/perf_mode_pkm!$I6*100</f>
        <v>73.317621841469432</v>
      </c>
      <c r="C6" s="50">
        <f>perf_mode_pkm!C6/perf_mode_pkm!$I6*100</f>
        <v>2.4656550094592813</v>
      </c>
      <c r="D6" s="50">
        <f>perf_mode_pkm!D6/perf_mode_pkm!$I6*100</f>
        <v>9.9966500885065077</v>
      </c>
      <c r="E6" s="50">
        <f>perf_mode_pkm!E6/perf_mode_pkm!$I6*100</f>
        <v>6.5150892635479654</v>
      </c>
      <c r="F6" s="50">
        <f>perf_mode_pkm!F6/perf_mode_pkm!$I6*100</f>
        <v>1.3807504246892035</v>
      </c>
      <c r="G6" s="50">
        <f>perf_mode_pkm!G6/perf_mode_pkm!$I6*100</f>
        <v>5.8624292139279399</v>
      </c>
      <c r="H6" s="51">
        <f>perf_mode_pkm!H6/perf_mode_pkm!$I6*100</f>
        <v>0.46180415839966726</v>
      </c>
    </row>
    <row r="7" spans="1:9">
      <c r="A7" s="27">
        <v>1999</v>
      </c>
      <c r="B7" s="50">
        <f>perf_mode_pkm!B7/perf_mode_pkm!$I7*100</f>
        <v>73.565790895476951</v>
      </c>
      <c r="C7" s="50">
        <f>perf_mode_pkm!C7/perf_mode_pkm!$I7*100</f>
        <v>2.4702446013223049</v>
      </c>
      <c r="D7" s="50">
        <f>perf_mode_pkm!D7/perf_mode_pkm!$I7*100</f>
        <v>9.7675543771810975</v>
      </c>
      <c r="E7" s="50">
        <f>perf_mode_pkm!E7/perf_mode_pkm!$I7*100</f>
        <v>6.4488898528638847</v>
      </c>
      <c r="F7" s="50">
        <f>perf_mode_pkm!F7/perf_mode_pkm!$I7*100</f>
        <v>1.3653495438412475</v>
      </c>
      <c r="G7" s="50">
        <f>perf_mode_pkm!G7/perf_mode_pkm!$I7*100</f>
        <v>5.9372980026401558</v>
      </c>
      <c r="H7" s="51">
        <f>perf_mode_pkm!H7/perf_mode_pkm!$I7*100</f>
        <v>0.44487272667436717</v>
      </c>
    </row>
    <row r="8" spans="1:9">
      <c r="A8" s="27">
        <v>2000</v>
      </c>
      <c r="B8" s="50">
        <f>perf_mode_pkm!B8/perf_mode_pkm!$I8*100</f>
        <v>73.252210989297524</v>
      </c>
      <c r="C8" s="50">
        <f>perf_mode_pkm!C8/perf_mode_pkm!$I8*100</f>
        <v>1.980041714886889</v>
      </c>
      <c r="D8" s="50">
        <f>perf_mode_pkm!D8/perf_mode_pkm!$I8*100</f>
        <v>9.935765496456348</v>
      </c>
      <c r="E8" s="50">
        <f>perf_mode_pkm!E8/perf_mode_pkm!$I8*100</f>
        <v>6.7759084003050001</v>
      </c>
      <c r="F8" s="50">
        <f>perf_mode_pkm!F8/perf_mode_pkm!$I8*100</f>
        <v>1.357712910023303</v>
      </c>
      <c r="G8" s="50">
        <f>perf_mode_pkm!G8/perf_mode_pkm!$I8*100</f>
        <v>6.2706419048438882</v>
      </c>
      <c r="H8" s="51">
        <f>perf_mode_pkm!H8/perf_mode_pkm!$I8*100</f>
        <v>0.42771858418704467</v>
      </c>
    </row>
    <row r="9" spans="1:9">
      <c r="A9" s="27">
        <v>2001</v>
      </c>
      <c r="B9" s="50">
        <f>perf_mode_pkm!B9/perf_mode_pkm!$I9*100</f>
        <v>73.605397447558701</v>
      </c>
      <c r="C9" s="50">
        <f>perf_mode_pkm!C9/perf_mode_pkm!$I9*100</f>
        <v>2.02842268213635</v>
      </c>
      <c r="D9" s="50">
        <f>perf_mode_pkm!D9/perf_mode_pkm!$I9*100</f>
        <v>9.7690032250947443</v>
      </c>
      <c r="E9" s="50">
        <f>perf_mode_pkm!E9/perf_mode_pkm!$I9*100</f>
        <v>6.6996866946714899</v>
      </c>
      <c r="F9" s="50">
        <f>perf_mode_pkm!F9/perf_mode_pkm!$I9*100</f>
        <v>1.3509901357869847</v>
      </c>
      <c r="G9" s="50">
        <f>perf_mode_pkm!G9/perf_mode_pkm!$I9*100</f>
        <v>6.1221890134788781</v>
      </c>
      <c r="H9" s="51">
        <f>perf_mode_pkm!H9/perf_mode_pkm!$I9*100</f>
        <v>0.42431080127286858</v>
      </c>
      <c r="I9" s="13"/>
    </row>
    <row r="10" spans="1:9">
      <c r="A10" s="27">
        <v>2002</v>
      </c>
      <c r="B10" s="50">
        <f>perf_mode_pkm!B10/perf_mode_pkm!$I10*100</f>
        <v>74.08290223015868</v>
      </c>
      <c r="C10" s="50">
        <f>perf_mode_pkm!C10/perf_mode_pkm!$I10*100</f>
        <v>2.0375838115884974</v>
      </c>
      <c r="D10" s="50">
        <f>perf_mode_pkm!D10/perf_mode_pkm!$I10*100</f>
        <v>9.6351203609017286</v>
      </c>
      <c r="E10" s="50">
        <f>perf_mode_pkm!E10/perf_mode_pkm!$I10*100</f>
        <v>6.4889717583358237</v>
      </c>
      <c r="F10" s="50">
        <f>perf_mode_pkm!F10/perf_mode_pkm!$I10*100</f>
        <v>1.3563140043293826</v>
      </c>
      <c r="G10" s="50">
        <f>perf_mode_pkm!G10/perf_mode_pkm!$I10*100</f>
        <v>5.9650860157037915</v>
      </c>
      <c r="H10" s="51">
        <f>perf_mode_pkm!H10/perf_mode_pkm!$I10*100</f>
        <v>0.4340218189820752</v>
      </c>
      <c r="I10" s="13"/>
    </row>
    <row r="11" spans="1:9">
      <c r="A11" s="27">
        <v>2003</v>
      </c>
      <c r="B11" s="50">
        <f>perf_mode_pkm!B11/perf_mode_pkm!$I11*100</f>
        <v>74.071448984827583</v>
      </c>
      <c r="C11" s="50">
        <f>perf_mode_pkm!C11/perf_mode_pkm!$I11*100</f>
        <v>2.0767137382121046</v>
      </c>
      <c r="D11" s="50">
        <f>perf_mode_pkm!D11/perf_mode_pkm!$I11*100</f>
        <v>9.5936629943973859</v>
      </c>
      <c r="E11" s="50">
        <f>perf_mode_pkm!E11/perf_mode_pkm!$I11*100</f>
        <v>6.3261245775842854</v>
      </c>
      <c r="F11" s="50">
        <f>perf_mode_pkm!F11/perf_mode_pkm!$I11*100</f>
        <v>1.3586820509670507</v>
      </c>
      <c r="G11" s="50">
        <f>perf_mode_pkm!G11/perf_mode_pkm!$I11*100</f>
        <v>6.1455808840024471</v>
      </c>
      <c r="H11" s="51">
        <f>perf_mode_pkm!H11/perf_mode_pkm!$I11*100</f>
        <v>0.42778677000914633</v>
      </c>
    </row>
    <row r="12" spans="1:9">
      <c r="A12" s="27">
        <v>2004</v>
      </c>
      <c r="B12" s="50">
        <f>perf_mode_pkm!B12/perf_mode_pkm!$I12*100</f>
        <v>73.822252496816873</v>
      </c>
      <c r="C12" s="50">
        <f>perf_mode_pkm!C12/perf_mode_pkm!$I12*100</f>
        <v>2.1090813657524992</v>
      </c>
      <c r="D12" s="50">
        <f>perf_mode_pkm!D12/perf_mode_pkm!$I12*100</f>
        <v>9.5208315817813727</v>
      </c>
      <c r="E12" s="50">
        <f>perf_mode_pkm!E12/perf_mode_pkm!$I12*100</f>
        <v>6.3187330878508225</v>
      </c>
      <c r="F12" s="50">
        <f>perf_mode_pkm!F12/perf_mode_pkm!$I12*100</f>
        <v>1.3790292353746925</v>
      </c>
      <c r="G12" s="50">
        <f>perf_mode_pkm!G12/perf_mode_pkm!$I12*100</f>
        <v>6.4343763499620117</v>
      </c>
      <c r="H12" s="51">
        <f>perf_mode_pkm!H12/perf_mode_pkm!$I12*100</f>
        <v>0.41569588246172567</v>
      </c>
    </row>
    <row r="13" spans="1:9">
      <c r="A13" s="27">
        <v>2005</v>
      </c>
      <c r="B13" s="50">
        <f>perf_mode_pkm!B13/perf_mode_pkm!$I13*100</f>
        <v>73.171002759557624</v>
      </c>
      <c r="C13" s="50">
        <f>perf_mode_pkm!C13/perf_mode_pkm!$I13*100</f>
        <v>2.1786377435562612</v>
      </c>
      <c r="D13" s="50">
        <f>perf_mode_pkm!D13/perf_mode_pkm!$I13*100</f>
        <v>9.4867312598590701</v>
      </c>
      <c r="E13" s="50">
        <f>perf_mode_pkm!E13/perf_mode_pkm!$I13*100</f>
        <v>6.4767127886460054</v>
      </c>
      <c r="F13" s="50">
        <f>perf_mode_pkm!F13/perf_mode_pkm!$I13*100</f>
        <v>1.3942569229408432</v>
      </c>
      <c r="G13" s="50">
        <f>perf_mode_pkm!G13/perf_mode_pkm!$I13*100</f>
        <v>6.886673348627113</v>
      </c>
      <c r="H13" s="51">
        <f>perf_mode_pkm!H13/perf_mode_pkm!$I13*100</f>
        <v>0.40598517681306273</v>
      </c>
      <c r="I13" s="14"/>
    </row>
    <row r="14" spans="1:9">
      <c r="A14" s="27">
        <v>2006</v>
      </c>
      <c r="B14" s="50">
        <f>perf_mode_pkm!B14/perf_mode_pkm!$I14*100</f>
        <v>73.006571241201186</v>
      </c>
      <c r="C14" s="50">
        <f>perf_mode_pkm!C14/perf_mode_pkm!$I14*100</f>
        <v>2.1333439466956459</v>
      </c>
      <c r="D14" s="50">
        <f>perf_mode_pkm!D14/perf_mode_pkm!$I14*100</f>
        <v>9.3788976066535543</v>
      </c>
      <c r="E14" s="50">
        <f>perf_mode_pkm!E14/perf_mode_pkm!$I14*100</f>
        <v>6.5819979381032834</v>
      </c>
      <c r="F14" s="50">
        <f>perf_mode_pkm!F14/perf_mode_pkm!$I14*100</f>
        <v>1.4050854574661726</v>
      </c>
      <c r="G14" s="50">
        <f>perf_mode_pkm!G14/perf_mode_pkm!$I14*100</f>
        <v>7.091393199191784</v>
      </c>
      <c r="H14" s="51">
        <f>perf_mode_pkm!H14/perf_mode_pkm!$I14*100</f>
        <v>0.40271061068836261</v>
      </c>
      <c r="I14" s="14"/>
    </row>
    <row r="15" spans="1:9">
      <c r="A15" s="27">
        <v>2007</v>
      </c>
      <c r="B15" s="50">
        <f>perf_mode_pkm!B15/perf_mode_pkm!$I15*100</f>
        <v>72.873637189356543</v>
      </c>
      <c r="C15" s="50">
        <f>perf_mode_pkm!C15/perf_mode_pkm!$I15*100</f>
        <v>2.0302942988735007</v>
      </c>
      <c r="D15" s="50">
        <f>perf_mode_pkm!D15/perf_mode_pkm!$I15*100</f>
        <v>9.4386329426294147</v>
      </c>
      <c r="E15" s="50">
        <f>perf_mode_pkm!E15/perf_mode_pkm!$I15*100</f>
        <v>6.5534861789405676</v>
      </c>
      <c r="F15" s="50">
        <f>perf_mode_pkm!F15/perf_mode_pkm!$I15*100</f>
        <v>1.418923299015372</v>
      </c>
      <c r="G15" s="50">
        <f>perf_mode_pkm!G15/perf_mode_pkm!$I15*100</f>
        <v>7.2885232895632424</v>
      </c>
      <c r="H15" s="51">
        <f>perf_mode_pkm!H15/perf_mode_pkm!$I15*100</f>
        <v>0.39650280162135187</v>
      </c>
      <c r="I15" s="14"/>
    </row>
    <row r="16" spans="1:9">
      <c r="A16" s="27">
        <v>2008</v>
      </c>
      <c r="B16" s="50">
        <f>perf_mode_pkm!B16/perf_mode_pkm!$I16*100</f>
        <v>72.773207250134547</v>
      </c>
      <c r="C16" s="50">
        <f>perf_mode_pkm!C16/perf_mode_pkm!$I16*100</f>
        <v>2.1133260657613571</v>
      </c>
      <c r="D16" s="50">
        <f>perf_mode_pkm!D16/perf_mode_pkm!$I16*100</f>
        <v>9.5164504073047027</v>
      </c>
      <c r="E16" s="50">
        <f>perf_mode_pkm!E16/perf_mode_pkm!$I16*100</f>
        <v>6.7658447457605062</v>
      </c>
      <c r="F16" s="50">
        <f>perf_mode_pkm!F16/perf_mode_pkm!$I16*100</f>
        <v>1.4645747179975177</v>
      </c>
      <c r="G16" s="50">
        <f>perf_mode_pkm!G16/perf_mode_pkm!$I16*100</f>
        <v>6.9617774637845731</v>
      </c>
      <c r="H16" s="51">
        <f>perf_mode_pkm!H16/perf_mode_pkm!$I16*100</f>
        <v>0.40481934925679425</v>
      </c>
      <c r="I16" s="47"/>
    </row>
    <row r="17" spans="1:9">
      <c r="A17" s="27">
        <v>2009</v>
      </c>
      <c r="B17" s="50">
        <f>perf_mode_pkm!B17/perf_mode_pkm!$I17*100</f>
        <v>73.907215575389159</v>
      </c>
      <c r="C17" s="50">
        <f>perf_mode_pkm!C17/perf_mode_pkm!$I17*100</f>
        <v>2.0580939506628622</v>
      </c>
      <c r="D17" s="50">
        <f>perf_mode_pkm!D17/perf_mode_pkm!$I17*100</f>
        <v>9.0282036657503415</v>
      </c>
      <c r="E17" s="50">
        <f>perf_mode_pkm!E17/perf_mode_pkm!$I17*100</f>
        <v>6.6028816185164541</v>
      </c>
      <c r="F17" s="50">
        <f>perf_mode_pkm!F17/perf_mode_pkm!$I17*100</f>
        <v>1.4469315840298518</v>
      </c>
      <c r="G17" s="50">
        <f>perf_mode_pkm!G17/perf_mode_pkm!$I17*100</f>
        <v>6.542875763666113</v>
      </c>
      <c r="H17" s="51">
        <f>perf_mode_pkm!H17/perf_mode_pkm!$I17*100</f>
        <v>0.41379784198518776</v>
      </c>
      <c r="I17" s="52"/>
    </row>
    <row r="18" spans="1:9">
      <c r="A18" s="27">
        <v>2010</v>
      </c>
      <c r="B18" s="50">
        <f>perf_mode_pkm!B18/perf_mode_pkm!$I18*100</f>
        <v>73.591135442379255</v>
      </c>
      <c r="C18" s="50">
        <f>perf_mode_pkm!C18/perf_mode_pkm!$I18*100</f>
        <v>2.100240169618929</v>
      </c>
      <c r="D18" s="50">
        <f>perf_mode_pkm!D18/perf_mode_pkm!$I18*100</f>
        <v>8.9250607564020203</v>
      </c>
      <c r="E18" s="50">
        <f>perf_mode_pkm!E18/perf_mode_pkm!$I18*100</f>
        <v>6.6089248936100198</v>
      </c>
      <c r="F18" s="50">
        <f>perf_mode_pkm!F18/perf_mode_pkm!$I18*100</f>
        <v>1.4959185186040225</v>
      </c>
      <c r="G18" s="50">
        <f>perf_mode_pkm!G18/perf_mode_pkm!$I18*100</f>
        <v>6.8624540020511287</v>
      </c>
      <c r="H18" s="51">
        <f>perf_mode_pkm!H18/perf_mode_pkm!$I18*100</f>
        <v>0.4162662173346281</v>
      </c>
      <c r="I18" s="52"/>
    </row>
    <row r="19" spans="1:9">
      <c r="A19" s="43">
        <v>2011</v>
      </c>
      <c r="B19" s="50">
        <f>perf_mode_pkm!B19/perf_mode_pkm!$I19*100</f>
        <v>72.856240708705613</v>
      </c>
      <c r="C19" s="50">
        <f>perf_mode_pkm!C19/perf_mode_pkm!$I19*100</f>
        <v>2.1687953211596951</v>
      </c>
      <c r="D19" s="50">
        <f>perf_mode_pkm!D19/perf_mode_pkm!$I19*100</f>
        <v>8.9718142930601665</v>
      </c>
      <c r="E19" s="50">
        <f>perf_mode_pkm!E19/perf_mode_pkm!$I19*100</f>
        <v>6.7105288992443253</v>
      </c>
      <c r="F19" s="50">
        <f>perf_mode_pkm!F19/perf_mode_pkm!$I19*100</f>
        <v>1.5003527670736663</v>
      </c>
      <c r="G19" s="50">
        <f>perf_mode_pkm!G19/perf_mode_pkm!$I19*100</f>
        <v>7.4225986605713361</v>
      </c>
      <c r="H19" s="51">
        <f>perf_mode_pkm!H19/perf_mode_pkm!$I19*100</f>
        <v>0.36966935018519459</v>
      </c>
    </row>
    <row r="20" spans="1:9">
      <c r="A20" s="43">
        <v>2012</v>
      </c>
      <c r="B20" s="50">
        <f>perf_mode_pkm!B20/perf_mode_pkm!$I20*100</f>
        <v>72.793127113191929</v>
      </c>
      <c r="C20" s="50">
        <f>perf_mode_pkm!C20/perf_mode_pkm!$I20*100</f>
        <v>2.1397031834827103</v>
      </c>
      <c r="D20" s="50">
        <f>perf_mode_pkm!D20/perf_mode_pkm!$I20*100</f>
        <v>8.9690496830736492</v>
      </c>
      <c r="E20" s="50">
        <f>perf_mode_pkm!E20/perf_mode_pkm!$I20*100</f>
        <v>6.8306893117223808</v>
      </c>
      <c r="F20" s="50">
        <f>perf_mode_pkm!F20/perf_mode_pkm!$I20*100</f>
        <v>1.5343432589346662</v>
      </c>
      <c r="G20" s="50">
        <f>perf_mode_pkm!G20/perf_mode_pkm!$I20*100</f>
        <v>7.3877382907589855</v>
      </c>
      <c r="H20" s="51">
        <f>perf_mode_pkm!H20/perf_mode_pkm!$I20*100</f>
        <v>0.3453491588356648</v>
      </c>
    </row>
    <row r="21" spans="1:9">
      <c r="A21" s="43">
        <v>2013</v>
      </c>
      <c r="B21" s="50">
        <f>perf_mode_pkm!B21/perf_mode_pkm!$I21*100</f>
        <v>73.038189506102896</v>
      </c>
      <c r="C21" s="50">
        <f>perf_mode_pkm!C21/perf_mode_pkm!$I21*100</f>
        <v>2.1056683304406909</v>
      </c>
      <c r="D21" s="50">
        <f>perf_mode_pkm!D21/perf_mode_pkm!$I21*100</f>
        <v>8.835173696278467</v>
      </c>
      <c r="E21" s="50">
        <f>perf_mode_pkm!E21/perf_mode_pkm!$I21*100</f>
        <v>6.8308380544422027</v>
      </c>
      <c r="F21" s="50">
        <f>perf_mode_pkm!F21/perf_mode_pkm!$I21*100</f>
        <v>1.508260305119451</v>
      </c>
      <c r="G21" s="50">
        <f>perf_mode_pkm!G21/perf_mode_pkm!$I21*100</f>
        <v>7.3269735527511992</v>
      </c>
      <c r="H21" s="51">
        <f>perf_mode_pkm!H21/perf_mode_pkm!$I21*100</f>
        <v>0.35489655486507288</v>
      </c>
    </row>
    <row r="22" spans="1:9">
      <c r="A22" s="43">
        <v>2014</v>
      </c>
      <c r="B22" s="50">
        <f>perf_mode_pkm!B22/perf_mode_pkm!$I22*100</f>
        <v>72.987210985044769</v>
      </c>
      <c r="C22" s="50">
        <f>perf_mode_pkm!C22/perf_mode_pkm!$I22*100</f>
        <v>2.1249650550745365</v>
      </c>
      <c r="D22" s="50">
        <f>perf_mode_pkm!D22/perf_mode_pkm!$I22*100</f>
        <v>8.6265563653397255</v>
      </c>
      <c r="E22" s="50">
        <f>perf_mode_pkm!E22/perf_mode_pkm!$I22*100</f>
        <v>6.8117709592837707</v>
      </c>
      <c r="F22" s="50">
        <f>perf_mode_pkm!F22/perf_mode_pkm!$I22*100</f>
        <v>1.4892176292124062</v>
      </c>
      <c r="G22" s="50">
        <f>perf_mode_pkm!G22/perf_mode_pkm!$I22*100</f>
        <v>7.6073234022405511</v>
      </c>
      <c r="H22" s="51">
        <f>perf_mode_pkm!H22/perf_mode_pkm!$I22*100</f>
        <v>0.35295560380422364</v>
      </c>
    </row>
    <row r="23" spans="1:9">
      <c r="A23" s="43">
        <v>2015</v>
      </c>
      <c r="B23" s="50">
        <f>perf_mode_pkm!B23/perf_mode_pkm!$I23*100</f>
        <v>72.832187289605017</v>
      </c>
      <c r="C23" s="50">
        <f>perf_mode_pkm!C23/perf_mode_pkm!$I23*100</f>
        <v>2.072730850716908</v>
      </c>
      <c r="D23" s="50">
        <f>perf_mode_pkm!D23/perf_mode_pkm!$I23*100</f>
        <v>8.6977622856091639</v>
      </c>
      <c r="E23" s="50">
        <f>perf_mode_pkm!E23/perf_mode_pkm!$I23*100</f>
        <v>6.7525857185311802</v>
      </c>
      <c r="F23" s="50">
        <f>perf_mode_pkm!F23/perf_mode_pkm!$I23*100</f>
        <v>1.4164018312447157</v>
      </c>
      <c r="G23" s="50">
        <f>perf_mode_pkm!G23/perf_mode_pkm!$I23*100</f>
        <v>7.8849348738594616</v>
      </c>
      <c r="H23" s="51">
        <f>perf_mode_pkm!H23/perf_mode_pkm!$I23*100</f>
        <v>0.34339715043354568</v>
      </c>
    </row>
    <row r="24" spans="1:9">
      <c r="A24" s="43">
        <v>2016</v>
      </c>
      <c r="B24" s="50">
        <f>perf_mode_pkm!B24/perf_mode_pkm!$I24*100</f>
        <v>72.576849987562781</v>
      </c>
      <c r="C24" s="50">
        <f>perf_mode_pkm!C24/perf_mode_pkm!$I24*100</f>
        <v>2.045532962994411</v>
      </c>
      <c r="D24" s="50">
        <f>perf_mode_pkm!D24/perf_mode_pkm!$I24*100</f>
        <v>8.565749245411034</v>
      </c>
      <c r="E24" s="50">
        <f>perf_mode_pkm!E24/perf_mode_pkm!$I24*100</f>
        <v>6.6811852786627188</v>
      </c>
      <c r="F24" s="50">
        <f>perf_mode_pkm!F24/perf_mode_pkm!$I24*100</f>
        <v>1.424083156035989</v>
      </c>
      <c r="G24" s="50">
        <f>perf_mode_pkm!G24/perf_mode_pkm!$I24*100</f>
        <v>8.3876854337230853</v>
      </c>
      <c r="H24" s="51">
        <f>perf_mode_pkm!H24/perf_mode_pkm!$I24*100</f>
        <v>0.31891393560998271</v>
      </c>
    </row>
    <row r="25" spans="1:9">
      <c r="A25" s="43">
        <v>2017</v>
      </c>
      <c r="B25" s="50">
        <f>perf_mode_pkm!B25/perf_mode_pkm!$I25*100</f>
        <v>72.325213822670747</v>
      </c>
      <c r="C25" s="50">
        <f>perf_mode_pkm!C25/perf_mode_pkm!$I25*100</f>
        <v>1.9066615154916096</v>
      </c>
      <c r="D25" s="50">
        <f>perf_mode_pkm!D25/perf_mode_pkm!$I25*100</f>
        <v>8.1393871787763121</v>
      </c>
      <c r="E25" s="50">
        <f>perf_mode_pkm!E25/perf_mode_pkm!$I25*100</f>
        <v>6.8335275068835468</v>
      </c>
      <c r="F25" s="50">
        <f>perf_mode_pkm!F25/perf_mode_pkm!$I25*100</f>
        <v>1.434520471878667</v>
      </c>
      <c r="G25" s="50">
        <f>perf_mode_pkm!G25/perf_mode_pkm!$I25*100</f>
        <v>9.0250850663240527</v>
      </c>
      <c r="H25" s="51">
        <f>perf_mode_pkm!H25/perf_mode_pkm!$I25*100</f>
        <v>0.33560443797507822</v>
      </c>
    </row>
    <row r="26" spans="1:9">
      <c r="A26" s="43">
        <v>2018</v>
      </c>
      <c r="B26" s="50">
        <f>perf_mode_pkm!B26/perf_mode_pkm!$I26*100</f>
        <v>71.918065657787949</v>
      </c>
      <c r="C26" s="50">
        <f>perf_mode_pkm!C26/perf_mode_pkm!$I26*100</f>
        <v>1.7957796573718481</v>
      </c>
      <c r="D26" s="50">
        <f>perf_mode_pkm!D26/perf_mode_pkm!$I26*100</f>
        <v>8.118393076550273</v>
      </c>
      <c r="E26" s="50">
        <f>perf_mode_pkm!E26/perf_mode_pkm!$I26*100</f>
        <v>6.8715413310948357</v>
      </c>
      <c r="F26" s="50">
        <f>perf_mode_pkm!F26/perf_mode_pkm!$I26*100</f>
        <v>1.4561673294347837</v>
      </c>
      <c r="G26" s="50">
        <f>perf_mode_pkm!G26/perf_mode_pkm!$I26*100</f>
        <v>9.4888608735835156</v>
      </c>
      <c r="H26" s="51">
        <f>perf_mode_pkm!H26/perf_mode_pkm!$I26*100</f>
        <v>0.35119207417678988</v>
      </c>
    </row>
    <row r="27" spans="1:9">
      <c r="A27" s="43">
        <v>2019</v>
      </c>
      <c r="B27" s="272">
        <f>perf_mode_pkm!B27/perf_mode_pkm!$I27*100</f>
        <v>71.643031981460481</v>
      </c>
      <c r="C27" s="50">
        <f>perf_mode_pkm!C27/perf_mode_pkm!$I27*100</f>
        <v>1.8829952069433693</v>
      </c>
      <c r="D27" s="50">
        <f>perf_mode_pkm!D27/perf_mode_pkm!$I27*100</f>
        <v>8.0829226794800011</v>
      </c>
      <c r="E27" s="50">
        <f>perf_mode_pkm!E27/perf_mode_pkm!$I27*100</f>
        <v>7.0129845939419164</v>
      </c>
      <c r="F27" s="50">
        <f>perf_mode_pkm!F27/perf_mode_pkm!$I27*100</f>
        <v>1.4356169252424249</v>
      </c>
      <c r="G27" s="50">
        <f>perf_mode_pkm!G27/perf_mode_pkm!$I27*100</f>
        <v>9.5901942077118303</v>
      </c>
      <c r="H27" s="51">
        <f>perf_mode_pkm!H27/perf_mode_pkm!$I27*100</f>
        <v>0.35225440521997975</v>
      </c>
    </row>
    <row r="28" spans="1:9">
      <c r="A28" s="43">
        <v>2020</v>
      </c>
      <c r="B28" s="272">
        <f>perf_mode_pkm!B28/perf_mode_pkm!$I28*100</f>
        <v>80.422206991856982</v>
      </c>
      <c r="C28" s="50">
        <f>perf_mode_pkm!C28/perf_mode_pkm!$I28*100</f>
        <v>2.2989777640524371</v>
      </c>
      <c r="D28" s="50">
        <f>perf_mode_pkm!D28/perf_mode_pkm!$I28*100</f>
        <v>6.6437920910812842</v>
      </c>
      <c r="E28" s="50">
        <f>perf_mode_pkm!E28/perf_mode_pkm!$I28*100</f>
        <v>5.1962222042218285</v>
      </c>
      <c r="F28" s="50">
        <f>perf_mode_pkm!F28/perf_mode_pkm!$I28*100</f>
        <v>1.1807161207705099</v>
      </c>
      <c r="G28" s="50">
        <f>perf_mode_pkm!G28/perf_mode_pkm!$I28*100</f>
        <v>4.0209231960655112</v>
      </c>
      <c r="H28" s="51">
        <f>perf_mode_pkm!H28/perf_mode_pkm!$I28*100</f>
        <v>0.23716163195145476</v>
      </c>
    </row>
    <row r="29" spans="1:9">
      <c r="A29" s="151">
        <v>2021</v>
      </c>
      <c r="B29" s="244">
        <f>perf_mode_pkm!B29/perf_mode_pkm!$I29*100</f>
        <v>78.308448017445926</v>
      </c>
      <c r="C29" s="239">
        <f>perf_mode_pkm!C29/perf_mode_pkm!$I29*100</f>
        <v>2.1924461567306919</v>
      </c>
      <c r="D29" s="239">
        <f>perf_mode_pkm!D29/perf_mode_pkm!$I29*100</f>
        <v>6.8429031901943853</v>
      </c>
      <c r="E29" s="239">
        <f>perf_mode_pkm!E29/perf_mode_pkm!$I29*100</f>
        <v>5.5502190448064974</v>
      </c>
      <c r="F29" s="239">
        <f>perf_mode_pkm!F29/perf_mode_pkm!$I29*100</f>
        <v>1.1646824633882211</v>
      </c>
      <c r="G29" s="239">
        <f>perf_mode_pkm!G29/perf_mode_pkm!$I29*100</f>
        <v>5.6529870453568956</v>
      </c>
      <c r="H29" s="152">
        <f>perf_mode_pkm!H29/perf_mode_pkm!$I29*100</f>
        <v>0.2883140820773889</v>
      </c>
      <c r="I29" s="179"/>
    </row>
  </sheetData>
  <mergeCells count="7">
    <mergeCell ref="G1:G2"/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1"/>
  <dimension ref="B1:AC45"/>
  <sheetViews>
    <sheetView topLeftCell="A24" zoomScale="85" zoomScaleNormal="85" workbookViewId="0">
      <selection activeCell="W23" sqref="W23"/>
    </sheetView>
  </sheetViews>
  <sheetFormatPr defaultRowHeight="12.75"/>
  <cols>
    <col min="1" max="1" width="1" customWidth="1"/>
    <col min="2" max="2" width="9.1328125" customWidth="1"/>
    <col min="3" max="16" width="6.73046875" customWidth="1"/>
  </cols>
  <sheetData>
    <row r="1" spans="2:14" ht="14.25" customHeight="1">
      <c r="B1" s="11"/>
      <c r="N1" s="10" t="s">
        <v>61</v>
      </c>
    </row>
    <row r="2" spans="2:14" ht="12.75" customHeight="1">
      <c r="C2" s="17"/>
      <c r="D2" s="17"/>
      <c r="E2" s="17"/>
      <c r="I2" s="8"/>
    </row>
    <row r="3" spans="2:14" ht="12.75" customHeight="1">
      <c r="C3" s="8"/>
      <c r="D3" s="8"/>
      <c r="E3" s="8"/>
    </row>
    <row r="4" spans="2:14" ht="12.75" customHeight="1">
      <c r="G4" s="18"/>
    </row>
    <row r="5" spans="2:14" ht="12.75" customHeight="1"/>
    <row r="6" spans="2:14" ht="12.75" customHeight="1"/>
    <row r="7" spans="2:14" ht="12.75" customHeight="1"/>
    <row r="8" spans="2:14" s="12" customFormat="1" ht="12.75" customHeight="1">
      <c r="D8"/>
      <c r="E8"/>
      <c r="F8"/>
      <c r="G8"/>
    </row>
    <row r="9" spans="2:14" s="12" customFormat="1" ht="12.75" customHeight="1">
      <c r="D9"/>
      <c r="E9"/>
      <c r="F9"/>
      <c r="G9"/>
    </row>
    <row r="10" spans="2:14" ht="12.75" customHeight="1"/>
    <row r="11" spans="2:14" ht="12.75" customHeight="1"/>
    <row r="12" spans="2:14" ht="12.75" customHeight="1"/>
    <row r="13" spans="2:14" ht="12.75" customHeight="1"/>
    <row r="14" spans="2:14" ht="12.75" customHeight="1"/>
    <row r="15" spans="2:14" ht="12.75" customHeight="1"/>
    <row r="16" spans="2:14" s="13" customFormat="1" ht="12.75" customHeight="1">
      <c r="D16"/>
      <c r="E16"/>
      <c r="F16"/>
      <c r="G16"/>
    </row>
    <row r="17" spans="2:27" s="15" customFormat="1" ht="12.75" customHeight="1">
      <c r="D17"/>
      <c r="E17"/>
      <c r="F17"/>
      <c r="G17"/>
    </row>
    <row r="18" spans="2:27" ht="12.75" customHeight="1"/>
    <row r="19" spans="2:27" s="19" customFormat="1" ht="12.75" customHeight="1">
      <c r="D19"/>
      <c r="E19"/>
      <c r="F19"/>
      <c r="G19"/>
    </row>
    <row r="20" spans="2:27" s="19" customFormat="1" ht="12.75" customHeight="1">
      <c r="D20"/>
      <c r="E20"/>
      <c r="F20"/>
      <c r="G20"/>
    </row>
    <row r="21" spans="2:27" s="19" customFormat="1" ht="12.75" customHeight="1">
      <c r="D21"/>
      <c r="E21"/>
      <c r="F21"/>
      <c r="G21"/>
    </row>
    <row r="22" spans="2:27" ht="12.75" customHeight="1"/>
    <row r="23" spans="2:27" ht="12.75" customHeight="1"/>
    <row r="24" spans="2:27" ht="12.75" customHeight="1"/>
    <row r="25" spans="2:27" s="12" customFormat="1" ht="12.75" customHeight="1">
      <c r="D25"/>
      <c r="E25"/>
      <c r="F25"/>
      <c r="G25"/>
    </row>
    <row r="26" spans="2:27" s="12" customFormat="1" ht="12.75" customHeight="1">
      <c r="D26"/>
      <c r="E26"/>
      <c r="F26"/>
      <c r="G26"/>
      <c r="AA26" s="273"/>
    </row>
    <row r="27" spans="2:27" s="13" customFormat="1" ht="12.75" customHeight="1">
      <c r="D27"/>
      <c r="E27"/>
      <c r="F27"/>
      <c r="G27"/>
    </row>
    <row r="28" spans="2:27" ht="12.75" customHeight="1"/>
    <row r="29" spans="2:27" ht="12.75" customHeight="1"/>
    <row r="30" spans="2:27" ht="12.75" customHeight="1"/>
    <row r="31" spans="2:27" ht="12.75" customHeight="1"/>
    <row r="32" spans="2:27" ht="15" customHeight="1">
      <c r="B32" s="20" t="s">
        <v>62</v>
      </c>
    </row>
    <row r="34" spans="2:29">
      <c r="Z34" s="402"/>
      <c r="AA34" s="402"/>
      <c r="AB34" s="402"/>
    </row>
    <row r="35" spans="2:29" ht="19.5" customHeight="1">
      <c r="C35" s="214"/>
      <c r="AA35" s="222"/>
      <c r="AB35" s="369"/>
      <c r="AC35" s="369"/>
    </row>
    <row r="36" spans="2:29" ht="21.95" customHeight="1">
      <c r="B36" s="211" t="s">
        <v>81</v>
      </c>
      <c r="C36" s="236">
        <v>1995</v>
      </c>
      <c r="D36" s="237">
        <v>1996</v>
      </c>
      <c r="E36" s="237">
        <v>1997</v>
      </c>
      <c r="F36" s="237">
        <v>1998</v>
      </c>
      <c r="G36" s="237">
        <v>1999</v>
      </c>
      <c r="H36" s="237">
        <v>2000</v>
      </c>
      <c r="I36" s="237">
        <v>2001</v>
      </c>
      <c r="J36" s="237">
        <v>2002</v>
      </c>
      <c r="K36" s="237">
        <v>2003</v>
      </c>
      <c r="L36" s="237">
        <v>2004</v>
      </c>
      <c r="M36" s="237">
        <v>2005</v>
      </c>
      <c r="N36" s="237">
        <v>2006</v>
      </c>
      <c r="O36" s="237">
        <v>2007</v>
      </c>
      <c r="P36" s="237">
        <v>2008</v>
      </c>
      <c r="Q36" s="237">
        <v>2009</v>
      </c>
      <c r="R36" s="237">
        <v>2010</v>
      </c>
      <c r="S36" s="238">
        <v>2011</v>
      </c>
      <c r="T36" s="238">
        <v>2012</v>
      </c>
      <c r="U36" s="238">
        <v>2013</v>
      </c>
      <c r="V36" s="238">
        <v>2014</v>
      </c>
      <c r="W36" s="238">
        <v>2015</v>
      </c>
      <c r="X36" s="238">
        <v>2016</v>
      </c>
      <c r="Y36" s="238">
        <v>2017</v>
      </c>
      <c r="Z36" s="238">
        <v>2018</v>
      </c>
      <c r="AA36" s="271">
        <v>2019</v>
      </c>
      <c r="AB36" s="271">
        <v>2020</v>
      </c>
      <c r="AC36" s="370">
        <v>2021</v>
      </c>
    </row>
    <row r="37" spans="2:29" ht="21.95" customHeight="1">
      <c r="B37" s="212" t="s">
        <v>40</v>
      </c>
      <c r="C37" s="210">
        <v>3283.7635352382986</v>
      </c>
      <c r="D37" s="210">
        <v>3343.4005296782343</v>
      </c>
      <c r="E37" s="210">
        <v>3412.1993932868522</v>
      </c>
      <c r="F37" s="210">
        <v>3507.1338683711424</v>
      </c>
      <c r="G37" s="210">
        <v>3610.5575238836655</v>
      </c>
      <c r="H37" s="210">
        <v>3660.3550623140204</v>
      </c>
      <c r="I37" s="210">
        <v>3734.2157647230588</v>
      </c>
      <c r="J37" s="210">
        <v>3789.3050249260709</v>
      </c>
      <c r="K37" s="210">
        <v>3826.1956189610128</v>
      </c>
      <c r="L37" s="210">
        <v>3878.1627438382161</v>
      </c>
      <c r="M37" s="210">
        <v>3839.1794808863438</v>
      </c>
      <c r="N37" s="210">
        <v>3875.2614469870077</v>
      </c>
      <c r="O37" s="210">
        <v>3921.2560941458078</v>
      </c>
      <c r="P37" s="210">
        <v>3931.6239841889396</v>
      </c>
      <c r="Q37" s="210">
        <v>4009.2120907480175</v>
      </c>
      <c r="R37" s="210">
        <v>3975.8509514257871</v>
      </c>
      <c r="S37" s="210">
        <v>3943.6434280371873</v>
      </c>
      <c r="T37" s="210">
        <v>3904.5431623219174</v>
      </c>
      <c r="U37" s="210">
        <v>3964.794984671576</v>
      </c>
      <c r="V37" s="210">
        <v>4020.2617494762826</v>
      </c>
      <c r="W37" s="210">
        <v>4110.5450140439361</v>
      </c>
      <c r="X37" s="210">
        <v>4196.60176279402</v>
      </c>
      <c r="Y37" s="210">
        <v>4241.3578006787102</v>
      </c>
      <c r="Z37" s="210">
        <v>4261.0432924775987</v>
      </c>
      <c r="AA37" s="210">
        <v>4298.3221246594003</v>
      </c>
      <c r="AB37" s="210">
        <v>3516.8992746836843</v>
      </c>
      <c r="AC37" s="371">
        <v>3742.2362108397956</v>
      </c>
    </row>
    <row r="38" spans="2:29" ht="21.95" customHeight="1">
      <c r="B38" s="213" t="s">
        <v>4</v>
      </c>
      <c r="C38" s="209">
        <v>108.17833035820433</v>
      </c>
      <c r="D38" s="209">
        <v>109.8361427320414</v>
      </c>
      <c r="E38" s="209">
        <v>113.86129153737258</v>
      </c>
      <c r="F38" s="209">
        <v>117.9441173104518</v>
      </c>
      <c r="G38" s="209">
        <v>121.23787595527121</v>
      </c>
      <c r="H38" s="209">
        <v>98.941118865860219</v>
      </c>
      <c r="I38" s="209">
        <v>102.90777877467487</v>
      </c>
      <c r="J38" s="209">
        <v>104.22143765335814</v>
      </c>
      <c r="K38" s="209">
        <v>107.27362723268587</v>
      </c>
      <c r="L38" s="209">
        <v>110.79803852825337</v>
      </c>
      <c r="M38" s="209">
        <v>114.31005461044045</v>
      </c>
      <c r="N38" s="209">
        <v>113.24001948371354</v>
      </c>
      <c r="O38" s="209">
        <v>109.24806554776958</v>
      </c>
      <c r="P38" s="209">
        <v>114.17393516820219</v>
      </c>
      <c r="Q38" s="209">
        <v>111.64451382255247</v>
      </c>
      <c r="R38" s="209">
        <v>113.4680396817656</v>
      </c>
      <c r="S38" s="209">
        <v>117.39495933156536</v>
      </c>
      <c r="T38" s="209">
        <v>114.77132204355871</v>
      </c>
      <c r="U38" s="209">
        <v>114.30380862898357</v>
      </c>
      <c r="V38" s="209">
        <v>117.04674852749726</v>
      </c>
      <c r="W38" s="209">
        <v>116.98197982151579</v>
      </c>
      <c r="X38" s="209">
        <v>118.27858662681939</v>
      </c>
      <c r="Y38" s="209">
        <v>111.81209518179628</v>
      </c>
      <c r="Z38" s="209">
        <v>106.39739533905855</v>
      </c>
      <c r="AA38" s="209">
        <v>112.9728842398344</v>
      </c>
      <c r="AB38" s="209">
        <v>100.53533138836386</v>
      </c>
      <c r="AC38" s="372">
        <v>104.77351557530889</v>
      </c>
    </row>
    <row r="39" spans="2:29" ht="21.95" customHeight="1">
      <c r="B39" s="213" t="s">
        <v>41</v>
      </c>
      <c r="C39" s="209">
        <v>468.02840644355865</v>
      </c>
      <c r="D39" s="209">
        <v>472.88897060546248</v>
      </c>
      <c r="E39" s="209">
        <v>475.72177987370736</v>
      </c>
      <c r="F39" s="209">
        <v>478.18777007612073</v>
      </c>
      <c r="G39" s="209">
        <v>479.38473191406047</v>
      </c>
      <c r="H39" s="209">
        <v>496.48234560773267</v>
      </c>
      <c r="I39" s="209">
        <v>495.60992962193603</v>
      </c>
      <c r="J39" s="209">
        <v>492.83179924435063</v>
      </c>
      <c r="K39" s="209">
        <v>495.56518499416131</v>
      </c>
      <c r="L39" s="209">
        <v>500.16537130745064</v>
      </c>
      <c r="M39" s="209">
        <v>497.75543070272653</v>
      </c>
      <c r="N39" s="209">
        <v>497.84121747374417</v>
      </c>
      <c r="O39" s="209">
        <v>507.88321228594589</v>
      </c>
      <c r="P39" s="209">
        <v>514.13296293375333</v>
      </c>
      <c r="Q39" s="209">
        <v>489.74897799444329</v>
      </c>
      <c r="R39" s="209">
        <v>482.18730539438303</v>
      </c>
      <c r="S39" s="209">
        <v>485.63631790802879</v>
      </c>
      <c r="T39" s="209">
        <v>481.08994628181415</v>
      </c>
      <c r="U39" s="209">
        <v>479.60734783520479</v>
      </c>
      <c r="V39" s="209">
        <v>475.16563679056947</v>
      </c>
      <c r="W39" s="209">
        <v>490.88932691649268</v>
      </c>
      <c r="X39" s="209">
        <v>495.29620518255615</v>
      </c>
      <c r="Y39" s="209">
        <v>477.31698917737674</v>
      </c>
      <c r="Z39" s="209">
        <v>481.00326459190705</v>
      </c>
      <c r="AA39" s="209">
        <v>484.94605021896331</v>
      </c>
      <c r="AB39" s="209">
        <v>290.53601561368248</v>
      </c>
      <c r="AC39" s="372">
        <v>327.01146241477761</v>
      </c>
    </row>
    <row r="40" spans="2:29" ht="21.95" customHeight="1">
      <c r="B40" s="213" t="s">
        <v>42</v>
      </c>
      <c r="C40" s="209">
        <v>312.65000000000009</v>
      </c>
      <c r="D40" s="209">
        <v>315.47100000000012</v>
      </c>
      <c r="E40" s="209">
        <v>313.14999999999992</v>
      </c>
      <c r="F40" s="209">
        <v>311.64800000000008</v>
      </c>
      <c r="G40" s="209">
        <v>316.50700000000001</v>
      </c>
      <c r="H40" s="209">
        <v>338.58678502490824</v>
      </c>
      <c r="I40" s="209">
        <v>339.89458030944149</v>
      </c>
      <c r="J40" s="209">
        <v>331.90780261380462</v>
      </c>
      <c r="K40" s="209">
        <v>326.77894756335343</v>
      </c>
      <c r="L40" s="209">
        <v>331.947</v>
      </c>
      <c r="M40" s="209">
        <v>339.82400000000007</v>
      </c>
      <c r="N40" s="209">
        <v>349.37900000000002</v>
      </c>
      <c r="O40" s="209">
        <v>352.63640746100009</v>
      </c>
      <c r="P40" s="209">
        <v>365.52954694300007</v>
      </c>
      <c r="Q40" s="209">
        <v>358.18360376100009</v>
      </c>
      <c r="R40" s="209">
        <v>357.05523726746628</v>
      </c>
      <c r="S40" s="209">
        <v>363.23495330985861</v>
      </c>
      <c r="T40" s="209">
        <v>366.39065120198177</v>
      </c>
      <c r="U40" s="209">
        <v>370.80426886941399</v>
      </c>
      <c r="V40" s="209">
        <v>375.20411951914656</v>
      </c>
      <c r="W40" s="209">
        <v>381.10632936015401</v>
      </c>
      <c r="X40" s="209">
        <v>386.32530790182039</v>
      </c>
      <c r="Y40" s="209">
        <v>400.73763582000009</v>
      </c>
      <c r="Z40" s="209">
        <v>407.129068754</v>
      </c>
      <c r="AA40" s="209">
        <v>420.75364493000001</v>
      </c>
      <c r="AB40" s="209">
        <v>227.23313354200002</v>
      </c>
      <c r="AC40" s="372">
        <v>265.23614263100001</v>
      </c>
    </row>
    <row r="41" spans="2:29" ht="21.95" customHeight="1">
      <c r="B41" s="213" t="s">
        <v>0</v>
      </c>
      <c r="C41" s="209">
        <v>63.801627306091206</v>
      </c>
      <c r="D41" s="209">
        <v>64.910128525276747</v>
      </c>
      <c r="E41" s="209">
        <v>65.322641438807437</v>
      </c>
      <c r="F41" s="209">
        <v>66.047922130725382</v>
      </c>
      <c r="G41" s="209">
        <v>67.010399918778532</v>
      </c>
      <c r="H41" s="209">
        <v>67.843840564744099</v>
      </c>
      <c r="I41" s="209">
        <v>68.539656573900217</v>
      </c>
      <c r="J41" s="209">
        <v>69.374812774150158</v>
      </c>
      <c r="K41" s="209">
        <v>70.18336190555614</v>
      </c>
      <c r="L41" s="209">
        <v>72.445632887244102</v>
      </c>
      <c r="M41" s="209">
        <v>73.154697458878715</v>
      </c>
      <c r="N41" s="209">
        <v>74.583334218657839</v>
      </c>
      <c r="O41" s="209">
        <v>76.350815575898523</v>
      </c>
      <c r="P41" s="209">
        <v>79.124684832482046</v>
      </c>
      <c r="Q41" s="209">
        <v>78.491058768954531</v>
      </c>
      <c r="R41" s="209">
        <v>80.818824573023448</v>
      </c>
      <c r="S41" s="209">
        <v>81.212759154899217</v>
      </c>
      <c r="T41" s="209">
        <v>82.300482448189484</v>
      </c>
      <c r="U41" s="209">
        <v>81.8741939491415</v>
      </c>
      <c r="V41" s="209">
        <v>82.028681334256589</v>
      </c>
      <c r="W41" s="209">
        <v>79.939703886067946</v>
      </c>
      <c r="X41" s="209">
        <v>82.344575219371464</v>
      </c>
      <c r="Y41" s="209">
        <v>84.124391371363302</v>
      </c>
      <c r="Z41" s="209">
        <v>86.275847035955294</v>
      </c>
      <c r="AA41" s="209">
        <v>86.131809635050871</v>
      </c>
      <c r="AB41" s="209">
        <v>51.633246886218757</v>
      </c>
      <c r="AC41" s="372">
        <v>55.543667320154668</v>
      </c>
    </row>
    <row r="42" spans="2:29" ht="21.95" customHeight="1">
      <c r="B42" s="213" t="s">
        <v>44</v>
      </c>
      <c r="C42" s="209">
        <v>237.23260425819345</v>
      </c>
      <c r="D42" s="209">
        <v>250.94547155635493</v>
      </c>
      <c r="E42" s="209">
        <v>267.40091231414868</v>
      </c>
      <c r="F42" s="209">
        <v>280.42813624740205</v>
      </c>
      <c r="G42" s="209">
        <v>291.39843008593124</v>
      </c>
      <c r="H42" s="209">
        <v>313.33901776298956</v>
      </c>
      <c r="I42" s="209">
        <v>310.59644430335726</v>
      </c>
      <c r="J42" s="209">
        <v>305.11129738409272</v>
      </c>
      <c r="K42" s="209">
        <v>317.45287795243803</v>
      </c>
      <c r="L42" s="209">
        <v>338.02217889968028</v>
      </c>
      <c r="M42" s="209">
        <v>361.33405330655478</v>
      </c>
      <c r="N42" s="209">
        <v>376.41820733453238</v>
      </c>
      <c r="O42" s="209">
        <v>392.1880047274181</v>
      </c>
      <c r="P42" s="209">
        <v>376.11495059056739</v>
      </c>
      <c r="Q42" s="209">
        <v>354.92849264757626</v>
      </c>
      <c r="R42" s="209">
        <v>370.75245692511044</v>
      </c>
      <c r="S42" s="209">
        <v>401.77865536262908</v>
      </c>
      <c r="T42" s="209">
        <v>396.27014489090743</v>
      </c>
      <c r="U42" s="209">
        <v>397.73641968961851</v>
      </c>
      <c r="V42" s="209">
        <v>419.02452329888411</v>
      </c>
      <c r="W42" s="209">
        <v>445.01450441033342</v>
      </c>
      <c r="X42" s="209">
        <v>485.00004454527959</v>
      </c>
      <c r="Y42" s="209">
        <v>529.25685144457611</v>
      </c>
      <c r="Z42" s="209">
        <v>562.20153599553566</v>
      </c>
      <c r="AA42" s="209">
        <v>575.376876197191</v>
      </c>
      <c r="AB42" s="209">
        <v>175.83677942627764</v>
      </c>
      <c r="AC42" s="372">
        <v>270.14726196373948</v>
      </c>
    </row>
    <row r="43" spans="2:29" ht="21.95" customHeight="1">
      <c r="B43" s="213" t="s">
        <v>43</v>
      </c>
      <c r="C43" s="209">
        <v>22.75660718736945</v>
      </c>
      <c r="D43" s="209">
        <v>22.551592708203962</v>
      </c>
      <c r="E43" s="209">
        <v>22.346578229038471</v>
      </c>
      <c r="F43" s="209">
        <v>22.090310130081608</v>
      </c>
      <c r="G43" s="209">
        <v>21.834042031124746</v>
      </c>
      <c r="H43" s="209">
        <v>21.372759453002395</v>
      </c>
      <c r="I43" s="209">
        <v>21.526520312376515</v>
      </c>
      <c r="J43" s="209">
        <v>22.200008505158266</v>
      </c>
      <c r="K43" s="209">
        <v>22.097527288736458</v>
      </c>
      <c r="L43" s="209">
        <v>21.838080383682794</v>
      </c>
      <c r="M43" s="209">
        <v>21.301470549563206</v>
      </c>
      <c r="N43" s="209">
        <v>21.376279934270869</v>
      </c>
      <c r="O43" s="209">
        <v>21.335411366439864</v>
      </c>
      <c r="P43" s="209">
        <v>21.870651616757328</v>
      </c>
      <c r="Q43" s="209">
        <v>22.447108828233201</v>
      </c>
      <c r="R43" s="209">
        <v>22.489290677301</v>
      </c>
      <c r="S43" s="209">
        <v>20.009872719529735</v>
      </c>
      <c r="T43" s="209">
        <v>18.524148504413564</v>
      </c>
      <c r="U43" s="209">
        <v>19.265155534676669</v>
      </c>
      <c r="V43" s="209">
        <v>19.44140478978127</v>
      </c>
      <c r="W43" s="209">
        <v>19.380846533397605</v>
      </c>
      <c r="X43" s="209">
        <v>18.440519044155</v>
      </c>
      <c r="Y43" s="209">
        <v>19.68080598334593</v>
      </c>
      <c r="Z43" s="209">
        <v>20.807631828738668</v>
      </c>
      <c r="AA43" s="209">
        <v>21.133986957134791</v>
      </c>
      <c r="AB43" s="209">
        <v>10.371184808162786</v>
      </c>
      <c r="AC43" s="372">
        <v>13.778071528178804</v>
      </c>
    </row>
    <row r="44" spans="2:29" ht="21.95" customHeight="1">
      <c r="B44" s="242" t="s">
        <v>45</v>
      </c>
      <c r="C44" s="243">
        <f>SUM(C37:C43)</f>
        <v>4496.4111107917161</v>
      </c>
      <c r="D44" s="243">
        <f t="shared" ref="D44:AC44" si="0">SUM(D37:D43)</f>
        <v>4580.0038358055745</v>
      </c>
      <c r="E44" s="243">
        <f t="shared" si="0"/>
        <v>4670.0025966799267</v>
      </c>
      <c r="F44" s="243">
        <f t="shared" si="0"/>
        <v>4783.4801242659241</v>
      </c>
      <c r="G44" s="243">
        <f t="shared" si="0"/>
        <v>4907.9300037888315</v>
      </c>
      <c r="H44" s="243">
        <f t="shared" si="0"/>
        <v>4996.9209295932578</v>
      </c>
      <c r="I44" s="243">
        <f t="shared" si="0"/>
        <v>5073.2906746187446</v>
      </c>
      <c r="J44" s="243">
        <f t="shared" si="0"/>
        <v>5114.9521831009861</v>
      </c>
      <c r="K44" s="243">
        <f t="shared" si="0"/>
        <v>5165.5471458979437</v>
      </c>
      <c r="L44" s="243">
        <f t="shared" si="0"/>
        <v>5253.3790458445274</v>
      </c>
      <c r="M44" s="243">
        <f t="shared" si="0"/>
        <v>5246.8591875145084</v>
      </c>
      <c r="N44" s="243">
        <f t="shared" si="0"/>
        <v>5308.0995054319274</v>
      </c>
      <c r="O44" s="243">
        <f t="shared" si="0"/>
        <v>5380.8980111102801</v>
      </c>
      <c r="P44" s="243">
        <f t="shared" si="0"/>
        <v>5402.5707162737026</v>
      </c>
      <c r="Q44" s="243">
        <f t="shared" si="0"/>
        <v>5424.6558465707785</v>
      </c>
      <c r="R44" s="243">
        <f t="shared" si="0"/>
        <v>5402.6221059448371</v>
      </c>
      <c r="S44" s="243">
        <f t="shared" si="0"/>
        <v>5412.9109458236981</v>
      </c>
      <c r="T44" s="243">
        <f t="shared" si="0"/>
        <v>5363.8898576927832</v>
      </c>
      <c r="U44" s="243">
        <f t="shared" si="0"/>
        <v>5428.3861791786157</v>
      </c>
      <c r="V44" s="243">
        <f t="shared" si="0"/>
        <v>5508.1728637364185</v>
      </c>
      <c r="W44" s="243">
        <f t="shared" si="0"/>
        <v>5643.8577049718979</v>
      </c>
      <c r="X44" s="243">
        <f t="shared" si="0"/>
        <v>5782.2870013140218</v>
      </c>
      <c r="Y44" s="243">
        <f t="shared" si="0"/>
        <v>5864.286569657168</v>
      </c>
      <c r="Z44" s="243">
        <f t="shared" si="0"/>
        <v>5924.8580360227943</v>
      </c>
      <c r="AA44" s="243">
        <f t="shared" si="0"/>
        <v>5999.6373768375743</v>
      </c>
      <c r="AB44" s="243">
        <f t="shared" si="0"/>
        <v>4373.0449663483896</v>
      </c>
      <c r="AC44" s="373">
        <f t="shared" si="0"/>
        <v>4778.726332272955</v>
      </c>
    </row>
    <row r="45" spans="2:29">
      <c r="AB45" s="179"/>
    </row>
  </sheetData>
  <mergeCells count="1">
    <mergeCell ref="Z34:AB34"/>
  </mergeCells>
  <phoneticPr fontId="16" type="noConversion"/>
  <printOptions horizontalCentered="1"/>
  <pageMargins left="0.47244094488188981" right="0.47244094488188981" top="0.51181102362204722" bottom="0.27559055118110237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4"/>
  <dimension ref="B1:P43"/>
  <sheetViews>
    <sheetView topLeftCell="B12" workbookViewId="0">
      <selection activeCell="M21" sqref="M21"/>
    </sheetView>
  </sheetViews>
  <sheetFormatPr defaultRowHeight="12.75"/>
  <cols>
    <col min="1" max="1" width="3.1328125" customWidth="1"/>
    <col min="2" max="2" width="4" customWidth="1"/>
    <col min="3" max="4" width="10.73046875" customWidth="1"/>
    <col min="5" max="5" width="9.59765625" customWidth="1"/>
    <col min="6" max="6" width="7.86328125" customWidth="1"/>
    <col min="10" max="10" width="9.73046875" customWidth="1"/>
    <col min="11" max="11" width="6.73046875" customWidth="1"/>
    <col min="12" max="12" width="7.59765625" customWidth="1"/>
    <col min="13" max="17" width="6.73046875" customWidth="1"/>
  </cols>
  <sheetData>
    <row r="1" spans="2:16" ht="20.25">
      <c r="C1" s="169" t="s">
        <v>85</v>
      </c>
      <c r="D1" s="58" t="s">
        <v>86</v>
      </c>
      <c r="E1" s="58" t="s">
        <v>42</v>
      </c>
      <c r="F1" s="170" t="s">
        <v>90</v>
      </c>
    </row>
    <row r="2" spans="2:16">
      <c r="B2" s="153" t="s">
        <v>106</v>
      </c>
      <c r="C2" s="194">
        <v>85.244026948712943</v>
      </c>
      <c r="D2" s="194">
        <v>7.4489616218981869</v>
      </c>
      <c r="E2" s="194">
        <v>6.0417877483836779</v>
      </c>
      <c r="F2" s="194">
        <v>1.265223681005182</v>
      </c>
      <c r="G2" s="49"/>
      <c r="P2" s="179"/>
    </row>
    <row r="3" spans="2:16">
      <c r="B3" s="9" t="s">
        <v>25</v>
      </c>
      <c r="C3" s="73">
        <v>84.91282024783618</v>
      </c>
      <c r="D3" s="144">
        <v>8.1405051608137899</v>
      </c>
      <c r="E3" s="73">
        <v>6.1164791789397981</v>
      </c>
      <c r="F3" s="146">
        <v>0.83019541241023365</v>
      </c>
      <c r="G3" s="49"/>
      <c r="H3" s="145"/>
      <c r="P3" s="179"/>
    </row>
    <row r="4" spans="2:16">
      <c r="B4" s="43" t="s">
        <v>8</v>
      </c>
      <c r="C4" s="200">
        <v>88.283409784284103</v>
      </c>
      <c r="D4" s="200">
        <v>8.4017270125733194</v>
      </c>
      <c r="E4" s="200">
        <v>2.0418742618435766</v>
      </c>
      <c r="F4" s="201">
        <v>1.2729889412989879</v>
      </c>
      <c r="G4" s="49"/>
      <c r="P4" s="179"/>
    </row>
    <row r="5" spans="2:16">
      <c r="B5" s="9" t="s">
        <v>10</v>
      </c>
      <c r="C5" s="73">
        <v>81.879485851990637</v>
      </c>
      <c r="D5" s="73">
        <v>8.4682270385834464</v>
      </c>
      <c r="E5" s="73">
        <v>6.2871764692736587</v>
      </c>
      <c r="F5" s="146">
        <v>3.3651106401522628</v>
      </c>
      <c r="G5" s="49"/>
      <c r="P5" s="179"/>
    </row>
    <row r="6" spans="2:16">
      <c r="B6" s="43" t="s">
        <v>21</v>
      </c>
      <c r="C6" s="200">
        <v>86.307430848570093</v>
      </c>
      <c r="D6" s="200">
        <v>7.0821612751992484</v>
      </c>
      <c r="E6" s="200">
        <v>6.125468823253633</v>
      </c>
      <c r="F6" s="201">
        <v>0.48493905297702766</v>
      </c>
      <c r="G6" s="49"/>
      <c r="P6" s="179"/>
    </row>
    <row r="7" spans="2:16">
      <c r="B7" s="9" t="s">
        <v>26</v>
      </c>
      <c r="C7" s="73">
        <v>88.479543019711073</v>
      </c>
      <c r="D7" s="73">
        <v>3.8357536976441979</v>
      </c>
      <c r="E7" s="73">
        <v>6.4322122793323322</v>
      </c>
      <c r="F7" s="146">
        <v>1.2524910033123913</v>
      </c>
      <c r="G7" s="49"/>
    </row>
    <row r="8" spans="2:16">
      <c r="B8" s="43" t="s">
        <v>11</v>
      </c>
      <c r="C8" s="200">
        <v>88.905520515429373</v>
      </c>
      <c r="D8" s="200">
        <v>8.7404078128095168</v>
      </c>
      <c r="E8" s="200">
        <v>1.9679489640642545</v>
      </c>
      <c r="F8" s="201">
        <v>0.38612270769686297</v>
      </c>
      <c r="G8" s="49"/>
    </row>
    <row r="9" spans="2:16">
      <c r="B9" s="9" t="s">
        <v>29</v>
      </c>
      <c r="C9" s="73">
        <v>85.495988288482749</v>
      </c>
      <c r="D9" s="73">
        <v>12.928584061771407</v>
      </c>
      <c r="E9" s="73">
        <v>1.382158071765919</v>
      </c>
      <c r="F9" s="146">
        <v>0.19326957797993544</v>
      </c>
      <c r="G9" s="49"/>
    </row>
    <row r="10" spans="2:16">
      <c r="B10" s="43" t="s">
        <v>22</v>
      </c>
      <c r="C10" s="200">
        <v>86.264243669687119</v>
      </c>
      <c r="D10" s="200">
        <v>12.164315729182373</v>
      </c>
      <c r="E10" s="200">
        <v>0.5768845538215458</v>
      </c>
      <c r="F10" s="201">
        <v>0.99455604730894343</v>
      </c>
      <c r="G10" s="49"/>
    </row>
    <row r="11" spans="2:16">
      <c r="B11" s="9" t="s">
        <v>27</v>
      </c>
      <c r="C11" s="73">
        <v>85.66202192842448</v>
      </c>
      <c r="D11" s="73">
        <v>7.2051635477185823</v>
      </c>
      <c r="E11" s="73">
        <v>5.1773338533810058</v>
      </c>
      <c r="F11" s="146">
        <v>1.9554806704759282</v>
      </c>
      <c r="G11" s="49"/>
    </row>
    <row r="12" spans="2:16">
      <c r="B12" s="43" t="s">
        <v>28</v>
      </c>
      <c r="C12" s="200">
        <v>84.970705402506724</v>
      </c>
      <c r="D12" s="200">
        <v>4.7561072463897283</v>
      </c>
      <c r="E12" s="200">
        <v>9.405527052868198</v>
      </c>
      <c r="F12" s="201">
        <v>0.86766029823536261</v>
      </c>
      <c r="G12" s="49"/>
    </row>
    <row r="13" spans="2:16">
      <c r="B13" s="9" t="s">
        <v>39</v>
      </c>
      <c r="C13" s="73">
        <v>87.525757863915999</v>
      </c>
      <c r="D13" s="73">
        <v>9.0419953012647181</v>
      </c>
      <c r="E13" s="73">
        <v>2.0353947581926435</v>
      </c>
      <c r="F13" s="146">
        <v>1.396852076626635</v>
      </c>
      <c r="G13" s="49"/>
    </row>
    <row r="14" spans="2:16">
      <c r="B14" s="59" t="s">
        <v>30</v>
      </c>
      <c r="C14" s="200">
        <v>82.007224832156354</v>
      </c>
      <c r="D14" s="200">
        <v>12.707539870282142</v>
      </c>
      <c r="E14" s="200">
        <v>4.3818939313625123</v>
      </c>
      <c r="F14" s="201">
        <v>0.90334136619898819</v>
      </c>
      <c r="G14" s="49"/>
    </row>
    <row r="15" spans="2:16">
      <c r="B15" s="9" t="s">
        <v>9</v>
      </c>
      <c r="C15" s="73">
        <v>87.284763099725765</v>
      </c>
      <c r="D15" s="73">
        <v>12.715236900274229</v>
      </c>
      <c r="E15" s="202" t="s">
        <v>107</v>
      </c>
      <c r="F15" s="203" t="s">
        <v>107</v>
      </c>
      <c r="G15" s="49"/>
    </row>
    <row r="16" spans="2:16">
      <c r="B16" s="59" t="s">
        <v>13</v>
      </c>
      <c r="C16" s="200">
        <v>88.205102483490137</v>
      </c>
      <c r="D16" s="200">
        <v>9.0407686077938507</v>
      </c>
      <c r="E16" s="200">
        <v>2.3699930777819911</v>
      </c>
      <c r="F16" s="201">
        <v>0.38413583093401626</v>
      </c>
      <c r="G16" s="49"/>
    </row>
    <row r="17" spans="2:8">
      <c r="B17" s="9" t="s">
        <v>14</v>
      </c>
      <c r="C17" s="73">
        <v>94.672415808379995</v>
      </c>
      <c r="D17" s="73">
        <v>4.4473212883413886</v>
      </c>
      <c r="E17" s="73">
        <v>0.88026290327860601</v>
      </c>
      <c r="F17" s="203" t="s">
        <v>107</v>
      </c>
      <c r="G17" s="49"/>
    </row>
    <row r="18" spans="2:8">
      <c r="B18" s="59" t="s">
        <v>31</v>
      </c>
      <c r="C18" s="200">
        <v>85.972167075376987</v>
      </c>
      <c r="D18" s="200">
        <v>10.178202009721179</v>
      </c>
      <c r="E18" s="200">
        <v>3.4610347628287528</v>
      </c>
      <c r="F18" s="201">
        <v>0.38859615207308673</v>
      </c>
      <c r="G18" s="49"/>
    </row>
    <row r="19" spans="2:8">
      <c r="B19" s="9" t="s">
        <v>12</v>
      </c>
      <c r="C19" s="73">
        <v>77.655771041296646</v>
      </c>
      <c r="D19" s="73">
        <v>14.045955811720296</v>
      </c>
      <c r="E19" s="73">
        <v>6.2624913729860383</v>
      </c>
      <c r="F19" s="146">
        <v>2.0357817739970057</v>
      </c>
      <c r="G19" s="49"/>
      <c r="H19" s="49"/>
    </row>
    <row r="20" spans="2:8">
      <c r="B20" s="59" t="s">
        <v>15</v>
      </c>
      <c r="C20" s="200">
        <v>85.913204528815953</v>
      </c>
      <c r="D20" s="200">
        <v>14.086795471184049</v>
      </c>
      <c r="E20" s="204"/>
      <c r="F20" s="205"/>
      <c r="G20" s="49"/>
      <c r="H20" s="49"/>
    </row>
    <row r="21" spans="2:8">
      <c r="B21" s="9" t="s">
        <v>23</v>
      </c>
      <c r="C21" s="73">
        <v>88.97220963020446</v>
      </c>
      <c r="D21" s="73">
        <v>2.2632263583537577</v>
      </c>
      <c r="E21" s="73">
        <v>8.3386475916805605</v>
      </c>
      <c r="F21" s="146">
        <v>0.4259164197612304</v>
      </c>
      <c r="G21" s="49"/>
      <c r="H21" s="49"/>
    </row>
    <row r="22" spans="2:8">
      <c r="B22" s="59" t="s">
        <v>32</v>
      </c>
      <c r="C22" s="200">
        <v>75.662443292836187</v>
      </c>
      <c r="D22" s="200">
        <v>8.3981420173540542</v>
      </c>
      <c r="E22" s="200">
        <v>9.1676249211122762</v>
      </c>
      <c r="F22" s="201">
        <v>6.7717897686974924</v>
      </c>
      <c r="G22" s="49"/>
    </row>
    <row r="23" spans="2:8">
      <c r="B23" s="9" t="s">
        <v>16</v>
      </c>
      <c r="C23" s="73">
        <v>85.340003389137394</v>
      </c>
      <c r="D23" s="73">
        <v>7.7661170872895742</v>
      </c>
      <c r="E23" s="73">
        <v>5.8351761336850192</v>
      </c>
      <c r="F23" s="146">
        <v>1.0587033898880023</v>
      </c>
      <c r="G23" s="49"/>
    </row>
    <row r="24" spans="2:8">
      <c r="B24" s="59" t="s">
        <v>33</v>
      </c>
      <c r="C24" s="200">
        <v>90.750284472908987</v>
      </c>
      <c r="D24" s="200">
        <v>5.6823684340869907</v>
      </c>
      <c r="E24" s="200">
        <v>2.9166546595563987</v>
      </c>
      <c r="F24" s="201">
        <v>0.65069243344761418</v>
      </c>
      <c r="G24" s="49"/>
    </row>
    <row r="25" spans="2:8">
      <c r="B25" s="9" t="s">
        <v>17</v>
      </c>
      <c r="C25" s="73">
        <v>80.037457302639041</v>
      </c>
      <c r="D25" s="73">
        <v>14.474691020292635</v>
      </c>
      <c r="E25" s="73">
        <v>3.1361825281505467</v>
      </c>
      <c r="F25" s="146">
        <v>2.351669148917773</v>
      </c>
      <c r="G25" s="49"/>
      <c r="H25" s="196"/>
    </row>
    <row r="26" spans="2:8">
      <c r="B26" s="59" t="s">
        <v>19</v>
      </c>
      <c r="C26" s="200">
        <v>90.015725166830094</v>
      </c>
      <c r="D26" s="200">
        <v>8.2041607287579126</v>
      </c>
      <c r="E26" s="200">
        <v>1.7801141044119804</v>
      </c>
      <c r="F26" s="205"/>
      <c r="G26" s="49"/>
    </row>
    <row r="27" spans="2:8">
      <c r="B27" s="9" t="s">
        <v>18</v>
      </c>
      <c r="C27" s="73">
        <v>83.330575641720756</v>
      </c>
      <c r="D27" s="73">
        <v>10.063101594623776</v>
      </c>
      <c r="E27" s="73">
        <v>6.1534928695075202</v>
      </c>
      <c r="F27" s="146">
        <v>0.45282989414794528</v>
      </c>
      <c r="G27" s="49"/>
    </row>
    <row r="28" spans="2:8">
      <c r="B28" s="59" t="s">
        <v>34</v>
      </c>
      <c r="C28" s="200">
        <v>87.124960883577742</v>
      </c>
      <c r="D28" s="200">
        <v>8.2193359324129958</v>
      </c>
      <c r="E28" s="200">
        <v>3.9767887019658206</v>
      </c>
      <c r="F28" s="201">
        <v>0.67891448204344362</v>
      </c>
      <c r="G28" s="49"/>
    </row>
    <row r="29" spans="2:8">
      <c r="B29" s="164" t="s">
        <v>35</v>
      </c>
      <c r="C29" s="206">
        <v>82.864289022695687</v>
      </c>
      <c r="D29" s="262">
        <v>8.2251042149143103</v>
      </c>
      <c r="E29" s="262">
        <v>7.4358499305233901</v>
      </c>
      <c r="F29" s="165">
        <v>1.4747568318666049</v>
      </c>
      <c r="G29" s="49"/>
    </row>
    <row r="30" spans="2:8">
      <c r="B30" s="231" t="s">
        <v>6</v>
      </c>
      <c r="C30" s="71">
        <v>89.015247893788839</v>
      </c>
      <c r="D30" s="71">
        <v>10.984752106211165</v>
      </c>
      <c r="E30" s="71"/>
      <c r="F30" s="71"/>
      <c r="G30" s="49"/>
    </row>
    <row r="31" spans="2:8">
      <c r="B31" s="9" t="s">
        <v>36</v>
      </c>
      <c r="C31" s="73">
        <v>92.578003230651518</v>
      </c>
      <c r="D31" s="73">
        <v>4.1034942046646075</v>
      </c>
      <c r="E31" s="73">
        <v>2.5221753053532461</v>
      </c>
      <c r="F31" s="73">
        <v>0.79632725933063175</v>
      </c>
      <c r="G31" s="49"/>
    </row>
    <row r="32" spans="2:8" ht="16.5" customHeight="1">
      <c r="B32" s="163" t="s">
        <v>7</v>
      </c>
      <c r="C32" s="357">
        <v>81.701782945338024</v>
      </c>
      <c r="D32" s="318">
        <v>5.0403909895566743</v>
      </c>
      <c r="E32" s="318">
        <v>12.540138333709699</v>
      </c>
      <c r="F32" s="358">
        <v>0.71768773139560516</v>
      </c>
      <c r="G32" s="49"/>
    </row>
    <row r="33" spans="2:16">
      <c r="B33" s="231" t="s">
        <v>100</v>
      </c>
      <c r="C33" s="71"/>
      <c r="D33" s="71"/>
      <c r="E33" s="356"/>
      <c r="F33" s="71"/>
      <c r="G33" s="49"/>
    </row>
    <row r="34" spans="2:16">
      <c r="B34" s="9" t="s">
        <v>75</v>
      </c>
      <c r="C34" s="73">
        <v>98.53802750435726</v>
      </c>
      <c r="D34" s="73">
        <v>0.67710361195154278</v>
      </c>
      <c r="E34" s="73">
        <v>0.78486888369120544</v>
      </c>
      <c r="F34" s="57"/>
      <c r="G34" s="49"/>
    </row>
    <row r="35" spans="2:16">
      <c r="B35" s="59" t="s">
        <v>101</v>
      </c>
      <c r="C35" s="71"/>
      <c r="D35" s="71"/>
      <c r="E35" s="71"/>
      <c r="F35" s="356"/>
      <c r="G35" s="49"/>
    </row>
    <row r="36" spans="2:16">
      <c r="B36" s="9" t="s">
        <v>3</v>
      </c>
      <c r="C36" s="73">
        <v>98.1656374863785</v>
      </c>
      <c r="D36" s="73">
        <v>1.6073374500544857</v>
      </c>
      <c r="E36" s="73">
        <v>0.22702506356701782</v>
      </c>
      <c r="F36" s="57"/>
      <c r="G36" s="49"/>
    </row>
    <row r="37" spans="2:16">
      <c r="B37" s="59" t="s">
        <v>79</v>
      </c>
      <c r="C37" s="71">
        <v>92.83086253330859</v>
      </c>
      <c r="D37" s="71">
        <v>7.16173970376847</v>
      </c>
      <c r="E37" s="71">
        <v>7.3977629229444019E-3</v>
      </c>
      <c r="F37" s="356"/>
      <c r="G37" s="49"/>
    </row>
    <row r="38" spans="2:16">
      <c r="B38" s="9" t="s">
        <v>76</v>
      </c>
      <c r="C38" s="73">
        <v>87.178175273681674</v>
      </c>
      <c r="D38" s="73">
        <v>10.400714201085794</v>
      </c>
      <c r="E38" s="73">
        <v>0.55396999788270684</v>
      </c>
      <c r="F38" s="73">
        <v>1.8671405273498154</v>
      </c>
      <c r="G38" s="49"/>
    </row>
    <row r="39" spans="2:16">
      <c r="B39" s="59" t="s">
        <v>20</v>
      </c>
      <c r="C39" s="71"/>
      <c r="D39" s="71"/>
      <c r="E39" s="71"/>
      <c r="F39" s="71"/>
      <c r="G39" s="49"/>
    </row>
    <row r="40" spans="2:16">
      <c r="B40" s="9" t="s">
        <v>102</v>
      </c>
      <c r="C40" s="206"/>
      <c r="D40" s="262"/>
      <c r="E40" s="262"/>
      <c r="F40" s="262"/>
      <c r="G40" s="49"/>
    </row>
    <row r="41" spans="2:16" ht="15.75" customHeight="1">
      <c r="B41" s="330" t="s">
        <v>24</v>
      </c>
      <c r="C41" s="357">
        <v>90.68438524428025</v>
      </c>
      <c r="D41" s="359">
        <v>3.1118595407044496</v>
      </c>
      <c r="E41" s="359">
        <v>4.9404101336466804</v>
      </c>
      <c r="F41" s="318">
        <v>1.2633450813686198</v>
      </c>
      <c r="G41" s="49"/>
      <c r="P41" s="179"/>
    </row>
    <row r="43" spans="2:16">
      <c r="C43" s="49"/>
    </row>
  </sheetData>
  <phoneticPr fontId="16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F9CE-A8C3-4CD5-A922-5EEFDA261AA2}">
  <dimension ref="A1:F41"/>
  <sheetViews>
    <sheetView tabSelected="1" topLeftCell="A16" workbookViewId="0">
      <selection activeCell="N16" sqref="N16"/>
    </sheetView>
  </sheetViews>
  <sheetFormatPr defaultRowHeight="12.75"/>
  <sheetData>
    <row r="1" spans="1:6" ht="20.25">
      <c r="B1" s="169" t="s">
        <v>40</v>
      </c>
      <c r="C1" s="58" t="s">
        <v>2</v>
      </c>
      <c r="D1" s="58" t="s">
        <v>42</v>
      </c>
      <c r="E1" s="170" t="s">
        <v>0</v>
      </c>
      <c r="F1" s="195" t="s">
        <v>45</v>
      </c>
    </row>
    <row r="2" spans="1:6">
      <c r="A2" s="153" t="s">
        <v>106</v>
      </c>
      <c r="B2" s="194">
        <v>3742.2362108397956</v>
      </c>
      <c r="C2" s="194">
        <v>327.01146241477761</v>
      </c>
      <c r="D2" s="194">
        <v>265.23614263100001</v>
      </c>
      <c r="E2" s="194">
        <v>55.543667320154668</v>
      </c>
      <c r="F2" s="182">
        <v>4390.0274832057285</v>
      </c>
    </row>
    <row r="3" spans="1:6">
      <c r="A3" s="9" t="s">
        <v>25</v>
      </c>
      <c r="B3" s="73">
        <v>96.74805177866115</v>
      </c>
      <c r="C3" s="144">
        <v>9.275136693189042</v>
      </c>
      <c r="D3" s="73">
        <v>6.9690000000000003</v>
      </c>
      <c r="E3" s="146">
        <v>0.94590885701171845</v>
      </c>
      <c r="F3" s="374">
        <v>113.9380973288619</v>
      </c>
    </row>
    <row r="4" spans="1:6">
      <c r="A4" s="43" t="s">
        <v>8</v>
      </c>
      <c r="B4" s="200">
        <v>52.013458397091995</v>
      </c>
      <c r="C4" s="200">
        <v>4.95</v>
      </c>
      <c r="D4" s="200">
        <v>1.2030000000000001</v>
      </c>
      <c r="E4" s="201">
        <v>0.75</v>
      </c>
      <c r="F4" s="375">
        <v>58.916458397092001</v>
      </c>
    </row>
    <row r="5" spans="1:6">
      <c r="A5" s="9" t="s">
        <v>10</v>
      </c>
      <c r="B5" s="73">
        <v>87.933000000000007</v>
      </c>
      <c r="C5" s="73">
        <v>9.0942999999999987</v>
      </c>
      <c r="D5" s="73">
        <v>6.7519999999999998</v>
      </c>
      <c r="E5" s="146">
        <v>3.6139000000000001</v>
      </c>
      <c r="F5" s="374">
        <v>107.39320000000001</v>
      </c>
    </row>
    <row r="6" spans="1:6">
      <c r="A6" s="43" t="s">
        <v>21</v>
      </c>
      <c r="B6" s="200">
        <v>58.91</v>
      </c>
      <c r="C6" s="200">
        <v>4.8339999999999996</v>
      </c>
      <c r="D6" s="200">
        <v>4.181</v>
      </c>
      <c r="E6" s="201">
        <v>0.33100000000000002</v>
      </c>
      <c r="F6" s="375">
        <v>68.256</v>
      </c>
    </row>
    <row r="7" spans="1:6">
      <c r="A7" s="9" t="s">
        <v>26</v>
      </c>
      <c r="B7" s="73">
        <v>791.2</v>
      </c>
      <c r="C7" s="73">
        <v>34.299999999999997</v>
      </c>
      <c r="D7" s="73">
        <v>57.518000000000001</v>
      </c>
      <c r="E7" s="146">
        <v>11.2</v>
      </c>
      <c r="F7" s="374">
        <v>894.21800000000007</v>
      </c>
    </row>
    <row r="8" spans="1:6">
      <c r="A8" s="43" t="s">
        <v>11</v>
      </c>
      <c r="B8" s="200">
        <v>13.101254870059071</v>
      </c>
      <c r="C8" s="200">
        <v>1.288</v>
      </c>
      <c r="D8" s="200">
        <v>0.28999999999999998</v>
      </c>
      <c r="E8" s="201">
        <v>5.6899638799999999E-2</v>
      </c>
      <c r="F8" s="375">
        <v>14.73615450885907</v>
      </c>
    </row>
    <row r="9" spans="1:6">
      <c r="A9" s="9" t="s">
        <v>29</v>
      </c>
      <c r="B9" s="73">
        <v>53.815487049137737</v>
      </c>
      <c r="C9" s="73">
        <v>8.1379028661824808</v>
      </c>
      <c r="D9" s="73">
        <v>0.87</v>
      </c>
      <c r="E9" s="146">
        <v>0.12165362</v>
      </c>
      <c r="F9" s="374">
        <v>62.94504353532021</v>
      </c>
    </row>
    <row r="10" spans="1:6">
      <c r="A10" s="43" t="s">
        <v>22</v>
      </c>
      <c r="B10" s="200">
        <v>97.646142097489857</v>
      </c>
      <c r="C10" s="200">
        <v>13.769302919511484</v>
      </c>
      <c r="D10" s="200">
        <v>0.65300000000000002</v>
      </c>
      <c r="E10" s="201">
        <v>1.1257800102126505</v>
      </c>
      <c r="F10" s="375">
        <v>113.194225027214</v>
      </c>
    </row>
    <row r="11" spans="1:6">
      <c r="A11" s="9" t="s">
        <v>27</v>
      </c>
      <c r="B11" s="73">
        <v>281.30805122330844</v>
      </c>
      <c r="C11" s="73">
        <v>23.661249999999999</v>
      </c>
      <c r="D11" s="73">
        <v>17.001999999999999</v>
      </c>
      <c r="E11" s="146">
        <v>6.4216608974752623</v>
      </c>
      <c r="F11" s="374">
        <v>328.39296212078369</v>
      </c>
    </row>
    <row r="12" spans="1:6">
      <c r="A12" s="43" t="s">
        <v>28</v>
      </c>
      <c r="B12" s="200">
        <v>718.36779193435927</v>
      </c>
      <c r="C12" s="200">
        <v>40.209555100282842</v>
      </c>
      <c r="D12" s="200">
        <v>79.517142630999999</v>
      </c>
      <c r="E12" s="201">
        <v>7.3354600228381432</v>
      </c>
      <c r="F12" s="375">
        <v>845.42994968848018</v>
      </c>
    </row>
    <row r="13" spans="1:6">
      <c r="A13" s="9" t="s">
        <v>39</v>
      </c>
      <c r="B13" s="73">
        <v>23.135000000000002</v>
      </c>
      <c r="C13" s="73">
        <v>2.39</v>
      </c>
      <c r="D13" s="73">
        <v>0.53800000000000003</v>
      </c>
      <c r="E13" s="146">
        <v>0.36921900000000002</v>
      </c>
      <c r="F13" s="374">
        <v>26.432219000000003</v>
      </c>
    </row>
    <row r="14" spans="1:6">
      <c r="A14" s="59" t="s">
        <v>30</v>
      </c>
      <c r="B14" s="200">
        <v>518.27499999999998</v>
      </c>
      <c r="C14" s="200">
        <v>80.31</v>
      </c>
      <c r="D14" s="200">
        <v>27.693000000000001</v>
      </c>
      <c r="E14" s="201">
        <v>5.7089999999999996</v>
      </c>
      <c r="F14" s="376">
        <v>631.98699999999997</v>
      </c>
    </row>
    <row r="15" spans="1:6">
      <c r="A15" s="9" t="s">
        <v>9</v>
      </c>
      <c r="B15" s="73">
        <v>6.5092190059238586</v>
      </c>
      <c r="C15" s="73">
        <v>0.94823264401286333</v>
      </c>
      <c r="D15" s="202" t="s">
        <v>107</v>
      </c>
      <c r="E15" s="203" t="s">
        <v>107</v>
      </c>
      <c r="F15" s="374">
        <v>7.457451649936722</v>
      </c>
    </row>
    <row r="16" spans="1:6">
      <c r="A16" s="59" t="s">
        <v>13</v>
      </c>
      <c r="B16" s="200">
        <v>13.435499999999999</v>
      </c>
      <c r="C16" s="200">
        <v>1.3771</v>
      </c>
      <c r="D16" s="200">
        <v>0.36099999999999999</v>
      </c>
      <c r="E16" s="201">
        <v>5.8512000000000002E-2</v>
      </c>
      <c r="F16" s="376">
        <v>15.232112000000001</v>
      </c>
    </row>
    <row r="17" spans="1:6">
      <c r="A17" s="9" t="s">
        <v>14</v>
      </c>
      <c r="B17" s="73">
        <v>30.866895828285699</v>
      </c>
      <c r="C17" s="73">
        <v>1.45</v>
      </c>
      <c r="D17" s="73">
        <v>0.28699999999999998</v>
      </c>
      <c r="E17" s="203" t="s">
        <v>107</v>
      </c>
      <c r="F17" s="374">
        <v>32.603895828285701</v>
      </c>
    </row>
    <row r="18" spans="1:6">
      <c r="A18" s="59" t="s">
        <v>31</v>
      </c>
      <c r="B18" s="200">
        <v>7.5513655833822524</v>
      </c>
      <c r="C18" s="200">
        <v>0.89400240765750838</v>
      </c>
      <c r="D18" s="200">
        <v>0.30399999999999999</v>
      </c>
      <c r="E18" s="201">
        <v>3.4132344320536787E-2</v>
      </c>
      <c r="F18" s="376">
        <v>8.7835003353602978</v>
      </c>
    </row>
    <row r="19" spans="1:6">
      <c r="A19" s="9" t="s">
        <v>12</v>
      </c>
      <c r="B19" s="73">
        <v>67.394762</v>
      </c>
      <c r="C19" s="73">
        <v>12.19</v>
      </c>
      <c r="D19" s="73">
        <v>5.4349999999999996</v>
      </c>
      <c r="E19" s="146">
        <v>1.7667846999999999</v>
      </c>
      <c r="F19" s="374">
        <v>86.786546700000002</v>
      </c>
    </row>
    <row r="20" spans="1:6">
      <c r="A20" s="59" t="s">
        <v>15</v>
      </c>
      <c r="B20" s="200">
        <v>2.5368676166241588</v>
      </c>
      <c r="C20" s="200">
        <v>0.41595858807557845</v>
      </c>
      <c r="D20" s="204"/>
      <c r="E20" s="205"/>
      <c r="F20" s="376">
        <v>2.9528262046997371</v>
      </c>
    </row>
    <row r="21" spans="1:6">
      <c r="A21" s="9" t="s">
        <v>23</v>
      </c>
      <c r="B21" s="73">
        <v>115.8</v>
      </c>
      <c r="C21" s="73">
        <v>2.9456570021881658</v>
      </c>
      <c r="D21" s="73">
        <v>10.853</v>
      </c>
      <c r="E21" s="146">
        <v>0.55434299781183416</v>
      </c>
      <c r="F21" s="374">
        <v>130.15299999999999</v>
      </c>
    </row>
    <row r="22" spans="1:6">
      <c r="A22" s="59" t="s">
        <v>32</v>
      </c>
      <c r="B22" s="200">
        <v>69.162000000000006</v>
      </c>
      <c r="C22" s="200">
        <v>7.6766262484578673</v>
      </c>
      <c r="D22" s="200">
        <v>8.3800000000000008</v>
      </c>
      <c r="E22" s="201">
        <v>6.19</v>
      </c>
      <c r="F22" s="376">
        <v>91.408626248457864</v>
      </c>
    </row>
    <row r="23" spans="1:6">
      <c r="A23" s="9" t="s">
        <v>16</v>
      </c>
      <c r="B23" s="73">
        <v>231.72</v>
      </c>
      <c r="C23" s="73">
        <v>21.087</v>
      </c>
      <c r="D23" s="73">
        <v>15.843999999999999</v>
      </c>
      <c r="E23" s="146">
        <v>2.8746512744581647</v>
      </c>
      <c r="F23" s="374">
        <v>271.5256512744582</v>
      </c>
    </row>
    <row r="24" spans="1:6">
      <c r="A24" s="59" t="s">
        <v>33</v>
      </c>
      <c r="B24" s="200">
        <v>90.605457015368316</v>
      </c>
      <c r="C24" s="200">
        <v>5.6733000000000002</v>
      </c>
      <c r="D24" s="200">
        <v>2.9119999999999999</v>
      </c>
      <c r="E24" s="201">
        <v>0.64965399999999995</v>
      </c>
      <c r="F24" s="376">
        <v>99.840411015368318</v>
      </c>
    </row>
    <row r="25" spans="1:6">
      <c r="A25" s="9" t="s">
        <v>17</v>
      </c>
      <c r="B25" s="73">
        <v>108.99875153030695</v>
      </c>
      <c r="C25" s="73">
        <v>19.712311</v>
      </c>
      <c r="D25" s="73">
        <v>4.2709999999999999</v>
      </c>
      <c r="E25" s="146">
        <v>3.2026129999999999</v>
      </c>
      <c r="F25" s="374">
        <v>136.18467553030695</v>
      </c>
    </row>
    <row r="26" spans="1:6">
      <c r="A26" s="59" t="s">
        <v>19</v>
      </c>
      <c r="B26" s="200">
        <v>25.485964844410137</v>
      </c>
      <c r="C26" s="200">
        <v>2.3228269452198154</v>
      </c>
      <c r="D26" s="200">
        <v>0.504</v>
      </c>
      <c r="E26" s="205"/>
      <c r="F26" s="376">
        <v>28.312791789629955</v>
      </c>
    </row>
    <row r="27" spans="1:6">
      <c r="A27" s="9" t="s">
        <v>18</v>
      </c>
      <c r="B27" s="73">
        <v>26.664190065386354</v>
      </c>
      <c r="C27" s="73">
        <v>3.22</v>
      </c>
      <c r="D27" s="73">
        <v>1.9690000000000001</v>
      </c>
      <c r="E27" s="146">
        <v>0.14489690334989583</v>
      </c>
      <c r="F27" s="374">
        <v>31.998086968736249</v>
      </c>
    </row>
    <row r="28" spans="1:6">
      <c r="A28" s="59" t="s">
        <v>34</v>
      </c>
      <c r="B28" s="200">
        <v>63.6</v>
      </c>
      <c r="C28" s="200">
        <v>6</v>
      </c>
      <c r="D28" s="200">
        <v>2.903</v>
      </c>
      <c r="E28" s="201">
        <v>0.49559805387645062</v>
      </c>
      <c r="F28" s="376">
        <v>72.998598053876449</v>
      </c>
    </row>
    <row r="29" spans="1:6">
      <c r="A29" s="164" t="s">
        <v>35</v>
      </c>
      <c r="B29" s="206">
        <v>89.451999999999998</v>
      </c>
      <c r="C29" s="262">
        <v>8.8789999999999996</v>
      </c>
      <c r="D29" s="262">
        <v>8.0269999999999992</v>
      </c>
      <c r="E29" s="165">
        <v>1.5920000000000001</v>
      </c>
      <c r="F29" s="377">
        <v>107.95</v>
      </c>
    </row>
    <row r="30" spans="1:6">
      <c r="A30" s="231" t="s">
        <v>6</v>
      </c>
      <c r="B30" s="71">
        <v>7.0332866294879395</v>
      </c>
      <c r="C30" s="71">
        <v>0.86792894414042643</v>
      </c>
      <c r="D30" s="71"/>
      <c r="E30" s="71"/>
      <c r="F30" s="378">
        <v>7.9012155736283658</v>
      </c>
    </row>
    <row r="31" spans="1:6">
      <c r="A31" s="9" t="s">
        <v>36</v>
      </c>
      <c r="B31" s="73">
        <v>65.335999999999999</v>
      </c>
      <c r="C31" s="73">
        <v>2.8959999999999999</v>
      </c>
      <c r="D31" s="73">
        <v>1.78</v>
      </c>
      <c r="E31" s="73">
        <v>0.56200000000000006</v>
      </c>
      <c r="F31" s="374">
        <v>70.573999999999998</v>
      </c>
    </row>
    <row r="32" spans="1:6">
      <c r="A32" s="163" t="s">
        <v>7</v>
      </c>
      <c r="B32" s="357">
        <v>92.665999999999997</v>
      </c>
      <c r="C32" s="318">
        <v>5.7168014528000004</v>
      </c>
      <c r="D32" s="318">
        <v>14.223000000000001</v>
      </c>
      <c r="E32" s="358">
        <v>0.81399999999999995</v>
      </c>
      <c r="F32" s="379">
        <v>113.41980145279999</v>
      </c>
    </row>
    <row r="33" spans="1:6">
      <c r="A33" s="231" t="s">
        <v>100</v>
      </c>
      <c r="B33" s="71"/>
      <c r="C33" s="71">
        <v>0.8043259586770436</v>
      </c>
      <c r="D33" s="356">
        <v>1.7999999999999999E-2</v>
      </c>
      <c r="E33" s="71">
        <v>0.13322071130692884</v>
      </c>
      <c r="F33" s="378"/>
    </row>
    <row r="34" spans="1:6">
      <c r="A34" s="9" t="s">
        <v>75</v>
      </c>
      <c r="B34" s="73">
        <v>4.6569193022782072</v>
      </c>
      <c r="C34" s="73">
        <v>3.2000000000000001E-2</v>
      </c>
      <c r="D34" s="73">
        <v>3.7093000000000001E-2</v>
      </c>
      <c r="E34" s="57"/>
      <c r="F34" s="374">
        <v>4.7260123022782068</v>
      </c>
    </row>
    <row r="35" spans="1:6">
      <c r="A35" s="59" t="s">
        <v>101</v>
      </c>
      <c r="B35" s="71"/>
      <c r="C35" s="71">
        <v>2.4754</v>
      </c>
      <c r="D35" s="71">
        <v>2.3300000000000001E-2</v>
      </c>
      <c r="E35" s="356"/>
      <c r="F35" s="376">
        <v>2.4986999999999999</v>
      </c>
    </row>
    <row r="36" spans="1:6">
      <c r="A36" s="9" t="s">
        <v>3</v>
      </c>
      <c r="B36" s="73">
        <v>10.81</v>
      </c>
      <c r="C36" s="73">
        <v>0.17699999999999999</v>
      </c>
      <c r="D36" s="73">
        <v>2.5000000000000001E-2</v>
      </c>
      <c r="E36" s="57"/>
      <c r="F36" s="374">
        <v>11.012</v>
      </c>
    </row>
    <row r="37" spans="1:6">
      <c r="A37" s="59" t="s">
        <v>79</v>
      </c>
      <c r="B37" s="71">
        <v>12.548504662861072</v>
      </c>
      <c r="C37" s="71">
        <v>0.96809532535249299</v>
      </c>
      <c r="D37" s="71">
        <v>1E-3</v>
      </c>
      <c r="E37" s="356"/>
      <c r="F37" s="376">
        <v>13.517599988213565</v>
      </c>
    </row>
    <row r="38" spans="1:6">
      <c r="A38" s="9" t="s">
        <v>76</v>
      </c>
      <c r="B38" s="73">
        <v>30.05764128186371</v>
      </c>
      <c r="C38" s="73">
        <v>3.5859999999999999</v>
      </c>
      <c r="D38" s="73">
        <v>0.191</v>
      </c>
      <c r="E38" s="73">
        <v>0.64376020738820483</v>
      </c>
      <c r="F38" s="374">
        <v>34.478401489251915</v>
      </c>
    </row>
    <row r="39" spans="1:6">
      <c r="A39" s="59" t="s">
        <v>20</v>
      </c>
      <c r="B39" s="71">
        <v>236.76541382887598</v>
      </c>
      <c r="C39" s="71">
        <v>74.7816636353528</v>
      </c>
      <c r="D39" s="71">
        <v>8.5440000000000005</v>
      </c>
      <c r="E39" s="71"/>
      <c r="F39" s="376">
        <v>320.09107746422876</v>
      </c>
    </row>
    <row r="40" spans="1:6">
      <c r="A40" s="9" t="s">
        <v>102</v>
      </c>
      <c r="B40" s="206"/>
      <c r="C40" s="262">
        <v>22.634312889720576</v>
      </c>
      <c r="D40" s="262">
        <v>12.484824450378023</v>
      </c>
      <c r="E40" s="262">
        <v>9.24347288273872</v>
      </c>
      <c r="F40" s="374"/>
    </row>
    <row r="41" spans="1:6">
      <c r="A41" s="330" t="s">
        <v>24</v>
      </c>
      <c r="B41" s="357">
        <v>566.10626439113844</v>
      </c>
      <c r="C41" s="359">
        <v>19.426091660132109</v>
      </c>
      <c r="D41" s="359">
        <v>30.841000000000001</v>
      </c>
      <c r="E41" s="318">
        <v>7.8865569052927693</v>
      </c>
      <c r="F41" s="380">
        <v>624.25991295656331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I42"/>
  <sheetViews>
    <sheetView zoomScaleNormal="100" workbookViewId="0">
      <selection activeCell="AJ1" sqref="AJ1:AK1048576"/>
    </sheetView>
  </sheetViews>
  <sheetFormatPr defaultColWidth="9.1328125" defaultRowHeight="10.15"/>
  <cols>
    <col min="1" max="1" width="5" style="62" customWidth="1"/>
    <col min="2" max="3" width="7.73046875" style="62" customWidth="1"/>
    <col min="4" max="4" width="6.73046875" style="62" customWidth="1"/>
    <col min="5" max="8" width="7.73046875" style="62" customWidth="1"/>
    <col min="9" max="9" width="7.1328125" style="62" customWidth="1"/>
    <col min="10" max="10" width="8.1328125" style="62" customWidth="1"/>
    <col min="11" max="13" width="7.73046875" style="62" customWidth="1"/>
    <col min="14" max="14" width="6.73046875" style="62" customWidth="1"/>
    <col min="15" max="18" width="7.73046875" style="62" customWidth="1"/>
    <col min="19" max="19" width="9" style="62" customWidth="1"/>
    <col min="20" max="20" width="8.73046875" style="62" customWidth="1"/>
    <col min="21" max="35" width="7.73046875" style="62" customWidth="1"/>
    <col min="36" max="16384" width="9.1328125" style="62"/>
  </cols>
  <sheetData>
    <row r="1" spans="1:35" ht="20.100000000000001" customHeight="1">
      <c r="A1" s="99"/>
      <c r="B1" s="258">
        <v>1970</v>
      </c>
      <c r="C1" s="258">
        <v>1980</v>
      </c>
      <c r="D1" s="138">
        <v>1990</v>
      </c>
      <c r="E1" s="138">
        <v>1991</v>
      </c>
      <c r="F1" s="138">
        <v>1992</v>
      </c>
      <c r="G1" s="138">
        <v>1993</v>
      </c>
      <c r="H1" s="138">
        <v>1994</v>
      </c>
      <c r="I1" s="138">
        <v>1995</v>
      </c>
      <c r="J1" s="138">
        <v>1996</v>
      </c>
      <c r="K1" s="138">
        <v>1997</v>
      </c>
      <c r="L1" s="138">
        <v>1998</v>
      </c>
      <c r="M1" s="138">
        <v>1999</v>
      </c>
      <c r="N1" s="138">
        <v>2000</v>
      </c>
      <c r="O1" s="138">
        <v>2001</v>
      </c>
      <c r="P1" s="138">
        <v>2002</v>
      </c>
      <c r="Q1" s="138">
        <v>2003</v>
      </c>
      <c r="R1" s="138">
        <v>2004</v>
      </c>
      <c r="S1" s="138">
        <v>2005</v>
      </c>
      <c r="T1" s="138">
        <v>2006</v>
      </c>
      <c r="U1" s="138">
        <v>2007</v>
      </c>
      <c r="V1" s="138">
        <v>2008</v>
      </c>
      <c r="W1" s="138">
        <v>2009</v>
      </c>
      <c r="X1" s="138">
        <v>2010</v>
      </c>
      <c r="Y1" s="138">
        <v>2011</v>
      </c>
      <c r="Z1" s="138">
        <v>2012</v>
      </c>
      <c r="AA1" s="138">
        <v>2013</v>
      </c>
      <c r="AB1" s="138">
        <v>2014</v>
      </c>
      <c r="AC1" s="138">
        <v>2015</v>
      </c>
      <c r="AD1" s="138">
        <v>2016</v>
      </c>
      <c r="AE1" s="138">
        <v>2017</v>
      </c>
      <c r="AF1" s="138">
        <v>2018</v>
      </c>
      <c r="AG1" s="138">
        <v>2019</v>
      </c>
      <c r="AH1" s="138">
        <v>2020</v>
      </c>
      <c r="AI1" s="138">
        <v>2021</v>
      </c>
    </row>
    <row r="2" spans="1:35" ht="9.9499999999999993" customHeight="1">
      <c r="A2" s="275"/>
      <c r="B2" s="260"/>
      <c r="C2" s="260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 ht="12.75" customHeight="1">
      <c r="A3" s="153" t="s">
        <v>81</v>
      </c>
      <c r="B3" s="160"/>
      <c r="C3" s="160"/>
      <c r="D3" s="160"/>
      <c r="E3" s="245"/>
      <c r="F3" s="245"/>
      <c r="G3" s="245"/>
      <c r="H3" s="245"/>
      <c r="I3" s="249">
        <f>SUM(I4:I30)</f>
        <v>3283.7635352382986</v>
      </c>
      <c r="J3" s="249">
        <f t="shared" ref="J3:T3" si="0">SUM(J4:J30)</f>
        <v>3343.4005296782343</v>
      </c>
      <c r="K3" s="249">
        <f t="shared" si="0"/>
        <v>3412.1993932868522</v>
      </c>
      <c r="L3" s="249">
        <f t="shared" si="0"/>
        <v>3507.1338683711424</v>
      </c>
      <c r="M3" s="249">
        <f t="shared" si="0"/>
        <v>3610.5575238836655</v>
      </c>
      <c r="N3" s="249">
        <f t="shared" si="0"/>
        <v>3660.3550623140204</v>
      </c>
      <c r="O3" s="249">
        <f t="shared" si="0"/>
        <v>3734.2157647230588</v>
      </c>
      <c r="P3" s="249">
        <f t="shared" si="0"/>
        <v>3789.3050249260709</v>
      </c>
      <c r="Q3" s="249">
        <f t="shared" si="0"/>
        <v>3826.1956189610128</v>
      </c>
      <c r="R3" s="249">
        <f t="shared" si="0"/>
        <v>3878.1627438382161</v>
      </c>
      <c r="S3" s="249">
        <f t="shared" si="0"/>
        <v>3839.1794808863438</v>
      </c>
      <c r="T3" s="249">
        <f t="shared" si="0"/>
        <v>3875.2614469870077</v>
      </c>
      <c r="U3" s="249">
        <v>3921.2560941458078</v>
      </c>
      <c r="V3" s="249">
        <v>3931.6239841889396</v>
      </c>
      <c r="W3" s="249">
        <v>4009.2120907480175</v>
      </c>
      <c r="X3" s="249">
        <v>3975.8509514257871</v>
      </c>
      <c r="Y3" s="249">
        <v>3943.6434280371873</v>
      </c>
      <c r="Z3" s="249">
        <v>3904.5431623219174</v>
      </c>
      <c r="AA3" s="249">
        <v>3964.794984671576</v>
      </c>
      <c r="AB3" s="249">
        <v>4020.2617494762826</v>
      </c>
      <c r="AC3" s="249">
        <v>4110.5450140439361</v>
      </c>
      <c r="AD3" s="249">
        <v>4196.60176279402</v>
      </c>
      <c r="AE3" s="249">
        <v>4241.3578006787102</v>
      </c>
      <c r="AF3" s="249">
        <v>4261.0432924775987</v>
      </c>
      <c r="AG3" s="249">
        <v>4298.3221246594003</v>
      </c>
      <c r="AH3" s="249">
        <v>3516.8992746836843</v>
      </c>
      <c r="AI3" s="249">
        <v>3742.2362108397956</v>
      </c>
    </row>
    <row r="4" spans="1:35" ht="12.75" customHeight="1">
      <c r="A4" s="65" t="s">
        <v>25</v>
      </c>
      <c r="B4" s="68">
        <v>41.106999999999999</v>
      </c>
      <c r="C4" s="68">
        <v>64.576999999999998</v>
      </c>
      <c r="D4" s="63">
        <v>89.486568154942205</v>
      </c>
      <c r="E4" s="63">
        <v>93.170725494158987</v>
      </c>
      <c r="F4" s="63">
        <v>94.65159259661695</v>
      </c>
      <c r="G4" s="63">
        <v>95.159026932527695</v>
      </c>
      <c r="H4" s="63">
        <v>97.61982726007605</v>
      </c>
      <c r="I4" s="63">
        <v>96.41122844758948</v>
      </c>
      <c r="J4" s="63">
        <v>96.124700750612945</v>
      </c>
      <c r="K4" s="63">
        <v>97.950041818024587</v>
      </c>
      <c r="L4" s="63">
        <v>100.14564232032866</v>
      </c>
      <c r="M4" s="63">
        <v>102.03922550781316</v>
      </c>
      <c r="N4" s="63">
        <v>102.54438530389039</v>
      </c>
      <c r="O4" s="63">
        <v>103.44056228671244</v>
      </c>
      <c r="P4" s="63">
        <v>104.84343859901594</v>
      </c>
      <c r="Q4" s="63">
        <v>102.49487951863394</v>
      </c>
      <c r="R4" s="63">
        <v>103.03402541013166</v>
      </c>
      <c r="S4" s="63">
        <v>102.80426446068903</v>
      </c>
      <c r="T4" s="63">
        <v>102.65959801049536</v>
      </c>
      <c r="U4" s="63">
        <v>104.57039703409255</v>
      </c>
      <c r="V4" s="63">
        <v>107.94287032877924</v>
      </c>
      <c r="W4" s="63">
        <v>108.07377743339944</v>
      </c>
      <c r="X4" s="63">
        <v>109.38776021905481</v>
      </c>
      <c r="Y4" s="63">
        <v>109.96953280096133</v>
      </c>
      <c r="Z4" s="63">
        <v>110.14105828193429</v>
      </c>
      <c r="AA4" s="159">
        <v>105.293135637308</v>
      </c>
      <c r="AB4" s="63">
        <v>108.11064251165099</v>
      </c>
      <c r="AC4" s="63">
        <v>107.001968595549</v>
      </c>
      <c r="AD4" s="63">
        <v>106.13976370089</v>
      </c>
      <c r="AE4" s="63">
        <v>106.94</v>
      </c>
      <c r="AF4" s="63">
        <v>107.31994254833911</v>
      </c>
      <c r="AG4" s="232">
        <v>107.44465259541536</v>
      </c>
      <c r="AH4" s="232">
        <v>91.438818388364325</v>
      </c>
      <c r="AI4" s="334">
        <v>96.74805177866115</v>
      </c>
    </row>
    <row r="5" spans="1:35" ht="12.75" customHeight="1">
      <c r="A5" s="83" t="s">
        <v>8</v>
      </c>
      <c r="B5" s="86" t="s">
        <v>37</v>
      </c>
      <c r="C5" s="86" t="s">
        <v>37</v>
      </c>
      <c r="D5" s="85"/>
      <c r="E5" s="85"/>
      <c r="F5" s="85"/>
      <c r="G5" s="85"/>
      <c r="H5" s="85"/>
      <c r="I5" s="87">
        <v>25</v>
      </c>
      <c r="J5" s="87">
        <v>24.5</v>
      </c>
      <c r="K5" s="87">
        <v>23.9</v>
      </c>
      <c r="L5" s="87">
        <v>24.6</v>
      </c>
      <c r="M5" s="87">
        <v>25.4</v>
      </c>
      <c r="N5" s="87">
        <v>26.9</v>
      </c>
      <c r="O5" s="87">
        <v>27.9</v>
      </c>
      <c r="P5" s="87">
        <v>29.3</v>
      </c>
      <c r="Q5" s="87">
        <v>30.7</v>
      </c>
      <c r="R5" s="87">
        <v>32.799999999999997</v>
      </c>
      <c r="S5" s="87">
        <v>35.1</v>
      </c>
      <c r="T5" s="87">
        <v>37.6</v>
      </c>
      <c r="U5" s="87">
        <v>40.4</v>
      </c>
      <c r="V5" s="87">
        <v>43.2</v>
      </c>
      <c r="W5" s="87">
        <v>46.3</v>
      </c>
      <c r="X5" s="87">
        <v>46.9</v>
      </c>
      <c r="Y5" s="87">
        <v>48.068037489384793</v>
      </c>
      <c r="Z5" s="87">
        <v>49.702936925862396</v>
      </c>
      <c r="AA5" s="87">
        <v>51.364114011617502</v>
      </c>
      <c r="AB5" s="87">
        <v>53.956822763753138</v>
      </c>
      <c r="AC5" s="87">
        <v>56.846089338036968</v>
      </c>
      <c r="AD5" s="87">
        <v>56.62772543455219</v>
      </c>
      <c r="AE5" s="87">
        <v>57.673404969351786</v>
      </c>
      <c r="AF5" s="87">
        <v>57.248256975896965</v>
      </c>
      <c r="AG5" s="87">
        <v>58.133106172243998</v>
      </c>
      <c r="AH5" s="87">
        <v>50.122043335689135</v>
      </c>
      <c r="AI5" s="335">
        <v>52.013458397091995</v>
      </c>
    </row>
    <row r="6" spans="1:35" ht="12.75" customHeight="1">
      <c r="A6" s="65" t="s">
        <v>10</v>
      </c>
      <c r="B6" s="276"/>
      <c r="C6" s="276"/>
      <c r="D6" s="277"/>
      <c r="E6" s="67"/>
      <c r="F6" s="67"/>
      <c r="G6" s="67">
        <v>49</v>
      </c>
      <c r="H6" s="67">
        <v>51.7</v>
      </c>
      <c r="I6" s="67">
        <v>54.5</v>
      </c>
      <c r="J6" s="67">
        <v>57.9</v>
      </c>
      <c r="K6" s="67">
        <v>59</v>
      </c>
      <c r="L6" s="73">
        <v>59.725999999999999</v>
      </c>
      <c r="M6" s="67">
        <v>62.38</v>
      </c>
      <c r="N6" s="67">
        <v>63.94</v>
      </c>
      <c r="O6" s="67">
        <v>63.47</v>
      </c>
      <c r="P6" s="67">
        <v>65.290000000000006</v>
      </c>
      <c r="Q6" s="67">
        <v>67.36</v>
      </c>
      <c r="R6" s="67">
        <v>67.569999999999993</v>
      </c>
      <c r="S6" s="67">
        <v>68.64</v>
      </c>
      <c r="T6" s="67">
        <v>69.63</v>
      </c>
      <c r="U6" s="67">
        <v>71.540000000000006</v>
      </c>
      <c r="V6" s="67">
        <v>72.38</v>
      </c>
      <c r="W6" s="91">
        <v>72.290000000000006</v>
      </c>
      <c r="X6" s="92">
        <v>63.57</v>
      </c>
      <c r="Y6" s="91">
        <v>65.489999999999995</v>
      </c>
      <c r="Z6" s="91">
        <v>64.62</v>
      </c>
      <c r="AA6" s="91">
        <v>64.650000000000006</v>
      </c>
      <c r="AB6" s="91">
        <v>66.260000000000005</v>
      </c>
      <c r="AC6" s="91">
        <v>69.704999999999998</v>
      </c>
      <c r="AD6" s="91">
        <v>72.254999999999995</v>
      </c>
      <c r="AE6" s="91">
        <v>74.326999999999998</v>
      </c>
      <c r="AF6" s="91">
        <v>77.971000000000004</v>
      </c>
      <c r="AG6" s="91">
        <v>81.179000000000002</v>
      </c>
      <c r="AH6" s="91">
        <v>68.936000000000007</v>
      </c>
      <c r="AI6" s="336">
        <v>87.933000000000007</v>
      </c>
    </row>
    <row r="7" spans="1:35" ht="12.75" customHeight="1">
      <c r="A7" s="83" t="s">
        <v>21</v>
      </c>
      <c r="B7" s="86">
        <v>33.299999999999997</v>
      </c>
      <c r="C7" s="86">
        <v>38.484999999999999</v>
      </c>
      <c r="D7" s="278">
        <v>47.191000000000003</v>
      </c>
      <c r="E7" s="278">
        <v>47.865000000000002</v>
      </c>
      <c r="F7" s="278">
        <v>48.125999999999998</v>
      </c>
      <c r="G7" s="278">
        <v>47.621000000000002</v>
      </c>
      <c r="H7" s="278">
        <v>47.77</v>
      </c>
      <c r="I7" s="278">
        <v>48.389000000000003</v>
      </c>
      <c r="J7" s="278">
        <v>49.042000000000002</v>
      </c>
      <c r="K7" s="278">
        <v>49.91</v>
      </c>
      <c r="L7" s="278">
        <v>50.328000000000003</v>
      </c>
      <c r="M7" s="278">
        <v>51.307000000000002</v>
      </c>
      <c r="N7" s="278">
        <v>50.615000000000002</v>
      </c>
      <c r="O7" s="278">
        <v>49.62</v>
      </c>
      <c r="P7" s="278">
        <v>49.454000000000001</v>
      </c>
      <c r="Q7" s="278">
        <v>49.695</v>
      </c>
      <c r="R7" s="278">
        <v>50.557000000000002</v>
      </c>
      <c r="S7" s="278">
        <v>49.758000000000003</v>
      </c>
      <c r="T7" s="278">
        <v>49.648000000000003</v>
      </c>
      <c r="U7" s="278">
        <v>50.732999999999997</v>
      </c>
      <c r="V7" s="278">
        <v>51.459000000000003</v>
      </c>
      <c r="W7" s="278">
        <v>51.884</v>
      </c>
      <c r="X7" s="278">
        <v>51.691000000000003</v>
      </c>
      <c r="Y7" s="278">
        <v>52.957000000000001</v>
      </c>
      <c r="Z7" s="278">
        <v>52.664999999999999</v>
      </c>
      <c r="AA7" s="278">
        <v>52.904000000000003</v>
      </c>
      <c r="AB7" s="278">
        <v>54.402000000000001</v>
      </c>
      <c r="AC7" s="278">
        <v>56.844000000000001</v>
      </c>
      <c r="AD7" s="278">
        <v>59.040999999999997</v>
      </c>
      <c r="AE7" s="278">
        <v>60.045999999999999</v>
      </c>
      <c r="AF7" s="278">
        <v>61.213000000000001</v>
      </c>
      <c r="AG7" s="278">
        <v>62.512999999999998</v>
      </c>
      <c r="AH7" s="278">
        <v>58.478999999999999</v>
      </c>
      <c r="AI7" s="337">
        <v>58.91</v>
      </c>
    </row>
    <row r="8" spans="1:35" ht="12.75" customHeight="1">
      <c r="A8" s="65" t="s">
        <v>26</v>
      </c>
      <c r="B8" s="68">
        <v>394.6</v>
      </c>
      <c r="C8" s="68">
        <v>513.70000000000005</v>
      </c>
      <c r="D8" s="67">
        <v>683.1</v>
      </c>
      <c r="E8" s="67">
        <v>700</v>
      </c>
      <c r="F8" s="67">
        <v>719.5</v>
      </c>
      <c r="G8" s="79">
        <v>729.8</v>
      </c>
      <c r="H8" s="67">
        <v>807.02190250460717</v>
      </c>
      <c r="I8" s="67">
        <v>815.29762943489879</v>
      </c>
      <c r="J8" s="67">
        <v>816.07238295987293</v>
      </c>
      <c r="K8" s="67">
        <v>817.07066702101861</v>
      </c>
      <c r="L8" s="67">
        <v>828.06880234826895</v>
      </c>
      <c r="M8" s="67">
        <v>848.42000426863945</v>
      </c>
      <c r="N8" s="67">
        <v>831.26654484178448</v>
      </c>
      <c r="O8" s="67">
        <v>852.62943876994984</v>
      </c>
      <c r="P8" s="67">
        <v>862.98699999999997</v>
      </c>
      <c r="Q8" s="67">
        <v>857.73599999999999</v>
      </c>
      <c r="R8" s="67">
        <v>868.65</v>
      </c>
      <c r="S8" s="67">
        <v>856.875</v>
      </c>
      <c r="T8" s="67">
        <v>863.32799999999997</v>
      </c>
      <c r="U8" s="67">
        <v>866.53100000000006</v>
      </c>
      <c r="V8" s="67">
        <v>871.32799999999997</v>
      </c>
      <c r="W8" s="67">
        <v>881.1</v>
      </c>
      <c r="X8" s="67">
        <v>887</v>
      </c>
      <c r="Y8" s="67">
        <v>894.4</v>
      </c>
      <c r="Z8" s="67">
        <v>896.3</v>
      </c>
      <c r="AA8" s="67">
        <v>903.1</v>
      </c>
      <c r="AB8" s="67">
        <v>916.4</v>
      </c>
      <c r="AC8" s="67">
        <v>927</v>
      </c>
      <c r="AD8" s="79">
        <v>946.3</v>
      </c>
      <c r="AE8" s="67">
        <v>897.7</v>
      </c>
      <c r="AF8" s="67">
        <v>898.6</v>
      </c>
      <c r="AG8" s="67">
        <v>902.6</v>
      </c>
      <c r="AH8" s="67">
        <v>785.4</v>
      </c>
      <c r="AI8" s="297">
        <v>791.2</v>
      </c>
    </row>
    <row r="9" spans="1:35" ht="12.75" customHeight="1">
      <c r="A9" s="83" t="s">
        <v>11</v>
      </c>
      <c r="B9" s="86" t="s">
        <v>37</v>
      </c>
      <c r="C9" s="86" t="s">
        <v>37</v>
      </c>
      <c r="D9" s="85" t="s">
        <v>37</v>
      </c>
      <c r="E9" s="85" t="s">
        <v>37</v>
      </c>
      <c r="F9" s="85" t="s">
        <v>37</v>
      </c>
      <c r="G9" s="85" t="s">
        <v>37</v>
      </c>
      <c r="H9" s="85" t="s">
        <v>37</v>
      </c>
      <c r="I9" s="87">
        <v>5.1434955000000002</v>
      </c>
      <c r="J9" s="87">
        <v>5.5</v>
      </c>
      <c r="K9" s="87">
        <v>5.8</v>
      </c>
      <c r="L9" s="87">
        <v>6.1924551000000001</v>
      </c>
      <c r="M9" s="87">
        <v>6.4</v>
      </c>
      <c r="N9" s="87">
        <v>6.6821156999999998</v>
      </c>
      <c r="O9" s="87">
        <v>6.8091529999999993</v>
      </c>
      <c r="P9" s="87">
        <v>7.0596396000000006</v>
      </c>
      <c r="Q9" s="87">
        <v>7.6633114999999998</v>
      </c>
      <c r="R9" s="85">
        <v>7.8129999999999997</v>
      </c>
      <c r="S9" s="85">
        <v>9.9290000000000003</v>
      </c>
      <c r="T9" s="85">
        <v>9.9459999999999997</v>
      </c>
      <c r="U9" s="87">
        <v>10</v>
      </c>
      <c r="V9" s="87">
        <v>10.5</v>
      </c>
      <c r="W9" s="87">
        <v>10.5</v>
      </c>
      <c r="X9" s="87">
        <v>10.1</v>
      </c>
      <c r="Y9" s="87">
        <v>10.381082222547919</v>
      </c>
      <c r="Z9" s="87">
        <v>10.808595077153129</v>
      </c>
      <c r="AA9" s="87">
        <v>11.24613332249695</v>
      </c>
      <c r="AB9" s="87">
        <v>11.85200134241278</v>
      </c>
      <c r="AC9" s="87">
        <v>12.33194848698124</v>
      </c>
      <c r="AD9" s="87">
        <v>12.840848785603473</v>
      </c>
      <c r="AE9" s="87">
        <v>13.081243106323074</v>
      </c>
      <c r="AF9" s="87">
        <v>13.340182522661715</v>
      </c>
      <c r="AG9" s="87">
        <v>14.095500000000001</v>
      </c>
      <c r="AH9" s="87">
        <v>12.204694603133747</v>
      </c>
      <c r="AI9" s="335">
        <v>13.101254870059071</v>
      </c>
    </row>
    <row r="10" spans="1:35" ht="13.5" customHeight="1">
      <c r="A10" s="65" t="s">
        <v>29</v>
      </c>
      <c r="B10" s="89">
        <v>10</v>
      </c>
      <c r="C10" s="89">
        <v>19</v>
      </c>
      <c r="D10" s="232">
        <v>28.507000000000001</v>
      </c>
      <c r="E10" s="232">
        <v>29.038</v>
      </c>
      <c r="F10" s="232">
        <v>29.52</v>
      </c>
      <c r="G10" s="232">
        <v>29.835999999999999</v>
      </c>
      <c r="H10" s="232">
        <v>30.56</v>
      </c>
      <c r="I10" s="232">
        <v>31.558</v>
      </c>
      <c r="J10" s="232">
        <v>32.799999999999997</v>
      </c>
      <c r="K10" s="232">
        <v>34.360999999999997</v>
      </c>
      <c r="L10" s="232">
        <v>35.756</v>
      </c>
      <c r="M10" s="232">
        <v>36.838000000000001</v>
      </c>
      <c r="N10" s="232">
        <v>34.607999999999997</v>
      </c>
      <c r="O10" s="232">
        <v>36.459000000000003</v>
      </c>
      <c r="P10" s="232">
        <v>37.787999999999997</v>
      </c>
      <c r="Q10" s="232">
        <v>39.9495</v>
      </c>
      <c r="R10" s="232">
        <v>42.627000000000002</v>
      </c>
      <c r="S10" s="232">
        <v>44.378999999999998</v>
      </c>
      <c r="T10" s="232">
        <v>45.99</v>
      </c>
      <c r="U10" s="232">
        <v>47.959499999999998</v>
      </c>
      <c r="V10" s="232">
        <v>48.887999999999998</v>
      </c>
      <c r="W10" s="232">
        <v>48.857999999999997</v>
      </c>
      <c r="X10" s="232">
        <v>48.082500000000003</v>
      </c>
      <c r="Y10" s="232">
        <v>47.457000000000001</v>
      </c>
      <c r="Z10" s="232">
        <v>46.613999999999997</v>
      </c>
      <c r="AA10" s="232">
        <v>48.046499999999995</v>
      </c>
      <c r="AB10" s="232">
        <v>47.185500000000005</v>
      </c>
      <c r="AC10" s="232">
        <v>51.913499999999999</v>
      </c>
      <c r="AD10" s="232">
        <v>55.033500000000004</v>
      </c>
      <c r="AE10" s="232">
        <v>56.548944072441628</v>
      </c>
      <c r="AF10" s="232">
        <v>57.163062450440485</v>
      </c>
      <c r="AG10" s="232">
        <v>58.722310702763217</v>
      </c>
      <c r="AH10" s="232">
        <v>50.841011273958081</v>
      </c>
      <c r="AI10" s="334">
        <v>53.815487049137737</v>
      </c>
    </row>
    <row r="11" spans="1:35" ht="12.75" customHeight="1">
      <c r="A11" s="83" t="s">
        <v>22</v>
      </c>
      <c r="B11" s="88">
        <v>4.5</v>
      </c>
      <c r="C11" s="88">
        <v>17.5</v>
      </c>
      <c r="D11" s="87">
        <v>35</v>
      </c>
      <c r="E11" s="87">
        <v>36</v>
      </c>
      <c r="F11" s="87">
        <v>37</v>
      </c>
      <c r="G11" s="87">
        <v>39</v>
      </c>
      <c r="H11" s="87">
        <v>42</v>
      </c>
      <c r="I11" s="87">
        <v>44</v>
      </c>
      <c r="J11" s="87">
        <v>47</v>
      </c>
      <c r="K11" s="87">
        <v>50</v>
      </c>
      <c r="L11" s="87">
        <v>53</v>
      </c>
      <c r="M11" s="87">
        <v>58</v>
      </c>
      <c r="N11" s="87">
        <v>63</v>
      </c>
      <c r="O11" s="87">
        <v>68</v>
      </c>
      <c r="P11" s="87">
        <v>72</v>
      </c>
      <c r="Q11" s="87">
        <v>76</v>
      </c>
      <c r="R11" s="87">
        <v>80</v>
      </c>
      <c r="S11" s="87">
        <v>85</v>
      </c>
      <c r="T11" s="87">
        <v>90</v>
      </c>
      <c r="U11" s="87">
        <v>95</v>
      </c>
      <c r="V11" s="87">
        <v>100</v>
      </c>
      <c r="W11" s="87">
        <v>101.3</v>
      </c>
      <c r="X11" s="87">
        <v>99.6</v>
      </c>
      <c r="Y11" s="87">
        <v>98.322079941260128</v>
      </c>
      <c r="Z11" s="87">
        <v>96.934481527791093</v>
      </c>
      <c r="AA11" s="87">
        <v>95.811379215017098</v>
      </c>
      <c r="AB11" s="87">
        <v>96.870041465995087</v>
      </c>
      <c r="AC11" s="87">
        <v>98.275784515578437</v>
      </c>
      <c r="AD11" s="87">
        <v>99.922362971391891</v>
      </c>
      <c r="AE11" s="87">
        <v>101.87708750292296</v>
      </c>
      <c r="AF11" s="87">
        <v>103.3953545725447</v>
      </c>
      <c r="AG11" s="85">
        <v>105.30516484643624</v>
      </c>
      <c r="AH11" s="85">
        <v>91.046951931119651</v>
      </c>
      <c r="AI11" s="338">
        <v>97.646142097489857</v>
      </c>
    </row>
    <row r="12" spans="1:35" s="292" customFormat="1" ht="12.75" customHeight="1">
      <c r="A12" s="293" t="s">
        <v>27</v>
      </c>
      <c r="B12" s="294">
        <v>64.3</v>
      </c>
      <c r="C12" s="294">
        <v>130.9</v>
      </c>
      <c r="D12" s="295">
        <v>174.4</v>
      </c>
      <c r="E12" s="296">
        <v>207.542</v>
      </c>
      <c r="F12" s="297">
        <v>218.27</v>
      </c>
      <c r="G12" s="297">
        <v>229</v>
      </c>
      <c r="H12" s="297">
        <v>239.7</v>
      </c>
      <c r="I12" s="296">
        <v>250.374</v>
      </c>
      <c r="J12" s="297">
        <v>259</v>
      </c>
      <c r="K12" s="297">
        <v>267.60000000000002</v>
      </c>
      <c r="L12" s="296">
        <v>276.173</v>
      </c>
      <c r="M12" s="296">
        <v>293.54000000000002</v>
      </c>
      <c r="N12" s="296">
        <v>302.61099999999999</v>
      </c>
      <c r="O12" s="296">
        <v>307.95499999999998</v>
      </c>
      <c r="P12" s="297">
        <v>315</v>
      </c>
      <c r="Q12" s="296">
        <v>321.928</v>
      </c>
      <c r="R12" s="296">
        <v>330.19200000000001</v>
      </c>
      <c r="S12" s="296">
        <v>337.79700000000003</v>
      </c>
      <c r="T12" s="296">
        <v>340.93700000000001</v>
      </c>
      <c r="U12" s="296">
        <v>343.29300000000001</v>
      </c>
      <c r="V12" s="296">
        <v>342.61099999999999</v>
      </c>
      <c r="W12" s="296">
        <v>350.40100000000001</v>
      </c>
      <c r="X12" s="296">
        <v>341.62900000000002</v>
      </c>
      <c r="Y12" s="296">
        <v>334.02100000000002</v>
      </c>
      <c r="Z12" s="296">
        <v>321.04500000000002</v>
      </c>
      <c r="AA12" s="296">
        <v>316.53899999999999</v>
      </c>
      <c r="AB12" s="298">
        <v>308.70400000000001</v>
      </c>
      <c r="AC12" s="298">
        <v>317.553</v>
      </c>
      <c r="AD12" s="298">
        <v>329.88</v>
      </c>
      <c r="AE12" s="296">
        <v>332.858</v>
      </c>
      <c r="AF12" s="296">
        <v>340.55599999999998</v>
      </c>
      <c r="AG12" s="296">
        <v>342.005</v>
      </c>
      <c r="AH12" s="296">
        <v>265.53800000000001</v>
      </c>
      <c r="AI12" s="297">
        <v>281.30805122330844</v>
      </c>
    </row>
    <row r="13" spans="1:35" ht="12.75" customHeight="1">
      <c r="A13" s="83" t="s">
        <v>28</v>
      </c>
      <c r="B13" s="86">
        <v>304.7</v>
      </c>
      <c r="C13" s="86">
        <v>443.84071500000005</v>
      </c>
      <c r="D13" s="85">
        <v>592.46263657335749</v>
      </c>
      <c r="E13" s="85">
        <v>598.43515345785772</v>
      </c>
      <c r="F13" s="85">
        <v>614.23266634846095</v>
      </c>
      <c r="G13" s="85">
        <v>618.08598143580537</v>
      </c>
      <c r="H13" s="85">
        <v>628.64178379537589</v>
      </c>
      <c r="I13" s="85">
        <v>641.21749144146861</v>
      </c>
      <c r="J13" s="85">
        <v>643.95988995302332</v>
      </c>
      <c r="K13" s="85">
        <v>653.44400854606795</v>
      </c>
      <c r="L13" s="85">
        <v>672.20563618702647</v>
      </c>
      <c r="M13" s="85">
        <v>689.1919277863982</v>
      </c>
      <c r="N13" s="85">
        <v>687.73573412192502</v>
      </c>
      <c r="O13" s="85">
        <v>712.21725815796697</v>
      </c>
      <c r="P13" s="85">
        <v>716.87948383462697</v>
      </c>
      <c r="Q13" s="85">
        <v>718.29614938665156</v>
      </c>
      <c r="R13" s="85">
        <v>714.96623674957891</v>
      </c>
      <c r="S13" s="85">
        <v>704.61555371355587</v>
      </c>
      <c r="T13" s="85">
        <v>700.9141843686657</v>
      </c>
      <c r="U13" s="85">
        <v>705.34974950007359</v>
      </c>
      <c r="V13" s="85">
        <v>689.6663151892991</v>
      </c>
      <c r="W13" s="85">
        <v>690.13045232984962</v>
      </c>
      <c r="X13" s="85">
        <v>695.87129702480968</v>
      </c>
      <c r="Y13" s="124">
        <v>695.89468592518222</v>
      </c>
      <c r="Z13" s="85">
        <v>755.37115520423674</v>
      </c>
      <c r="AA13" s="85">
        <v>761.11580370757997</v>
      </c>
      <c r="AB13" s="85">
        <v>771.69348456206262</v>
      </c>
      <c r="AC13" s="85">
        <v>782.25923893758113</v>
      </c>
      <c r="AD13" s="85">
        <v>794.72161187766346</v>
      </c>
      <c r="AE13" s="85">
        <v>802.1993218595095</v>
      </c>
      <c r="AF13" s="85">
        <v>800.79472059845352</v>
      </c>
      <c r="AG13" s="85">
        <v>796.81592675753075</v>
      </c>
      <c r="AH13" s="85">
        <v>629.84570702567703</v>
      </c>
      <c r="AI13" s="338">
        <v>718.36779193435927</v>
      </c>
    </row>
    <row r="14" spans="1:35" ht="12.75" customHeight="1">
      <c r="A14" s="65" t="s">
        <v>39</v>
      </c>
      <c r="B14" s="68"/>
      <c r="C14" s="68"/>
      <c r="D14" s="67"/>
      <c r="E14" s="67"/>
      <c r="F14" s="67"/>
      <c r="G14" s="67"/>
      <c r="H14" s="67"/>
      <c r="I14" s="73">
        <v>12.5</v>
      </c>
      <c r="J14" s="73">
        <v>14.75</v>
      </c>
      <c r="K14" s="73">
        <v>16.5</v>
      </c>
      <c r="L14" s="73">
        <v>17.5</v>
      </c>
      <c r="M14" s="73">
        <v>19</v>
      </c>
      <c r="N14" s="73">
        <v>20</v>
      </c>
      <c r="O14" s="73">
        <v>21</v>
      </c>
      <c r="P14" s="73">
        <v>22</v>
      </c>
      <c r="Q14" s="73">
        <v>22.5</v>
      </c>
      <c r="R14" s="73">
        <v>23.5</v>
      </c>
      <c r="S14" s="73">
        <v>24</v>
      </c>
      <c r="T14" s="73">
        <v>25</v>
      </c>
      <c r="U14" s="73">
        <v>26</v>
      </c>
      <c r="V14" s="73">
        <v>27</v>
      </c>
      <c r="W14" s="73">
        <v>26.8</v>
      </c>
      <c r="X14" s="73">
        <v>25.7</v>
      </c>
      <c r="Y14" s="67">
        <v>25.242000000000001</v>
      </c>
      <c r="Z14" s="67">
        <v>26.146999999999998</v>
      </c>
      <c r="AA14" s="67">
        <v>26.145</v>
      </c>
      <c r="AB14" s="67">
        <v>26.056999999999999</v>
      </c>
      <c r="AC14" s="67">
        <v>26.393000000000001</v>
      </c>
      <c r="AD14" s="67">
        <v>26.181000000000001</v>
      </c>
      <c r="AE14" s="67">
        <v>26.189</v>
      </c>
      <c r="AF14" s="67">
        <v>25.594000000000001</v>
      </c>
      <c r="AG14" s="67">
        <v>25.372</v>
      </c>
      <c r="AH14" s="67">
        <v>20.215</v>
      </c>
      <c r="AI14" s="296">
        <v>23.135000000000002</v>
      </c>
    </row>
    <row r="15" spans="1:35" ht="12.75" customHeight="1">
      <c r="A15" s="69" t="s">
        <v>30</v>
      </c>
      <c r="B15" s="72">
        <v>211.934</v>
      </c>
      <c r="C15" s="72">
        <v>324.03399999999999</v>
      </c>
      <c r="D15" s="82">
        <v>522.59299999999996</v>
      </c>
      <c r="E15" s="71">
        <v>538.27</v>
      </c>
      <c r="F15" s="71">
        <v>602.21</v>
      </c>
      <c r="G15" s="71">
        <v>603.09</v>
      </c>
      <c r="H15" s="70">
        <v>600.29999999999995</v>
      </c>
      <c r="I15" s="70">
        <v>614.71299999999997</v>
      </c>
      <c r="J15" s="70">
        <v>627.38300000000004</v>
      </c>
      <c r="K15" s="70">
        <v>638.83699999999999</v>
      </c>
      <c r="L15" s="70">
        <v>662.54499999999996</v>
      </c>
      <c r="M15" s="81">
        <v>663.31899999999996</v>
      </c>
      <c r="N15" s="80">
        <v>713.93100000000004</v>
      </c>
      <c r="O15" s="70">
        <v>717.30696391832623</v>
      </c>
      <c r="P15" s="70">
        <v>720.68292783665242</v>
      </c>
      <c r="Q15" s="70">
        <v>724.05889175497862</v>
      </c>
      <c r="R15" s="70">
        <v>727.43485567330481</v>
      </c>
      <c r="S15" s="70">
        <v>677.01400000000001</v>
      </c>
      <c r="T15" s="70">
        <v>676.255</v>
      </c>
      <c r="U15" s="70">
        <v>677.05600000000004</v>
      </c>
      <c r="V15" s="70">
        <v>676.35900000000004</v>
      </c>
      <c r="W15" s="70">
        <v>719.91200000000003</v>
      </c>
      <c r="X15" s="70">
        <v>698.39</v>
      </c>
      <c r="Y15" s="70">
        <v>665.32799999999997</v>
      </c>
      <c r="Z15" s="70">
        <v>578.66800000000001</v>
      </c>
      <c r="AA15" s="70">
        <v>620.36800000000005</v>
      </c>
      <c r="AB15" s="70">
        <v>642.91999999999996</v>
      </c>
      <c r="AC15" s="70">
        <v>676.35</v>
      </c>
      <c r="AD15" s="70">
        <v>704.54200000000003</v>
      </c>
      <c r="AE15" s="70">
        <v>744.91899999999998</v>
      </c>
      <c r="AF15" s="70">
        <v>722.89400000000001</v>
      </c>
      <c r="AG15" s="70">
        <v>732.42899999999997</v>
      </c>
      <c r="AH15" s="70">
        <v>488.29899999999998</v>
      </c>
      <c r="AI15" s="325">
        <v>518.27499999999998</v>
      </c>
    </row>
    <row r="16" spans="1:35" ht="12.75" customHeight="1">
      <c r="A16" s="65" t="s">
        <v>9</v>
      </c>
      <c r="B16" s="68" t="s">
        <v>37</v>
      </c>
      <c r="C16" s="68" t="s">
        <v>37</v>
      </c>
      <c r="D16" s="67" t="s">
        <v>37</v>
      </c>
      <c r="E16" s="67" t="s">
        <v>37</v>
      </c>
      <c r="F16" s="67" t="s">
        <v>37</v>
      </c>
      <c r="G16" s="67" t="s">
        <v>37</v>
      </c>
      <c r="H16" s="67" t="s">
        <v>37</v>
      </c>
      <c r="I16" s="232">
        <v>3.4</v>
      </c>
      <c r="J16" s="232">
        <v>3.5</v>
      </c>
      <c r="K16" s="232">
        <v>3.6</v>
      </c>
      <c r="L16" s="232">
        <v>3.7</v>
      </c>
      <c r="M16" s="232">
        <v>3.8</v>
      </c>
      <c r="N16" s="232">
        <v>3.9</v>
      </c>
      <c r="O16" s="232">
        <v>4</v>
      </c>
      <c r="P16" s="232">
        <v>4.0999999999999996</v>
      </c>
      <c r="Q16" s="232">
        <v>4.1500000000000004</v>
      </c>
      <c r="R16" s="73">
        <v>4.5999999999999996</v>
      </c>
      <c r="S16" s="73">
        <v>4.8</v>
      </c>
      <c r="T16" s="73">
        <v>5</v>
      </c>
      <c r="U16" s="73">
        <v>5.3</v>
      </c>
      <c r="V16" s="73">
        <v>5.75</v>
      </c>
      <c r="W16" s="73">
        <v>6</v>
      </c>
      <c r="X16" s="73">
        <v>5.9</v>
      </c>
      <c r="Y16" s="73">
        <v>5.93190592556501</v>
      </c>
      <c r="Z16" s="73">
        <v>5.9515765516010246</v>
      </c>
      <c r="AA16" s="73">
        <v>5.9211434324198757</v>
      </c>
      <c r="AB16" s="73">
        <v>6.0557617857620594</v>
      </c>
      <c r="AC16" s="73">
        <v>6.1981335730052542</v>
      </c>
      <c r="AD16" s="73">
        <v>6.4728965180617504</v>
      </c>
      <c r="AE16" s="73">
        <v>6.5573941867523127</v>
      </c>
      <c r="AF16" s="73">
        <v>6.7999745805257668</v>
      </c>
      <c r="AG16" s="73">
        <v>7.0348733638037793</v>
      </c>
      <c r="AH16" s="73">
        <v>6.04669649765885</v>
      </c>
      <c r="AI16" s="297">
        <v>6.5092190059238586</v>
      </c>
    </row>
    <row r="17" spans="1:35" ht="12.75" customHeight="1">
      <c r="A17" s="69" t="s">
        <v>13</v>
      </c>
      <c r="B17" s="72" t="s">
        <v>37</v>
      </c>
      <c r="C17" s="72" t="s">
        <v>37</v>
      </c>
      <c r="D17" s="70" t="s">
        <v>37</v>
      </c>
      <c r="E17" s="70" t="s">
        <v>37</v>
      </c>
      <c r="F17" s="70" t="s">
        <v>37</v>
      </c>
      <c r="G17" s="70" t="s">
        <v>37</v>
      </c>
      <c r="H17" s="70" t="s">
        <v>37</v>
      </c>
      <c r="I17" s="279">
        <v>7.5</v>
      </c>
      <c r="J17" s="279">
        <v>8</v>
      </c>
      <c r="K17" s="279">
        <v>9</v>
      </c>
      <c r="L17" s="279">
        <v>10</v>
      </c>
      <c r="M17" s="279">
        <v>11</v>
      </c>
      <c r="N17" s="279">
        <v>11.5</v>
      </c>
      <c r="O17" s="279">
        <v>12</v>
      </c>
      <c r="P17" s="279">
        <v>12.5</v>
      </c>
      <c r="Q17" s="279">
        <v>13</v>
      </c>
      <c r="R17" s="71">
        <v>11.506399999999999</v>
      </c>
      <c r="S17" s="70">
        <v>12.111499999999999</v>
      </c>
      <c r="T17" s="71">
        <v>14.019600000000001</v>
      </c>
      <c r="U17" s="71">
        <v>15.9572</v>
      </c>
      <c r="V17" s="70">
        <v>14.2525</v>
      </c>
      <c r="W17" s="70">
        <v>12.70369</v>
      </c>
      <c r="X17" s="70">
        <v>12.312340000000001</v>
      </c>
      <c r="Y17" s="70">
        <v>11.3499</v>
      </c>
      <c r="Z17" s="70">
        <v>11.528</v>
      </c>
      <c r="AA17" s="70">
        <v>11.7334</v>
      </c>
      <c r="AB17" s="70">
        <v>12.6258</v>
      </c>
      <c r="AC17" s="70">
        <v>13.5426</v>
      </c>
      <c r="AD17" s="70">
        <v>13.8988</v>
      </c>
      <c r="AE17" s="70">
        <v>14.978</v>
      </c>
      <c r="AF17" s="70">
        <v>15.256</v>
      </c>
      <c r="AG17" s="70">
        <v>15.5</v>
      </c>
      <c r="AH17" s="70">
        <v>14.773999999999999</v>
      </c>
      <c r="AI17" s="325">
        <v>13.435499999999999</v>
      </c>
    </row>
    <row r="18" spans="1:35" ht="12.75" customHeight="1">
      <c r="A18" s="65" t="s">
        <v>14</v>
      </c>
      <c r="B18" s="68" t="s">
        <v>37</v>
      </c>
      <c r="C18" s="68" t="s">
        <v>37</v>
      </c>
      <c r="D18" s="67" t="s">
        <v>37</v>
      </c>
      <c r="E18" s="67" t="s">
        <v>37</v>
      </c>
      <c r="F18" s="67" t="s">
        <v>37</v>
      </c>
      <c r="G18" s="67" t="s">
        <v>37</v>
      </c>
      <c r="H18" s="67" t="s">
        <v>37</v>
      </c>
      <c r="I18" s="73">
        <v>16</v>
      </c>
      <c r="J18" s="73">
        <v>18</v>
      </c>
      <c r="K18" s="73">
        <v>20</v>
      </c>
      <c r="L18" s="73">
        <v>22</v>
      </c>
      <c r="M18" s="73">
        <v>25</v>
      </c>
      <c r="N18" s="73">
        <v>26</v>
      </c>
      <c r="O18" s="73">
        <v>26</v>
      </c>
      <c r="P18" s="73">
        <v>26</v>
      </c>
      <c r="Q18" s="73">
        <v>29</v>
      </c>
      <c r="R18" s="73">
        <v>31</v>
      </c>
      <c r="S18" s="67">
        <v>34.792999999999999</v>
      </c>
      <c r="T18" s="67">
        <v>39.472000000000001</v>
      </c>
      <c r="U18" s="67">
        <v>39.119</v>
      </c>
      <c r="V18" s="67">
        <v>37.991</v>
      </c>
      <c r="W18" s="67">
        <v>36.055</v>
      </c>
      <c r="X18" s="67">
        <v>32.569000000000003</v>
      </c>
      <c r="Y18" s="67">
        <v>29.908000000000001</v>
      </c>
      <c r="Z18" s="67">
        <v>34.191000000000003</v>
      </c>
      <c r="AA18" s="67">
        <v>33.325000000000003</v>
      </c>
      <c r="AB18" s="67">
        <v>24.335999999999999</v>
      </c>
      <c r="AC18" s="67">
        <v>24.864999999999998</v>
      </c>
      <c r="AD18" s="67">
        <v>25.853999999999999</v>
      </c>
      <c r="AE18" s="67">
        <v>31.361000000000001</v>
      </c>
      <c r="AF18" s="67">
        <v>30.119</v>
      </c>
      <c r="AG18" s="73">
        <v>31.400873036545914</v>
      </c>
      <c r="AH18" s="73">
        <v>28.53521251375982</v>
      </c>
      <c r="AI18" s="297">
        <v>30.866895828285699</v>
      </c>
    </row>
    <row r="19" spans="1:35" ht="12.75" customHeight="1">
      <c r="A19" s="69" t="s">
        <v>31</v>
      </c>
      <c r="B19" s="78">
        <v>2.1</v>
      </c>
      <c r="C19" s="78">
        <v>2.7</v>
      </c>
      <c r="D19" s="71">
        <v>4</v>
      </c>
      <c r="E19" s="71">
        <v>4.1500000000000004</v>
      </c>
      <c r="F19" s="71">
        <v>4.3</v>
      </c>
      <c r="G19" s="71">
        <v>4.5</v>
      </c>
      <c r="H19" s="71">
        <v>4.5999999999999996</v>
      </c>
      <c r="I19" s="71">
        <v>4.7</v>
      </c>
      <c r="J19" s="71">
        <v>4.8</v>
      </c>
      <c r="K19" s="71">
        <v>4.9000000000000004</v>
      </c>
      <c r="L19" s="71">
        <v>5</v>
      </c>
      <c r="M19" s="71">
        <v>5</v>
      </c>
      <c r="N19" s="71">
        <v>5.6</v>
      </c>
      <c r="O19" s="71">
        <v>5.8</v>
      </c>
      <c r="P19" s="71">
        <v>5.9</v>
      </c>
      <c r="Q19" s="71">
        <v>6</v>
      </c>
      <c r="R19" s="71">
        <v>6.1</v>
      </c>
      <c r="S19" s="71">
        <v>6.3</v>
      </c>
      <c r="T19" s="71">
        <v>6.5</v>
      </c>
      <c r="U19" s="71">
        <v>6.6</v>
      </c>
      <c r="V19" s="71">
        <v>6.7</v>
      </c>
      <c r="W19" s="71">
        <v>6.7</v>
      </c>
      <c r="X19" s="71">
        <v>6.5</v>
      </c>
      <c r="Y19" s="71">
        <v>6.5917580235815709</v>
      </c>
      <c r="Z19" s="71">
        <v>6.7331326886577019</v>
      </c>
      <c r="AA19" s="71">
        <v>6.8509305497477948</v>
      </c>
      <c r="AB19" s="71">
        <v>7.132396036634483</v>
      </c>
      <c r="AC19" s="71">
        <v>7.3213582606667256</v>
      </c>
      <c r="AD19" s="71">
        <v>7.5254204786711547</v>
      </c>
      <c r="AE19" s="71">
        <v>7.6739151349680519</v>
      </c>
      <c r="AF19" s="71">
        <v>7.8337138706263563</v>
      </c>
      <c r="AG19" s="71">
        <v>8.0059701102464036</v>
      </c>
      <c r="AH19" s="71">
        <v>7.0766942506143025</v>
      </c>
      <c r="AI19" s="339">
        <v>7.5513655833822524</v>
      </c>
    </row>
    <row r="20" spans="1:35" ht="12.75" customHeight="1">
      <c r="A20" s="65" t="s">
        <v>12</v>
      </c>
      <c r="B20" s="68" t="s">
        <v>37</v>
      </c>
      <c r="C20" s="68" t="s">
        <v>37</v>
      </c>
      <c r="D20" s="67">
        <v>47</v>
      </c>
      <c r="E20" s="67">
        <v>46.8</v>
      </c>
      <c r="F20" s="67">
        <v>44.6</v>
      </c>
      <c r="G20" s="67">
        <v>44</v>
      </c>
      <c r="H20" s="67">
        <v>44.9</v>
      </c>
      <c r="I20" s="67">
        <v>45.4</v>
      </c>
      <c r="J20" s="67">
        <v>45.6</v>
      </c>
      <c r="K20" s="67">
        <v>46.1</v>
      </c>
      <c r="L20" s="67">
        <v>46.15</v>
      </c>
      <c r="M20" s="67">
        <v>46.17</v>
      </c>
      <c r="N20" s="67">
        <v>46.18</v>
      </c>
      <c r="O20" s="67">
        <v>46.18</v>
      </c>
      <c r="P20" s="67">
        <v>46.3</v>
      </c>
      <c r="Q20" s="67">
        <v>47.517000000000003</v>
      </c>
      <c r="R20" s="67">
        <v>49.121000000000002</v>
      </c>
      <c r="S20" s="79">
        <v>49.402999999999999</v>
      </c>
      <c r="T20" s="67">
        <v>52.314999999999998</v>
      </c>
      <c r="U20" s="67">
        <v>53.945999999999998</v>
      </c>
      <c r="V20" s="67">
        <v>54.005000000000003</v>
      </c>
      <c r="W20" s="67">
        <v>54.396000000000001</v>
      </c>
      <c r="X20" s="67">
        <v>52.594999999999999</v>
      </c>
      <c r="Y20" s="67">
        <v>52.250999999999998</v>
      </c>
      <c r="Z20" s="67">
        <v>51.792999999999999</v>
      </c>
      <c r="AA20" s="67">
        <v>51.823999999999998</v>
      </c>
      <c r="AB20" s="67">
        <v>52.722999999999999</v>
      </c>
      <c r="AC20" s="67">
        <v>54.603000000000002</v>
      </c>
      <c r="AD20" s="67">
        <v>56.677</v>
      </c>
      <c r="AE20" s="67">
        <v>60.645000000000003</v>
      </c>
      <c r="AF20" s="67">
        <v>63.947000000000003</v>
      </c>
      <c r="AG20" s="67">
        <v>67.034000000000006</v>
      </c>
      <c r="AH20" s="67">
        <v>63.920999999999999</v>
      </c>
      <c r="AI20" s="296">
        <v>67.394762</v>
      </c>
    </row>
    <row r="21" spans="1:35" ht="12.75" customHeight="1">
      <c r="A21" s="69" t="s">
        <v>15</v>
      </c>
      <c r="B21" s="72" t="s">
        <v>37</v>
      </c>
      <c r="C21" s="72" t="s">
        <v>37</v>
      </c>
      <c r="D21" s="70" t="s">
        <v>37</v>
      </c>
      <c r="E21" s="70" t="s">
        <v>37</v>
      </c>
      <c r="F21" s="70" t="s">
        <v>37</v>
      </c>
      <c r="G21" s="70" t="s">
        <v>37</v>
      </c>
      <c r="H21" s="70" t="s">
        <v>37</v>
      </c>
      <c r="I21" s="71">
        <v>1.7</v>
      </c>
      <c r="J21" s="71">
        <v>1.72</v>
      </c>
      <c r="K21" s="71">
        <v>1.74</v>
      </c>
      <c r="L21" s="71">
        <v>1.76</v>
      </c>
      <c r="M21" s="71">
        <v>1.78</v>
      </c>
      <c r="N21" s="71">
        <v>1.8</v>
      </c>
      <c r="O21" s="71">
        <v>1.8</v>
      </c>
      <c r="P21" s="71">
        <v>1.85</v>
      </c>
      <c r="Q21" s="71">
        <v>1.9</v>
      </c>
      <c r="R21" s="71">
        <v>1.95</v>
      </c>
      <c r="S21" s="71">
        <v>2</v>
      </c>
      <c r="T21" s="71">
        <v>2.0499999999999998</v>
      </c>
      <c r="U21" s="71">
        <v>2.1</v>
      </c>
      <c r="V21" s="71">
        <v>2.15</v>
      </c>
      <c r="W21" s="71">
        <v>2.2000000000000002</v>
      </c>
      <c r="X21" s="71">
        <v>2.2000000000000002</v>
      </c>
      <c r="Y21" s="71">
        <v>2.2297181531995443</v>
      </c>
      <c r="Z21" s="71">
        <v>2.2404488975013952</v>
      </c>
      <c r="AA21" s="71">
        <v>2.291235362302769</v>
      </c>
      <c r="AB21" s="71">
        <v>2.4135009155436644</v>
      </c>
      <c r="AC21" s="71">
        <v>2.5042317396135667</v>
      </c>
      <c r="AD21" s="71">
        <v>2.5939190716426603</v>
      </c>
      <c r="AE21" s="71">
        <v>2.6182962299592711</v>
      </c>
      <c r="AF21" s="71">
        <v>2.6719139301479649</v>
      </c>
      <c r="AG21" s="71">
        <v>2.7208325236161963</v>
      </c>
      <c r="AH21" s="71">
        <v>2.3765231368112976</v>
      </c>
      <c r="AI21" s="339">
        <v>2.5368676166241588</v>
      </c>
    </row>
    <row r="22" spans="1:35" ht="12.75" customHeight="1">
      <c r="A22" s="65" t="s">
        <v>23</v>
      </c>
      <c r="B22" s="68">
        <v>67.099999999999994</v>
      </c>
      <c r="C22" s="280">
        <v>108.1</v>
      </c>
      <c r="D22" s="67">
        <v>137.30000000000001</v>
      </c>
      <c r="E22" s="67">
        <v>124.5</v>
      </c>
      <c r="F22" s="67">
        <v>129.1</v>
      </c>
      <c r="G22" s="67">
        <v>126.1</v>
      </c>
      <c r="H22" s="67">
        <v>128.80000000000001</v>
      </c>
      <c r="I22" s="67">
        <v>131.4</v>
      </c>
      <c r="J22" s="67">
        <v>132.69999999999999</v>
      </c>
      <c r="K22" s="67">
        <v>136.5</v>
      </c>
      <c r="L22" s="67">
        <v>137.1</v>
      </c>
      <c r="M22" s="67">
        <v>141.30000000000001</v>
      </c>
      <c r="N22" s="67">
        <v>141.1</v>
      </c>
      <c r="O22" s="67">
        <v>141.6</v>
      </c>
      <c r="P22" s="67">
        <v>144.19999999999999</v>
      </c>
      <c r="Q22" s="67">
        <v>146.1</v>
      </c>
      <c r="R22" s="67">
        <v>151.6</v>
      </c>
      <c r="S22" s="67">
        <v>148.80000000000001</v>
      </c>
      <c r="T22" s="67">
        <v>148</v>
      </c>
      <c r="U22" s="67">
        <v>148.80000000000001</v>
      </c>
      <c r="V22" s="67">
        <v>147</v>
      </c>
      <c r="W22" s="73">
        <v>146.30000000000001</v>
      </c>
      <c r="X22" s="76">
        <v>144.19999999999999</v>
      </c>
      <c r="Y22" s="67">
        <v>144.4</v>
      </c>
      <c r="Z22" s="67">
        <v>139.69999999999999</v>
      </c>
      <c r="AA22" s="67">
        <v>145.4</v>
      </c>
      <c r="AB22" s="67">
        <v>144.96899999999999</v>
      </c>
      <c r="AC22" s="67">
        <v>139.5</v>
      </c>
      <c r="AD22" s="67">
        <v>140.80000000000001</v>
      </c>
      <c r="AE22" s="67">
        <v>138.69999999999999</v>
      </c>
      <c r="AF22" s="76">
        <v>147.5</v>
      </c>
      <c r="AG22" s="67">
        <v>147.5</v>
      </c>
      <c r="AH22" s="67">
        <v>105.2</v>
      </c>
      <c r="AI22" s="340">
        <v>115.8</v>
      </c>
    </row>
    <row r="23" spans="1:35" ht="12.75" customHeight="1">
      <c r="A23" s="69" t="s">
        <v>32</v>
      </c>
      <c r="B23" s="72">
        <v>32.9</v>
      </c>
      <c r="C23" s="72">
        <v>47.8</v>
      </c>
      <c r="D23" s="70">
        <v>53.723897471933505</v>
      </c>
      <c r="E23" s="70">
        <v>54.787536036464196</v>
      </c>
      <c r="F23" s="70">
        <v>56.659020628626905</v>
      </c>
      <c r="G23" s="70">
        <v>57.151918044774398</v>
      </c>
      <c r="H23" s="70">
        <v>58.865092159990603</v>
      </c>
      <c r="I23" s="70">
        <v>59.422690414342</v>
      </c>
      <c r="J23" s="70">
        <v>60.778556014725503</v>
      </c>
      <c r="K23" s="70">
        <v>61.400675901741003</v>
      </c>
      <c r="L23" s="70">
        <v>62.690332415517801</v>
      </c>
      <c r="M23" s="70">
        <v>63.9738463208136</v>
      </c>
      <c r="N23" s="70">
        <v>64.7324486487569</v>
      </c>
      <c r="O23" s="70">
        <v>65.337110990663504</v>
      </c>
      <c r="P23" s="70">
        <v>66.483017156872194</v>
      </c>
      <c r="Q23" s="70">
        <v>67.879798464616997</v>
      </c>
      <c r="R23" s="70">
        <v>68.6673745085006</v>
      </c>
      <c r="S23" s="70">
        <v>68.534046805980907</v>
      </c>
      <c r="T23" s="70">
        <v>69.357032462112599</v>
      </c>
      <c r="U23" s="70">
        <v>70.228681711569195</v>
      </c>
      <c r="V23" s="70">
        <v>68.199846493920887</v>
      </c>
      <c r="W23" s="70">
        <v>67.628132974228706</v>
      </c>
      <c r="X23" s="70">
        <v>68.370225570310794</v>
      </c>
      <c r="Y23" s="70">
        <v>69.285883597665702</v>
      </c>
      <c r="Z23" s="70">
        <v>69.008829196809998</v>
      </c>
      <c r="AA23" s="70">
        <v>69.656710785624298</v>
      </c>
      <c r="AB23" s="70">
        <v>71.282875065817493</v>
      </c>
      <c r="AC23" s="70">
        <v>72.9148923350198</v>
      </c>
      <c r="AD23" s="70">
        <v>74.866741177802908</v>
      </c>
      <c r="AE23" s="70">
        <v>76.123435218109606</v>
      </c>
      <c r="AF23" s="70">
        <v>74.831999999999994</v>
      </c>
      <c r="AG23" s="70">
        <v>72.757999999999996</v>
      </c>
      <c r="AH23" s="70">
        <v>65.176000000000002</v>
      </c>
      <c r="AI23" s="325">
        <v>69.162000000000006</v>
      </c>
    </row>
    <row r="24" spans="1:35" ht="12.75" customHeight="1">
      <c r="A24" s="65" t="s">
        <v>16</v>
      </c>
      <c r="B24" s="68" t="s">
        <v>37</v>
      </c>
      <c r="C24" s="68" t="s">
        <v>37</v>
      </c>
      <c r="D24" s="67" t="s">
        <v>37</v>
      </c>
      <c r="E24" s="67"/>
      <c r="F24" s="67"/>
      <c r="G24" s="67"/>
      <c r="H24" s="67"/>
      <c r="I24" s="67">
        <v>110.7</v>
      </c>
      <c r="J24" s="67">
        <v>121.6</v>
      </c>
      <c r="K24" s="67">
        <v>132</v>
      </c>
      <c r="L24" s="67">
        <v>141.1</v>
      </c>
      <c r="M24" s="67">
        <v>143</v>
      </c>
      <c r="N24" s="76">
        <v>130.1</v>
      </c>
      <c r="O24" s="67">
        <v>132.30000000000001</v>
      </c>
      <c r="P24" s="67">
        <v>135.80000000000001</v>
      </c>
      <c r="Q24" s="67">
        <v>141.30000000000001</v>
      </c>
      <c r="R24" s="67">
        <v>146.80000000000001</v>
      </c>
      <c r="S24" s="67">
        <v>152.30000000000001</v>
      </c>
      <c r="T24" s="67">
        <v>156.6</v>
      </c>
      <c r="U24" s="67">
        <v>162.30000000000001</v>
      </c>
      <c r="V24" s="67">
        <v>172.6</v>
      </c>
      <c r="W24" s="67">
        <v>182.75800000000001</v>
      </c>
      <c r="X24" s="67">
        <v>188.81</v>
      </c>
      <c r="Y24" s="67">
        <v>189.10300000000001</v>
      </c>
      <c r="Z24" s="67">
        <v>189.32400000000001</v>
      </c>
      <c r="AA24" s="67">
        <v>193.33600000000001</v>
      </c>
      <c r="AB24" s="67">
        <v>197.03200000000001</v>
      </c>
      <c r="AC24" s="67">
        <v>200.57</v>
      </c>
      <c r="AD24" s="67">
        <v>213.31800000000001</v>
      </c>
      <c r="AE24" s="67">
        <v>221.54499999999999</v>
      </c>
      <c r="AF24" s="67">
        <v>227.61199999999999</v>
      </c>
      <c r="AG24" s="67">
        <v>232.255</v>
      </c>
      <c r="AH24" s="67">
        <v>224.13</v>
      </c>
      <c r="AI24" s="296">
        <v>231.72</v>
      </c>
    </row>
    <row r="25" spans="1:35" ht="12.75" customHeight="1">
      <c r="A25" s="69" t="s">
        <v>33</v>
      </c>
      <c r="B25" s="78">
        <v>13.8</v>
      </c>
      <c r="C25" s="78">
        <v>29</v>
      </c>
      <c r="D25" s="71">
        <v>40</v>
      </c>
      <c r="E25" s="71">
        <v>41</v>
      </c>
      <c r="F25" s="71">
        <v>43</v>
      </c>
      <c r="G25" s="71">
        <v>46</v>
      </c>
      <c r="H25" s="71">
        <v>49</v>
      </c>
      <c r="I25" s="71">
        <v>52.5</v>
      </c>
      <c r="J25" s="71">
        <v>56</v>
      </c>
      <c r="K25" s="71">
        <v>60</v>
      </c>
      <c r="L25" s="71">
        <v>64</v>
      </c>
      <c r="M25" s="71">
        <v>68</v>
      </c>
      <c r="N25" s="71">
        <v>71</v>
      </c>
      <c r="O25" s="71">
        <v>73.2</v>
      </c>
      <c r="P25" s="71">
        <v>77.7</v>
      </c>
      <c r="Q25" s="71">
        <v>81.5</v>
      </c>
      <c r="R25" s="71">
        <v>83</v>
      </c>
      <c r="S25" s="71">
        <v>85</v>
      </c>
      <c r="T25" s="71">
        <v>86</v>
      </c>
      <c r="U25" s="71">
        <v>86.6</v>
      </c>
      <c r="V25" s="71">
        <v>87</v>
      </c>
      <c r="W25" s="71">
        <v>86</v>
      </c>
      <c r="X25" s="71">
        <v>83.7</v>
      </c>
      <c r="Y25" s="71">
        <v>83.190084528920025</v>
      </c>
      <c r="Z25" s="71">
        <v>82.13077342280117</v>
      </c>
      <c r="AA25" s="71">
        <v>81.865937271332953</v>
      </c>
      <c r="AB25" s="71">
        <v>83.335892690114903</v>
      </c>
      <c r="AC25" s="71">
        <v>84.467857514628818</v>
      </c>
      <c r="AD25" s="71">
        <v>90.461994001226003</v>
      </c>
      <c r="AE25" s="71">
        <v>92.191507303343357</v>
      </c>
      <c r="AF25" s="71">
        <v>95.460477535216867</v>
      </c>
      <c r="AG25" s="71">
        <v>98.03804965791501</v>
      </c>
      <c r="AH25" s="71">
        <v>85.184631374770106</v>
      </c>
      <c r="AI25" s="339">
        <v>90.605457015368316</v>
      </c>
    </row>
    <row r="26" spans="1:35" ht="12.75" customHeight="1">
      <c r="A26" s="65" t="s">
        <v>17</v>
      </c>
      <c r="B26" s="281"/>
      <c r="C26" s="281"/>
      <c r="D26" s="73"/>
      <c r="E26" s="73"/>
      <c r="F26" s="73"/>
      <c r="G26" s="73"/>
      <c r="H26" s="73"/>
      <c r="I26" s="73">
        <v>40</v>
      </c>
      <c r="J26" s="73">
        <v>42.5</v>
      </c>
      <c r="K26" s="73">
        <v>45</v>
      </c>
      <c r="L26" s="73">
        <v>47</v>
      </c>
      <c r="M26" s="73">
        <v>49</v>
      </c>
      <c r="N26" s="73">
        <v>51</v>
      </c>
      <c r="O26" s="73">
        <v>52.5</v>
      </c>
      <c r="P26" s="73">
        <v>54</v>
      </c>
      <c r="Q26" s="73">
        <v>56</v>
      </c>
      <c r="R26" s="73">
        <v>58</v>
      </c>
      <c r="S26" s="73">
        <v>61</v>
      </c>
      <c r="T26" s="73">
        <v>64.099999999999994</v>
      </c>
      <c r="U26" s="73">
        <v>67.5</v>
      </c>
      <c r="V26" s="73">
        <v>70.5</v>
      </c>
      <c r="W26" s="73">
        <v>75.5</v>
      </c>
      <c r="X26" s="73">
        <v>75.5</v>
      </c>
      <c r="Y26" s="73">
        <v>74.97833815332045</v>
      </c>
      <c r="Z26" s="73">
        <v>77.04505960700007</v>
      </c>
      <c r="AA26" s="73">
        <v>80.363418326056077</v>
      </c>
      <c r="AB26" s="73">
        <v>85.193859872241475</v>
      </c>
      <c r="AC26" s="73">
        <v>89.866362080533492</v>
      </c>
      <c r="AD26" s="73">
        <v>95.591682544376425</v>
      </c>
      <c r="AE26" s="73">
        <v>97.303330280284371</v>
      </c>
      <c r="AF26" s="73">
        <v>103.80336173644331</v>
      </c>
      <c r="AG26" s="73">
        <v>110.51003785674024</v>
      </c>
      <c r="AH26" s="73">
        <v>99.122721513465962</v>
      </c>
      <c r="AI26" s="297">
        <v>108.99875153030695</v>
      </c>
    </row>
    <row r="27" spans="1:35" ht="12.75" customHeight="1">
      <c r="A27" s="69" t="s">
        <v>19</v>
      </c>
      <c r="B27" s="72" t="s">
        <v>37</v>
      </c>
      <c r="C27" s="72" t="s">
        <v>37</v>
      </c>
      <c r="D27" s="77">
        <v>13.32</v>
      </c>
      <c r="E27" s="77">
        <v>12.606</v>
      </c>
      <c r="F27" s="77">
        <v>13.385999999999999</v>
      </c>
      <c r="G27" s="77">
        <v>13.978999999999999</v>
      </c>
      <c r="H27" s="77">
        <v>15.178000000000001</v>
      </c>
      <c r="I27" s="77">
        <v>16.338000000000001</v>
      </c>
      <c r="J27" s="77">
        <v>17.794</v>
      </c>
      <c r="K27" s="77">
        <v>19.010999999999999</v>
      </c>
      <c r="L27" s="77">
        <v>18.98</v>
      </c>
      <c r="M27" s="77">
        <v>20.074000000000002</v>
      </c>
      <c r="N27" s="77">
        <v>20.324999999999999</v>
      </c>
      <c r="O27" s="77">
        <v>20.800999999999998</v>
      </c>
      <c r="P27" s="77">
        <v>21.286999999999999</v>
      </c>
      <c r="Q27" s="77">
        <v>21.331</v>
      </c>
      <c r="R27" s="70">
        <v>22.042000000000002</v>
      </c>
      <c r="S27" s="70">
        <v>22.509</v>
      </c>
      <c r="T27" s="70">
        <v>23.006</v>
      </c>
      <c r="U27" s="70">
        <v>24.355</v>
      </c>
      <c r="V27" s="70">
        <v>24.878</v>
      </c>
      <c r="W27" s="70">
        <v>25.774999999999999</v>
      </c>
      <c r="X27" s="70">
        <v>25.635999999999999</v>
      </c>
      <c r="Y27" s="71">
        <v>25.487436219641157</v>
      </c>
      <c r="Z27" s="71">
        <v>25.302775921222882</v>
      </c>
      <c r="AA27" s="71">
        <v>25.168354826572546</v>
      </c>
      <c r="AB27" s="71">
        <v>25.638692920142624</v>
      </c>
      <c r="AC27" s="71">
        <v>25.996532775797913</v>
      </c>
      <c r="AD27" s="71">
        <v>26.478496232138678</v>
      </c>
      <c r="AE27" s="71">
        <v>27.133920814744961</v>
      </c>
      <c r="AF27" s="71">
        <v>27.514331156301186</v>
      </c>
      <c r="AG27" s="71">
        <v>27.912827036142566</v>
      </c>
      <c r="AH27" s="71">
        <v>23.865642091799245</v>
      </c>
      <c r="AI27" s="339">
        <v>25.485964844410137</v>
      </c>
    </row>
    <row r="28" spans="1:35" ht="12.75" customHeight="1">
      <c r="A28" s="65" t="s">
        <v>18</v>
      </c>
      <c r="B28" s="276"/>
      <c r="C28" s="276"/>
      <c r="D28" s="277"/>
      <c r="E28" s="67"/>
      <c r="F28" s="67"/>
      <c r="G28" s="67">
        <v>17.553999999999998</v>
      </c>
      <c r="H28" s="67">
        <v>17.292999999999999</v>
      </c>
      <c r="I28" s="67">
        <v>17.977</v>
      </c>
      <c r="J28" s="67">
        <v>17.992999999999999</v>
      </c>
      <c r="K28" s="67">
        <v>18.568000000000001</v>
      </c>
      <c r="L28" s="67">
        <v>19.302</v>
      </c>
      <c r="M28" s="67">
        <v>21.541</v>
      </c>
      <c r="N28" s="67">
        <v>23.928999999999998</v>
      </c>
      <c r="O28" s="67">
        <v>24.056000000000001</v>
      </c>
      <c r="P28" s="67">
        <v>24.978000000000002</v>
      </c>
      <c r="Q28" s="67">
        <v>25.224</v>
      </c>
      <c r="R28" s="67">
        <v>25.332000000000001</v>
      </c>
      <c r="S28" s="67">
        <v>25.824000000000002</v>
      </c>
      <c r="T28" s="67">
        <v>26.341999999999999</v>
      </c>
      <c r="U28" s="67">
        <v>25.994</v>
      </c>
      <c r="V28" s="67">
        <v>26.395</v>
      </c>
      <c r="W28" s="67">
        <v>26.42</v>
      </c>
      <c r="X28" s="67">
        <v>26.879000000000001</v>
      </c>
      <c r="Y28" s="67">
        <v>26.887</v>
      </c>
      <c r="Z28" s="67">
        <v>26.934999999999999</v>
      </c>
      <c r="AA28" s="67">
        <v>27.155000000000001</v>
      </c>
      <c r="AB28" s="67">
        <v>27.251000000000001</v>
      </c>
      <c r="AC28" s="67">
        <v>27.530999999999999</v>
      </c>
      <c r="AD28" s="67">
        <v>27.835999999999999</v>
      </c>
      <c r="AE28" s="67">
        <v>28.12</v>
      </c>
      <c r="AF28" s="67">
        <v>28.46</v>
      </c>
      <c r="AG28" s="67">
        <v>28.616</v>
      </c>
      <c r="AH28" s="73">
        <v>24.827926746863699</v>
      </c>
      <c r="AI28" s="297">
        <v>26.664190065386354</v>
      </c>
    </row>
    <row r="29" spans="1:35" ht="12.75" customHeight="1">
      <c r="A29" s="69" t="s">
        <v>34</v>
      </c>
      <c r="B29" s="72">
        <v>23.7</v>
      </c>
      <c r="C29" s="72">
        <v>34.799999999999997</v>
      </c>
      <c r="D29" s="70">
        <v>51.2</v>
      </c>
      <c r="E29" s="70">
        <v>50.6</v>
      </c>
      <c r="F29" s="70">
        <v>50.5</v>
      </c>
      <c r="G29" s="70">
        <v>49.7</v>
      </c>
      <c r="H29" s="70">
        <v>49.6</v>
      </c>
      <c r="I29" s="70">
        <v>50</v>
      </c>
      <c r="J29" s="70">
        <v>50.4</v>
      </c>
      <c r="K29" s="70">
        <v>51.9</v>
      </c>
      <c r="L29" s="70">
        <v>53.3</v>
      </c>
      <c r="M29" s="70">
        <v>54.9</v>
      </c>
      <c r="N29" s="70">
        <v>55.7</v>
      </c>
      <c r="O29" s="70">
        <v>57</v>
      </c>
      <c r="P29" s="70">
        <v>58.3</v>
      </c>
      <c r="Q29" s="70">
        <v>59.59</v>
      </c>
      <c r="R29" s="70">
        <v>60.94</v>
      </c>
      <c r="S29" s="70">
        <v>61.91</v>
      </c>
      <c r="T29" s="70">
        <v>62.454999999999998</v>
      </c>
      <c r="U29" s="70">
        <v>63.784999999999997</v>
      </c>
      <c r="V29" s="70">
        <v>63.4</v>
      </c>
      <c r="W29" s="70">
        <v>64.33</v>
      </c>
      <c r="X29" s="70">
        <v>64.745000000000005</v>
      </c>
      <c r="Y29" s="70">
        <v>65.489999999999995</v>
      </c>
      <c r="Z29" s="70">
        <v>65.27</v>
      </c>
      <c r="AA29" s="70">
        <v>65.114999999999995</v>
      </c>
      <c r="AB29" s="70">
        <v>65.52</v>
      </c>
      <c r="AC29" s="70">
        <v>66.295000000000002</v>
      </c>
      <c r="AD29" s="80">
        <v>57.006</v>
      </c>
      <c r="AE29" s="70">
        <v>66.606999999999999</v>
      </c>
      <c r="AF29" s="70">
        <v>66.8</v>
      </c>
      <c r="AG29" s="70">
        <v>66.8</v>
      </c>
      <c r="AH29" s="70">
        <v>64.099999999999994</v>
      </c>
      <c r="AI29" s="341">
        <v>63.6</v>
      </c>
    </row>
    <row r="30" spans="1:35" ht="12.75" customHeight="1">
      <c r="A30" s="187" t="s">
        <v>35</v>
      </c>
      <c r="B30" s="282">
        <v>56.1</v>
      </c>
      <c r="C30" s="283">
        <v>67.400000000000006</v>
      </c>
      <c r="D30" s="234">
        <v>85.944999999999993</v>
      </c>
      <c r="E30" s="234">
        <v>86.494</v>
      </c>
      <c r="F30" s="234">
        <v>87.552000000000007</v>
      </c>
      <c r="G30" s="234">
        <v>85.683000000000007</v>
      </c>
      <c r="H30" s="234">
        <v>86.65</v>
      </c>
      <c r="I30" s="234">
        <v>87.622</v>
      </c>
      <c r="J30" s="234">
        <v>87.983000000000004</v>
      </c>
      <c r="K30" s="234">
        <v>88.106999999999999</v>
      </c>
      <c r="L30" s="234">
        <v>88.811000000000007</v>
      </c>
      <c r="M30" s="284">
        <v>100.18352</v>
      </c>
      <c r="N30" s="284">
        <v>103.65483369766447</v>
      </c>
      <c r="O30" s="234">
        <v>104.83427759943993</v>
      </c>
      <c r="P30" s="234">
        <v>106.62251789890334</v>
      </c>
      <c r="Q30" s="234">
        <v>107.32208833613136</v>
      </c>
      <c r="R30" s="234">
        <v>108.35985149670047</v>
      </c>
      <c r="S30" s="234">
        <v>107.98311590611746</v>
      </c>
      <c r="T30" s="234">
        <v>108.13703214573366</v>
      </c>
      <c r="U30" s="234">
        <v>110.23856590007244</v>
      </c>
      <c r="V30" s="234">
        <v>109.46845217694035</v>
      </c>
      <c r="W30" s="234">
        <v>108.89703801054038</v>
      </c>
      <c r="X30" s="67">
        <v>108.01282861161354</v>
      </c>
      <c r="Y30" s="234">
        <v>109.02898505595721</v>
      </c>
      <c r="Z30" s="234">
        <v>108.37233901934596</v>
      </c>
      <c r="AA30" s="234">
        <v>108.20578822350051</v>
      </c>
      <c r="AB30" s="234">
        <v>110.34047754415158</v>
      </c>
      <c r="AC30" s="234">
        <v>111.895515890943</v>
      </c>
      <c r="AD30" s="284">
        <v>93.736000000000004</v>
      </c>
      <c r="AE30" s="234">
        <v>95.441000000000003</v>
      </c>
      <c r="AF30" s="234">
        <v>96.343999999999994</v>
      </c>
      <c r="AG30" s="234">
        <v>95.620999999999995</v>
      </c>
      <c r="AH30" s="234">
        <v>90.195999999999998</v>
      </c>
      <c r="AI30" s="342">
        <v>89.451999999999998</v>
      </c>
    </row>
    <row r="31" spans="1:35" ht="12.75" customHeight="1">
      <c r="A31" s="69" t="s">
        <v>6</v>
      </c>
      <c r="B31" s="263" t="s">
        <v>37</v>
      </c>
      <c r="C31" s="263" t="s">
        <v>37</v>
      </c>
      <c r="D31" s="285" t="s">
        <v>37</v>
      </c>
      <c r="E31" s="285"/>
      <c r="F31" s="285"/>
      <c r="G31" s="285"/>
      <c r="H31" s="285"/>
      <c r="I31" s="285">
        <v>3.0259999999999998</v>
      </c>
      <c r="J31" s="285">
        <v>3.1680000000000001</v>
      </c>
      <c r="K31" s="285">
        <v>3.36</v>
      </c>
      <c r="L31" s="285">
        <v>3.5609999999999999</v>
      </c>
      <c r="M31" s="285">
        <v>3.7120000000000002</v>
      </c>
      <c r="N31" s="285">
        <v>3.7650000000000001</v>
      </c>
      <c r="O31" s="285">
        <v>3.95</v>
      </c>
      <c r="P31" s="285">
        <v>4.0599999999999996</v>
      </c>
      <c r="Q31" s="285">
        <v>4.1740000000000004</v>
      </c>
      <c r="R31" s="285">
        <v>4.3010000000000002</v>
      </c>
      <c r="S31" s="285">
        <v>4.5579999999999998</v>
      </c>
      <c r="T31" s="70">
        <v>4.8330000000000002</v>
      </c>
      <c r="U31" s="70">
        <v>5.077</v>
      </c>
      <c r="V31" s="70">
        <v>4.9480000000000004</v>
      </c>
      <c r="W31" s="285">
        <v>5.0019999999999998</v>
      </c>
      <c r="X31" s="285">
        <v>4.9580000000000002</v>
      </c>
      <c r="Y31" s="285">
        <v>4.7759999999999998</v>
      </c>
      <c r="Z31" s="285">
        <v>4.8319999999999999</v>
      </c>
      <c r="AA31" s="285">
        <v>4.9710000000000001</v>
      </c>
      <c r="AB31" s="285">
        <v>5.226</v>
      </c>
      <c r="AC31" s="285">
        <v>5.5780000000000003</v>
      </c>
      <c r="AD31" s="285">
        <v>6.468</v>
      </c>
      <c r="AE31" s="70">
        <v>7.0819999999999999</v>
      </c>
      <c r="AF31" s="70">
        <v>7.3470000000000004</v>
      </c>
      <c r="AG31" s="70">
        <v>7.2110000000000003</v>
      </c>
      <c r="AH31" s="70">
        <v>6.242490065697714</v>
      </c>
      <c r="AI31" s="344">
        <v>7.0332866294879395</v>
      </c>
    </row>
    <row r="32" spans="1:35" ht="12.75" customHeight="1">
      <c r="A32" s="65" t="s">
        <v>36</v>
      </c>
      <c r="B32" s="68">
        <v>18.209999999999997</v>
      </c>
      <c r="C32" s="68">
        <v>31.061</v>
      </c>
      <c r="D32" s="67">
        <v>43.497</v>
      </c>
      <c r="E32" s="67">
        <v>43.012</v>
      </c>
      <c r="F32" s="67">
        <v>43.172000000000004</v>
      </c>
      <c r="G32" s="67">
        <v>43.942999999999998</v>
      </c>
      <c r="H32" s="67">
        <v>44.532999999999994</v>
      </c>
      <c r="I32" s="67">
        <v>44.730000000000004</v>
      </c>
      <c r="J32" s="67">
        <v>46.429000000000002</v>
      </c>
      <c r="K32" s="67">
        <v>47.658000000000001</v>
      </c>
      <c r="L32" s="67">
        <v>49.265999999999998</v>
      </c>
      <c r="M32" s="67">
        <v>50.330999999999996</v>
      </c>
      <c r="N32" s="67">
        <v>51.172999999999995</v>
      </c>
      <c r="O32" s="67">
        <v>52.356999999999999</v>
      </c>
      <c r="P32" s="67">
        <v>53.487000000000002</v>
      </c>
      <c r="Q32" s="67">
        <v>54.002000000000002</v>
      </c>
      <c r="R32" s="67">
        <v>54.341999999999999</v>
      </c>
      <c r="S32" s="67">
        <v>54.026999999999994</v>
      </c>
      <c r="T32" s="67">
        <v>54.938000000000002</v>
      </c>
      <c r="U32" s="67">
        <v>56.673999999999999</v>
      </c>
      <c r="V32" s="67">
        <v>57.743000000000009</v>
      </c>
      <c r="W32" s="67">
        <v>58.292000000000002</v>
      </c>
      <c r="X32" s="67">
        <v>58.777999999999999</v>
      </c>
      <c r="Y32" s="67">
        <v>59.903000000000006</v>
      </c>
      <c r="Z32" s="67">
        <v>60.704000000000001</v>
      </c>
      <c r="AA32" s="67">
        <v>61.512999999999998</v>
      </c>
      <c r="AB32" s="67">
        <v>63.48</v>
      </c>
      <c r="AC32" s="67">
        <v>64.716000000000008</v>
      </c>
      <c r="AD32" s="67">
        <v>64.992000000000004</v>
      </c>
      <c r="AE32" s="67">
        <v>66.39</v>
      </c>
      <c r="AF32" s="67">
        <v>66.834999999999994</v>
      </c>
      <c r="AG32" s="67">
        <v>67.228999999999999</v>
      </c>
      <c r="AH32" s="67">
        <v>62.758000000000003</v>
      </c>
      <c r="AI32" s="296">
        <v>65.335999999999999</v>
      </c>
    </row>
    <row r="33" spans="1:35" ht="12.75" customHeight="1">
      <c r="A33" s="166" t="s">
        <v>7</v>
      </c>
      <c r="B33" s="265">
        <v>41.835999999999999</v>
      </c>
      <c r="C33" s="265">
        <v>61.817</v>
      </c>
      <c r="D33" s="235">
        <v>73.271000000000001</v>
      </c>
      <c r="E33" s="235">
        <v>74.744</v>
      </c>
      <c r="F33" s="235">
        <v>73.372</v>
      </c>
      <c r="G33" s="235">
        <v>71.417000000000002</v>
      </c>
      <c r="H33" s="64">
        <v>68.358000000000004</v>
      </c>
      <c r="I33" s="235">
        <v>69.585999999999999</v>
      </c>
      <c r="J33" s="235">
        <v>70.774000000000001</v>
      </c>
      <c r="K33" s="235">
        <v>71.406000000000006</v>
      </c>
      <c r="L33" s="235">
        <v>72.540000000000006</v>
      </c>
      <c r="M33" s="235">
        <v>73.531000000000006</v>
      </c>
      <c r="N33" s="235">
        <v>74.983999999999995</v>
      </c>
      <c r="O33" s="235">
        <v>75.494</v>
      </c>
      <c r="P33" s="235">
        <v>76.369</v>
      </c>
      <c r="Q33" s="235">
        <v>77.001000000000005</v>
      </c>
      <c r="R33" s="235">
        <v>77.739999999999995</v>
      </c>
      <c r="S33" s="235">
        <v>77.843999999999994</v>
      </c>
      <c r="T33" s="235">
        <v>78.394000000000005</v>
      </c>
      <c r="U33" s="235">
        <v>79.260999999999996</v>
      </c>
      <c r="V33" s="235">
        <v>81.397000000000006</v>
      </c>
      <c r="W33" s="235">
        <v>83.887</v>
      </c>
      <c r="X33" s="235">
        <v>85.933999999999997</v>
      </c>
      <c r="Y33" s="235">
        <v>86.722999999999999</v>
      </c>
      <c r="Z33" s="235">
        <v>88.15</v>
      </c>
      <c r="AA33" s="235">
        <v>89.466999999999999</v>
      </c>
      <c r="AB33" s="235">
        <v>90.703999999999994</v>
      </c>
      <c r="AC33" s="235">
        <v>91.995000000000005</v>
      </c>
      <c r="AD33" s="235">
        <v>93.97</v>
      </c>
      <c r="AE33" s="235">
        <v>95.742000000000004</v>
      </c>
      <c r="AF33" s="235">
        <v>96.897000000000006</v>
      </c>
      <c r="AG33" s="235">
        <v>97.852000000000004</v>
      </c>
      <c r="AH33" s="235">
        <v>80.141000000000005</v>
      </c>
      <c r="AI33" s="343">
        <v>92.665999999999997</v>
      </c>
    </row>
    <row r="34" spans="1:35" ht="12.75" customHeight="1">
      <c r="A34" s="65" t="s">
        <v>100</v>
      </c>
      <c r="B34" s="68"/>
      <c r="C34" s="68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</row>
    <row r="35" spans="1:35" ht="12.75" customHeight="1">
      <c r="A35" s="69" t="s">
        <v>75</v>
      </c>
      <c r="B35" s="72"/>
      <c r="C35" s="72"/>
      <c r="D35" s="70"/>
      <c r="E35" s="70"/>
      <c r="F35" s="70"/>
      <c r="G35" s="70"/>
      <c r="H35" s="70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>
        <v>4.0794439430330511</v>
      </c>
      <c r="Y35" s="71">
        <v>3.9296942863908528</v>
      </c>
      <c r="Z35" s="71">
        <v>3.9769749659620941</v>
      </c>
      <c r="AA35" s="71">
        <v>4.0735233437976959</v>
      </c>
      <c r="AB35" s="71">
        <v>4.0257796220392139</v>
      </c>
      <c r="AC35" s="71">
        <v>4.0854062327582561</v>
      </c>
      <c r="AD35" s="71">
        <v>4.496951770863971</v>
      </c>
      <c r="AE35" s="71">
        <v>4.6042243626959474</v>
      </c>
      <c r="AF35" s="71">
        <v>4.8779336888028233</v>
      </c>
      <c r="AG35" s="71">
        <v>5.1247582035424344</v>
      </c>
      <c r="AH35" s="71">
        <v>4.2047782114190451</v>
      </c>
      <c r="AI35" s="140">
        <v>4.6569193022782072</v>
      </c>
    </row>
    <row r="36" spans="1:35" ht="12.75" customHeight="1">
      <c r="A36" s="65" t="s">
        <v>101</v>
      </c>
      <c r="B36" s="319"/>
      <c r="C36" s="68"/>
      <c r="D36" s="67"/>
      <c r="E36" s="67"/>
      <c r="F36" s="67"/>
      <c r="G36" s="67"/>
      <c r="H36" s="67"/>
      <c r="I36" s="73"/>
      <c r="J36" s="73"/>
      <c r="K36" s="73"/>
      <c r="L36" s="73"/>
      <c r="M36" s="73"/>
      <c r="N36" s="67">
        <v>1.1900000000000001E-2</v>
      </c>
      <c r="O36" s="67">
        <v>1.1800000000000001E-2</v>
      </c>
      <c r="P36" s="67">
        <v>1.11E-2</v>
      </c>
      <c r="Q36" s="67">
        <v>1.26E-2</v>
      </c>
      <c r="R36" s="67">
        <v>1.9800000000000002E-2</v>
      </c>
      <c r="S36" s="67">
        <v>1.9199999999999998E-2</v>
      </c>
      <c r="T36" s="67">
        <v>2.0300000000000002E-2</v>
      </c>
      <c r="U36" s="67">
        <v>6.59E-2</v>
      </c>
      <c r="V36" s="67">
        <v>8.43E-2</v>
      </c>
      <c r="W36" s="67">
        <v>7.2499999999999995E-2</v>
      </c>
      <c r="X36" s="67">
        <v>8.0099999999999991E-2</v>
      </c>
      <c r="Y36" s="67">
        <v>8.0500000000000002E-2</v>
      </c>
      <c r="Z36" s="67">
        <v>7.4499999999999997E-2</v>
      </c>
      <c r="AA36" s="67">
        <v>7.5999999999999998E-2</v>
      </c>
      <c r="AB36" s="67">
        <v>6.25E-2</v>
      </c>
      <c r="AC36" s="67">
        <v>0.10050000000000001</v>
      </c>
      <c r="AD36" s="67">
        <v>0.10779999999999999</v>
      </c>
      <c r="AE36" s="67">
        <v>0.1489</v>
      </c>
      <c r="AF36" s="67">
        <v>0.21990000000000001</v>
      </c>
      <c r="AG36" s="67">
        <v>0.22059999999999999</v>
      </c>
      <c r="AH36" s="67">
        <v>0.15380000000000002</v>
      </c>
      <c r="AI36" s="110">
        <v>0.21180000000000002</v>
      </c>
    </row>
    <row r="37" spans="1:35" ht="12" customHeight="1">
      <c r="A37" s="69" t="s">
        <v>3</v>
      </c>
      <c r="B37" s="215"/>
      <c r="C37" s="72"/>
      <c r="D37" s="70">
        <v>3.6920000000000002</v>
      </c>
      <c r="E37" s="70"/>
      <c r="F37" s="70"/>
      <c r="G37" s="279"/>
      <c r="H37" s="279"/>
      <c r="I37" s="71">
        <v>4.5750000000000002</v>
      </c>
      <c r="J37" s="71"/>
      <c r="K37" s="71"/>
      <c r="L37" s="71"/>
      <c r="M37" s="71"/>
      <c r="N37" s="77">
        <v>4.7930000000000001</v>
      </c>
      <c r="O37" s="77">
        <v>4.6710000000000003</v>
      </c>
      <c r="P37" s="77">
        <v>4.6870000000000003</v>
      </c>
      <c r="Q37" s="77">
        <v>4.6369999999999996</v>
      </c>
      <c r="R37" s="77">
        <v>4.2</v>
      </c>
      <c r="S37" s="77">
        <v>3.9740000000000002</v>
      </c>
      <c r="T37" s="77">
        <v>3.806</v>
      </c>
      <c r="U37" s="77">
        <v>3.9740000000000002</v>
      </c>
      <c r="V37" s="77">
        <v>4.2149999999999999</v>
      </c>
      <c r="W37" s="77">
        <v>4.2439999999999998</v>
      </c>
      <c r="X37" s="77">
        <v>4.6829999999999998</v>
      </c>
      <c r="Y37" s="77">
        <v>5.3220000000000001</v>
      </c>
      <c r="Z37" s="77">
        <v>5.1159999999999997</v>
      </c>
      <c r="AA37" s="77">
        <v>5.9640000000000004</v>
      </c>
      <c r="AB37" s="77">
        <v>6.7690000000000001</v>
      </c>
      <c r="AC37" s="77">
        <v>6.9870000000000001</v>
      </c>
      <c r="AD37" s="77">
        <v>7.1920000000000002</v>
      </c>
      <c r="AE37" s="77">
        <v>9.1679999999999993</v>
      </c>
      <c r="AF37" s="77">
        <v>9.452</v>
      </c>
      <c r="AG37" s="77">
        <v>9.7029999999999994</v>
      </c>
      <c r="AH37" s="77">
        <v>9.69</v>
      </c>
      <c r="AI37" s="150">
        <v>10.81</v>
      </c>
    </row>
    <row r="38" spans="1:35" ht="12.75" customHeight="1">
      <c r="A38" s="65" t="s">
        <v>79</v>
      </c>
      <c r="B38" s="319"/>
      <c r="C38" s="68"/>
      <c r="D38" s="67"/>
      <c r="E38" s="67"/>
      <c r="F38" s="67">
        <v>2.6850000000000001</v>
      </c>
      <c r="G38" s="67">
        <v>4.2930000000000001</v>
      </c>
      <c r="H38" s="67">
        <v>4.6379999999999999</v>
      </c>
      <c r="I38" s="67">
        <v>4.7590000000000003</v>
      </c>
      <c r="J38" s="67">
        <v>5.01</v>
      </c>
      <c r="K38" s="67">
        <v>3.5310000000000001</v>
      </c>
      <c r="L38" s="67">
        <v>4.734</v>
      </c>
      <c r="M38" s="67">
        <v>4.9619999999999997</v>
      </c>
      <c r="N38" s="67">
        <v>5.1150000000000002</v>
      </c>
      <c r="O38" s="67">
        <v>5.173</v>
      </c>
      <c r="P38" s="67">
        <v>5.9059999999999997</v>
      </c>
      <c r="Q38" s="67">
        <v>6.319</v>
      </c>
      <c r="R38" s="67">
        <v>6.34</v>
      </c>
      <c r="S38" s="67">
        <v>6.6449999999999996</v>
      </c>
      <c r="T38" s="67">
        <v>6.87</v>
      </c>
      <c r="U38" s="67">
        <v>6.3769999999999998</v>
      </c>
      <c r="V38" s="67">
        <v>5.6470000000000002</v>
      </c>
      <c r="W38" s="67">
        <v>6.0679999999999996</v>
      </c>
      <c r="X38" s="67">
        <v>5.5350000000000001</v>
      </c>
      <c r="Y38" s="67">
        <v>6.726</v>
      </c>
      <c r="Z38" s="67">
        <v>6.6539999999999999</v>
      </c>
      <c r="AA38" s="67">
        <v>7.5869999999999997</v>
      </c>
      <c r="AB38" s="73">
        <v>8.5147087631836964</v>
      </c>
      <c r="AC38" s="73">
        <v>9.1301001235411867</v>
      </c>
      <c r="AD38" s="73">
        <v>9.8813133263123767</v>
      </c>
      <c r="AE38" s="73">
        <v>10.110866732127308</v>
      </c>
      <c r="AF38" s="73">
        <v>10.929970670125762</v>
      </c>
      <c r="AG38" s="73">
        <v>11.816996728020522</v>
      </c>
      <c r="AH38" s="73">
        <v>10.856758658926836</v>
      </c>
      <c r="AI38" s="146">
        <v>12.548504662861072</v>
      </c>
    </row>
    <row r="39" spans="1:35" ht="12.75" customHeight="1">
      <c r="A39" s="69" t="s">
        <v>76</v>
      </c>
      <c r="B39" s="72"/>
      <c r="C39" s="215"/>
      <c r="D39" s="70"/>
      <c r="E39" s="70"/>
      <c r="F39" s="70"/>
      <c r="G39" s="279"/>
      <c r="H39" s="27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>
        <v>30.589796610169493</v>
      </c>
      <c r="Y39" s="71">
        <v>26.079487179487181</v>
      </c>
      <c r="Z39" s="71">
        <v>26.518480492612699</v>
      </c>
      <c r="AA39" s="71">
        <v>27.106308597581521</v>
      </c>
      <c r="AB39" s="71">
        <v>27.918314222064502</v>
      </c>
      <c r="AC39" s="71">
        <v>28.61996915457172</v>
      </c>
      <c r="AD39" s="71">
        <v>29.512492930402949</v>
      </c>
      <c r="AE39" s="71">
        <v>29.985312873850475</v>
      </c>
      <c r="AF39" s="71">
        <v>30.199717049041254</v>
      </c>
      <c r="AG39" s="71">
        <v>31.315304108067288</v>
      </c>
      <c r="AH39" s="71">
        <v>27.690027214984841</v>
      </c>
      <c r="AI39" s="71">
        <v>30.05764128186371</v>
      </c>
    </row>
    <row r="40" spans="1:35" ht="12.75" customHeight="1">
      <c r="A40" s="65" t="s">
        <v>20</v>
      </c>
      <c r="B40" s="68" t="s">
        <v>37</v>
      </c>
      <c r="C40" s="68" t="s">
        <v>37</v>
      </c>
      <c r="D40" s="67">
        <v>34.325000000000003</v>
      </c>
      <c r="E40" s="67">
        <v>33.58</v>
      </c>
      <c r="F40" s="67">
        <v>36.889000000000003</v>
      </c>
      <c r="G40" s="67">
        <v>41.847999999999999</v>
      </c>
      <c r="H40" s="67">
        <v>45.735999999999997</v>
      </c>
      <c r="I40" s="67">
        <v>52.652000000000001</v>
      </c>
      <c r="J40" s="67">
        <v>57.485999999999997</v>
      </c>
      <c r="K40" s="73">
        <v>62.5</v>
      </c>
      <c r="L40" s="73">
        <v>67.5</v>
      </c>
      <c r="M40" s="73">
        <v>72.5</v>
      </c>
      <c r="N40" s="73">
        <v>79</v>
      </c>
      <c r="O40" s="73">
        <v>81</v>
      </c>
      <c r="P40" s="73">
        <v>82</v>
      </c>
      <c r="Q40" s="73">
        <v>84</v>
      </c>
      <c r="R40" s="73">
        <v>95</v>
      </c>
      <c r="S40" s="73">
        <v>100</v>
      </c>
      <c r="T40" s="73">
        <v>108</v>
      </c>
      <c r="U40" s="73">
        <v>114</v>
      </c>
      <c r="V40" s="73">
        <v>120</v>
      </c>
      <c r="W40" s="76">
        <v>124.038</v>
      </c>
      <c r="X40" s="67">
        <v>137.857</v>
      </c>
      <c r="Y40" s="67">
        <v>146.93100000000001</v>
      </c>
      <c r="Z40" s="67">
        <v>162.315</v>
      </c>
      <c r="AA40" s="67">
        <v>173.33199999999999</v>
      </c>
      <c r="AB40" s="67">
        <v>182.155</v>
      </c>
      <c r="AC40" s="67">
        <v>199.89500000000001</v>
      </c>
      <c r="AD40" s="67">
        <v>213.85300000000001</v>
      </c>
      <c r="AE40" s="73">
        <v>217.99504601287668</v>
      </c>
      <c r="AF40" s="67">
        <v>229.43899999999999</v>
      </c>
      <c r="AG40" s="67">
        <v>240.517</v>
      </c>
      <c r="AH40" s="67">
        <v>215.29</v>
      </c>
      <c r="AI40" s="73">
        <v>236.76541382887598</v>
      </c>
    </row>
    <row r="41" spans="1:35" ht="13.5" customHeight="1">
      <c r="A41" s="166" t="s">
        <v>102</v>
      </c>
      <c r="B41" s="265"/>
      <c r="C41" s="265"/>
      <c r="D41" s="235"/>
      <c r="E41" s="235"/>
      <c r="F41" s="235"/>
      <c r="G41" s="235"/>
      <c r="H41" s="235"/>
      <c r="I41" s="235"/>
      <c r="J41" s="235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235"/>
      <c r="X41" s="235"/>
      <c r="Y41" s="235"/>
      <c r="Z41" s="235"/>
      <c r="AA41" s="235"/>
      <c r="AB41" s="235"/>
      <c r="AC41" s="235"/>
      <c r="AD41" s="235"/>
      <c r="AE41" s="318"/>
      <c r="AF41" s="235"/>
      <c r="AG41" s="235"/>
      <c r="AH41" s="235"/>
      <c r="AI41" s="235"/>
    </row>
    <row r="42" spans="1:35" ht="12.75" customHeight="1">
      <c r="A42" s="299" t="s">
        <v>24</v>
      </c>
      <c r="B42" s="320">
        <v>297</v>
      </c>
      <c r="C42" s="320">
        <v>388</v>
      </c>
      <c r="D42" s="321">
        <v>588.00801223155577</v>
      </c>
      <c r="E42" s="321">
        <v>582.21051112987197</v>
      </c>
      <c r="F42" s="321">
        <v>583.04447423105887</v>
      </c>
      <c r="G42" s="322">
        <v>607.1</v>
      </c>
      <c r="H42" s="321">
        <v>614</v>
      </c>
      <c r="I42" s="323">
        <v>617.9</v>
      </c>
      <c r="J42" s="321">
        <v>622.26547196005436</v>
      </c>
      <c r="K42" s="321">
        <v>632.36844245461566</v>
      </c>
      <c r="L42" s="321">
        <v>635.67752258646681</v>
      </c>
      <c r="M42" s="321">
        <v>642.08668197619511</v>
      </c>
      <c r="N42" s="322">
        <v>638.56607249072079</v>
      </c>
      <c r="O42" s="321">
        <v>651.39619970162107</v>
      </c>
      <c r="P42" s="321">
        <v>672.71946918280548</v>
      </c>
      <c r="Q42" s="321">
        <v>666.72758889719205</v>
      </c>
      <c r="R42" s="321">
        <v>669.95436960590973</v>
      </c>
      <c r="S42" s="321">
        <v>664.61344816034648</v>
      </c>
      <c r="T42" s="321">
        <v>670.20589686090602</v>
      </c>
      <c r="U42" s="321">
        <v>671.50201366709234</v>
      </c>
      <c r="V42" s="321">
        <v>664.21176809330154</v>
      </c>
      <c r="W42" s="321">
        <v>658.68693868224295</v>
      </c>
      <c r="X42" s="321">
        <v>644.26302269427867</v>
      </c>
      <c r="Y42" s="321">
        <v>644.77194296368918</v>
      </c>
      <c r="Z42" s="321">
        <v>648.91483653455771</v>
      </c>
      <c r="AA42" s="321">
        <v>645.20861044865035</v>
      </c>
      <c r="AB42" s="321">
        <v>659.48418362247025</v>
      </c>
      <c r="AC42" s="321">
        <v>661.90774944113491</v>
      </c>
      <c r="AD42" s="321">
        <v>673.6765046612868</v>
      </c>
      <c r="AE42" s="321">
        <v>678.99113367776033</v>
      </c>
      <c r="AF42" s="321">
        <v>687.22779958630042</v>
      </c>
      <c r="AG42" s="321">
        <v>697.76272714556535</v>
      </c>
      <c r="AH42" s="321">
        <v>505.25961162215827</v>
      </c>
      <c r="AI42" s="234">
        <v>566.10626439113844</v>
      </c>
    </row>
  </sheetData>
  <printOptions horizontalCentered="1"/>
  <pageMargins left="0.47244094488188981" right="0.27559055118110237" top="0.51181102362204722" bottom="0.27559055118110237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I46"/>
  <sheetViews>
    <sheetView zoomScaleNormal="100" workbookViewId="0">
      <selection activeCell="AI42" sqref="AI42"/>
    </sheetView>
  </sheetViews>
  <sheetFormatPr defaultColWidth="9.1328125" defaultRowHeight="10.15"/>
  <cols>
    <col min="1" max="1" width="4.265625" style="62" customWidth="1"/>
    <col min="2" max="13" width="6.73046875" style="62" customWidth="1"/>
    <col min="14" max="14" width="7.3984375" style="62" customWidth="1"/>
    <col min="15" max="15" width="8" style="62" customWidth="1"/>
    <col min="16" max="16" width="8.73046875" style="62" customWidth="1"/>
    <col min="17" max="17" width="7.1328125" style="62" customWidth="1"/>
    <col min="18" max="18" width="9" style="62" customWidth="1"/>
    <col min="19" max="19" width="8" style="62" customWidth="1"/>
    <col min="20" max="20" width="7.265625" style="62" customWidth="1"/>
    <col min="21" max="21" width="7.86328125" style="62" customWidth="1"/>
    <col min="22" max="26" width="7.265625" style="62" customWidth="1"/>
    <col min="27" max="27" width="9" style="62" customWidth="1"/>
    <col min="28" max="32" width="7.265625" style="62" customWidth="1"/>
    <col min="33" max="33" width="6.3984375" style="62" customWidth="1"/>
    <col min="34" max="35" width="5.3984375" style="62" customWidth="1"/>
    <col min="36" max="16384" width="9.1328125" style="62"/>
  </cols>
  <sheetData>
    <row r="1" spans="1:35" ht="20.100000000000001" customHeight="1">
      <c r="A1" s="99"/>
      <c r="B1" s="258">
        <v>1970</v>
      </c>
      <c r="C1" s="258">
        <v>1980</v>
      </c>
      <c r="D1" s="138">
        <v>1990</v>
      </c>
      <c r="E1" s="138">
        <v>1991</v>
      </c>
      <c r="F1" s="138">
        <v>1992</v>
      </c>
      <c r="G1" s="138">
        <v>1993</v>
      </c>
      <c r="H1" s="138">
        <v>1994</v>
      </c>
      <c r="I1" s="138">
        <v>1995</v>
      </c>
      <c r="J1" s="138">
        <v>1996</v>
      </c>
      <c r="K1" s="138">
        <v>1997</v>
      </c>
      <c r="L1" s="138">
        <v>1998</v>
      </c>
      <c r="M1" s="138">
        <v>1999</v>
      </c>
      <c r="N1" s="138">
        <v>2000</v>
      </c>
      <c r="O1" s="138">
        <v>2001</v>
      </c>
      <c r="P1" s="138">
        <v>2002</v>
      </c>
      <c r="Q1" s="138">
        <v>2003</v>
      </c>
      <c r="R1" s="138">
        <v>2004</v>
      </c>
      <c r="S1" s="138">
        <v>2005</v>
      </c>
      <c r="T1" s="138">
        <v>2006</v>
      </c>
      <c r="U1" s="138">
        <v>2007</v>
      </c>
      <c r="V1" s="138">
        <v>2008</v>
      </c>
      <c r="W1" s="138">
        <v>2009</v>
      </c>
      <c r="X1" s="138">
        <v>2010</v>
      </c>
      <c r="Y1" s="138">
        <v>2011</v>
      </c>
      <c r="Z1" s="138">
        <v>2012</v>
      </c>
      <c r="AA1" s="138">
        <v>2013</v>
      </c>
      <c r="AB1" s="138">
        <v>2014</v>
      </c>
      <c r="AC1" s="138">
        <v>2015</v>
      </c>
      <c r="AD1" s="138">
        <v>2016</v>
      </c>
      <c r="AE1" s="138">
        <v>2017</v>
      </c>
      <c r="AF1" s="138">
        <v>2018</v>
      </c>
      <c r="AG1" s="138">
        <v>2019</v>
      </c>
      <c r="AH1" s="138">
        <v>2020</v>
      </c>
      <c r="AI1" s="138">
        <v>2021</v>
      </c>
    </row>
    <row r="2" spans="1:35" ht="9.9499999999999993" customHeight="1">
      <c r="A2" s="99"/>
      <c r="B2" s="108"/>
      <c r="C2" s="108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 ht="12.75" customHeight="1">
      <c r="A3" s="266" t="s">
        <v>81</v>
      </c>
      <c r="B3" s="266"/>
      <c r="C3" s="266"/>
      <c r="D3" s="266"/>
      <c r="E3" s="266"/>
      <c r="F3" s="266"/>
      <c r="G3" s="266"/>
      <c r="H3" s="266"/>
      <c r="I3" s="251">
        <v>468.02840644355865</v>
      </c>
      <c r="J3" s="251">
        <v>472.88897060546248</v>
      </c>
      <c r="K3" s="251">
        <v>475.72177987370736</v>
      </c>
      <c r="L3" s="251">
        <v>478.18777007612073</v>
      </c>
      <c r="M3" s="251">
        <v>479.38473191406047</v>
      </c>
      <c r="N3" s="251">
        <v>496.48234560773267</v>
      </c>
      <c r="O3" s="251">
        <v>495.60992962193603</v>
      </c>
      <c r="P3" s="251">
        <v>492.83179924435063</v>
      </c>
      <c r="Q3" s="251">
        <v>495.56518499416131</v>
      </c>
      <c r="R3" s="251">
        <v>500.16537130745064</v>
      </c>
      <c r="S3" s="251">
        <v>497.75543070272653</v>
      </c>
      <c r="T3" s="251">
        <v>497.84121747374417</v>
      </c>
      <c r="U3" s="251">
        <v>507.88321228594589</v>
      </c>
      <c r="V3" s="251">
        <v>514.13296293375333</v>
      </c>
      <c r="W3" s="251">
        <v>489.74897799444329</v>
      </c>
      <c r="X3" s="251">
        <v>482.18730539438303</v>
      </c>
      <c r="Y3" s="251">
        <v>485.63631790802879</v>
      </c>
      <c r="Z3" s="251">
        <v>481.08994628181415</v>
      </c>
      <c r="AA3" s="251">
        <v>479.60734783520479</v>
      </c>
      <c r="AB3" s="251">
        <v>475.16563679056947</v>
      </c>
      <c r="AC3" s="251">
        <v>490.88932691649268</v>
      </c>
      <c r="AD3" s="251">
        <v>495.29620518255615</v>
      </c>
      <c r="AE3" s="251">
        <v>477.31698917737674</v>
      </c>
      <c r="AF3" s="251">
        <v>481.00326459190705</v>
      </c>
      <c r="AG3" s="251">
        <v>484.94605021896331</v>
      </c>
      <c r="AH3" s="251">
        <v>290.53601561368248</v>
      </c>
      <c r="AI3" s="251">
        <v>327.01146241477761</v>
      </c>
    </row>
    <row r="4" spans="1:35" ht="12.75" customHeight="1">
      <c r="A4" s="65" t="s">
        <v>25</v>
      </c>
      <c r="B4" s="68">
        <v>12.153</v>
      </c>
      <c r="C4" s="68">
        <v>14.422000000000001</v>
      </c>
      <c r="D4" s="91">
        <v>11.371379813302717</v>
      </c>
      <c r="E4" s="91">
        <v>11.928856672785459</v>
      </c>
      <c r="F4" s="91">
        <v>12.208590988011615</v>
      </c>
      <c r="G4" s="91">
        <v>12.449307712355173</v>
      </c>
      <c r="H4" s="91">
        <v>12.920557778575041</v>
      </c>
      <c r="I4" s="91">
        <v>13.116392749010901</v>
      </c>
      <c r="J4" s="91">
        <v>13.048036161999931</v>
      </c>
      <c r="K4" s="67">
        <v>13.062294037072977</v>
      </c>
      <c r="L4" s="67">
        <v>13.264206083397962</v>
      </c>
      <c r="M4" s="73">
        <v>13.441653719101833</v>
      </c>
      <c r="N4" s="67">
        <v>13.298261168538518</v>
      </c>
      <c r="O4" s="67">
        <v>13.785338279369089</v>
      </c>
      <c r="P4" s="67">
        <v>14.959423828844177</v>
      </c>
      <c r="Q4" s="67">
        <v>16.483572017775955</v>
      </c>
      <c r="R4" s="67">
        <v>17.142992004139298</v>
      </c>
      <c r="S4" s="67">
        <v>17.515048055482509</v>
      </c>
      <c r="T4" s="67">
        <v>18.078005341336816</v>
      </c>
      <c r="U4" s="67">
        <v>18.729636998103302</v>
      </c>
      <c r="V4" s="67">
        <v>17.61</v>
      </c>
      <c r="W4" s="67">
        <v>17.63</v>
      </c>
      <c r="X4" s="67">
        <v>17.38</v>
      </c>
      <c r="Y4" s="67">
        <v>17.670000000000002</v>
      </c>
      <c r="Z4" s="67">
        <v>17.91</v>
      </c>
      <c r="AA4" s="76">
        <v>15.766400000000001</v>
      </c>
      <c r="AB4" s="67">
        <v>15.4046</v>
      </c>
      <c r="AC4" s="67">
        <v>14.380800000000001</v>
      </c>
      <c r="AD4" s="67">
        <v>13.586600000000001</v>
      </c>
      <c r="AE4" s="144">
        <v>13.36264176286652</v>
      </c>
      <c r="AF4" s="144">
        <v>13.522318041974065</v>
      </c>
      <c r="AG4" s="144">
        <v>13.68139125411258</v>
      </c>
      <c r="AH4" s="324">
        <v>8.8715822207413311</v>
      </c>
      <c r="AI4" s="297">
        <v>9.275136693189042</v>
      </c>
    </row>
    <row r="5" spans="1:35" ht="12.75" customHeight="1">
      <c r="A5" s="83" t="s">
        <v>8</v>
      </c>
      <c r="B5" s="86">
        <v>12.234999999999999</v>
      </c>
      <c r="C5" s="86">
        <v>21.614000000000001</v>
      </c>
      <c r="D5" s="85">
        <v>25.954999999999998</v>
      </c>
      <c r="E5" s="85">
        <v>19.026</v>
      </c>
      <c r="F5" s="85">
        <v>16.957000000000001</v>
      </c>
      <c r="G5" s="85">
        <v>14.061999999999999</v>
      </c>
      <c r="H5" s="85">
        <v>12.817</v>
      </c>
      <c r="I5" s="278">
        <v>11.566000000000001</v>
      </c>
      <c r="J5" s="278">
        <v>10.577</v>
      </c>
      <c r="K5" s="278">
        <v>11.863</v>
      </c>
      <c r="L5" s="278">
        <v>12.763999999999999</v>
      </c>
      <c r="M5" s="278">
        <v>14.741</v>
      </c>
      <c r="N5" s="278">
        <v>14.587</v>
      </c>
      <c r="O5" s="278">
        <v>14.962999999999999</v>
      </c>
      <c r="P5" s="278">
        <v>16.984999999999999</v>
      </c>
      <c r="Q5" s="278">
        <v>14.4</v>
      </c>
      <c r="R5" s="278">
        <v>13.029</v>
      </c>
      <c r="S5" s="85">
        <v>13.688000000000001</v>
      </c>
      <c r="T5" s="85">
        <v>12.942</v>
      </c>
      <c r="U5" s="85">
        <v>13.571</v>
      </c>
      <c r="V5" s="85">
        <v>13.839</v>
      </c>
      <c r="W5" s="85">
        <v>10.451000000000001</v>
      </c>
      <c r="X5" s="85">
        <v>10.613</v>
      </c>
      <c r="Y5" s="85">
        <v>10.843</v>
      </c>
      <c r="Z5" s="85">
        <v>10.481999999999999</v>
      </c>
      <c r="AA5" s="85">
        <v>10.317</v>
      </c>
      <c r="AB5" s="85">
        <v>11.477</v>
      </c>
      <c r="AC5" s="85">
        <v>12.507999999999999</v>
      </c>
      <c r="AD5" s="85">
        <v>12.21</v>
      </c>
      <c r="AE5" s="85">
        <v>10.553000000000001</v>
      </c>
      <c r="AF5" s="85">
        <v>9.8859999999999992</v>
      </c>
      <c r="AG5" s="85">
        <v>10.835000000000001</v>
      </c>
      <c r="AH5" s="85">
        <v>5.0369999999999999</v>
      </c>
      <c r="AI5" s="338">
        <v>4.95</v>
      </c>
    </row>
    <row r="6" spans="1:35" ht="12.75" customHeight="1">
      <c r="A6" s="65" t="s">
        <v>10</v>
      </c>
      <c r="B6" s="106"/>
      <c r="C6" s="106"/>
      <c r="D6" s="286"/>
      <c r="E6" s="91" t="s">
        <v>37</v>
      </c>
      <c r="F6" s="91" t="s">
        <v>37</v>
      </c>
      <c r="G6" s="91">
        <v>13.617000000000001</v>
      </c>
      <c r="H6" s="105">
        <v>11.523</v>
      </c>
      <c r="I6" s="91">
        <v>18.6005</v>
      </c>
      <c r="J6" s="91">
        <v>16.602499999999999</v>
      </c>
      <c r="K6" s="91">
        <v>15.610800000000001</v>
      </c>
      <c r="L6" s="91">
        <v>15.373099999999999</v>
      </c>
      <c r="M6" s="105">
        <v>15.4438</v>
      </c>
      <c r="N6" s="91">
        <v>16.171300000000002</v>
      </c>
      <c r="O6" s="91">
        <v>17.519300000000001</v>
      </c>
      <c r="P6" s="91">
        <v>16.5305</v>
      </c>
      <c r="Q6" s="91">
        <v>16.424800000000001</v>
      </c>
      <c r="R6" s="91">
        <v>15.218</v>
      </c>
      <c r="S6" s="91">
        <v>15.607900000000001</v>
      </c>
      <c r="T6" s="91">
        <v>16.0151</v>
      </c>
      <c r="U6" s="91">
        <v>16.120899999999999</v>
      </c>
      <c r="V6" s="91">
        <v>16.1069</v>
      </c>
      <c r="W6" s="91">
        <v>16.062000000000001</v>
      </c>
      <c r="X6" s="91">
        <v>16.955599999999997</v>
      </c>
      <c r="Y6" s="91">
        <v>15.832799999999999</v>
      </c>
      <c r="Z6" s="91">
        <v>15.326799999999999</v>
      </c>
      <c r="AA6" s="105">
        <v>15.7209</v>
      </c>
      <c r="AB6" s="91">
        <v>17.055299999999999</v>
      </c>
      <c r="AC6" s="91">
        <v>16.262900000000002</v>
      </c>
      <c r="AD6" s="91">
        <v>17.276</v>
      </c>
      <c r="AE6" s="91">
        <v>18.258800000000001</v>
      </c>
      <c r="AF6" s="91">
        <v>18.121699999999997</v>
      </c>
      <c r="AG6" s="91">
        <v>17.968400000000003</v>
      </c>
      <c r="AH6" s="91">
        <v>9.3687000000000005</v>
      </c>
      <c r="AI6" s="336">
        <v>9.0942999999999987</v>
      </c>
    </row>
    <row r="7" spans="1:35" ht="12.75" customHeight="1">
      <c r="A7" s="83" t="s">
        <v>21</v>
      </c>
      <c r="B7" s="86">
        <v>3.8980000000000001</v>
      </c>
      <c r="C7" s="86">
        <v>4.6109999999999998</v>
      </c>
      <c r="D7" s="85">
        <v>6.4429999999999996</v>
      </c>
      <c r="E7" s="85">
        <v>6.3940000000000001</v>
      </c>
      <c r="F7" s="85">
        <v>6.4210000000000003</v>
      </c>
      <c r="G7" s="85">
        <v>6.601</v>
      </c>
      <c r="H7" s="85">
        <v>6.7450000000000001</v>
      </c>
      <c r="I7" s="85">
        <v>7.2839999999999998</v>
      </c>
      <c r="J7" s="85">
        <v>7.7169999999999996</v>
      </c>
      <c r="K7" s="85">
        <v>7.5960000000000001</v>
      </c>
      <c r="L7" s="85">
        <v>7.5430000000000001</v>
      </c>
      <c r="M7" s="85">
        <v>7.3970000000000002</v>
      </c>
      <c r="N7" s="85">
        <v>7.4180000000000001</v>
      </c>
      <c r="O7" s="85">
        <v>7.3319999999999999</v>
      </c>
      <c r="P7" s="85">
        <v>7.2949999999999999</v>
      </c>
      <c r="Q7" s="85">
        <v>7.2720000000000002</v>
      </c>
      <c r="R7" s="85">
        <v>7.3</v>
      </c>
      <c r="S7" s="85">
        <v>7.1689999999999996</v>
      </c>
      <c r="T7" s="85">
        <v>7.0540000000000003</v>
      </c>
      <c r="U7" s="85">
        <v>6.8449999999999998</v>
      </c>
      <c r="V7" s="85">
        <v>6.7389999999999999</v>
      </c>
      <c r="W7" s="85">
        <v>6.7460000000000004</v>
      </c>
      <c r="X7" s="85">
        <v>6.8209999999999997</v>
      </c>
      <c r="Y7" s="85">
        <v>6.673</v>
      </c>
      <c r="Z7" s="85">
        <v>6.4660000000000002</v>
      </c>
      <c r="AA7" s="85">
        <v>6.4660000000000002</v>
      </c>
      <c r="AB7" s="85">
        <v>6.5579999999999998</v>
      </c>
      <c r="AC7" s="85">
        <v>6.8550000000000004</v>
      </c>
      <c r="AD7" s="85">
        <v>7.069</v>
      </c>
      <c r="AE7" s="85">
        <v>7.3</v>
      </c>
      <c r="AF7" s="85">
        <v>7.1079999999999997</v>
      </c>
      <c r="AG7" s="85">
        <v>6.9290000000000003</v>
      </c>
      <c r="AH7" s="85">
        <v>4.5469999999999997</v>
      </c>
      <c r="AI7" s="338">
        <v>4.8339999999999996</v>
      </c>
    </row>
    <row r="8" spans="1:35" ht="12.75" customHeight="1">
      <c r="A8" s="65" t="s">
        <v>26</v>
      </c>
      <c r="B8" s="104">
        <v>67.7</v>
      </c>
      <c r="C8" s="103">
        <v>90</v>
      </c>
      <c r="D8" s="91">
        <v>73.099999999999994</v>
      </c>
      <c r="E8" s="91">
        <v>70.3</v>
      </c>
      <c r="F8" s="91">
        <v>69.900000000000006</v>
      </c>
      <c r="G8" s="91">
        <v>70.2</v>
      </c>
      <c r="H8" s="91">
        <v>68.599999999999994</v>
      </c>
      <c r="I8" s="91">
        <v>68.5</v>
      </c>
      <c r="J8" s="91">
        <v>68.3</v>
      </c>
      <c r="K8" s="91">
        <v>68</v>
      </c>
      <c r="L8" s="91">
        <v>68.2</v>
      </c>
      <c r="M8" s="91">
        <v>68</v>
      </c>
      <c r="N8" s="91">
        <v>69</v>
      </c>
      <c r="O8" s="91">
        <v>68.7</v>
      </c>
      <c r="P8" s="91">
        <v>67.5</v>
      </c>
      <c r="Q8" s="91">
        <v>67.5</v>
      </c>
      <c r="R8" s="91">
        <v>67.805999999999997</v>
      </c>
      <c r="S8" s="91">
        <v>67.061999999999998</v>
      </c>
      <c r="T8" s="91">
        <v>66.183999999999997</v>
      </c>
      <c r="U8" s="91">
        <v>65.387</v>
      </c>
      <c r="V8" s="91">
        <v>63.591999999999999</v>
      </c>
      <c r="W8" s="91">
        <v>62.097000000000001</v>
      </c>
      <c r="X8" s="91">
        <v>61.767000000000003</v>
      </c>
      <c r="Y8" s="91">
        <v>61.4</v>
      </c>
      <c r="Z8" s="91">
        <v>59.4</v>
      </c>
      <c r="AA8" s="91">
        <v>60.5</v>
      </c>
      <c r="AB8" s="91">
        <v>62.2</v>
      </c>
      <c r="AC8" s="91">
        <v>65.099999999999994</v>
      </c>
      <c r="AD8" s="91">
        <v>64.400000000000006</v>
      </c>
      <c r="AE8" s="91">
        <v>62.5</v>
      </c>
      <c r="AF8" s="91">
        <v>62.5</v>
      </c>
      <c r="AG8" s="91">
        <v>61.3</v>
      </c>
      <c r="AH8" s="91">
        <v>34</v>
      </c>
      <c r="AI8" s="336">
        <v>34.299999999999997</v>
      </c>
    </row>
    <row r="9" spans="1:35" ht="12.75" customHeight="1">
      <c r="A9" s="83" t="s">
        <v>11</v>
      </c>
      <c r="B9" s="86">
        <v>2.61</v>
      </c>
      <c r="C9" s="86">
        <v>3.66</v>
      </c>
      <c r="D9" s="85">
        <v>4.45</v>
      </c>
      <c r="E9" s="85">
        <v>3.83</v>
      </c>
      <c r="F9" s="85">
        <v>2.97</v>
      </c>
      <c r="G9" s="85">
        <v>2.54</v>
      </c>
      <c r="H9" s="85">
        <v>2.35</v>
      </c>
      <c r="I9" s="85">
        <v>2.048</v>
      </c>
      <c r="J9" s="85">
        <v>2.0910000000000002</v>
      </c>
      <c r="K9" s="85">
        <v>2.238</v>
      </c>
      <c r="L9" s="85">
        <v>2.2650000000000001</v>
      </c>
      <c r="M9" s="85">
        <v>2.2229999999999999</v>
      </c>
      <c r="N9" s="85">
        <v>2.63</v>
      </c>
      <c r="O9" s="85">
        <v>2.4609999999999999</v>
      </c>
      <c r="P9" s="85">
        <v>2.33</v>
      </c>
      <c r="Q9" s="85">
        <v>2.2970000000000002</v>
      </c>
      <c r="R9" s="85">
        <v>2.4689999999999999</v>
      </c>
      <c r="S9" s="85">
        <v>2.7160000000000002</v>
      </c>
      <c r="T9" s="85">
        <v>2.8809999999999998</v>
      </c>
      <c r="U9" s="85">
        <v>2.677</v>
      </c>
      <c r="V9" s="85">
        <v>2.4529999999999998</v>
      </c>
      <c r="W9" s="85">
        <v>2.1139999999999999</v>
      </c>
      <c r="X9" s="85">
        <v>2.0609999999999999</v>
      </c>
      <c r="Y9" s="85">
        <v>2.0706943</v>
      </c>
      <c r="Z9" s="85">
        <v>1.8813</v>
      </c>
      <c r="AA9" s="85">
        <v>1.9296</v>
      </c>
      <c r="AB9" s="85">
        <v>1.9757499999999999</v>
      </c>
      <c r="AC9" s="85">
        <v>2.359</v>
      </c>
      <c r="AD9" s="85">
        <v>2.9380000000000002</v>
      </c>
      <c r="AE9" s="85">
        <v>2.8690000000000002</v>
      </c>
      <c r="AF9" s="85">
        <v>2.84</v>
      </c>
      <c r="AG9" s="85">
        <v>3.153</v>
      </c>
      <c r="AH9" s="85">
        <v>1.3740000000000001</v>
      </c>
      <c r="AI9" s="338">
        <v>1.288</v>
      </c>
    </row>
    <row r="10" spans="1:35" ht="12.75" customHeight="1">
      <c r="A10" s="65" t="s">
        <v>29</v>
      </c>
      <c r="B10" s="68">
        <v>3.3</v>
      </c>
      <c r="C10" s="68">
        <v>4.5</v>
      </c>
      <c r="D10" s="67">
        <v>3.86</v>
      </c>
      <c r="E10" s="67">
        <v>4.0999999999999996</v>
      </c>
      <c r="F10" s="67">
        <v>4.3</v>
      </c>
      <c r="G10" s="67">
        <v>4.49</v>
      </c>
      <c r="H10" s="67">
        <v>5</v>
      </c>
      <c r="I10" s="67">
        <v>5.15</v>
      </c>
      <c r="J10" s="67">
        <v>5.3</v>
      </c>
      <c r="K10" s="73">
        <v>5.5</v>
      </c>
      <c r="L10" s="73">
        <v>5.7</v>
      </c>
      <c r="M10" s="73">
        <v>5.9</v>
      </c>
      <c r="N10" s="102">
        <v>6.9631999999999996</v>
      </c>
      <c r="O10" s="73">
        <v>7.2896000000000001</v>
      </c>
      <c r="P10" s="73">
        <v>7.2624000000000004</v>
      </c>
      <c r="Q10" s="73">
        <v>7.5343999999999998</v>
      </c>
      <c r="R10" s="73">
        <v>7.8608000000000002</v>
      </c>
      <c r="S10" s="73">
        <v>7.9151999999999996</v>
      </c>
      <c r="T10" s="73">
        <v>8.0239999999999991</v>
      </c>
      <c r="U10" s="73">
        <v>8.2959999999999994</v>
      </c>
      <c r="V10" s="73">
        <v>8.5679999999999996</v>
      </c>
      <c r="W10" s="73">
        <v>8.9488000000000003</v>
      </c>
      <c r="X10" s="73">
        <v>8.4591999999999992</v>
      </c>
      <c r="Y10" s="73">
        <v>8.3775999999999993</v>
      </c>
      <c r="Z10" s="73">
        <v>8.1056000000000008</v>
      </c>
      <c r="AA10" s="73">
        <v>8.1327999999999996</v>
      </c>
      <c r="AB10" s="73">
        <v>8.4047999999999998</v>
      </c>
      <c r="AC10" s="73">
        <v>8.5136000000000003</v>
      </c>
      <c r="AD10" s="73">
        <v>8.9760000000000009</v>
      </c>
      <c r="AE10" s="73">
        <v>9.8191999999999986</v>
      </c>
      <c r="AF10" s="73">
        <v>10.4992</v>
      </c>
      <c r="AG10" s="73">
        <v>10.6624</v>
      </c>
      <c r="AH10" s="73">
        <v>7.3712</v>
      </c>
      <c r="AI10" s="297">
        <v>8.1379028661824808</v>
      </c>
    </row>
    <row r="11" spans="1:35" ht="12.75" customHeight="1">
      <c r="A11" s="83" t="s">
        <v>22</v>
      </c>
      <c r="B11" s="86">
        <v>9.4250000000000007</v>
      </c>
      <c r="C11" s="86">
        <v>15.621</v>
      </c>
      <c r="D11" s="85">
        <v>17.718</v>
      </c>
      <c r="E11" s="85">
        <v>17.968</v>
      </c>
      <c r="F11" s="85">
        <v>18.548999999999999</v>
      </c>
      <c r="G11" s="85">
        <v>18.922000000000001</v>
      </c>
      <c r="H11" s="85">
        <v>19.577999999999999</v>
      </c>
      <c r="I11" s="85">
        <v>20.221</v>
      </c>
      <c r="J11" s="85">
        <v>20.449000000000002</v>
      </c>
      <c r="K11" s="85">
        <v>20.695</v>
      </c>
      <c r="L11" s="85">
        <v>21.2</v>
      </c>
      <c r="M11" s="85">
        <v>21.5</v>
      </c>
      <c r="N11" s="85">
        <v>21.7</v>
      </c>
      <c r="O11" s="87">
        <v>21.8</v>
      </c>
      <c r="P11" s="87">
        <v>22</v>
      </c>
      <c r="Q11" s="87">
        <v>21.95</v>
      </c>
      <c r="R11" s="87">
        <v>21.6</v>
      </c>
      <c r="S11" s="87">
        <v>21.7</v>
      </c>
      <c r="T11" s="87">
        <v>21.8</v>
      </c>
      <c r="U11" s="87">
        <v>22</v>
      </c>
      <c r="V11" s="87">
        <v>22.1</v>
      </c>
      <c r="W11" s="87">
        <v>20.919043007800454</v>
      </c>
      <c r="X11" s="87">
        <v>21.1</v>
      </c>
      <c r="Y11" s="87">
        <v>21.161722909489495</v>
      </c>
      <c r="Z11" s="87">
        <v>21.096100453974149</v>
      </c>
      <c r="AA11" s="87">
        <v>21.028128543117838</v>
      </c>
      <c r="AB11" s="87">
        <v>21.006120944621784</v>
      </c>
      <c r="AC11" s="87">
        <v>21.148271968974477</v>
      </c>
      <c r="AD11" s="87">
        <v>20.902716638696276</v>
      </c>
      <c r="AE11" s="87">
        <v>20.464949412482678</v>
      </c>
      <c r="AF11" s="87">
        <v>20.548762808713402</v>
      </c>
      <c r="AG11" s="87">
        <v>20.335513764871919</v>
      </c>
      <c r="AH11" s="87">
        <v>13.312846106046331</v>
      </c>
      <c r="AI11" s="335">
        <v>13.769302919511484</v>
      </c>
    </row>
    <row r="12" spans="1:35" ht="12.75" customHeight="1">
      <c r="A12" s="65" t="s">
        <v>27</v>
      </c>
      <c r="B12" s="68">
        <v>20.911000000000001</v>
      </c>
      <c r="C12" s="68">
        <v>28.099</v>
      </c>
      <c r="D12" s="67">
        <v>33.36</v>
      </c>
      <c r="E12" s="67">
        <v>35.450000000000003</v>
      </c>
      <c r="F12" s="67">
        <v>35.520000000000003</v>
      </c>
      <c r="G12" s="67">
        <v>37.090000000000003</v>
      </c>
      <c r="H12" s="67">
        <v>38.130000000000003</v>
      </c>
      <c r="I12" s="67">
        <v>39.6</v>
      </c>
      <c r="J12" s="73">
        <v>44</v>
      </c>
      <c r="K12" s="67">
        <v>43.97</v>
      </c>
      <c r="L12" s="67">
        <v>49.4</v>
      </c>
      <c r="M12" s="67">
        <v>50</v>
      </c>
      <c r="N12" s="67">
        <v>50.277999999999999</v>
      </c>
      <c r="O12" s="67">
        <v>51.712000000000003</v>
      </c>
      <c r="P12" s="67">
        <v>50.052999999999997</v>
      </c>
      <c r="Q12" s="67">
        <v>49.209000000000003</v>
      </c>
      <c r="R12" s="67">
        <v>53.457999999999998</v>
      </c>
      <c r="S12" s="67">
        <v>53.176000000000002</v>
      </c>
      <c r="T12" s="67">
        <v>49.369</v>
      </c>
      <c r="U12" s="67">
        <v>59.162999999999997</v>
      </c>
      <c r="V12" s="67">
        <v>60.863999999999997</v>
      </c>
      <c r="W12" s="67">
        <v>57.042999999999999</v>
      </c>
      <c r="X12" s="67">
        <v>50.902000000000001</v>
      </c>
      <c r="Y12" s="67">
        <v>55.741999999999997</v>
      </c>
      <c r="Z12" s="67">
        <v>54.530999999999999</v>
      </c>
      <c r="AA12" s="67">
        <v>53.835999999999999</v>
      </c>
      <c r="AB12" s="76">
        <v>39.469000000000001</v>
      </c>
      <c r="AC12" s="67">
        <v>46.389000000000003</v>
      </c>
      <c r="AD12" s="79">
        <v>47.762999999999998</v>
      </c>
      <c r="AE12" s="67">
        <v>30.51</v>
      </c>
      <c r="AF12" s="67">
        <v>32.188000000000002</v>
      </c>
      <c r="AG12" s="67">
        <v>33.25</v>
      </c>
      <c r="AH12" s="67">
        <v>18.928999999999998</v>
      </c>
      <c r="AI12" s="297">
        <v>23.661249999999999</v>
      </c>
    </row>
    <row r="13" spans="1:35" ht="16.5" customHeight="1">
      <c r="A13" s="83" t="s">
        <v>28</v>
      </c>
      <c r="B13" s="86">
        <v>25.2</v>
      </c>
      <c r="C13" s="86">
        <v>38</v>
      </c>
      <c r="D13" s="85">
        <v>52.259742603886068</v>
      </c>
      <c r="E13" s="85">
        <v>54.120923065039335</v>
      </c>
      <c r="F13" s="85">
        <v>53.165864631065709</v>
      </c>
      <c r="G13" s="85">
        <v>53.481037343042473</v>
      </c>
      <c r="H13" s="85">
        <v>54.210795192775578</v>
      </c>
      <c r="I13" s="85">
        <v>53.189360720923631</v>
      </c>
      <c r="J13" s="85">
        <v>54.373496764817617</v>
      </c>
      <c r="K13" s="85">
        <v>55.390056470137473</v>
      </c>
      <c r="L13" s="85">
        <v>55.361849054148649</v>
      </c>
      <c r="M13" s="85">
        <v>54.525859142098213</v>
      </c>
      <c r="N13" s="120">
        <v>49.594495628487593</v>
      </c>
      <c r="O13" s="85">
        <v>48.111338379685371</v>
      </c>
      <c r="P13" s="85">
        <v>48.64828099736328</v>
      </c>
      <c r="Q13" s="85">
        <v>49.133556404460414</v>
      </c>
      <c r="R13" s="85">
        <v>49.993721550019934</v>
      </c>
      <c r="S13" s="85">
        <v>50.104708929007032</v>
      </c>
      <c r="T13" s="85">
        <v>52.436795674950197</v>
      </c>
      <c r="U13" s="85">
        <v>53.044433886484853</v>
      </c>
      <c r="V13" s="85">
        <v>53.525198463968259</v>
      </c>
      <c r="W13" s="85">
        <v>53.163203980574863</v>
      </c>
      <c r="X13" s="85">
        <v>54.040974622693476</v>
      </c>
      <c r="Y13" s="124">
        <v>54.582638113687722</v>
      </c>
      <c r="Z13" s="85">
        <v>54.574681764566755</v>
      </c>
      <c r="AA13" s="85">
        <v>54.885672204647634</v>
      </c>
      <c r="AB13" s="85">
        <v>56.224279767516997</v>
      </c>
      <c r="AC13" s="85">
        <v>56.970271271502703</v>
      </c>
      <c r="AD13" s="85">
        <v>58.171870620727915</v>
      </c>
      <c r="AE13" s="85">
        <v>58.625055901415884</v>
      </c>
      <c r="AF13" s="85">
        <v>58.711957384769612</v>
      </c>
      <c r="AG13" s="124">
        <v>58.68209104521717</v>
      </c>
      <c r="AH13" s="85">
        <v>36.931914439840327</v>
      </c>
      <c r="AI13" s="338">
        <v>40.209555100282842</v>
      </c>
    </row>
    <row r="14" spans="1:35" ht="12.75" customHeight="1">
      <c r="A14" s="65" t="s">
        <v>39</v>
      </c>
      <c r="B14" s="68">
        <v>3.3</v>
      </c>
      <c r="C14" s="68">
        <v>7.1</v>
      </c>
      <c r="D14" s="67">
        <v>7</v>
      </c>
      <c r="E14" s="67" t="s">
        <v>37</v>
      </c>
      <c r="F14" s="67" t="s">
        <v>37</v>
      </c>
      <c r="G14" s="67" t="s">
        <v>37</v>
      </c>
      <c r="H14" s="67" t="s">
        <v>37</v>
      </c>
      <c r="I14" s="67">
        <v>4.0519150000000002</v>
      </c>
      <c r="J14" s="67">
        <v>4.2661179999999996</v>
      </c>
      <c r="K14" s="67">
        <v>4.4590670000000001</v>
      </c>
      <c r="L14" s="67">
        <v>3.9638469999999999</v>
      </c>
      <c r="M14" s="67">
        <v>3.3549829999999998</v>
      </c>
      <c r="N14" s="67">
        <v>3.3311470000000001</v>
      </c>
      <c r="O14" s="67">
        <v>3.477757</v>
      </c>
      <c r="P14" s="67">
        <v>3.557693</v>
      </c>
      <c r="Q14" s="67">
        <v>3.71685</v>
      </c>
      <c r="R14" s="67">
        <v>3.390253</v>
      </c>
      <c r="S14" s="67">
        <v>3.4034689999999999</v>
      </c>
      <c r="T14" s="67">
        <v>3.5370560000000002</v>
      </c>
      <c r="U14" s="67">
        <v>3.8079800000000001</v>
      </c>
      <c r="V14" s="67">
        <v>4.0934889999999999</v>
      </c>
      <c r="W14" s="67">
        <v>3.4379960000000001</v>
      </c>
      <c r="X14" s="67">
        <v>3.248418</v>
      </c>
      <c r="Y14" s="67">
        <v>3.1450209999999998</v>
      </c>
      <c r="Z14" s="67">
        <v>3.2490779999999999</v>
      </c>
      <c r="AA14" s="67">
        <v>3.5070000000000001</v>
      </c>
      <c r="AB14" s="67">
        <v>3.6480000000000001</v>
      </c>
      <c r="AC14" s="67">
        <v>3.3769999999999998</v>
      </c>
      <c r="AD14" s="67">
        <v>3.802</v>
      </c>
      <c r="AE14" s="67">
        <v>4.1500000000000004</v>
      </c>
      <c r="AF14" s="67">
        <v>3.843</v>
      </c>
      <c r="AG14" s="67">
        <v>4.0220000000000002</v>
      </c>
      <c r="AH14" s="67">
        <v>2.0760000000000001</v>
      </c>
      <c r="AI14" s="296">
        <v>2.39</v>
      </c>
    </row>
    <row r="15" spans="1:35" ht="12.75" customHeight="1">
      <c r="A15" s="69" t="s">
        <v>30</v>
      </c>
      <c r="B15" s="72">
        <v>32.003999999999998</v>
      </c>
      <c r="C15" s="72">
        <v>57.835999999999999</v>
      </c>
      <c r="D15" s="70">
        <v>83.954999999999998</v>
      </c>
      <c r="E15" s="70">
        <v>84.69</v>
      </c>
      <c r="F15" s="70">
        <v>84.7</v>
      </c>
      <c r="G15" s="70">
        <v>81.45</v>
      </c>
      <c r="H15" s="70">
        <v>79.28</v>
      </c>
      <c r="I15" s="70">
        <v>87.146999999999991</v>
      </c>
      <c r="J15" s="70">
        <v>88.736000000000004</v>
      </c>
      <c r="K15" s="70">
        <v>90</v>
      </c>
      <c r="L15" s="70">
        <v>90.6</v>
      </c>
      <c r="M15" s="70">
        <v>92.153000000000006</v>
      </c>
      <c r="N15" s="70">
        <v>93.421000000000006</v>
      </c>
      <c r="O15" s="70">
        <v>95.593999999999994</v>
      </c>
      <c r="P15" s="70">
        <v>97.146000000000001</v>
      </c>
      <c r="Q15" s="70">
        <v>98.319000000000003</v>
      </c>
      <c r="R15" s="70">
        <v>99.759999999999991</v>
      </c>
      <c r="S15" s="70">
        <v>100.95399999999999</v>
      </c>
      <c r="T15" s="70">
        <v>103.04899999999999</v>
      </c>
      <c r="U15" s="70">
        <v>102.65700000000001</v>
      </c>
      <c r="V15" s="70">
        <v>102.438</v>
      </c>
      <c r="W15" s="70">
        <v>101.706</v>
      </c>
      <c r="X15" s="70">
        <v>102.21899999999999</v>
      </c>
      <c r="Y15" s="70">
        <v>102.444</v>
      </c>
      <c r="Z15" s="70">
        <v>101.512</v>
      </c>
      <c r="AA15" s="70">
        <v>101.77000000000001</v>
      </c>
      <c r="AB15" s="70">
        <v>102.806</v>
      </c>
      <c r="AC15" s="70">
        <v>102.509</v>
      </c>
      <c r="AD15" s="70">
        <v>102.313</v>
      </c>
      <c r="AE15" s="70">
        <v>102.67899999999999</v>
      </c>
      <c r="AF15" s="70">
        <v>102.965</v>
      </c>
      <c r="AG15" s="70">
        <v>104.29300000000001</v>
      </c>
      <c r="AH15" s="70">
        <v>57.777999999999999</v>
      </c>
      <c r="AI15" s="325">
        <v>80.31</v>
      </c>
    </row>
    <row r="16" spans="1:35" ht="12.75" customHeight="1">
      <c r="A16" s="65" t="s">
        <v>9</v>
      </c>
      <c r="B16" s="68" t="s">
        <v>37</v>
      </c>
      <c r="C16" s="68" t="s">
        <v>37</v>
      </c>
      <c r="D16" s="67" t="s">
        <v>37</v>
      </c>
      <c r="E16" s="67" t="s">
        <v>37</v>
      </c>
      <c r="F16" s="67" t="s">
        <v>37</v>
      </c>
      <c r="G16" s="67" t="s">
        <v>37</v>
      </c>
      <c r="H16" s="67" t="s">
        <v>37</v>
      </c>
      <c r="I16" s="73">
        <v>1</v>
      </c>
      <c r="J16" s="73">
        <v>1.04</v>
      </c>
      <c r="K16" s="73">
        <v>1.05</v>
      </c>
      <c r="L16" s="73">
        <v>1.06</v>
      </c>
      <c r="M16" s="73">
        <v>1.08</v>
      </c>
      <c r="N16" s="73">
        <v>1.1200000000000001</v>
      </c>
      <c r="O16" s="73">
        <v>1.1599999999999999</v>
      </c>
      <c r="P16" s="73">
        <v>1.2</v>
      </c>
      <c r="Q16" s="73">
        <v>1.28</v>
      </c>
      <c r="R16" s="73">
        <v>1.24</v>
      </c>
      <c r="S16" s="73">
        <v>1.26</v>
      </c>
      <c r="T16" s="73">
        <v>1.28</v>
      </c>
      <c r="U16" s="73">
        <v>1.3</v>
      </c>
      <c r="V16" s="73">
        <v>1.33</v>
      </c>
      <c r="W16" s="73">
        <v>1.2832081221716343</v>
      </c>
      <c r="X16" s="73">
        <v>1.29</v>
      </c>
      <c r="Y16" s="73">
        <v>1.3250425730630311</v>
      </c>
      <c r="Z16" s="73">
        <v>1.3655790761715423</v>
      </c>
      <c r="AA16" s="73">
        <v>1.3463918995498854</v>
      </c>
      <c r="AB16" s="73">
        <v>1.3463918995498854</v>
      </c>
      <c r="AC16" s="73">
        <v>1.426717257084444</v>
      </c>
      <c r="AD16" s="73">
        <v>1.4810954569636534</v>
      </c>
      <c r="AE16" s="73">
        <v>1.5360297291459744</v>
      </c>
      <c r="AF16" s="73">
        <v>1.5848710590959747</v>
      </c>
      <c r="AG16" s="73">
        <v>1.5970510260885806</v>
      </c>
      <c r="AH16" s="73">
        <v>0.87895714764299449</v>
      </c>
      <c r="AI16" s="297">
        <v>0.94823264401286333</v>
      </c>
    </row>
    <row r="17" spans="1:35" ht="12.75" customHeight="1">
      <c r="A17" s="69" t="s">
        <v>13</v>
      </c>
      <c r="B17" s="72">
        <v>3.28</v>
      </c>
      <c r="C17" s="72">
        <v>4.55</v>
      </c>
      <c r="D17" s="70">
        <v>5.8620000000000001</v>
      </c>
      <c r="E17" s="81">
        <v>5.3310000000000004</v>
      </c>
      <c r="F17" s="70">
        <v>2.5830000000000002</v>
      </c>
      <c r="G17" s="70">
        <v>1.722</v>
      </c>
      <c r="H17" s="70">
        <v>1.7949999999999999</v>
      </c>
      <c r="I17" s="70">
        <v>1.835</v>
      </c>
      <c r="J17" s="70">
        <v>1.6060000000000001</v>
      </c>
      <c r="K17" s="70">
        <v>1.72</v>
      </c>
      <c r="L17" s="70">
        <v>1.903</v>
      </c>
      <c r="M17" s="70">
        <v>2.3679999999999999</v>
      </c>
      <c r="N17" s="70">
        <v>2.3479999999999999</v>
      </c>
      <c r="O17" s="70">
        <v>2.3050000000000002</v>
      </c>
      <c r="P17" s="70">
        <v>2.3610000000000002</v>
      </c>
      <c r="Q17" s="70">
        <v>2.5499999999999998</v>
      </c>
      <c r="R17" s="70">
        <v>2.6549999999999998</v>
      </c>
      <c r="S17" s="70">
        <v>2.891</v>
      </c>
      <c r="T17" s="70">
        <v>2.78</v>
      </c>
      <c r="U17" s="70">
        <v>2.6440000000000001</v>
      </c>
      <c r="V17" s="70">
        <v>2.5169999999999999</v>
      </c>
      <c r="W17" s="70">
        <v>2.1429999999999998</v>
      </c>
      <c r="X17" s="70">
        <v>2.3109999999999999</v>
      </c>
      <c r="Y17" s="70">
        <v>2.4119999999999999</v>
      </c>
      <c r="Z17" s="80">
        <v>2.7491999999999996</v>
      </c>
      <c r="AA17" s="70">
        <v>2.7324999999999999</v>
      </c>
      <c r="AB17" s="70">
        <v>2.7204999999999999</v>
      </c>
      <c r="AC17" s="70">
        <v>2.6474000000000002</v>
      </c>
      <c r="AD17" s="70">
        <v>2.58</v>
      </c>
      <c r="AE17" s="70">
        <v>2.5301</v>
      </c>
      <c r="AF17" s="70">
        <v>2.5604</v>
      </c>
      <c r="AG17" s="70">
        <v>2.5688</v>
      </c>
      <c r="AH17" s="70">
        <v>1.6633</v>
      </c>
      <c r="AI17" s="325">
        <v>1.3771</v>
      </c>
    </row>
    <row r="18" spans="1:35" ht="12.75" customHeight="1">
      <c r="A18" s="65" t="s">
        <v>14</v>
      </c>
      <c r="B18" s="68" t="s">
        <v>37</v>
      </c>
      <c r="C18" s="68" t="s">
        <v>37</v>
      </c>
      <c r="D18" s="67">
        <v>7.8890000000000002</v>
      </c>
      <c r="E18" s="67">
        <v>7.798</v>
      </c>
      <c r="F18" s="67">
        <v>6.3920000000000003</v>
      </c>
      <c r="G18" s="67">
        <v>4.5220000000000002</v>
      </c>
      <c r="H18" s="67">
        <v>4.6269999999999998</v>
      </c>
      <c r="I18" s="67">
        <v>4.1690000000000005</v>
      </c>
      <c r="J18" s="67">
        <v>3.601</v>
      </c>
      <c r="K18" s="67">
        <v>3.1910000000000003</v>
      </c>
      <c r="L18" s="67">
        <v>2.964</v>
      </c>
      <c r="M18" s="67">
        <v>2.665</v>
      </c>
      <c r="N18" s="67">
        <v>2.7549999999999999</v>
      </c>
      <c r="O18" s="67">
        <v>2.8330000000000002</v>
      </c>
      <c r="P18" s="67">
        <v>3.0129999999999999</v>
      </c>
      <c r="Q18" s="67">
        <v>2.9870000000000001</v>
      </c>
      <c r="R18" s="67">
        <v>3.5489999999999999</v>
      </c>
      <c r="S18" s="67">
        <v>3.6909999999999998</v>
      </c>
      <c r="T18" s="67">
        <v>3.6959999999999997</v>
      </c>
      <c r="U18" s="67">
        <v>3.6200999999999999</v>
      </c>
      <c r="V18" s="67">
        <v>3.4212000000000002</v>
      </c>
      <c r="W18" s="67">
        <v>2.7746999999999997</v>
      </c>
      <c r="X18" s="67">
        <v>2.6936</v>
      </c>
      <c r="Y18" s="67">
        <v>2.7480000000000002</v>
      </c>
      <c r="Z18" s="67">
        <v>2.7349999999999999</v>
      </c>
      <c r="AA18" s="67">
        <v>2.847</v>
      </c>
      <c r="AB18" s="67">
        <v>2.9733000000000001</v>
      </c>
      <c r="AC18" s="67">
        <v>2.7455430000000001</v>
      </c>
      <c r="AD18" s="67">
        <v>2.6313</v>
      </c>
      <c r="AE18" s="67">
        <v>2.7389999999999999</v>
      </c>
      <c r="AF18" s="67">
        <v>2.839</v>
      </c>
      <c r="AG18" s="67">
        <v>2.9009999999999998</v>
      </c>
      <c r="AH18" s="67">
        <v>1.5329999999999999</v>
      </c>
      <c r="AI18" s="296">
        <v>1.45</v>
      </c>
    </row>
    <row r="19" spans="1:35" ht="12.75" customHeight="1">
      <c r="A19" s="69" t="s">
        <v>31</v>
      </c>
      <c r="B19" s="78">
        <v>0.4</v>
      </c>
      <c r="C19" s="78">
        <v>0.44</v>
      </c>
      <c r="D19" s="71">
        <v>0.48</v>
      </c>
      <c r="E19" s="71">
        <v>0.49</v>
      </c>
      <c r="F19" s="71">
        <v>0.51</v>
      </c>
      <c r="G19" s="71">
        <v>0.52</v>
      </c>
      <c r="H19" s="71">
        <v>0.53</v>
      </c>
      <c r="I19" s="71">
        <v>0.54</v>
      </c>
      <c r="J19" s="71">
        <v>0.55000000000000004</v>
      </c>
      <c r="K19" s="71">
        <v>0.56000000000000005</v>
      </c>
      <c r="L19" s="71">
        <v>0.56999999999999995</v>
      </c>
      <c r="M19" s="71">
        <v>0.57999999999999996</v>
      </c>
      <c r="N19" s="71">
        <v>0.62</v>
      </c>
      <c r="O19" s="71">
        <v>0.66</v>
      </c>
      <c r="P19" s="71">
        <v>0.72</v>
      </c>
      <c r="Q19" s="71">
        <v>0.74</v>
      </c>
      <c r="R19" s="71">
        <v>0.77</v>
      </c>
      <c r="S19" s="71">
        <v>0.8</v>
      </c>
      <c r="T19" s="71">
        <v>0.82</v>
      </c>
      <c r="U19" s="71">
        <v>0.86</v>
      </c>
      <c r="V19" s="71">
        <v>0.91</v>
      </c>
      <c r="W19" s="71">
        <v>0.90587268823413103</v>
      </c>
      <c r="X19" s="71">
        <v>0.94</v>
      </c>
      <c r="Y19" s="71">
        <v>0.9876300463226344</v>
      </c>
      <c r="Z19" s="71">
        <v>1.0049122484837048</v>
      </c>
      <c r="AA19" s="71">
        <v>1.0264588947641511</v>
      </c>
      <c r="AB19" s="71">
        <v>1.0375462847587611</v>
      </c>
      <c r="AC19" s="71">
        <v>1.0928294004495056</v>
      </c>
      <c r="AD19" s="71">
        <v>1.1099876780311415</v>
      </c>
      <c r="AE19" s="71">
        <v>1.1455145233368973</v>
      </c>
      <c r="AF19" s="71">
        <v>1.1703687012049782</v>
      </c>
      <c r="AG19" s="71">
        <v>1.2198578493931056</v>
      </c>
      <c r="AH19" s="71">
        <v>0.83112446709444421</v>
      </c>
      <c r="AI19" s="339">
        <v>0.89400240765750838</v>
      </c>
    </row>
    <row r="20" spans="1:35" ht="12.75" customHeight="1">
      <c r="A20" s="65" t="s">
        <v>12</v>
      </c>
      <c r="B20" s="68" t="s">
        <v>37</v>
      </c>
      <c r="C20" s="68" t="s">
        <v>37</v>
      </c>
      <c r="D20" s="67">
        <v>19.260999999999999</v>
      </c>
      <c r="E20" s="67">
        <v>17.332000000000001</v>
      </c>
      <c r="F20" s="67">
        <v>15.971</v>
      </c>
      <c r="G20" s="67">
        <v>15.8</v>
      </c>
      <c r="H20" s="67">
        <v>16.391999999999999</v>
      </c>
      <c r="I20" s="67">
        <v>16.605</v>
      </c>
      <c r="J20" s="67">
        <v>16.564</v>
      </c>
      <c r="K20" s="67">
        <v>16.632000000000001</v>
      </c>
      <c r="L20" s="67">
        <v>17.172000000000001</v>
      </c>
      <c r="M20" s="67">
        <v>17.795999999999999</v>
      </c>
      <c r="N20" s="67">
        <v>18.731999999999999</v>
      </c>
      <c r="O20" s="67">
        <v>18.617000000000001</v>
      </c>
      <c r="P20" s="67">
        <v>18.898</v>
      </c>
      <c r="Q20" s="67">
        <v>18.707000000000001</v>
      </c>
      <c r="R20" s="67">
        <v>18.222999999999999</v>
      </c>
      <c r="S20" s="67">
        <v>17.844999999999999</v>
      </c>
      <c r="T20" s="67">
        <v>17.930000000000003</v>
      </c>
      <c r="U20" s="67">
        <v>17.145</v>
      </c>
      <c r="V20" s="67">
        <v>17.654</v>
      </c>
      <c r="W20" s="67">
        <v>16.29</v>
      </c>
      <c r="X20" s="67">
        <v>16.460999999999999</v>
      </c>
      <c r="Y20" s="67">
        <v>16.455704600000001</v>
      </c>
      <c r="Z20" s="67">
        <v>17.0743504</v>
      </c>
      <c r="AA20" s="67">
        <v>17.149835400000001</v>
      </c>
      <c r="AB20" s="67">
        <v>17.630064900000001</v>
      </c>
      <c r="AC20" s="67">
        <v>17.813176500000001</v>
      </c>
      <c r="AD20" s="67">
        <v>17.8219335</v>
      </c>
      <c r="AE20" s="67">
        <v>18.311214800000002</v>
      </c>
      <c r="AF20" s="67">
        <v>18.8675</v>
      </c>
      <c r="AG20" s="67">
        <v>18.778254</v>
      </c>
      <c r="AH20" s="67">
        <v>12.423999999999999</v>
      </c>
      <c r="AI20" s="296">
        <v>12.19</v>
      </c>
    </row>
    <row r="21" spans="1:35" ht="12.75" customHeight="1">
      <c r="A21" s="69" t="s">
        <v>15</v>
      </c>
      <c r="B21" s="72" t="s">
        <v>37</v>
      </c>
      <c r="C21" s="72" t="s">
        <v>37</v>
      </c>
      <c r="D21" s="70" t="s">
        <v>37</v>
      </c>
      <c r="E21" s="70" t="s">
        <v>37</v>
      </c>
      <c r="F21" s="70" t="s">
        <v>37</v>
      </c>
      <c r="G21" s="70" t="s">
        <v>37</v>
      </c>
      <c r="H21" s="70" t="s">
        <v>37</v>
      </c>
      <c r="I21" s="71">
        <v>0.41</v>
      </c>
      <c r="J21" s="71">
        <v>0.42</v>
      </c>
      <c r="K21" s="71">
        <v>0.44</v>
      </c>
      <c r="L21" s="71">
        <v>0.45</v>
      </c>
      <c r="M21" s="71">
        <v>0.45500000000000002</v>
      </c>
      <c r="N21" s="71">
        <v>0.46</v>
      </c>
      <c r="O21" s="71">
        <v>0.47</v>
      </c>
      <c r="P21" s="71">
        <v>0.48</v>
      </c>
      <c r="Q21" s="71">
        <v>0.49</v>
      </c>
      <c r="R21" s="71">
        <v>0.5</v>
      </c>
      <c r="S21" s="71">
        <v>0.49</v>
      </c>
      <c r="T21" s="71">
        <v>0.5</v>
      </c>
      <c r="U21" s="71">
        <v>0.505</v>
      </c>
      <c r="V21" s="71">
        <v>0.51</v>
      </c>
      <c r="W21" s="71">
        <v>0.48488857223887638</v>
      </c>
      <c r="X21" s="71">
        <v>0.5</v>
      </c>
      <c r="Y21" s="71">
        <v>0.47567815316050804</v>
      </c>
      <c r="Z21" s="71">
        <v>0.47645189540481242</v>
      </c>
      <c r="AA21" s="71">
        <v>0.46847402439797603</v>
      </c>
      <c r="AB21" s="71">
        <v>0.49155426958825765</v>
      </c>
      <c r="AC21" s="71">
        <v>0.53990646158702804</v>
      </c>
      <c r="AD21" s="71">
        <v>0.54606337304778996</v>
      </c>
      <c r="AE21" s="71">
        <v>0.55611216003480179</v>
      </c>
      <c r="AF21" s="71">
        <v>0.56805733495906574</v>
      </c>
      <c r="AG21" s="71">
        <v>0.6034905619661477</v>
      </c>
      <c r="AH21" s="71">
        <v>0.38500460482477078</v>
      </c>
      <c r="AI21" s="339">
        <v>0.41595858807557845</v>
      </c>
    </row>
    <row r="22" spans="1:35" ht="12.75" customHeight="1">
      <c r="A22" s="65" t="s">
        <v>23</v>
      </c>
      <c r="B22" s="68">
        <v>9.5</v>
      </c>
      <c r="C22" s="280">
        <v>11.2</v>
      </c>
      <c r="D22" s="67">
        <v>13</v>
      </c>
      <c r="E22" s="232">
        <v>12.3</v>
      </c>
      <c r="F22" s="232">
        <v>13.2</v>
      </c>
      <c r="G22" s="232">
        <v>13.05</v>
      </c>
      <c r="H22" s="232">
        <v>12.15</v>
      </c>
      <c r="I22" s="232">
        <v>12</v>
      </c>
      <c r="J22" s="232">
        <v>11.85</v>
      </c>
      <c r="K22" s="232">
        <v>12</v>
      </c>
      <c r="L22" s="232">
        <v>11.7</v>
      </c>
      <c r="M22" s="232">
        <v>11.25</v>
      </c>
      <c r="N22" s="287">
        <v>4.6172773995720862</v>
      </c>
      <c r="O22" s="73">
        <v>4.6722451871156681</v>
      </c>
      <c r="P22" s="232">
        <v>4.4114885322855999</v>
      </c>
      <c r="Q22" s="232">
        <v>4.5998311647826151</v>
      </c>
      <c r="R22" s="232">
        <v>4.7001906190403862</v>
      </c>
      <c r="S22" s="73">
        <v>4.7750280468120172</v>
      </c>
      <c r="T22" s="73">
        <v>4.8609118584984579</v>
      </c>
      <c r="U22" s="73">
        <v>4.9614030338171933</v>
      </c>
      <c r="V22" s="73">
        <v>5.0485431818379851</v>
      </c>
      <c r="W22" s="73">
        <v>4.8539475062283941</v>
      </c>
      <c r="X22" s="102">
        <v>4.8460749387701867</v>
      </c>
      <c r="Y22" s="73">
        <v>5.0100965409031044</v>
      </c>
      <c r="Z22" s="73">
        <v>4.4838695297226492</v>
      </c>
      <c r="AA22" s="73">
        <v>4.6464404346162365</v>
      </c>
      <c r="AB22" s="73">
        <v>4.5467574620943143</v>
      </c>
      <c r="AC22" s="73">
        <v>4.8835543111383366</v>
      </c>
      <c r="AD22" s="73">
        <v>4.9745732561968508</v>
      </c>
      <c r="AE22" s="183">
        <v>4.6183979978591383</v>
      </c>
      <c r="AF22" s="73">
        <v>5.4705058612065933</v>
      </c>
      <c r="AG22" s="73">
        <v>5.4705058612065933</v>
      </c>
      <c r="AH22" s="73">
        <v>2.44068723038448</v>
      </c>
      <c r="AI22" s="297">
        <v>2.9456570021881658</v>
      </c>
    </row>
    <row r="23" spans="1:35" ht="12.75" customHeight="1">
      <c r="A23" s="69" t="s">
        <v>32</v>
      </c>
      <c r="B23" s="72">
        <v>9.1</v>
      </c>
      <c r="C23" s="72">
        <v>9.8000000000000007</v>
      </c>
      <c r="D23" s="70">
        <v>5.7373131217438127</v>
      </c>
      <c r="E23" s="70">
        <v>5.8703491062639817</v>
      </c>
      <c r="F23" s="70">
        <v>6.1143612000452343</v>
      </c>
      <c r="G23" s="70">
        <v>6.3130068160081132</v>
      </c>
      <c r="H23" s="70">
        <v>6.8461350121875286</v>
      </c>
      <c r="I23" s="70">
        <v>7.0710549852782334</v>
      </c>
      <c r="J23" s="70">
        <v>7.274938036175997</v>
      </c>
      <c r="K23" s="70">
        <v>7.8153441171385643</v>
      </c>
      <c r="L23" s="70">
        <v>8.2732465783453115</v>
      </c>
      <c r="M23" s="70">
        <v>8.6106854270229896</v>
      </c>
      <c r="N23" s="70">
        <v>8.9732009111345654</v>
      </c>
      <c r="O23" s="70">
        <v>8.9567135557658144</v>
      </c>
      <c r="P23" s="70">
        <v>8.9642245158575449</v>
      </c>
      <c r="Q23" s="70">
        <v>9.1621810071422924</v>
      </c>
      <c r="R23" s="70">
        <v>9.2256509042510331</v>
      </c>
      <c r="S23" s="70">
        <v>9.2110310447791139</v>
      </c>
      <c r="T23" s="70">
        <v>9.4164313331676546</v>
      </c>
      <c r="U23" s="70">
        <v>9.5989584642274899</v>
      </c>
      <c r="V23" s="70">
        <v>9.3352869353699379</v>
      </c>
      <c r="W23" s="70">
        <v>8.3376213329847459</v>
      </c>
      <c r="X23" s="70">
        <v>8.6211029902964675</v>
      </c>
      <c r="Y23" s="70">
        <v>8.8924736269586901</v>
      </c>
      <c r="Z23" s="70">
        <v>8.7638944585147414</v>
      </c>
      <c r="AA23" s="70">
        <v>8.8019520572259093</v>
      </c>
      <c r="AB23" s="70">
        <v>9.0014701884235553</v>
      </c>
      <c r="AC23" s="70">
        <v>9.1481739904404478</v>
      </c>
      <c r="AD23" s="70">
        <v>9.4292260694499035</v>
      </c>
      <c r="AE23" s="70">
        <v>9.6562683386698431</v>
      </c>
      <c r="AF23" s="70">
        <v>9.2828456102645269</v>
      </c>
      <c r="AG23" s="70">
        <v>9.1930076373329808</v>
      </c>
      <c r="AH23" s="70">
        <v>7.4441429471346643</v>
      </c>
      <c r="AI23" s="70">
        <v>7.6766262484578673</v>
      </c>
    </row>
    <row r="24" spans="1:35" ht="12.75" customHeight="1">
      <c r="A24" s="65" t="s">
        <v>16</v>
      </c>
      <c r="B24" s="68">
        <v>29.14</v>
      </c>
      <c r="C24" s="68">
        <v>49.222999999999999</v>
      </c>
      <c r="D24" s="67">
        <v>46.3</v>
      </c>
      <c r="E24" s="67">
        <v>41.72</v>
      </c>
      <c r="F24" s="67">
        <v>39.008000000000003</v>
      </c>
      <c r="G24" s="67">
        <v>37.811</v>
      </c>
      <c r="H24" s="67">
        <v>34.262</v>
      </c>
      <c r="I24" s="67">
        <v>34.024000000000001</v>
      </c>
      <c r="J24" s="67">
        <v>33.984000000000002</v>
      </c>
      <c r="K24" s="67">
        <v>33.128</v>
      </c>
      <c r="L24" s="67">
        <v>34.034999999999997</v>
      </c>
      <c r="M24" s="67">
        <v>33.25</v>
      </c>
      <c r="N24" s="76">
        <v>59.2</v>
      </c>
      <c r="O24" s="67">
        <v>55.4</v>
      </c>
      <c r="P24" s="67">
        <v>52</v>
      </c>
      <c r="Q24" s="67">
        <v>51.6</v>
      </c>
      <c r="R24" s="67">
        <v>51.1</v>
      </c>
      <c r="S24" s="67">
        <v>49.2</v>
      </c>
      <c r="T24" s="67">
        <v>48.7</v>
      </c>
      <c r="U24" s="67">
        <v>47.7</v>
      </c>
      <c r="V24" s="67">
        <v>47.7</v>
      </c>
      <c r="W24" s="67">
        <v>43.9</v>
      </c>
      <c r="X24" s="67">
        <v>41.7</v>
      </c>
      <c r="Y24" s="67">
        <v>40.1</v>
      </c>
      <c r="Z24" s="67">
        <v>39.418999999999997</v>
      </c>
      <c r="AA24" s="67">
        <v>37.799999999999997</v>
      </c>
      <c r="AB24" s="67">
        <v>39.158000000000001</v>
      </c>
      <c r="AC24" s="67">
        <v>37.58</v>
      </c>
      <c r="AD24" s="67">
        <v>36.774000000000001</v>
      </c>
      <c r="AE24" s="67">
        <v>36.064999999999998</v>
      </c>
      <c r="AF24" s="67">
        <v>34.543999999999997</v>
      </c>
      <c r="AG24" s="67">
        <v>36.235999999999997</v>
      </c>
      <c r="AH24" s="67">
        <v>19.3</v>
      </c>
      <c r="AI24" s="67">
        <v>21.087</v>
      </c>
    </row>
    <row r="25" spans="1:35" ht="12.75" customHeight="1">
      <c r="A25" s="69" t="s">
        <v>33</v>
      </c>
      <c r="B25" s="72">
        <v>4.3579999999999997</v>
      </c>
      <c r="C25" s="72">
        <v>7.6</v>
      </c>
      <c r="D25" s="70">
        <v>10.3</v>
      </c>
      <c r="E25" s="70">
        <v>10.7</v>
      </c>
      <c r="F25" s="70">
        <v>11.4</v>
      </c>
      <c r="G25" s="70">
        <v>11.8</v>
      </c>
      <c r="H25" s="70">
        <v>12.55</v>
      </c>
      <c r="I25" s="70">
        <v>11.3</v>
      </c>
      <c r="J25" s="70">
        <v>11.1</v>
      </c>
      <c r="K25" s="70">
        <v>11.6</v>
      </c>
      <c r="L25" s="70">
        <v>11.55</v>
      </c>
      <c r="M25" s="70">
        <v>11.48</v>
      </c>
      <c r="N25" s="70">
        <v>11.821</v>
      </c>
      <c r="O25" s="70">
        <v>11.159000000000001</v>
      </c>
      <c r="P25" s="70">
        <v>9.9359999999999999</v>
      </c>
      <c r="Q25" s="70">
        <v>10.537000000000001</v>
      </c>
      <c r="R25" s="70">
        <v>10.808999999999999</v>
      </c>
      <c r="S25" s="101">
        <v>6.3762631666458827</v>
      </c>
      <c r="T25" s="71">
        <v>6.0643432657910443</v>
      </c>
      <c r="U25" s="71">
        <v>6.248737903312966</v>
      </c>
      <c r="V25" s="71">
        <v>6.2826297525771189</v>
      </c>
      <c r="W25" s="71">
        <v>6.0003599842101911</v>
      </c>
      <c r="X25" s="71">
        <v>6.0775553426228326</v>
      </c>
      <c r="Y25" s="70">
        <v>5.85</v>
      </c>
      <c r="Z25" s="70">
        <v>5.85</v>
      </c>
      <c r="AA25" s="70">
        <v>6.0229999999999997</v>
      </c>
      <c r="AB25" s="70">
        <v>5.657</v>
      </c>
      <c r="AC25" s="80">
        <v>5.4630000000000001</v>
      </c>
      <c r="AD25" s="70">
        <v>5.3029999999999999</v>
      </c>
      <c r="AE25" s="70">
        <v>6.2218</v>
      </c>
      <c r="AF25" s="70">
        <v>6.6809099999999999</v>
      </c>
      <c r="AG25" s="70">
        <v>6.6539399999999995</v>
      </c>
      <c r="AH25" s="70">
        <v>3.7998699999999999</v>
      </c>
      <c r="AI25" s="70">
        <v>5.6733000000000002</v>
      </c>
    </row>
    <row r="26" spans="1:35" ht="12.75" customHeight="1">
      <c r="A26" s="65" t="s">
        <v>17</v>
      </c>
      <c r="B26" s="68">
        <v>7.8579999999999997</v>
      </c>
      <c r="C26" s="68">
        <v>24.015999999999998</v>
      </c>
      <c r="D26" s="67">
        <v>24.007000000000001</v>
      </c>
      <c r="E26" s="67">
        <v>20.835000000000001</v>
      </c>
      <c r="F26" s="67">
        <v>25.649000000000001</v>
      </c>
      <c r="G26" s="79">
        <v>20.512</v>
      </c>
      <c r="H26" s="67">
        <v>14.058</v>
      </c>
      <c r="I26" s="67">
        <v>12.343</v>
      </c>
      <c r="J26" s="67">
        <v>12.842000000000001</v>
      </c>
      <c r="K26" s="67">
        <v>13.531000000000001</v>
      </c>
      <c r="L26" s="67">
        <v>8.9619999999999997</v>
      </c>
      <c r="M26" s="67">
        <v>8.3230000000000004</v>
      </c>
      <c r="N26" s="67">
        <v>7.7</v>
      </c>
      <c r="O26" s="67">
        <v>7.0730000000000004</v>
      </c>
      <c r="P26" s="67">
        <v>6.9870000000000001</v>
      </c>
      <c r="Q26" s="67">
        <v>9.4550000000000001</v>
      </c>
      <c r="R26" s="67">
        <v>9.4380000000000006</v>
      </c>
      <c r="S26" s="67">
        <v>11.811</v>
      </c>
      <c r="T26" s="67">
        <v>11.734999999999999</v>
      </c>
      <c r="U26" s="67">
        <v>12.156000000000001</v>
      </c>
      <c r="V26" s="76">
        <v>20.193999999999999</v>
      </c>
      <c r="W26" s="67">
        <v>17.108000000000001</v>
      </c>
      <c r="X26" s="67">
        <v>15.811999999999999</v>
      </c>
      <c r="Y26" s="67">
        <v>15.529</v>
      </c>
      <c r="Z26" s="67">
        <v>16.901</v>
      </c>
      <c r="AA26" s="67">
        <v>17.082000000000001</v>
      </c>
      <c r="AB26" s="79">
        <v>18.338999999999999</v>
      </c>
      <c r="AC26" s="67">
        <v>24.864267300000002</v>
      </c>
      <c r="AD26" s="67">
        <v>25.631694299999999</v>
      </c>
      <c r="AE26" s="67">
        <v>25.027683100000001</v>
      </c>
      <c r="AF26" s="67">
        <v>26.726298000000003</v>
      </c>
      <c r="AG26" s="67">
        <v>26.69905</v>
      </c>
      <c r="AH26" s="67">
        <v>18.702035000000002</v>
      </c>
      <c r="AI26" s="67">
        <v>19.712311</v>
      </c>
    </row>
    <row r="27" spans="1:35" ht="12.75" customHeight="1">
      <c r="A27" s="69" t="s">
        <v>19</v>
      </c>
      <c r="B27" s="72">
        <v>2.6419999999999999</v>
      </c>
      <c r="C27" s="72">
        <v>4.9249999999999998</v>
      </c>
      <c r="D27" s="70">
        <v>6.508</v>
      </c>
      <c r="E27" s="70">
        <v>5.5540000000000003</v>
      </c>
      <c r="F27" s="70">
        <v>4.17</v>
      </c>
      <c r="G27" s="70">
        <v>3.8940000000000001</v>
      </c>
      <c r="H27" s="70">
        <v>4.0529999999999999</v>
      </c>
      <c r="I27" s="70">
        <v>4.1130000000000004</v>
      </c>
      <c r="J27" s="70">
        <v>4.3010000000000002</v>
      </c>
      <c r="K27" s="70">
        <v>4.3789999999999996</v>
      </c>
      <c r="L27" s="70">
        <v>3.8759999999999999</v>
      </c>
      <c r="M27" s="70">
        <v>4.1379999999999999</v>
      </c>
      <c r="N27" s="70">
        <v>3.5019999999999998</v>
      </c>
      <c r="O27" s="70">
        <v>3.3929999999999998</v>
      </c>
      <c r="P27" s="70">
        <v>3.339</v>
      </c>
      <c r="Q27" s="70">
        <v>3.4460000000000002</v>
      </c>
      <c r="R27" s="70">
        <v>3.218</v>
      </c>
      <c r="S27" s="70">
        <v>3.0619999999999998</v>
      </c>
      <c r="T27" s="70">
        <v>3.133</v>
      </c>
      <c r="U27" s="70">
        <v>3.2349999999999999</v>
      </c>
      <c r="V27" s="70">
        <v>3.1459999999999999</v>
      </c>
      <c r="W27" s="70">
        <v>3.1960000000000002</v>
      </c>
      <c r="X27" s="70">
        <v>3.1829999999999998</v>
      </c>
      <c r="Y27" s="71">
        <v>3.244143134443557</v>
      </c>
      <c r="Z27" s="71">
        <v>3.2370370249757103</v>
      </c>
      <c r="AA27" s="71">
        <v>3.3223001768851614</v>
      </c>
      <c r="AB27" s="71">
        <v>3.448992354015874</v>
      </c>
      <c r="AC27" s="71">
        <v>3.576082566075633</v>
      </c>
      <c r="AD27" s="71">
        <v>3.6071993994426763</v>
      </c>
      <c r="AE27" s="71">
        <v>3.6802214515651084</v>
      </c>
      <c r="AF27" s="71">
        <v>3.7515697897189018</v>
      </c>
      <c r="AG27" s="71">
        <v>3.7652972187741405</v>
      </c>
      <c r="AH27" s="71">
        <v>1.994651449973188</v>
      </c>
      <c r="AI27" s="71">
        <v>2.3228269452198154</v>
      </c>
    </row>
    <row r="28" spans="1:35" ht="12.75" customHeight="1">
      <c r="A28" s="65" t="s">
        <v>18</v>
      </c>
      <c r="B28" s="276"/>
      <c r="C28" s="276"/>
      <c r="D28" s="277"/>
      <c r="E28" s="67"/>
      <c r="F28" s="67"/>
      <c r="G28" s="67"/>
      <c r="H28" s="67"/>
      <c r="I28" s="67">
        <v>14.441000000000001</v>
      </c>
      <c r="J28" s="67">
        <v>14.48</v>
      </c>
      <c r="K28" s="67">
        <v>13.468999999999999</v>
      </c>
      <c r="L28" s="67">
        <v>12.46</v>
      </c>
      <c r="M28" s="67">
        <v>11.353</v>
      </c>
      <c r="N28" s="73">
        <v>9.3174635000000006</v>
      </c>
      <c r="O28" s="73">
        <v>9.2456372200000008</v>
      </c>
      <c r="P28" s="73">
        <v>9.2487883699999998</v>
      </c>
      <c r="Q28" s="73">
        <v>8.7739943999999994</v>
      </c>
      <c r="R28" s="67">
        <v>8.8497632300000006</v>
      </c>
      <c r="S28" s="67">
        <v>8.5377824600000007</v>
      </c>
      <c r="T28" s="67">
        <v>8.6835740000000001</v>
      </c>
      <c r="U28" s="67">
        <v>8.6520620000000008</v>
      </c>
      <c r="V28" s="67">
        <v>7.4487155999999999</v>
      </c>
      <c r="W28" s="67">
        <v>5.3743368</v>
      </c>
      <c r="X28" s="67">
        <v>5.2707794999999997</v>
      </c>
      <c r="Y28" s="67">
        <v>5.4770729099999995</v>
      </c>
      <c r="Z28" s="67">
        <v>5.4320914300000007</v>
      </c>
      <c r="AA28" s="67">
        <v>5.2574942</v>
      </c>
      <c r="AB28" s="67">
        <v>5.3532087200000005</v>
      </c>
      <c r="AC28" s="67">
        <v>5.3676304500000001</v>
      </c>
      <c r="AD28" s="67">
        <v>5.8909448900000001</v>
      </c>
      <c r="AE28" s="67">
        <v>5.9249999999999998</v>
      </c>
      <c r="AF28" s="67">
        <v>6.2389999999999999</v>
      </c>
      <c r="AG28" s="67">
        <v>6.1870000000000003</v>
      </c>
      <c r="AH28" s="67">
        <v>3.742</v>
      </c>
      <c r="AI28" s="67">
        <v>3.22</v>
      </c>
    </row>
    <row r="29" spans="1:35" ht="12.75" customHeight="1">
      <c r="A29" s="69" t="s">
        <v>34</v>
      </c>
      <c r="B29" s="72">
        <v>7.5</v>
      </c>
      <c r="C29" s="72">
        <v>8.5</v>
      </c>
      <c r="D29" s="70">
        <v>8.5</v>
      </c>
      <c r="E29" s="70">
        <v>8.1</v>
      </c>
      <c r="F29" s="70">
        <v>8</v>
      </c>
      <c r="G29" s="70">
        <v>8</v>
      </c>
      <c r="H29" s="70">
        <v>8</v>
      </c>
      <c r="I29" s="70">
        <v>8</v>
      </c>
      <c r="J29" s="70">
        <v>8</v>
      </c>
      <c r="K29" s="70">
        <v>8</v>
      </c>
      <c r="L29" s="70">
        <v>7.8</v>
      </c>
      <c r="M29" s="70">
        <v>7.6</v>
      </c>
      <c r="N29" s="70">
        <v>7.7</v>
      </c>
      <c r="O29" s="70">
        <v>7.7</v>
      </c>
      <c r="P29" s="70">
        <v>7.7</v>
      </c>
      <c r="Q29" s="70">
        <v>7.67</v>
      </c>
      <c r="R29" s="70">
        <v>7.6050000000000004</v>
      </c>
      <c r="S29" s="70">
        <v>7.54</v>
      </c>
      <c r="T29" s="70">
        <v>7.54</v>
      </c>
      <c r="U29" s="70">
        <v>7.54</v>
      </c>
      <c r="V29" s="70">
        <v>7.54</v>
      </c>
      <c r="W29" s="70">
        <v>7.54</v>
      </c>
      <c r="X29" s="70">
        <v>7.54</v>
      </c>
      <c r="Y29" s="70">
        <v>7.54</v>
      </c>
      <c r="Z29" s="70">
        <v>7.54</v>
      </c>
      <c r="AA29" s="70">
        <v>7.54</v>
      </c>
      <c r="AB29" s="70">
        <v>7.54</v>
      </c>
      <c r="AC29" s="70">
        <v>7.54</v>
      </c>
      <c r="AD29" s="70">
        <v>8.2550000000000008</v>
      </c>
      <c r="AE29" s="70">
        <v>8.234</v>
      </c>
      <c r="AF29" s="70">
        <v>8</v>
      </c>
      <c r="AG29" s="70">
        <v>7.9</v>
      </c>
      <c r="AH29" s="70">
        <v>6.8</v>
      </c>
      <c r="AI29" s="70">
        <v>6</v>
      </c>
    </row>
    <row r="30" spans="1:35" ht="12.75" customHeight="1">
      <c r="A30" s="65" t="s">
        <v>35</v>
      </c>
      <c r="B30" s="68">
        <v>5.5</v>
      </c>
      <c r="C30" s="280">
        <v>7.3</v>
      </c>
      <c r="D30" s="67">
        <v>9.6635653963577433</v>
      </c>
      <c r="E30" s="67">
        <v>9.6778711795402756</v>
      </c>
      <c r="F30" s="67">
        <v>9.6995793412478779</v>
      </c>
      <c r="G30" s="67">
        <v>9.4212064737659045</v>
      </c>
      <c r="H30" s="67">
        <v>9.5313567300668325</v>
      </c>
      <c r="I30" s="67">
        <v>9.7031829883458602</v>
      </c>
      <c r="J30" s="67">
        <v>9.8158816424687956</v>
      </c>
      <c r="K30" s="67">
        <v>9.8222182493582775</v>
      </c>
      <c r="L30" s="67">
        <v>9.7775213602288478</v>
      </c>
      <c r="M30" s="67">
        <v>9.7557506258374378</v>
      </c>
      <c r="N30" s="76">
        <v>9.2240000000000002</v>
      </c>
      <c r="O30" s="67">
        <v>9.2200000000000006</v>
      </c>
      <c r="P30" s="67">
        <v>9.3059999999999992</v>
      </c>
      <c r="Q30" s="67">
        <v>9.327</v>
      </c>
      <c r="R30" s="67">
        <v>9.2550000000000008</v>
      </c>
      <c r="S30" s="67">
        <v>9.2539999999999996</v>
      </c>
      <c r="T30" s="67">
        <v>9.3320000000000007</v>
      </c>
      <c r="U30" s="67">
        <v>9.4179999999999993</v>
      </c>
      <c r="V30" s="67">
        <v>9.1669999999999998</v>
      </c>
      <c r="W30" s="67">
        <v>9.2390000000000008</v>
      </c>
      <c r="X30" s="67">
        <v>9.3740000000000006</v>
      </c>
      <c r="Y30" s="67">
        <v>9.6470000000000002</v>
      </c>
      <c r="Z30" s="67">
        <v>9.5229999999999997</v>
      </c>
      <c r="AA30" s="67">
        <v>9.7040000000000006</v>
      </c>
      <c r="AB30" s="67">
        <v>9.6929999999999996</v>
      </c>
      <c r="AC30" s="67">
        <v>9.8282024392401492</v>
      </c>
      <c r="AD30" s="67">
        <v>9.8520000000000003</v>
      </c>
      <c r="AE30" s="67">
        <v>9.9789999999999992</v>
      </c>
      <c r="AF30" s="288">
        <v>9.984</v>
      </c>
      <c r="AG30" s="67">
        <v>10.061</v>
      </c>
      <c r="AH30" s="234">
        <v>9</v>
      </c>
      <c r="AI30" s="234">
        <v>8.8789999999999996</v>
      </c>
    </row>
    <row r="31" spans="1:35" ht="12.75" customHeight="1">
      <c r="A31" s="69" t="s">
        <v>6</v>
      </c>
      <c r="B31" s="263" t="s">
        <v>37</v>
      </c>
      <c r="C31" s="263" t="s">
        <v>37</v>
      </c>
      <c r="D31" s="285" t="s">
        <v>37</v>
      </c>
      <c r="E31" s="285" t="s">
        <v>37</v>
      </c>
      <c r="F31" s="285" t="s">
        <v>37</v>
      </c>
      <c r="G31" s="285" t="s">
        <v>37</v>
      </c>
      <c r="H31" s="285" t="s">
        <v>37</v>
      </c>
      <c r="I31" s="285">
        <v>0.38900000000000001</v>
      </c>
      <c r="J31" s="285">
        <v>0.40799999999999997</v>
      </c>
      <c r="K31" s="285">
        <v>0.433</v>
      </c>
      <c r="L31" s="285">
        <v>0.45800000000000002</v>
      </c>
      <c r="M31" s="285">
        <v>0.46800000000000003</v>
      </c>
      <c r="N31" s="285">
        <v>0.48499999999999999</v>
      </c>
      <c r="O31" s="285">
        <v>0.50800000000000001</v>
      </c>
      <c r="P31" s="285">
        <v>0.52300000000000002</v>
      </c>
      <c r="Q31" s="285">
        <v>0.53700000000000003</v>
      </c>
      <c r="R31" s="285">
        <v>0.55400000000000005</v>
      </c>
      <c r="S31" s="285">
        <v>0.58699999999999997</v>
      </c>
      <c r="T31" s="285">
        <v>0.622</v>
      </c>
      <c r="U31" s="285">
        <v>0.65300000000000002</v>
      </c>
      <c r="V31" s="285">
        <v>0.63600000000000001</v>
      </c>
      <c r="W31" s="285">
        <v>0.64400000000000002</v>
      </c>
      <c r="X31" s="285">
        <v>0.63800000000000001</v>
      </c>
      <c r="Y31" s="285">
        <v>0.61499999999999999</v>
      </c>
      <c r="Z31" s="285">
        <v>0.622</v>
      </c>
      <c r="AA31" s="285">
        <v>0.64</v>
      </c>
      <c r="AB31" s="285">
        <v>0.67300000000000004</v>
      </c>
      <c r="AC31" s="285">
        <v>0.71799999999999997</v>
      </c>
      <c r="AD31" s="285">
        <v>0.83299999999999996</v>
      </c>
      <c r="AE31" s="285">
        <v>0.91200000000000003</v>
      </c>
      <c r="AF31" s="285">
        <v>0.93899999999999995</v>
      </c>
      <c r="AG31" s="285">
        <v>0.92800000000000005</v>
      </c>
      <c r="AH31" s="285">
        <v>0.72</v>
      </c>
      <c r="AI31" s="71">
        <v>0.86792894414042643</v>
      </c>
    </row>
    <row r="32" spans="1:35" ht="12.75" customHeight="1">
      <c r="A32" s="65" t="s">
        <v>36</v>
      </c>
      <c r="B32" s="68">
        <v>3.726</v>
      </c>
      <c r="C32" s="68">
        <v>4.2569999999999997</v>
      </c>
      <c r="D32" s="67">
        <v>3.89</v>
      </c>
      <c r="E32" s="67">
        <v>3.9350000000000001</v>
      </c>
      <c r="F32" s="67">
        <v>3.9350000000000001</v>
      </c>
      <c r="G32" s="67">
        <v>3.9350000000000001</v>
      </c>
      <c r="H32" s="67">
        <v>4</v>
      </c>
      <c r="I32" s="67">
        <v>3.7519999999999998</v>
      </c>
      <c r="J32" s="67">
        <v>4.117</v>
      </c>
      <c r="K32" s="67">
        <v>4.2480000000000002</v>
      </c>
      <c r="L32" s="67">
        <v>4.2119999999999997</v>
      </c>
      <c r="M32" s="67">
        <v>4.1769999999999996</v>
      </c>
      <c r="N32" s="67">
        <v>4.141</v>
      </c>
      <c r="O32" s="67">
        <v>4.1050000000000004</v>
      </c>
      <c r="P32" s="67">
        <v>4.125</v>
      </c>
      <c r="Q32" s="67">
        <v>4.0049999999999999</v>
      </c>
      <c r="R32" s="67">
        <v>4.2309999999999999</v>
      </c>
      <c r="S32" s="67">
        <v>4.3120000000000003</v>
      </c>
      <c r="T32" s="67">
        <v>4.258</v>
      </c>
      <c r="U32" s="67">
        <v>4.2679999999999998</v>
      </c>
      <c r="V32" s="67">
        <v>4.3600000000000003</v>
      </c>
      <c r="W32" s="67">
        <v>4.4009999999999998</v>
      </c>
      <c r="X32" s="67">
        <v>4.5060000000000002</v>
      </c>
      <c r="Y32" s="67">
        <v>4.7480000000000002</v>
      </c>
      <c r="Z32" s="67">
        <v>3.7879999999999998</v>
      </c>
      <c r="AA32" s="67">
        <v>3.738</v>
      </c>
      <c r="AB32" s="67">
        <v>3.7930000000000001</v>
      </c>
      <c r="AC32" s="67">
        <v>4.0730000000000004</v>
      </c>
      <c r="AD32" s="67">
        <v>4.2590000000000003</v>
      </c>
      <c r="AE32" s="67">
        <v>4.1580000000000004</v>
      </c>
      <c r="AF32" s="76">
        <v>4.2960000000000003</v>
      </c>
      <c r="AG32" s="67">
        <v>4.55</v>
      </c>
      <c r="AH32" s="67">
        <v>2.8410000000000002</v>
      </c>
      <c r="AI32" s="67">
        <v>2.8959999999999999</v>
      </c>
    </row>
    <row r="33" spans="1:35" ht="12.75" customHeight="1">
      <c r="A33" s="166" t="s">
        <v>7</v>
      </c>
      <c r="B33" s="265">
        <v>1.885</v>
      </c>
      <c r="C33" s="265">
        <v>2.4860000000000002</v>
      </c>
      <c r="D33" s="235">
        <v>3.3180000000000001</v>
      </c>
      <c r="E33" s="235">
        <v>3.6269999999999998</v>
      </c>
      <c r="F33" s="235">
        <v>3.5830000000000002</v>
      </c>
      <c r="G33" s="235">
        <v>3.5390000000000001</v>
      </c>
      <c r="H33" s="75">
        <v>3.5310000000000001</v>
      </c>
      <c r="I33" s="235">
        <v>5.5288000000000004</v>
      </c>
      <c r="J33" s="235">
        <v>5.4242999999999997</v>
      </c>
      <c r="K33" s="235">
        <v>5.3872999999999998</v>
      </c>
      <c r="L33" s="64">
        <v>4.7548000000000004</v>
      </c>
      <c r="M33" s="235">
        <v>4.7248999999999999</v>
      </c>
      <c r="N33" s="235">
        <v>4.7987000000000002</v>
      </c>
      <c r="O33" s="235">
        <v>4.8483000000000001</v>
      </c>
      <c r="P33" s="235">
        <v>4.8609</v>
      </c>
      <c r="Q33" s="235">
        <v>4.9941999999999993</v>
      </c>
      <c r="R33" s="235">
        <v>5.0577000000000005</v>
      </c>
      <c r="S33" s="235">
        <v>5.3114999999999997</v>
      </c>
      <c r="T33" s="235">
        <v>5.6021000000000001</v>
      </c>
      <c r="U33" s="235">
        <v>5.673</v>
      </c>
      <c r="V33" s="235">
        <v>5.3265000000000002</v>
      </c>
      <c r="W33" s="235">
        <v>5.4176910015999997</v>
      </c>
      <c r="X33" s="235">
        <v>5.5076538815999996</v>
      </c>
      <c r="Y33" s="235">
        <v>5.6060850047999997</v>
      </c>
      <c r="Z33" s="235">
        <v>5.7069478847999999</v>
      </c>
      <c r="AA33" s="235">
        <v>5.7751977792</v>
      </c>
      <c r="AB33" s="235">
        <v>5.8559000000000001</v>
      </c>
      <c r="AC33" s="235">
        <v>6.0099260096</v>
      </c>
      <c r="AD33" s="235">
        <v>6.1310000000000002</v>
      </c>
      <c r="AE33" s="235">
        <v>6.1849999999999996</v>
      </c>
      <c r="AF33" s="235">
        <v>6.26</v>
      </c>
      <c r="AG33" s="235">
        <v>6.5289999999999999</v>
      </c>
      <c r="AH33" s="235">
        <v>5.3827707520000008</v>
      </c>
      <c r="AI33" s="235">
        <v>5.7168014528000004</v>
      </c>
    </row>
    <row r="34" spans="1:35" ht="12.75" customHeight="1">
      <c r="A34" s="69" t="s">
        <v>100</v>
      </c>
      <c r="B34" s="72"/>
      <c r="C34" s="72"/>
      <c r="D34" s="70">
        <v>2.7370000000000001</v>
      </c>
      <c r="E34" s="70">
        <v>1.4790000000000001</v>
      </c>
      <c r="F34" s="70">
        <v>5.3999999999999999E-2</v>
      </c>
      <c r="G34" s="70">
        <v>1.0999999999999999E-2</v>
      </c>
      <c r="H34" s="70">
        <v>0.02</v>
      </c>
      <c r="I34" s="70">
        <v>0.112</v>
      </c>
      <c r="J34" s="70">
        <v>0.50800000000000001</v>
      </c>
      <c r="K34" s="70">
        <v>1.2370000000000001</v>
      </c>
      <c r="L34" s="70"/>
      <c r="M34" s="70"/>
      <c r="N34" s="70"/>
      <c r="O34" s="70"/>
      <c r="P34" s="70"/>
      <c r="Q34" s="70"/>
      <c r="R34" s="70"/>
      <c r="S34" s="70"/>
      <c r="T34" s="70"/>
      <c r="U34" s="70">
        <v>2.0379999999999998</v>
      </c>
      <c r="V34" s="70">
        <v>2.113</v>
      </c>
      <c r="W34" s="70">
        <v>1.9510000000000001</v>
      </c>
      <c r="X34" s="71">
        <v>1.7025000000000001</v>
      </c>
      <c r="Y34" s="70">
        <v>1.454</v>
      </c>
      <c r="Z34" s="70">
        <v>1.9259999999999999</v>
      </c>
      <c r="AA34" s="70">
        <v>1.75</v>
      </c>
      <c r="AB34" s="70">
        <v>1.66</v>
      </c>
      <c r="AC34" s="70">
        <v>1.69</v>
      </c>
      <c r="AD34" s="70">
        <v>1.706</v>
      </c>
      <c r="AE34" s="70">
        <v>1.661</v>
      </c>
      <c r="AF34" s="70">
        <v>1.7150000000000001</v>
      </c>
      <c r="AG34" s="70">
        <v>1.732</v>
      </c>
      <c r="AH34" s="264">
        <v>0.71399999999999997</v>
      </c>
      <c r="AI34" s="344">
        <v>0.8043259586770436</v>
      </c>
    </row>
    <row r="35" spans="1:35" ht="12.75" customHeight="1">
      <c r="A35" s="65" t="s">
        <v>75</v>
      </c>
      <c r="B35" s="281"/>
      <c r="C35" s="28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67">
        <v>0.124</v>
      </c>
      <c r="W35" s="67">
        <v>0.10199999999999999</v>
      </c>
      <c r="X35" s="67">
        <v>8.1000000000000003E-2</v>
      </c>
      <c r="Y35" s="67">
        <v>0.08</v>
      </c>
      <c r="Z35" s="67">
        <v>0.112</v>
      </c>
      <c r="AA35" s="67">
        <v>0.108802</v>
      </c>
      <c r="AB35" s="67">
        <v>0.108</v>
      </c>
      <c r="AC35" s="67">
        <v>0.109621</v>
      </c>
      <c r="AD35" s="67">
        <v>0.113798</v>
      </c>
      <c r="AE35" s="67">
        <v>0.11419600000000001</v>
      </c>
      <c r="AF35" s="67">
        <v>0.115</v>
      </c>
      <c r="AG35" s="67">
        <v>0.114</v>
      </c>
      <c r="AH35" s="67">
        <v>0.03</v>
      </c>
      <c r="AI35" s="296">
        <v>3.2000000000000001E-2</v>
      </c>
    </row>
    <row r="36" spans="1:35" ht="12.75" customHeight="1">
      <c r="A36" s="69" t="s">
        <v>101</v>
      </c>
      <c r="B36" s="78"/>
      <c r="C36" s="78"/>
      <c r="D36" s="70"/>
      <c r="E36" s="70"/>
      <c r="F36" s="70"/>
      <c r="G36" s="70"/>
      <c r="H36" s="70"/>
      <c r="I36" s="70">
        <v>2.2653999999999996</v>
      </c>
      <c r="J36" s="70">
        <v>2.1088</v>
      </c>
      <c r="K36" s="70">
        <v>1.9092</v>
      </c>
      <c r="L36" s="70">
        <v>2.0361000000000002</v>
      </c>
      <c r="M36" s="70">
        <v>2.0869999999999997</v>
      </c>
      <c r="N36" s="70">
        <v>1.8351999999999999</v>
      </c>
      <c r="O36" s="70">
        <v>1.5038</v>
      </c>
      <c r="P36" s="70">
        <v>1.9341999999999999</v>
      </c>
      <c r="Q36" s="70">
        <v>2.2940999999999998</v>
      </c>
      <c r="R36" s="70">
        <v>2.6160000000000001</v>
      </c>
      <c r="S36" s="70">
        <v>2.7347000000000001</v>
      </c>
      <c r="T36" s="70">
        <v>2.8208999999999995</v>
      </c>
      <c r="U36" s="70">
        <v>3.1031999999999997</v>
      </c>
      <c r="V36" s="70">
        <v>3.2221000000000002</v>
      </c>
      <c r="W36" s="70">
        <v>2.8334000000000001</v>
      </c>
      <c r="X36" s="70">
        <v>2.7634999999999996</v>
      </c>
      <c r="Y36" s="70">
        <v>3.0685000000000002</v>
      </c>
      <c r="Z36" s="70">
        <v>3.1756000000000002</v>
      </c>
      <c r="AA36" s="70">
        <v>3.3458999999999999</v>
      </c>
      <c r="AB36" s="70">
        <v>3.0872000000000002</v>
      </c>
      <c r="AC36" s="70">
        <v>3.2476000000000003</v>
      </c>
      <c r="AD36" s="70">
        <v>3.4211999999999998</v>
      </c>
      <c r="AE36" s="70">
        <v>3.5594000000000001</v>
      </c>
      <c r="AF36" s="70">
        <v>3.8271999999999999</v>
      </c>
      <c r="AG36" s="70">
        <v>4.0103</v>
      </c>
      <c r="AH36" s="70">
        <v>2.1075999999999997</v>
      </c>
      <c r="AI36" s="325">
        <v>2.4754</v>
      </c>
    </row>
    <row r="37" spans="1:35" ht="12.75" customHeight="1">
      <c r="A37" s="65" t="s">
        <v>3</v>
      </c>
      <c r="B37" s="276"/>
      <c r="C37" s="276"/>
      <c r="D37" s="277"/>
      <c r="E37" s="67"/>
      <c r="F37" s="67"/>
      <c r="G37" s="67"/>
      <c r="H37" s="67"/>
      <c r="I37" s="73">
        <v>0.9</v>
      </c>
      <c r="J37" s="73">
        <v>0.9</v>
      </c>
      <c r="K37" s="73">
        <v>0.9</v>
      </c>
      <c r="L37" s="73">
        <v>0.9</v>
      </c>
      <c r="M37" s="73">
        <v>0.9</v>
      </c>
      <c r="N37" s="73">
        <v>0.95199999999999996</v>
      </c>
      <c r="O37" s="67">
        <v>0.83499999999999996</v>
      </c>
      <c r="P37" s="73">
        <v>0.86199999999999999</v>
      </c>
      <c r="Q37" s="67">
        <v>0.80300000000000005</v>
      </c>
      <c r="R37" s="67">
        <v>0.71199999999999997</v>
      </c>
      <c r="S37" s="67">
        <v>0.66100000000000003</v>
      </c>
      <c r="T37" s="67">
        <v>0.56499999999999995</v>
      </c>
      <c r="U37" s="67">
        <v>0.51700000000000002</v>
      </c>
      <c r="V37" s="67">
        <v>0.54600000000000004</v>
      </c>
      <c r="W37" s="67">
        <v>0.55200000000000005</v>
      </c>
      <c r="X37" s="67">
        <v>0.54300000000000004</v>
      </c>
      <c r="Y37" s="67">
        <v>0.56799999999999995</v>
      </c>
      <c r="Z37" s="67">
        <v>0.59099999999999997</v>
      </c>
      <c r="AA37" s="67">
        <v>0.58499999999999996</v>
      </c>
      <c r="AB37" s="67">
        <v>1.266</v>
      </c>
      <c r="AC37" s="67">
        <v>1.028</v>
      </c>
      <c r="AD37" s="67">
        <v>0.96799999999999997</v>
      </c>
      <c r="AE37" s="67">
        <v>1.083</v>
      </c>
      <c r="AF37" s="67">
        <v>0.96799999999999997</v>
      </c>
      <c r="AG37" s="67">
        <v>0.98199999999999998</v>
      </c>
      <c r="AH37" s="67">
        <v>0.309</v>
      </c>
      <c r="AI37" s="296">
        <v>0.17699999999999999</v>
      </c>
    </row>
    <row r="38" spans="1:35" ht="12.75" customHeight="1">
      <c r="A38" s="69" t="s">
        <v>79</v>
      </c>
      <c r="B38" s="72">
        <v>0.77600000000000002</v>
      </c>
      <c r="C38" s="72">
        <v>1.421</v>
      </c>
      <c r="D38" s="362">
        <v>2.1739999999999999</v>
      </c>
      <c r="E38" s="362">
        <v>1.28</v>
      </c>
      <c r="F38" s="362">
        <v>0.51500000000000001</v>
      </c>
      <c r="G38" s="362">
        <v>0.307</v>
      </c>
      <c r="H38" s="362">
        <v>0.19700000000000001</v>
      </c>
      <c r="I38" s="362">
        <v>0.19600000000000001</v>
      </c>
      <c r="J38" s="362">
        <v>0.223</v>
      </c>
      <c r="K38" s="362">
        <v>0.19</v>
      </c>
      <c r="L38" s="362">
        <v>0.19</v>
      </c>
      <c r="M38" s="362">
        <v>0.221</v>
      </c>
      <c r="N38" s="362">
        <v>0.184</v>
      </c>
      <c r="O38" s="362">
        <v>0.19700000000000001</v>
      </c>
      <c r="P38" s="362">
        <v>0.159</v>
      </c>
      <c r="Q38" s="362">
        <v>0.17599999999999999</v>
      </c>
      <c r="R38" s="362">
        <v>0.14099999999999999</v>
      </c>
      <c r="S38" s="362">
        <v>0.28000000000000003</v>
      </c>
      <c r="T38" s="362">
        <v>0.48</v>
      </c>
      <c r="U38" s="362">
        <v>0.66300000000000003</v>
      </c>
      <c r="V38" s="362">
        <v>0.79</v>
      </c>
      <c r="W38" s="362">
        <v>1.302</v>
      </c>
      <c r="X38" s="362">
        <v>2.37</v>
      </c>
      <c r="Y38" s="362">
        <v>1.254</v>
      </c>
      <c r="Z38" s="362">
        <v>0.98299999999999998</v>
      </c>
      <c r="AA38" s="362">
        <v>1.0629999999999999</v>
      </c>
      <c r="AB38" s="363">
        <v>1.1326680761099364</v>
      </c>
      <c r="AC38" s="363">
        <v>1.2130914544345939</v>
      </c>
      <c r="AD38" s="363">
        <v>1.319032466687682</v>
      </c>
      <c r="AE38" s="363">
        <v>1.2499558444672563</v>
      </c>
      <c r="AF38" s="363">
        <v>1.3220354619557584</v>
      </c>
      <c r="AG38" s="363">
        <v>1.3748463749838433</v>
      </c>
      <c r="AH38" s="363">
        <v>0.90898653590133138</v>
      </c>
      <c r="AI38" s="325">
        <v>0.96809532535249299</v>
      </c>
    </row>
    <row r="39" spans="1:35" ht="12.75" customHeight="1">
      <c r="A39" s="65" t="s">
        <v>76</v>
      </c>
      <c r="B39" s="276"/>
      <c r="C39" s="276"/>
      <c r="D39" s="277">
        <v>7.2489999999999997</v>
      </c>
      <c r="E39" s="67">
        <v>6.093</v>
      </c>
      <c r="F39" s="67">
        <v>6.3659999999999997</v>
      </c>
      <c r="G39" s="67">
        <v>5.5350000000000001</v>
      </c>
      <c r="H39" s="67">
        <v>3.9049999999999998</v>
      </c>
      <c r="I39" s="67">
        <v>3.7290000000000001</v>
      </c>
      <c r="J39" s="67">
        <v>4.5869999999999997</v>
      </c>
      <c r="K39" s="67">
        <v>3.4470000000000001</v>
      </c>
      <c r="L39" s="67">
        <v>3.7069999999999999</v>
      </c>
      <c r="M39" s="67">
        <v>2.5830000000000002</v>
      </c>
      <c r="N39" s="67">
        <v>3.056</v>
      </c>
      <c r="O39" s="67">
        <v>5.6349999999999998</v>
      </c>
      <c r="P39" s="67">
        <v>5.1719999999999997</v>
      </c>
      <c r="Q39" s="67">
        <v>3.8650000000000002</v>
      </c>
      <c r="R39" s="67">
        <v>3.6760000000000002</v>
      </c>
      <c r="S39" s="67">
        <v>4.82</v>
      </c>
      <c r="T39" s="67">
        <v>5.48</v>
      </c>
      <c r="U39" s="67">
        <v>4.4560000000000004</v>
      </c>
      <c r="V39" s="67">
        <v>4.7190000000000003</v>
      </c>
      <c r="W39" s="67">
        <v>4.5819999999999999</v>
      </c>
      <c r="X39" s="67">
        <v>4.6529999999999996</v>
      </c>
      <c r="Y39" s="67">
        <v>4.6520000000000001</v>
      </c>
      <c r="Z39" s="67">
        <v>4.6399999999999997</v>
      </c>
      <c r="AA39" s="67">
        <v>4.6120000000000001</v>
      </c>
      <c r="AB39" s="67">
        <v>4.2229999999999999</v>
      </c>
      <c r="AC39" s="67">
        <v>4.601</v>
      </c>
      <c r="AD39" s="67">
        <v>4.282</v>
      </c>
      <c r="AE39" s="364">
        <v>4.2549999999999999</v>
      </c>
      <c r="AF39" s="364">
        <v>4.95</v>
      </c>
      <c r="AG39" s="364">
        <v>4.6619999999999999</v>
      </c>
      <c r="AH39" s="364">
        <v>3.0859999999999999</v>
      </c>
      <c r="AI39" s="296">
        <v>3.5859999999999999</v>
      </c>
    </row>
    <row r="40" spans="1:35" ht="12.75" customHeight="1">
      <c r="A40" s="69" t="s">
        <v>20</v>
      </c>
      <c r="B40" s="72" t="s">
        <v>37</v>
      </c>
      <c r="C40" s="72" t="s">
        <v>37</v>
      </c>
      <c r="D40" s="70" t="s">
        <v>37</v>
      </c>
      <c r="E40" s="70" t="s">
        <v>37</v>
      </c>
      <c r="F40" s="70" t="s">
        <v>37</v>
      </c>
      <c r="G40" s="70">
        <v>86.914000000000001</v>
      </c>
      <c r="H40" s="70">
        <v>79.17</v>
      </c>
      <c r="I40" s="70">
        <v>85.674000000000007</v>
      </c>
      <c r="J40" s="70">
        <v>91.658000000000001</v>
      </c>
      <c r="K40" s="70">
        <v>95.36</v>
      </c>
      <c r="L40" s="70">
        <v>94.914000000000001</v>
      </c>
      <c r="M40" s="70">
        <v>91.263000000000005</v>
      </c>
      <c r="N40" s="70">
        <v>87.391000000000005</v>
      </c>
      <c r="O40" s="70">
        <v>76.8</v>
      </c>
      <c r="P40" s="71">
        <v>80</v>
      </c>
      <c r="Q40" s="71">
        <v>81</v>
      </c>
      <c r="R40" s="71">
        <v>85</v>
      </c>
      <c r="S40" s="71">
        <v>95</v>
      </c>
      <c r="T40" s="71">
        <v>100</v>
      </c>
      <c r="U40" s="71">
        <v>105</v>
      </c>
      <c r="V40" s="71">
        <v>110</v>
      </c>
      <c r="W40" s="80">
        <v>88.426000000000002</v>
      </c>
      <c r="X40" s="70">
        <v>89.055999999999997</v>
      </c>
      <c r="Y40" s="70">
        <v>95.334000000000003</v>
      </c>
      <c r="Z40" s="70">
        <v>96.558999999999997</v>
      </c>
      <c r="AA40" s="70">
        <v>94.846000000000004</v>
      </c>
      <c r="AB40" s="70">
        <v>93.918000000000006</v>
      </c>
      <c r="AC40" s="70">
        <v>90.838999999999999</v>
      </c>
      <c r="AD40" s="70">
        <v>86.998999999999995</v>
      </c>
      <c r="AE40" s="71">
        <v>87.498187873142228</v>
      </c>
      <c r="AF40" s="70">
        <v>99.24</v>
      </c>
      <c r="AG40" s="70">
        <v>99.084000000000003</v>
      </c>
      <c r="AH40" s="70">
        <v>73.69</v>
      </c>
      <c r="AI40" s="339">
        <v>74.7816636353528</v>
      </c>
    </row>
    <row r="41" spans="1:35" ht="15" customHeight="1">
      <c r="A41" s="187" t="s">
        <v>102</v>
      </c>
      <c r="B41" s="68"/>
      <c r="C41" s="68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>
        <v>28.829000000000001</v>
      </c>
      <c r="O41" s="67"/>
      <c r="P41" s="73"/>
      <c r="Q41" s="73"/>
      <c r="R41" s="73"/>
      <c r="S41" s="73">
        <v>52.491</v>
      </c>
      <c r="T41" s="73"/>
      <c r="U41" s="73"/>
      <c r="V41" s="73">
        <v>61.302999999999997</v>
      </c>
      <c r="W41" s="234" t="s">
        <v>103</v>
      </c>
      <c r="X41" s="67">
        <v>58.350999999999999</v>
      </c>
      <c r="Y41" s="67">
        <v>51.497999999999998</v>
      </c>
      <c r="Z41" s="67">
        <v>59.308999999999997</v>
      </c>
      <c r="AA41" s="67">
        <v>56.640999999999998</v>
      </c>
      <c r="AB41" s="67">
        <v>49.002000000000002</v>
      </c>
      <c r="AC41" s="67">
        <v>40.679000000000002</v>
      </c>
      <c r="AD41" s="67">
        <v>40.451999999999998</v>
      </c>
      <c r="AE41" s="73">
        <v>41.527000000000001</v>
      </c>
      <c r="AF41" s="67">
        <v>40.365000000000002</v>
      </c>
      <c r="AG41" s="234">
        <v>39.286999999999999</v>
      </c>
      <c r="AH41" s="234">
        <v>22.545000000000002</v>
      </c>
      <c r="AI41" s="360">
        <v>22.634312889720576</v>
      </c>
    </row>
    <row r="42" spans="1:35" ht="12.75" customHeight="1">
      <c r="A42" s="184" t="s">
        <v>24</v>
      </c>
      <c r="B42" s="185">
        <v>61.7</v>
      </c>
      <c r="C42" s="185">
        <v>53.7</v>
      </c>
      <c r="D42" s="267">
        <v>47.1</v>
      </c>
      <c r="E42" s="267">
        <v>45.2</v>
      </c>
      <c r="F42" s="267">
        <v>44</v>
      </c>
      <c r="G42" s="267">
        <v>45.3</v>
      </c>
      <c r="H42" s="267">
        <v>45.2</v>
      </c>
      <c r="I42" s="267">
        <v>44.8</v>
      </c>
      <c r="J42" s="267">
        <v>44.7</v>
      </c>
      <c r="K42" s="267">
        <v>45.5</v>
      </c>
      <c r="L42" s="267">
        <v>46.4</v>
      </c>
      <c r="M42" s="267">
        <v>47.7</v>
      </c>
      <c r="N42" s="267">
        <v>48</v>
      </c>
      <c r="O42" s="267">
        <v>48.04</v>
      </c>
      <c r="P42" s="267">
        <v>42.1</v>
      </c>
      <c r="Q42" s="186">
        <v>46.1</v>
      </c>
      <c r="R42" s="267">
        <v>42.526591183494219</v>
      </c>
      <c r="S42" s="267">
        <v>43.964015452538391</v>
      </c>
      <c r="T42" s="267">
        <v>41.970470057792525</v>
      </c>
      <c r="U42" s="267">
        <v>42.197936603376114</v>
      </c>
      <c r="V42" s="267">
        <v>44.709474844574544</v>
      </c>
      <c r="W42" s="267">
        <v>45.719121807781001</v>
      </c>
      <c r="X42" s="267">
        <v>46.223324420997564</v>
      </c>
      <c r="Y42" s="267">
        <v>44.106906557188047</v>
      </c>
      <c r="Z42" s="267">
        <v>43.726286095378342</v>
      </c>
      <c r="AA42" s="267">
        <v>41.881469475441314</v>
      </c>
      <c r="AB42" s="267">
        <v>41.117834220330479</v>
      </c>
      <c r="AC42" s="267">
        <v>40.86814894142244</v>
      </c>
      <c r="AD42" s="267">
        <v>35.864239151523378</v>
      </c>
      <c r="AE42" s="267">
        <v>39.478844989944299</v>
      </c>
      <c r="AF42" s="267">
        <v>36.767402740460305</v>
      </c>
      <c r="AG42" s="267">
        <v>34.138842819872004</v>
      </c>
      <c r="AH42" s="267">
        <v>15.218042465098534</v>
      </c>
      <c r="AI42" s="339">
        <v>19.426091660132109</v>
      </c>
    </row>
    <row r="46" spans="1:35" ht="12.75"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</sheetData>
  <printOptions horizontalCentered="1"/>
  <pageMargins left="0.47244094488188981" right="0.47244094488188981" top="0.51181102362204722" bottom="0.27559055118110237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E8A-DA7B-4651-8F45-E7C82E4CF051}">
  <dimension ref="A1:AI43"/>
  <sheetViews>
    <sheetView zoomScaleNormal="100" workbookViewId="0">
      <selection activeCell="AK10" sqref="AK10"/>
    </sheetView>
  </sheetViews>
  <sheetFormatPr defaultColWidth="9.1328125" defaultRowHeight="10.15"/>
  <cols>
    <col min="1" max="1" width="4" style="62" customWidth="1"/>
    <col min="2" max="19" width="6.73046875" style="62" customWidth="1"/>
    <col min="20" max="32" width="7.265625" style="62" customWidth="1"/>
    <col min="33" max="35" width="6.86328125" style="62" customWidth="1"/>
    <col min="36" max="16384" width="9.1328125" style="62"/>
  </cols>
  <sheetData>
    <row r="1" spans="1:35" ht="20.100000000000001" customHeight="1">
      <c r="A1" s="99"/>
      <c r="B1" s="258">
        <v>1970</v>
      </c>
      <c r="C1" s="258">
        <v>1980</v>
      </c>
      <c r="D1" s="259">
        <v>1990</v>
      </c>
      <c r="E1" s="259">
        <v>1991</v>
      </c>
      <c r="F1" s="259">
        <v>1992</v>
      </c>
      <c r="G1" s="259">
        <v>1993</v>
      </c>
      <c r="H1" s="259">
        <v>1994</v>
      </c>
      <c r="I1" s="259">
        <v>1995</v>
      </c>
      <c r="J1" s="259">
        <v>1996</v>
      </c>
      <c r="K1" s="259">
        <v>1997</v>
      </c>
      <c r="L1" s="259">
        <v>1998</v>
      </c>
      <c r="M1" s="259">
        <v>1999</v>
      </c>
      <c r="N1" s="259">
        <v>2000</v>
      </c>
      <c r="O1" s="259">
        <v>2001</v>
      </c>
      <c r="P1" s="259">
        <v>2002</v>
      </c>
      <c r="Q1" s="259">
        <v>2003</v>
      </c>
      <c r="R1" s="259">
        <v>2004</v>
      </c>
      <c r="S1" s="259">
        <v>2005</v>
      </c>
      <c r="T1" s="259">
        <v>2006</v>
      </c>
      <c r="U1" s="259">
        <v>2007</v>
      </c>
      <c r="V1" s="259">
        <v>2008</v>
      </c>
      <c r="W1" s="259">
        <v>2009</v>
      </c>
      <c r="X1" s="259">
        <v>2010</v>
      </c>
      <c r="Y1" s="259">
        <v>2011</v>
      </c>
      <c r="Z1" s="259">
        <v>2012</v>
      </c>
      <c r="AA1" s="259">
        <v>2013</v>
      </c>
      <c r="AB1" s="259">
        <v>2014</v>
      </c>
      <c r="AC1" s="259">
        <v>2015</v>
      </c>
      <c r="AD1" s="259">
        <v>2016</v>
      </c>
      <c r="AE1" s="259">
        <v>2017</v>
      </c>
      <c r="AF1" s="268">
        <v>2018</v>
      </c>
      <c r="AG1" s="268">
        <v>2019</v>
      </c>
      <c r="AH1" s="268">
        <v>2020</v>
      </c>
      <c r="AI1" s="255">
        <v>2021</v>
      </c>
    </row>
    <row r="2" spans="1:35" ht="9.9499999999999993" customHeight="1">
      <c r="A2" s="99"/>
      <c r="B2" s="108"/>
      <c r="C2" s="108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233"/>
      <c r="AG2" s="233"/>
      <c r="AH2" s="233"/>
      <c r="AI2" s="199"/>
    </row>
    <row r="3" spans="1:35" ht="12.75" customHeight="1">
      <c r="A3" s="153" t="s">
        <v>81</v>
      </c>
      <c r="B3" s="252"/>
      <c r="C3" s="252"/>
      <c r="D3" s="252"/>
      <c r="E3" s="252"/>
      <c r="F3" s="252"/>
      <c r="G3" s="252"/>
      <c r="H3" s="252"/>
      <c r="I3" s="256">
        <f>SUM(I4:I30)</f>
        <v>63.801627306091206</v>
      </c>
      <c r="J3" s="256">
        <f t="shared" ref="J3:AA3" si="0">SUM(J4:J30)</f>
        <v>64.910128525276747</v>
      </c>
      <c r="K3" s="256">
        <f t="shared" si="0"/>
        <v>65.322641438807437</v>
      </c>
      <c r="L3" s="256">
        <f t="shared" si="0"/>
        <v>66.047922130725382</v>
      </c>
      <c r="M3" s="256">
        <f t="shared" si="0"/>
        <v>67.010399918778532</v>
      </c>
      <c r="N3" s="256">
        <f t="shared" si="0"/>
        <v>67.843840564744099</v>
      </c>
      <c r="O3" s="256">
        <f t="shared" si="0"/>
        <v>68.539656573900217</v>
      </c>
      <c r="P3" s="256">
        <f t="shared" si="0"/>
        <v>69.374812774150158</v>
      </c>
      <c r="Q3" s="256">
        <f t="shared" si="0"/>
        <v>70.18336190555614</v>
      </c>
      <c r="R3" s="256">
        <f t="shared" si="0"/>
        <v>72.445632887244102</v>
      </c>
      <c r="S3" s="256">
        <f t="shared" si="0"/>
        <v>73.154697458878715</v>
      </c>
      <c r="T3" s="256">
        <f t="shared" si="0"/>
        <v>74.583334218657839</v>
      </c>
      <c r="U3" s="256">
        <f t="shared" si="0"/>
        <v>76.350815575898523</v>
      </c>
      <c r="V3" s="256">
        <f t="shared" si="0"/>
        <v>79.124684832482046</v>
      </c>
      <c r="W3" s="256">
        <f t="shared" si="0"/>
        <v>78.491058768954531</v>
      </c>
      <c r="X3" s="256">
        <f t="shared" si="0"/>
        <v>80.818824573023448</v>
      </c>
      <c r="Y3" s="256">
        <f t="shared" si="0"/>
        <v>81.212759154899217</v>
      </c>
      <c r="Z3" s="256">
        <f t="shared" si="0"/>
        <v>82.300482448189484</v>
      </c>
      <c r="AA3" s="256">
        <f t="shared" si="0"/>
        <v>81.8741939491415</v>
      </c>
      <c r="AB3" s="256">
        <v>82.028681334256589</v>
      </c>
      <c r="AC3" s="256">
        <v>79.939703886067946</v>
      </c>
      <c r="AD3" s="256">
        <v>82.344575219371464</v>
      </c>
      <c r="AE3" s="256">
        <v>84.124391371363302</v>
      </c>
      <c r="AF3" s="256">
        <v>86.275847035955294</v>
      </c>
      <c r="AG3" s="256">
        <v>86.131809635050871</v>
      </c>
      <c r="AH3" s="256">
        <v>51.633246886218757</v>
      </c>
      <c r="AI3" s="256">
        <v>55.543667320154668</v>
      </c>
    </row>
    <row r="4" spans="1:35" ht="12.75" customHeight="1">
      <c r="A4" s="65" t="s">
        <v>25</v>
      </c>
      <c r="B4" s="68">
        <v>0.86</v>
      </c>
      <c r="C4" s="68">
        <v>0.77</v>
      </c>
      <c r="D4" s="67">
        <v>0.74</v>
      </c>
      <c r="E4" s="67">
        <v>0.75</v>
      </c>
      <c r="F4" s="67">
        <v>0.76</v>
      </c>
      <c r="G4" s="67">
        <v>0.77</v>
      </c>
      <c r="H4" s="67">
        <v>0.79</v>
      </c>
      <c r="I4" s="67">
        <v>0.8</v>
      </c>
      <c r="J4" s="67">
        <v>0.81</v>
      </c>
      <c r="K4" s="67">
        <v>0.82</v>
      </c>
      <c r="L4" s="67">
        <v>0.82</v>
      </c>
      <c r="M4" s="67">
        <v>0.82</v>
      </c>
      <c r="N4" s="67">
        <v>0.87</v>
      </c>
      <c r="O4" s="67">
        <v>0.876</v>
      </c>
      <c r="P4" s="73">
        <v>0.89</v>
      </c>
      <c r="Q4" s="73">
        <v>0.9</v>
      </c>
      <c r="R4" s="73">
        <v>0.91</v>
      </c>
      <c r="S4" s="73">
        <v>0.93</v>
      </c>
      <c r="T4" s="73">
        <v>0.95</v>
      </c>
      <c r="U4" s="73">
        <v>0.97</v>
      </c>
      <c r="V4" s="73">
        <v>1</v>
      </c>
      <c r="W4" s="73">
        <v>1</v>
      </c>
      <c r="X4" s="73">
        <v>1.07</v>
      </c>
      <c r="Y4" s="73">
        <f>X4*329.9/311.6</f>
        <v>1.1328401797175867</v>
      </c>
      <c r="Z4" s="73">
        <f>Y4*(132.4+123.5)/(125.8+112.1)</f>
        <v>1.2185531819660802</v>
      </c>
      <c r="AA4" s="73">
        <f>Z4*354.8/348.8</f>
        <v>1.2395145325732948</v>
      </c>
      <c r="AB4" s="73">
        <v>1.227917278338889</v>
      </c>
      <c r="AC4" s="73">
        <v>1.2423087473855829</v>
      </c>
      <c r="AD4" s="73">
        <v>1.2673777579830499</v>
      </c>
      <c r="AE4" s="269">
        <v>1.3964367384663054</v>
      </c>
      <c r="AF4" s="73">
        <v>1.4247554356227032</v>
      </c>
      <c r="AG4" s="73">
        <v>1.4721080111956963</v>
      </c>
      <c r="AH4" s="73">
        <v>0.94590885701171845</v>
      </c>
      <c r="AI4" s="146">
        <v>0.94590885701171845</v>
      </c>
    </row>
    <row r="5" spans="1:35" ht="12.75" customHeight="1">
      <c r="A5" s="83" t="s">
        <v>8</v>
      </c>
      <c r="B5" s="86"/>
      <c r="C5" s="86"/>
      <c r="D5" s="85">
        <v>0.58599999999999997</v>
      </c>
      <c r="E5" s="85">
        <v>0.45400000000000001</v>
      </c>
      <c r="F5" s="85">
        <v>0.52400000000000002</v>
      </c>
      <c r="G5" s="85">
        <v>0.28299999999999997</v>
      </c>
      <c r="H5" s="85">
        <v>0.25</v>
      </c>
      <c r="I5" s="85">
        <v>0.28299999999999997</v>
      </c>
      <c r="J5" s="85">
        <v>0.29599999999999999</v>
      </c>
      <c r="K5" s="124">
        <v>0.308</v>
      </c>
      <c r="L5" s="85">
        <v>0.44400000000000001</v>
      </c>
      <c r="M5" s="85">
        <v>0.46</v>
      </c>
      <c r="N5" s="85">
        <v>0.41899999999999998</v>
      </c>
      <c r="O5" s="85">
        <v>0.46899999999999997</v>
      </c>
      <c r="P5" s="85">
        <v>0.436</v>
      </c>
      <c r="Q5" s="85">
        <v>0.48599999999999999</v>
      </c>
      <c r="R5" s="85">
        <v>0.44</v>
      </c>
      <c r="S5" s="85">
        <v>0.434</v>
      </c>
      <c r="T5" s="85">
        <v>0.44600000000000001</v>
      </c>
      <c r="U5" s="85">
        <v>0.443</v>
      </c>
      <c r="V5" s="85">
        <v>0.48599999999999999</v>
      </c>
      <c r="W5" s="85">
        <v>0.68799999999999994</v>
      </c>
      <c r="X5" s="85">
        <f>0.909</f>
        <v>0.90900000000000003</v>
      </c>
      <c r="Y5" s="85">
        <v>0.872</v>
      </c>
      <c r="Z5" s="85">
        <v>1.02</v>
      </c>
      <c r="AA5" s="85">
        <v>1.01</v>
      </c>
      <c r="AB5" s="85">
        <v>0.72899999999999998</v>
      </c>
      <c r="AC5" s="85">
        <v>0.74047799999999997</v>
      </c>
      <c r="AD5" s="85">
        <v>0.81499999999999995</v>
      </c>
      <c r="AE5" s="85">
        <v>1.07</v>
      </c>
      <c r="AF5" s="85">
        <v>1.085</v>
      </c>
      <c r="AG5" s="85">
        <v>1.054</v>
      </c>
      <c r="AH5" s="85">
        <v>0.69</v>
      </c>
      <c r="AI5" s="147">
        <v>0.75</v>
      </c>
    </row>
    <row r="6" spans="1:35" ht="12.75" customHeight="1">
      <c r="A6" s="65" t="s">
        <v>10</v>
      </c>
      <c r="B6" s="104"/>
      <c r="C6" s="104"/>
      <c r="D6" s="91"/>
      <c r="E6" s="91"/>
      <c r="F6" s="91"/>
      <c r="G6" s="91" t="s">
        <v>37</v>
      </c>
      <c r="H6" s="91" t="s">
        <v>37</v>
      </c>
      <c r="I6" s="91">
        <v>7.6879999999999997</v>
      </c>
      <c r="J6" s="91">
        <v>7.7910000000000004</v>
      </c>
      <c r="K6" s="91">
        <v>7.8630000000000004</v>
      </c>
      <c r="L6" s="91">
        <v>7.8550000000000004</v>
      </c>
      <c r="M6" s="91">
        <v>8.1539999999999999</v>
      </c>
      <c r="N6" s="91">
        <v>8.0679999999999996</v>
      </c>
      <c r="O6" s="91">
        <v>8.2270000000000003</v>
      </c>
      <c r="P6" s="91">
        <v>8.3070000000000004</v>
      </c>
      <c r="Q6" s="91">
        <v>8.5633999999999997</v>
      </c>
      <c r="R6" s="91">
        <f>4.8847+3.8408</f>
        <v>8.7255000000000003</v>
      </c>
      <c r="S6" s="91">
        <f>4.769+3.1652</f>
        <v>7.9342000000000006</v>
      </c>
      <c r="T6" s="91">
        <f>4.5344+3.2644</f>
        <v>7.7988</v>
      </c>
      <c r="U6" s="91">
        <f>4.4489+3.3015</f>
        <v>7.7504</v>
      </c>
      <c r="V6" s="91">
        <f>4.678+4.4648</f>
        <v>9.1428000000000011</v>
      </c>
      <c r="W6" s="91">
        <v>8.9867000000000008</v>
      </c>
      <c r="X6" s="91">
        <f>4.624+4.373</f>
        <v>8.9969999999999999</v>
      </c>
      <c r="Y6" s="91">
        <f>4.461+4.255</f>
        <v>8.7160000000000011</v>
      </c>
      <c r="Z6" s="91">
        <f>4.465+5.037</f>
        <v>9.5019999999999989</v>
      </c>
      <c r="AA6" s="105">
        <v>9.5809000000000015</v>
      </c>
      <c r="AB6" s="91">
        <v>9.2240000000000002</v>
      </c>
      <c r="AC6" s="91">
        <v>9.4256999999999991</v>
      </c>
      <c r="AD6" s="91">
        <v>10.3674</v>
      </c>
      <c r="AE6" s="91">
        <v>10.7432</v>
      </c>
      <c r="AF6" s="91">
        <v>10.7348</v>
      </c>
      <c r="AG6" s="91">
        <v>11.098799999999999</v>
      </c>
      <c r="AH6" s="91">
        <v>3.7545000000000002</v>
      </c>
      <c r="AI6" s="148">
        <v>3.6139000000000001</v>
      </c>
    </row>
    <row r="7" spans="1:35" ht="12.75" customHeight="1">
      <c r="A7" s="83" t="s">
        <v>21</v>
      </c>
      <c r="B7" s="86" t="s">
        <v>38</v>
      </c>
      <c r="C7" s="86" t="s">
        <v>38</v>
      </c>
      <c r="D7" s="85" t="s">
        <v>38</v>
      </c>
      <c r="E7" s="85" t="s">
        <v>38</v>
      </c>
      <c r="F7" s="85" t="s">
        <v>38</v>
      </c>
      <c r="G7" s="85" t="s">
        <v>38</v>
      </c>
      <c r="H7" s="85" t="s">
        <v>38</v>
      </c>
      <c r="I7" s="85" t="s">
        <v>38</v>
      </c>
      <c r="J7" s="85" t="s">
        <v>38</v>
      </c>
      <c r="K7" s="85" t="s">
        <v>38</v>
      </c>
      <c r="L7" s="85" t="s">
        <v>38</v>
      </c>
      <c r="M7" s="85" t="s">
        <v>38</v>
      </c>
      <c r="N7" s="85" t="s">
        <v>38</v>
      </c>
      <c r="O7" s="85" t="s">
        <v>38</v>
      </c>
      <c r="P7" s="85">
        <v>8.9999999999999993E-3</v>
      </c>
      <c r="Q7" s="85">
        <v>6.7000000000000004E-2</v>
      </c>
      <c r="R7" s="85">
        <v>0.128</v>
      </c>
      <c r="S7" s="85">
        <v>0.16200000000000001</v>
      </c>
      <c r="T7" s="85">
        <v>0.16400000000000001</v>
      </c>
      <c r="U7" s="85">
        <v>0.17699999999999999</v>
      </c>
      <c r="V7" s="85">
        <v>0.19500000000000001</v>
      </c>
      <c r="W7" s="85">
        <v>0.215</v>
      </c>
      <c r="X7" s="85">
        <v>0.23899999999999999</v>
      </c>
      <c r="Y7" s="85">
        <v>0.27800000000000002</v>
      </c>
      <c r="Z7" s="85">
        <v>0.27400000000000002</v>
      </c>
      <c r="AA7" s="85">
        <v>0.28399999999999997</v>
      </c>
      <c r="AB7" s="85">
        <v>0.29499999999999998</v>
      </c>
      <c r="AC7" s="85">
        <v>0.30199999999999999</v>
      </c>
      <c r="AD7" s="85">
        <v>0.32100000000000001</v>
      </c>
      <c r="AE7" s="85">
        <v>0.34100000000000003</v>
      </c>
      <c r="AF7" s="85">
        <v>0.35199999999999998</v>
      </c>
      <c r="AG7" s="85">
        <v>0.4</v>
      </c>
      <c r="AH7" s="85">
        <v>0.28899999999999998</v>
      </c>
      <c r="AI7" s="147">
        <v>0.33100000000000002</v>
      </c>
    </row>
    <row r="8" spans="1:35" ht="12.75" customHeight="1">
      <c r="A8" s="65" t="s">
        <v>26</v>
      </c>
      <c r="B8" s="123">
        <v>14.63</v>
      </c>
      <c r="C8" s="123">
        <v>13.84</v>
      </c>
      <c r="D8" s="122">
        <v>15.1</v>
      </c>
      <c r="E8" s="122">
        <v>15.14</v>
      </c>
      <c r="F8" s="122">
        <v>14.43</v>
      </c>
      <c r="G8" s="122">
        <v>14.62</v>
      </c>
      <c r="H8" s="122">
        <v>14.47</v>
      </c>
      <c r="I8" s="122">
        <v>14.43</v>
      </c>
      <c r="J8" s="122">
        <v>14.47</v>
      </c>
      <c r="K8" s="122">
        <v>14.5</v>
      </c>
      <c r="L8" s="122">
        <v>14.4</v>
      </c>
      <c r="M8" s="122">
        <v>14.5</v>
      </c>
      <c r="N8" s="122">
        <v>14.6</v>
      </c>
      <c r="O8" s="122">
        <v>14.7</v>
      </c>
      <c r="P8" s="91">
        <v>14.74</v>
      </c>
      <c r="Q8" s="91">
        <v>14.75</v>
      </c>
      <c r="R8" s="91">
        <v>14.986000000000001</v>
      </c>
      <c r="S8" s="91">
        <v>15.484999999999999</v>
      </c>
      <c r="T8" s="91">
        <v>15.568</v>
      </c>
      <c r="U8" s="91">
        <v>15.92</v>
      </c>
      <c r="V8" s="91">
        <v>15.991</v>
      </c>
      <c r="W8" s="91">
        <v>16.495999999999999</v>
      </c>
      <c r="X8" s="91">
        <f>16.349</f>
        <v>16.349</v>
      </c>
      <c r="Y8" s="91">
        <v>16.600000000000001</v>
      </c>
      <c r="Z8" s="91">
        <v>16.600000000000001</v>
      </c>
      <c r="AA8" s="91">
        <v>16.7</v>
      </c>
      <c r="AB8" s="91">
        <v>16.600000000000001</v>
      </c>
      <c r="AC8" s="91">
        <v>16.7</v>
      </c>
      <c r="AD8" s="91">
        <v>17</v>
      </c>
      <c r="AE8" s="91">
        <v>17.2</v>
      </c>
      <c r="AF8" s="91">
        <v>17.600000000000001</v>
      </c>
      <c r="AG8" s="91">
        <v>17.600000000000001</v>
      </c>
      <c r="AH8" s="91">
        <v>11.7</v>
      </c>
      <c r="AI8" s="148">
        <v>11.2</v>
      </c>
    </row>
    <row r="9" spans="1:35" ht="12.75" customHeight="1">
      <c r="A9" s="83" t="s">
        <v>11</v>
      </c>
      <c r="B9" s="86" t="s">
        <v>37</v>
      </c>
      <c r="C9" s="86" t="s">
        <v>37</v>
      </c>
      <c r="D9" s="85" t="s">
        <v>37</v>
      </c>
      <c r="E9" s="85" t="s">
        <v>37</v>
      </c>
      <c r="F9" s="85" t="s">
        <v>37</v>
      </c>
      <c r="G9" s="85" t="s">
        <v>37</v>
      </c>
      <c r="H9" s="85" t="s">
        <v>37</v>
      </c>
      <c r="I9" s="87">
        <f>0.0352*3</f>
        <v>0.1056</v>
      </c>
      <c r="J9" s="87">
        <f>0.0356*3</f>
        <v>0.10680000000000001</v>
      </c>
      <c r="K9" s="87">
        <f>0.0369*3</f>
        <v>0.11070000000000001</v>
      </c>
      <c r="L9" s="87">
        <f>0.0306*3</f>
        <v>9.1799999999999993E-2</v>
      </c>
      <c r="M9" s="87">
        <f>0.0293*3</f>
        <v>8.7900000000000006E-2</v>
      </c>
      <c r="N9" s="87">
        <f>0.0349*3</f>
        <v>0.1047</v>
      </c>
      <c r="O9" s="87">
        <f>0.0292*3</f>
        <v>8.7599999999999997E-2</v>
      </c>
      <c r="P9" s="87">
        <f>0.0308*3</f>
        <v>9.240000000000001E-2</v>
      </c>
      <c r="Q9" s="87">
        <f>0.0311*3</f>
        <v>9.3299999999999994E-2</v>
      </c>
      <c r="R9" s="87">
        <f>0.0278*3</f>
        <v>8.3400000000000002E-2</v>
      </c>
      <c r="S9" s="87">
        <f>0.0251*3</f>
        <v>7.5300000000000006E-2</v>
      </c>
      <c r="T9" s="87">
        <f>0.0262*3</f>
        <v>7.8600000000000003E-2</v>
      </c>
      <c r="U9" s="87">
        <f>0.0264*3</f>
        <v>7.9199999999999993E-2</v>
      </c>
      <c r="V9" s="87">
        <v>7.1846999999999994E-2</v>
      </c>
      <c r="W9" s="87">
        <v>7.1846999999999994E-2</v>
      </c>
      <c r="X9" s="87">
        <v>7.1846999999999994E-2</v>
      </c>
      <c r="Y9" s="87">
        <v>6.4848000000000003E-2</v>
      </c>
      <c r="Z9" s="87">
        <v>9.2400999999999997E-2</v>
      </c>
      <c r="AA9" s="87">
        <v>7.5763999999999998E-2</v>
      </c>
      <c r="AB9" s="87">
        <v>5.8518000000000001E-2</v>
      </c>
      <c r="AC9" s="87">
        <v>5.5146000000000001E-2</v>
      </c>
      <c r="AD9" s="87">
        <v>5.7034000000000001E-2</v>
      </c>
      <c r="AE9" s="87">
        <v>5.9604999999999998E-2</v>
      </c>
      <c r="AF9" s="87">
        <v>8.3891999999999994E-2</v>
      </c>
      <c r="AG9" s="87">
        <v>8.7347999999999995E-2</v>
      </c>
      <c r="AH9" s="87">
        <v>5.0434E-2</v>
      </c>
      <c r="AI9" s="87">
        <v>5.6899638799999999E-2</v>
      </c>
    </row>
    <row r="10" spans="1:35" ht="12.75" customHeight="1">
      <c r="A10" s="65" t="s">
        <v>29</v>
      </c>
      <c r="B10" s="68" t="s">
        <v>38</v>
      </c>
      <c r="C10" s="68" t="s">
        <v>38</v>
      </c>
      <c r="D10" s="67" t="s">
        <v>38</v>
      </c>
      <c r="E10" s="67" t="s">
        <v>38</v>
      </c>
      <c r="F10" s="67" t="s">
        <v>38</v>
      </c>
      <c r="G10" s="67" t="s">
        <v>38</v>
      </c>
      <c r="H10" s="67" t="s">
        <v>38</v>
      </c>
      <c r="I10" s="67" t="s">
        <v>38</v>
      </c>
      <c r="J10" s="67" t="s">
        <v>38</v>
      </c>
      <c r="K10" s="67" t="s">
        <v>38</v>
      </c>
      <c r="L10" s="67" t="s">
        <v>38</v>
      </c>
      <c r="M10" s="67" t="s">
        <v>38</v>
      </c>
      <c r="N10" s="67" t="s">
        <v>38</v>
      </c>
      <c r="O10" s="67" t="s">
        <v>38</v>
      </c>
      <c r="P10" s="67" t="s">
        <v>38</v>
      </c>
      <c r="Q10" s="67" t="s">
        <v>38</v>
      </c>
      <c r="R10" s="73">
        <v>0.05</v>
      </c>
      <c r="S10" s="73">
        <v>0.11</v>
      </c>
      <c r="T10" s="67">
        <f>0.06713+0.04598</f>
        <v>0.11310999999999999</v>
      </c>
      <c r="U10" s="67">
        <f>0.107+0.068</f>
        <v>0.17499999999999999</v>
      </c>
      <c r="V10" s="67">
        <f>0.083+0.058</f>
        <v>0.14100000000000001</v>
      </c>
      <c r="W10" s="67">
        <f>0.079+0.053</f>
        <v>0.13200000000000001</v>
      </c>
      <c r="X10" s="67">
        <f>0.069+0.062</f>
        <v>0.13100000000000001</v>
      </c>
      <c r="Y10" s="67">
        <f>0.073+0.065</f>
        <v>0.13800000000000001</v>
      </c>
      <c r="Z10" s="67">
        <f>0.0711+0.0729</f>
        <v>0.14400000000000002</v>
      </c>
      <c r="AA10" s="67">
        <v>0.14982472999999999</v>
      </c>
      <c r="AB10" s="67">
        <v>0.160072934</v>
      </c>
      <c r="AC10" s="67">
        <v>0.179667682</v>
      </c>
      <c r="AD10" s="67">
        <v>0.183548355</v>
      </c>
      <c r="AE10" s="67">
        <v>0.18489926700000001</v>
      </c>
      <c r="AF10" s="67">
        <v>0.317</v>
      </c>
      <c r="AG10" s="67">
        <v>0.30504789300000001</v>
      </c>
      <c r="AH10" s="67">
        <v>0.120308179</v>
      </c>
      <c r="AI10" s="110">
        <v>0.12165362</v>
      </c>
    </row>
    <row r="11" spans="1:35" ht="12.75" customHeight="1">
      <c r="A11" s="83" t="s">
        <v>22</v>
      </c>
      <c r="B11" s="88">
        <v>0.63</v>
      </c>
      <c r="C11" s="88">
        <v>0.68</v>
      </c>
      <c r="D11" s="87">
        <v>0.83</v>
      </c>
      <c r="E11" s="87">
        <v>0.81</v>
      </c>
      <c r="F11" s="87">
        <v>0.79</v>
      </c>
      <c r="G11" s="87">
        <v>0.77</v>
      </c>
      <c r="H11" s="87">
        <v>0.72</v>
      </c>
      <c r="I11" s="87">
        <v>0.74</v>
      </c>
      <c r="J11" s="87">
        <v>0.74</v>
      </c>
      <c r="K11" s="87">
        <v>0.75</v>
      </c>
      <c r="L11" s="87">
        <v>0.8</v>
      </c>
      <c r="M11" s="87">
        <v>0.81</v>
      </c>
      <c r="N11" s="87">
        <v>1.19</v>
      </c>
      <c r="O11" s="87">
        <v>1.33</v>
      </c>
      <c r="P11" s="87">
        <v>1.35</v>
      </c>
      <c r="Q11" s="87">
        <v>1.4</v>
      </c>
      <c r="R11" s="87">
        <v>1.5</v>
      </c>
      <c r="S11" s="87">
        <v>1.5</v>
      </c>
      <c r="T11" s="87">
        <v>1.55</v>
      </c>
      <c r="U11" s="87">
        <v>1.6</v>
      </c>
      <c r="V11" s="87">
        <v>1.66</v>
      </c>
      <c r="W11" s="87">
        <v>1.671</v>
      </c>
      <c r="X11" s="87">
        <v>1.6927464982806519</v>
      </c>
      <c r="Y11" s="87">
        <f>AVERAGE(V11:X11)</f>
        <v>1.6745821660935505</v>
      </c>
      <c r="Z11" s="87">
        <v>1.6693892905336882</v>
      </c>
      <c r="AA11" s="87">
        <v>1.6640104964628029</v>
      </c>
      <c r="AB11" s="87">
        <v>1.662268977961797</v>
      </c>
      <c r="AC11" s="87">
        <v>1.6739048608075293</v>
      </c>
      <c r="AD11" s="87">
        <v>1.6538180024778391</v>
      </c>
      <c r="AE11" s="87">
        <v>1.6885481805298734</v>
      </c>
      <c r="AF11" s="87">
        <v>1.6954635632585058</v>
      </c>
      <c r="AG11" s="87">
        <v>1.677868538823281</v>
      </c>
      <c r="AH11" s="87">
        <v>1.0884600413566914</v>
      </c>
      <c r="AI11" s="149">
        <v>1.1257800102126505</v>
      </c>
    </row>
    <row r="12" spans="1:35" ht="12.75" customHeight="1">
      <c r="A12" s="65" t="s">
        <v>27</v>
      </c>
      <c r="B12" s="68">
        <v>3.67</v>
      </c>
      <c r="C12" s="68">
        <v>3.88</v>
      </c>
      <c r="D12" s="67">
        <v>4.38</v>
      </c>
      <c r="E12" s="67">
        <v>4.3</v>
      </c>
      <c r="F12" s="67">
        <v>4.25</v>
      </c>
      <c r="G12" s="67">
        <v>4.2</v>
      </c>
      <c r="H12" s="67">
        <v>4.1500000000000004</v>
      </c>
      <c r="I12" s="67">
        <v>4.25</v>
      </c>
      <c r="J12" s="67">
        <v>4.49</v>
      </c>
      <c r="K12" s="67">
        <v>4.57</v>
      </c>
      <c r="L12" s="67">
        <v>4.84</v>
      </c>
      <c r="M12" s="73">
        <v>5.0599999999999996</v>
      </c>
      <c r="N12" s="73">
        <v>5.23</v>
      </c>
      <c r="O12" s="73">
        <v>5.34</v>
      </c>
      <c r="P12" s="73">
        <v>5.5</v>
      </c>
      <c r="Q12" s="73">
        <v>5.6</v>
      </c>
      <c r="R12" s="73">
        <v>5.8</v>
      </c>
      <c r="S12" s="73">
        <v>6</v>
      </c>
      <c r="T12" s="73">
        <v>6.2</v>
      </c>
      <c r="U12" s="73">
        <v>6.4</v>
      </c>
      <c r="V12" s="73">
        <v>6.5</v>
      </c>
      <c r="W12" s="73">
        <v>6.2725</v>
      </c>
      <c r="X12" s="76">
        <v>7.5889000000000006</v>
      </c>
      <c r="Y12" s="67">
        <v>7.6311</v>
      </c>
      <c r="Z12" s="67">
        <v>7.3169000000000004</v>
      </c>
      <c r="AA12" s="67">
        <v>6.9699000000000018</v>
      </c>
      <c r="AB12" s="67">
        <v>7.1527000000000012</v>
      </c>
      <c r="AC12" s="67">
        <v>7.2018999999999993</v>
      </c>
      <c r="AD12" s="67">
        <v>7.4863000000000008</v>
      </c>
      <c r="AE12" s="67">
        <v>7.6830999999999996</v>
      </c>
      <c r="AF12" s="67">
        <v>8.8920000000000012</v>
      </c>
      <c r="AG12" s="67">
        <v>8.1980000000000004</v>
      </c>
      <c r="AH12" s="73">
        <v>5.1373287179802096</v>
      </c>
      <c r="AI12" s="146">
        <v>6.4216608974752623</v>
      </c>
    </row>
    <row r="13" spans="1:35" ht="12.75" customHeight="1">
      <c r="A13" s="83" t="s">
        <v>28</v>
      </c>
      <c r="B13" s="86">
        <v>6.5</v>
      </c>
      <c r="C13" s="121">
        <v>7.7</v>
      </c>
      <c r="D13" s="120">
        <v>6.7916433688952624</v>
      </c>
      <c r="E13" s="85">
        <v>6.6810831952516683</v>
      </c>
      <c r="F13" s="85">
        <v>6.8105236505752522</v>
      </c>
      <c r="G13" s="85">
        <v>6.8398282690606607</v>
      </c>
      <c r="H13" s="85">
        <v>6.9041412695368169</v>
      </c>
      <c r="I13" s="85">
        <v>6.2209381278531444</v>
      </c>
      <c r="J13" s="85">
        <v>6.4868554828526834</v>
      </c>
      <c r="K13" s="85">
        <v>6.7044719166616762</v>
      </c>
      <c r="L13" s="85">
        <v>7.0459199684197653</v>
      </c>
      <c r="M13" s="85">
        <v>7.3159006836586409</v>
      </c>
      <c r="N13" s="120">
        <v>7.724043149006512</v>
      </c>
      <c r="O13" s="85">
        <v>7.7695880121263032</v>
      </c>
      <c r="P13" s="85">
        <v>7.9772892893022069</v>
      </c>
      <c r="Q13" s="85">
        <v>8.1554573582894871</v>
      </c>
      <c r="R13" s="85">
        <v>9.0939084975150912</v>
      </c>
      <c r="S13" s="85">
        <v>9.375830458217731</v>
      </c>
      <c r="T13" s="85">
        <v>9.7173314868784608</v>
      </c>
      <c r="U13" s="85">
        <v>9.797521313198633</v>
      </c>
      <c r="V13" s="85">
        <v>10.452132712643687</v>
      </c>
      <c r="W13" s="85">
        <v>9.568455624774991</v>
      </c>
      <c r="X13" s="85">
        <v>9.8063450079108705</v>
      </c>
      <c r="Y13" s="124">
        <v>9.9302983452846831</v>
      </c>
      <c r="Z13" s="85">
        <v>10.465358973566957</v>
      </c>
      <c r="AA13" s="85">
        <v>10.089861136223224</v>
      </c>
      <c r="AB13" s="85">
        <v>10.204744205250522</v>
      </c>
      <c r="AC13" s="85">
        <v>10.188604368561837</v>
      </c>
      <c r="AD13" s="85">
        <v>10.220583305155149</v>
      </c>
      <c r="AE13" s="85">
        <v>10.367016654712991</v>
      </c>
      <c r="AF13" s="85">
        <v>10.728627571265637</v>
      </c>
      <c r="AG13" s="85">
        <v>10.390560736958605</v>
      </c>
      <c r="AH13" s="85">
        <v>5.507074156934733</v>
      </c>
      <c r="AI13" s="147">
        <v>7.3354600228381432</v>
      </c>
    </row>
    <row r="14" spans="1:35" ht="12.75" customHeight="1">
      <c r="A14" s="65" t="s">
        <v>39</v>
      </c>
      <c r="B14" s="68"/>
      <c r="C14" s="119"/>
      <c r="D14" s="118"/>
      <c r="E14" s="67"/>
      <c r="F14" s="67"/>
      <c r="G14" s="73">
        <v>0.54662699999999997</v>
      </c>
      <c r="H14" s="73">
        <v>0.542601</v>
      </c>
      <c r="I14" s="73">
        <v>0.52539599999999997</v>
      </c>
      <c r="J14" s="73">
        <v>0.48687899999999995</v>
      </c>
      <c r="K14" s="73">
        <v>0.49809300000000001</v>
      </c>
      <c r="L14" s="73">
        <v>0.487896</v>
      </c>
      <c r="M14" s="73">
        <v>0.48726600000000003</v>
      </c>
      <c r="N14" s="73">
        <v>0.50417100000000004</v>
      </c>
      <c r="O14" s="73">
        <v>0.53174399999999999</v>
      </c>
      <c r="P14" s="73">
        <v>0.53473799999999994</v>
      </c>
      <c r="Q14" s="73">
        <v>0.55030800000000002</v>
      </c>
      <c r="R14" s="73">
        <v>0.52908299999999997</v>
      </c>
      <c r="S14" s="73">
        <v>0.53316600000000003</v>
      </c>
      <c r="T14" s="73">
        <v>0.55977300000000008</v>
      </c>
      <c r="U14" s="73">
        <v>0.66095999999999999</v>
      </c>
      <c r="V14" s="73">
        <v>0.62360400000000005</v>
      </c>
      <c r="W14" s="73">
        <v>0.57882</v>
      </c>
      <c r="X14" s="73">
        <v>0.54935699999999998</v>
      </c>
      <c r="Y14" s="73">
        <v>0.51953099999999997</v>
      </c>
      <c r="Z14" s="73">
        <f>0.174139*3</f>
        <v>0.52241699999999991</v>
      </c>
      <c r="AA14" s="73">
        <f>0.177596*3</f>
        <v>0.53278800000000004</v>
      </c>
      <c r="AB14" s="73">
        <v>0.5756969999999999</v>
      </c>
      <c r="AC14" s="73">
        <v>0.597966</v>
      </c>
      <c r="AD14" s="73">
        <v>0.608985</v>
      </c>
      <c r="AE14" s="73">
        <v>0.60798300000000005</v>
      </c>
      <c r="AF14" s="73">
        <v>0.57616500000000004</v>
      </c>
      <c r="AG14" s="73">
        <v>0.37716</v>
      </c>
      <c r="AH14" s="73">
        <v>0.39428400000000002</v>
      </c>
      <c r="AI14" s="146">
        <v>0.36921900000000002</v>
      </c>
    </row>
    <row r="15" spans="1:35" ht="12.75" customHeight="1">
      <c r="A15" s="69" t="s">
        <v>30</v>
      </c>
      <c r="B15" s="72">
        <v>2.21</v>
      </c>
      <c r="C15" s="72">
        <v>3.66</v>
      </c>
      <c r="D15" s="70">
        <f>2.58+1.629</f>
        <v>4.2089999999999996</v>
      </c>
      <c r="E15" s="70">
        <v>5.3280000000000003</v>
      </c>
      <c r="F15" s="70">
        <v>5.4</v>
      </c>
      <c r="G15" s="70">
        <v>5.5</v>
      </c>
      <c r="H15" s="70">
        <v>5.0999999999999996</v>
      </c>
      <c r="I15" s="70">
        <f>4.038+1.1136</f>
        <v>5.1516000000000002</v>
      </c>
      <c r="J15" s="70">
        <v>5.282</v>
      </c>
      <c r="K15" s="70">
        <v>5.319</v>
      </c>
      <c r="L15" s="70">
        <v>5.2510000000000003</v>
      </c>
      <c r="M15" s="70">
        <f>4.167+1.072</f>
        <v>5.2389999999999999</v>
      </c>
      <c r="N15" s="70">
        <f>4.503+1.1057</f>
        <v>5.6086999999999998</v>
      </c>
      <c r="O15" s="70">
        <f>4.506+1.083</f>
        <v>5.5890000000000004</v>
      </c>
      <c r="P15" s="70">
        <f>4.843+1.042</f>
        <v>5.8849999999999998</v>
      </c>
      <c r="Q15" s="70">
        <f>4.935+1.05</f>
        <v>5.9849999999999994</v>
      </c>
      <c r="R15" s="70">
        <f>4.954+1.051</f>
        <v>6.0049999999999999</v>
      </c>
      <c r="S15" s="70">
        <f>4.982+1.053</f>
        <v>6.0350000000000001</v>
      </c>
      <c r="T15" s="70">
        <f>5.204+1.075</f>
        <v>6.2789999999999999</v>
      </c>
      <c r="U15" s="70">
        <f>5.637+1.088</f>
        <v>6.7249999999999996</v>
      </c>
      <c r="V15" s="70">
        <f>5.777+1.107</f>
        <v>6.8840000000000003</v>
      </c>
      <c r="W15" s="70">
        <f>1.108+5.84</f>
        <v>6.9480000000000004</v>
      </c>
      <c r="X15" s="70">
        <f>5.948+1.135</f>
        <v>7.0830000000000002</v>
      </c>
      <c r="Y15" s="70">
        <f>5.849+1.246</f>
        <v>7.0950000000000006</v>
      </c>
      <c r="Z15" s="70">
        <f>1.243+5.295</f>
        <v>6.5380000000000003</v>
      </c>
      <c r="AA15" s="70">
        <f>1.228+5.356</f>
        <v>6.5839999999999996</v>
      </c>
      <c r="AB15" s="70">
        <v>6.6539999999999999</v>
      </c>
      <c r="AC15" s="70">
        <v>6.8280000000000003</v>
      </c>
      <c r="AD15" s="70">
        <v>6.9489999999999998</v>
      </c>
      <c r="AE15" s="70">
        <v>7.2789999999999999</v>
      </c>
      <c r="AF15" s="70">
        <v>7.2789999999999999</v>
      </c>
      <c r="AG15" s="70">
        <v>7.6139999999999999</v>
      </c>
      <c r="AH15" s="70">
        <v>4.3929999999999998</v>
      </c>
      <c r="AI15" s="150">
        <v>5.7089999999999996</v>
      </c>
    </row>
    <row r="16" spans="1:35" ht="12.75" customHeight="1">
      <c r="A16" s="65" t="s">
        <v>9</v>
      </c>
      <c r="B16" s="68" t="s">
        <v>38</v>
      </c>
      <c r="C16" s="68" t="s">
        <v>38</v>
      </c>
      <c r="D16" s="67" t="s">
        <v>38</v>
      </c>
      <c r="E16" s="67" t="s">
        <v>38</v>
      </c>
      <c r="F16" s="67" t="s">
        <v>38</v>
      </c>
      <c r="G16" s="67" t="s">
        <v>38</v>
      </c>
      <c r="H16" s="67" t="s">
        <v>38</v>
      </c>
      <c r="I16" s="67" t="s">
        <v>38</v>
      </c>
      <c r="J16" s="67" t="s">
        <v>38</v>
      </c>
      <c r="K16" s="67" t="s">
        <v>38</v>
      </c>
      <c r="L16" s="67" t="s">
        <v>38</v>
      </c>
      <c r="M16" s="67" t="s">
        <v>38</v>
      </c>
      <c r="N16" s="67" t="s">
        <v>38</v>
      </c>
      <c r="O16" s="67" t="s">
        <v>38</v>
      </c>
      <c r="P16" s="67" t="s">
        <v>38</v>
      </c>
      <c r="Q16" s="67" t="s">
        <v>38</v>
      </c>
      <c r="R16" s="67" t="s">
        <v>38</v>
      </c>
      <c r="S16" s="67" t="s">
        <v>38</v>
      </c>
      <c r="T16" s="67" t="s">
        <v>38</v>
      </c>
      <c r="U16" s="67" t="s">
        <v>38</v>
      </c>
      <c r="V16" s="67" t="s">
        <v>38</v>
      </c>
      <c r="W16" s="67" t="s">
        <v>38</v>
      </c>
      <c r="X16" s="67" t="s">
        <v>38</v>
      </c>
      <c r="Y16" s="67" t="s">
        <v>38</v>
      </c>
      <c r="Z16" s="67" t="s">
        <v>38</v>
      </c>
      <c r="AA16" s="67" t="s">
        <v>38</v>
      </c>
      <c r="AB16" s="67" t="s">
        <v>38</v>
      </c>
      <c r="AC16" s="67" t="s">
        <v>38</v>
      </c>
      <c r="AD16" s="67" t="s">
        <v>38</v>
      </c>
      <c r="AE16" s="67" t="s">
        <v>38</v>
      </c>
      <c r="AF16" s="67" t="s">
        <v>38</v>
      </c>
      <c r="AG16" s="67" t="s">
        <v>38</v>
      </c>
      <c r="AH16" s="67" t="s">
        <v>38</v>
      </c>
      <c r="AI16" s="110" t="s">
        <v>38</v>
      </c>
    </row>
    <row r="17" spans="1:35" ht="12.75" customHeight="1">
      <c r="A17" s="69" t="s">
        <v>13</v>
      </c>
      <c r="B17" s="72" t="s">
        <v>37</v>
      </c>
      <c r="C17" s="72" t="s">
        <v>37</v>
      </c>
      <c r="D17" s="71">
        <f>0.2431*3</f>
        <v>0.72930000000000006</v>
      </c>
      <c r="E17" s="71">
        <f>0.2516*3</f>
        <v>0.75479999999999992</v>
      </c>
      <c r="F17" s="71">
        <f>0.1937*3</f>
        <v>0.58110000000000006</v>
      </c>
      <c r="G17" s="71">
        <f>0.1149*3</f>
        <v>0.34470000000000001</v>
      </c>
      <c r="H17" s="71">
        <f>0.1128*3</f>
        <v>0.33839999999999998</v>
      </c>
      <c r="I17" s="71">
        <f>0.1012*3</f>
        <v>0.30359999999999998</v>
      </c>
      <c r="J17" s="71">
        <f>0.0795*3</f>
        <v>0.23849999999999999</v>
      </c>
      <c r="K17" s="71">
        <f>0.0884*3</f>
        <v>0.26519999999999999</v>
      </c>
      <c r="L17" s="71">
        <f>0.098*3</f>
        <v>0.29400000000000004</v>
      </c>
      <c r="M17" s="71">
        <f>0.0938*3</f>
        <v>0.28139999999999998</v>
      </c>
      <c r="N17" s="71">
        <f>0.0889*3</f>
        <v>0.26670000000000005</v>
      </c>
      <c r="O17" s="71">
        <f>0.0869*3</f>
        <v>0.26070000000000004</v>
      </c>
      <c r="P17" s="71">
        <f>0.0882*3</f>
        <v>0.2646</v>
      </c>
      <c r="Q17" s="71">
        <f>0.0846*3</f>
        <v>0.25379999999999997</v>
      </c>
      <c r="R17" s="71">
        <f>0.0879*3</f>
        <v>0.26370000000000005</v>
      </c>
      <c r="S17" s="71">
        <f>0.0909*3</f>
        <v>0.2727</v>
      </c>
      <c r="T17" s="71">
        <f>0.0931*3</f>
        <v>0.27929999999999999</v>
      </c>
      <c r="U17" s="71">
        <f>0.0932*3</f>
        <v>0.27960000000000002</v>
      </c>
      <c r="V17" s="71">
        <f>0.0861*3</f>
        <v>0.25829999999999997</v>
      </c>
      <c r="W17" s="117">
        <f>0.057*3</f>
        <v>0.17100000000000001</v>
      </c>
      <c r="X17" s="70">
        <v>0.36450199999999999</v>
      </c>
      <c r="Y17" s="70">
        <v>0.37563800000000003</v>
      </c>
      <c r="Z17" s="70">
        <v>0.35237200000000002</v>
      </c>
      <c r="AA17" s="70">
        <v>0.37700800000000001</v>
      </c>
      <c r="AB17" s="70">
        <v>0.38471</v>
      </c>
      <c r="AC17" s="70">
        <v>0.35569000000000001</v>
      </c>
      <c r="AD17" s="70">
        <v>0.33763900000000002</v>
      </c>
      <c r="AE17" s="70">
        <v>0.34163900000000003</v>
      </c>
      <c r="AF17" s="70">
        <v>0.35619299999999998</v>
      </c>
      <c r="AG17" s="70">
        <v>0.336231</v>
      </c>
      <c r="AH17" s="70">
        <v>0.201657</v>
      </c>
      <c r="AI17" s="270">
        <v>5.8512000000000002E-2</v>
      </c>
    </row>
    <row r="18" spans="1:35" ht="12.75" customHeight="1">
      <c r="A18" s="65" t="s">
        <v>14</v>
      </c>
      <c r="B18" s="68" t="s">
        <v>38</v>
      </c>
      <c r="C18" s="68" t="s">
        <v>38</v>
      </c>
      <c r="D18" s="67" t="s">
        <v>38</v>
      </c>
      <c r="E18" s="67" t="s">
        <v>38</v>
      </c>
      <c r="F18" s="67" t="s">
        <v>38</v>
      </c>
      <c r="G18" s="67" t="s">
        <v>38</v>
      </c>
      <c r="H18" s="67" t="s">
        <v>38</v>
      </c>
      <c r="I18" s="67" t="s">
        <v>38</v>
      </c>
      <c r="J18" s="67" t="s">
        <v>38</v>
      </c>
      <c r="K18" s="67" t="s">
        <v>38</v>
      </c>
      <c r="L18" s="67" t="s">
        <v>38</v>
      </c>
      <c r="M18" s="67" t="s">
        <v>38</v>
      </c>
      <c r="N18" s="67" t="s">
        <v>38</v>
      </c>
      <c r="O18" s="67" t="s">
        <v>38</v>
      </c>
      <c r="P18" s="67" t="s">
        <v>38</v>
      </c>
      <c r="Q18" s="67" t="s">
        <v>38</v>
      </c>
      <c r="R18" s="67" t="s">
        <v>38</v>
      </c>
      <c r="S18" s="67" t="s">
        <v>38</v>
      </c>
      <c r="T18" s="67" t="s">
        <v>38</v>
      </c>
      <c r="U18" s="67" t="s">
        <v>38</v>
      </c>
      <c r="V18" s="67" t="s">
        <v>38</v>
      </c>
      <c r="W18" s="67" t="s">
        <v>38</v>
      </c>
      <c r="X18" s="67" t="s">
        <v>38</v>
      </c>
      <c r="Y18" s="67" t="s">
        <v>38</v>
      </c>
      <c r="Z18" s="67" t="s">
        <v>38</v>
      </c>
      <c r="AA18" s="67" t="s">
        <v>38</v>
      </c>
      <c r="AB18" s="67" t="s">
        <v>38</v>
      </c>
      <c r="AC18" s="67" t="s">
        <v>38</v>
      </c>
      <c r="AD18" s="67" t="s">
        <v>38</v>
      </c>
      <c r="AE18" s="67" t="s">
        <v>38</v>
      </c>
      <c r="AF18" s="67" t="s">
        <v>38</v>
      </c>
      <c r="AG18" s="67" t="s">
        <v>38</v>
      </c>
      <c r="AH18" s="67" t="s">
        <v>38</v>
      </c>
      <c r="AI18" s="110" t="s">
        <v>38</v>
      </c>
    </row>
    <row r="19" spans="1:35" ht="12.75" customHeight="1">
      <c r="A19" s="69" t="s">
        <v>31</v>
      </c>
      <c r="B19" s="72" t="s">
        <v>38</v>
      </c>
      <c r="C19" s="72" t="s">
        <v>38</v>
      </c>
      <c r="D19" s="70" t="s">
        <v>38</v>
      </c>
      <c r="E19" s="70" t="s">
        <v>38</v>
      </c>
      <c r="F19" s="70" t="s">
        <v>38</v>
      </c>
      <c r="G19" s="70" t="s">
        <v>38</v>
      </c>
      <c r="H19" s="70" t="s">
        <v>38</v>
      </c>
      <c r="I19" s="70" t="s">
        <v>38</v>
      </c>
      <c r="J19" s="70" t="s">
        <v>38</v>
      </c>
      <c r="K19" s="70" t="s">
        <v>38</v>
      </c>
      <c r="L19" s="70" t="s">
        <v>38</v>
      </c>
      <c r="M19" s="70" t="s">
        <v>38</v>
      </c>
      <c r="N19" s="70" t="s">
        <v>38</v>
      </c>
      <c r="O19" s="70" t="s">
        <v>38</v>
      </c>
      <c r="P19" s="70" t="s">
        <v>38</v>
      </c>
      <c r="Q19" s="70" t="s">
        <v>38</v>
      </c>
      <c r="R19" s="70" t="s">
        <v>38</v>
      </c>
      <c r="S19" s="70" t="s">
        <v>38</v>
      </c>
      <c r="T19" s="70" t="s">
        <v>38</v>
      </c>
      <c r="U19" s="70" t="s">
        <v>38</v>
      </c>
      <c r="V19" s="70" t="s">
        <v>38</v>
      </c>
      <c r="W19" s="70" t="s">
        <v>38</v>
      </c>
      <c r="X19" s="70" t="s">
        <v>38</v>
      </c>
      <c r="Y19" s="70" t="s">
        <v>38</v>
      </c>
      <c r="Z19" s="70" t="s">
        <v>38</v>
      </c>
      <c r="AA19" s="70" t="s">
        <v>38</v>
      </c>
      <c r="AB19" s="70" t="s">
        <v>38</v>
      </c>
      <c r="AC19" s="70" t="s">
        <v>38</v>
      </c>
      <c r="AD19" s="70" t="s">
        <v>38</v>
      </c>
      <c r="AE19" s="70" t="s">
        <v>38</v>
      </c>
      <c r="AF19" s="71">
        <v>1.95E-2</v>
      </c>
      <c r="AG19" s="71">
        <v>3.1199999999999999E-2</v>
      </c>
      <c r="AH19" s="71">
        <v>3.1731711504470649E-2</v>
      </c>
      <c r="AI19" s="140">
        <v>3.4132344320536787E-2</v>
      </c>
    </row>
    <row r="20" spans="1:35" ht="12.75" customHeight="1">
      <c r="A20" s="65" t="s">
        <v>12</v>
      </c>
      <c r="B20" s="68" t="s">
        <v>37</v>
      </c>
      <c r="C20" s="68" t="s">
        <v>37</v>
      </c>
      <c r="D20" s="67" t="s">
        <v>37</v>
      </c>
      <c r="E20" s="67" t="s">
        <v>37</v>
      </c>
      <c r="F20" s="67" t="s">
        <v>37</v>
      </c>
      <c r="G20" s="67" t="s">
        <v>37</v>
      </c>
      <c r="H20" s="67" t="s">
        <v>37</v>
      </c>
      <c r="I20" s="73">
        <v>2.5</v>
      </c>
      <c r="J20" s="73">
        <v>2.5</v>
      </c>
      <c r="K20" s="73">
        <v>2.5</v>
      </c>
      <c r="L20" s="73">
        <v>2.5499999999999998</v>
      </c>
      <c r="M20" s="67">
        <f>1.193+1.327</f>
        <v>2.52</v>
      </c>
      <c r="N20" s="67">
        <f>1.212+1.358</f>
        <v>2.5700000000000003</v>
      </c>
      <c r="O20" s="67">
        <f>1.214+1.357</f>
        <v>2.5709999999999997</v>
      </c>
      <c r="P20" s="67">
        <f>1.201+1.335</f>
        <v>2.536</v>
      </c>
      <c r="Q20" s="67">
        <f>1.193+1.323</f>
        <v>2.516</v>
      </c>
      <c r="R20" s="67">
        <f>1.169+1.251</f>
        <v>2.42</v>
      </c>
      <c r="S20" s="67">
        <f>1.144+1.209</f>
        <v>2.3529999999999998</v>
      </c>
      <c r="T20" s="67">
        <f>1.113+1.17</f>
        <v>2.2829999999999999</v>
      </c>
      <c r="U20" s="67">
        <f>1.104+1.176</f>
        <v>2.2800000000000002</v>
      </c>
      <c r="V20" s="67">
        <f>1.095+1.24</f>
        <v>2.335</v>
      </c>
      <c r="W20" s="67">
        <f>1.185+1.339</f>
        <v>2.524</v>
      </c>
      <c r="X20" s="67">
        <f>1.15+1.339</f>
        <v>2.4889999999999999</v>
      </c>
      <c r="Y20" s="67">
        <f>1.161535+1.342378</f>
        <v>2.5039129999999998</v>
      </c>
      <c r="Z20" s="67">
        <v>2.4990787000000001</v>
      </c>
      <c r="AA20" s="67">
        <v>2.5104894</v>
      </c>
      <c r="AB20" s="67">
        <v>2.8194692000000003</v>
      </c>
      <c r="AC20" s="67">
        <v>2.9466693999999998</v>
      </c>
      <c r="AD20" s="67">
        <v>3.0627040999999999</v>
      </c>
      <c r="AE20" s="67">
        <v>3.0456327000000001</v>
      </c>
      <c r="AF20" s="67">
        <v>2.7077</v>
      </c>
      <c r="AG20" s="67">
        <v>2.8073303999999997</v>
      </c>
      <c r="AH20" s="67">
        <v>1.845</v>
      </c>
      <c r="AI20" s="110">
        <v>1.7667846999999999</v>
      </c>
    </row>
    <row r="21" spans="1:35" ht="12.75" customHeight="1">
      <c r="A21" s="69" t="s">
        <v>15</v>
      </c>
      <c r="B21" s="72" t="s">
        <v>38</v>
      </c>
      <c r="C21" s="72" t="s">
        <v>38</v>
      </c>
      <c r="D21" s="70" t="s">
        <v>38</v>
      </c>
      <c r="E21" s="70" t="s">
        <v>38</v>
      </c>
      <c r="F21" s="70" t="s">
        <v>38</v>
      </c>
      <c r="G21" s="70" t="s">
        <v>38</v>
      </c>
      <c r="H21" s="70" t="s">
        <v>38</v>
      </c>
      <c r="I21" s="70" t="s">
        <v>38</v>
      </c>
      <c r="J21" s="70" t="s">
        <v>38</v>
      </c>
      <c r="K21" s="70" t="s">
        <v>38</v>
      </c>
      <c r="L21" s="70" t="s">
        <v>38</v>
      </c>
      <c r="M21" s="70" t="s">
        <v>38</v>
      </c>
      <c r="N21" s="70" t="s">
        <v>38</v>
      </c>
      <c r="O21" s="70" t="s">
        <v>38</v>
      </c>
      <c r="P21" s="70" t="s">
        <v>38</v>
      </c>
      <c r="Q21" s="70" t="s">
        <v>38</v>
      </c>
      <c r="R21" s="70" t="s">
        <v>38</v>
      </c>
      <c r="S21" s="70" t="s">
        <v>38</v>
      </c>
      <c r="T21" s="70" t="s">
        <v>38</v>
      </c>
      <c r="U21" s="70" t="s">
        <v>38</v>
      </c>
      <c r="V21" s="70" t="s">
        <v>38</v>
      </c>
      <c r="W21" s="70" t="s">
        <v>38</v>
      </c>
      <c r="X21" s="70" t="s">
        <v>38</v>
      </c>
      <c r="Y21" s="70" t="s">
        <v>38</v>
      </c>
      <c r="Z21" s="70" t="s">
        <v>38</v>
      </c>
      <c r="AA21" s="70" t="s">
        <v>38</v>
      </c>
      <c r="AB21" s="70" t="s">
        <v>38</v>
      </c>
      <c r="AC21" s="70" t="s">
        <v>38</v>
      </c>
      <c r="AD21" s="70" t="s">
        <v>38</v>
      </c>
      <c r="AE21" s="70" t="s">
        <v>38</v>
      </c>
      <c r="AF21" s="70" t="s">
        <v>38</v>
      </c>
      <c r="AG21" s="70" t="s">
        <v>38</v>
      </c>
      <c r="AH21" s="70" t="s">
        <v>38</v>
      </c>
      <c r="AI21" s="150" t="s">
        <v>38</v>
      </c>
    </row>
    <row r="22" spans="1:35" ht="12.75" customHeight="1">
      <c r="A22" s="65" t="s">
        <v>23</v>
      </c>
      <c r="B22" s="68">
        <v>1.24</v>
      </c>
      <c r="C22" s="68">
        <v>1.35</v>
      </c>
      <c r="D22" s="67">
        <v>1.26</v>
      </c>
      <c r="E22" s="67">
        <v>1.29</v>
      </c>
      <c r="F22" s="67">
        <v>1.32</v>
      </c>
      <c r="G22" s="67">
        <v>1.34</v>
      </c>
      <c r="H22" s="67">
        <v>1.39</v>
      </c>
      <c r="I22" s="67">
        <v>1.38</v>
      </c>
      <c r="J22" s="67">
        <v>1.39</v>
      </c>
      <c r="K22" s="73">
        <v>1.4</v>
      </c>
      <c r="L22" s="73">
        <v>1.4</v>
      </c>
      <c r="M22" s="73">
        <v>1.42</v>
      </c>
      <c r="N22" s="102">
        <v>0.66920240257135821</v>
      </c>
      <c r="O22" s="73">
        <v>0.6847210123896893</v>
      </c>
      <c r="P22" s="73">
        <v>0.66353207777210854</v>
      </c>
      <c r="Q22" s="73">
        <v>0.68664863736082971</v>
      </c>
      <c r="R22" s="73">
        <v>0.72726197782688473</v>
      </c>
      <c r="S22" s="73">
        <v>0.7464064132044701</v>
      </c>
      <c r="T22" s="73">
        <v>0.77799993045455174</v>
      </c>
      <c r="U22" s="73">
        <v>0.79498608407233573</v>
      </c>
      <c r="V22" s="73">
        <v>0.82532326498806596</v>
      </c>
      <c r="W22" s="73">
        <v>0.8248953383354507</v>
      </c>
      <c r="X22" s="102">
        <v>0.85392506122981326</v>
      </c>
      <c r="Y22" s="73">
        <v>0.88990345909689639</v>
      </c>
      <c r="Z22" s="73">
        <v>0.81613047027735097</v>
      </c>
      <c r="AA22" s="73">
        <v>0.85355956538376276</v>
      </c>
      <c r="AB22" s="73">
        <v>0.85324253790568616</v>
      </c>
      <c r="AC22" s="73">
        <v>0.91644568886166289</v>
      </c>
      <c r="AD22" s="73">
        <v>0.92542674380315026</v>
      </c>
      <c r="AE22" s="183">
        <v>0.88160200214086182</v>
      </c>
      <c r="AF22" s="73">
        <v>1.0294941387934067</v>
      </c>
      <c r="AG22" s="73">
        <v>1.0294941387934067</v>
      </c>
      <c r="AH22" s="73">
        <v>0.45931276961551992</v>
      </c>
      <c r="AI22" s="146">
        <v>0.55434299781183416</v>
      </c>
    </row>
    <row r="23" spans="1:35" ht="12.75" customHeight="1">
      <c r="A23" s="69" t="s">
        <v>32</v>
      </c>
      <c r="B23" s="72">
        <v>1.5</v>
      </c>
      <c r="C23" s="72">
        <v>1.65</v>
      </c>
      <c r="D23" s="71">
        <v>4.2442128983351068</v>
      </c>
      <c r="E23" s="71">
        <v>4.6251253039658984</v>
      </c>
      <c r="F23" s="71">
        <v>4.720742575409969</v>
      </c>
      <c r="G23" s="71">
        <v>4.6971417071642572</v>
      </c>
      <c r="H23" s="71">
        <v>4.8920301285804797</v>
      </c>
      <c r="I23" s="71">
        <v>5.1272031782380516</v>
      </c>
      <c r="J23" s="71">
        <v>5.5820940424240515</v>
      </c>
      <c r="K23" s="71">
        <v>5.6763765221457625</v>
      </c>
      <c r="L23" s="71">
        <v>5.7708421623056294</v>
      </c>
      <c r="M23" s="71">
        <v>5.8654912351198902</v>
      </c>
      <c r="N23" s="71">
        <v>5.9603240131662325</v>
      </c>
      <c r="O23" s="71">
        <v>6.0553407693842383</v>
      </c>
      <c r="P23" s="71">
        <v>6.150541777075853</v>
      </c>
      <c r="Q23" s="71">
        <v>6.2459273099058166</v>
      </c>
      <c r="R23" s="71">
        <v>6.3414976419021301</v>
      </c>
      <c r="S23" s="71">
        <v>6.4372530474565073</v>
      </c>
      <c r="T23" s="71">
        <v>6.5331938013248179</v>
      </c>
      <c r="U23" s="71">
        <v>6.6293201786275553</v>
      </c>
      <c r="V23" s="71">
        <v>6.7256324548502837</v>
      </c>
      <c r="W23" s="71">
        <v>6.8221309058440927</v>
      </c>
      <c r="X23" s="71">
        <v>6.9188158078260598</v>
      </c>
      <c r="Y23" s="70">
        <v>7.0156874373796958</v>
      </c>
      <c r="Z23" s="70">
        <v>7.1127460714554109</v>
      </c>
      <c r="AA23" s="70">
        <v>7.2099919873709704</v>
      </c>
      <c r="AB23" s="70">
        <v>7.0100583629872597</v>
      </c>
      <c r="AC23" s="70">
        <v>7.1820429883220598</v>
      </c>
      <c r="AD23" s="70">
        <v>7.1853302929799696</v>
      </c>
      <c r="AE23" s="70">
        <v>7.1890000000000001</v>
      </c>
      <c r="AF23" s="70">
        <v>7.1919542940482737</v>
      </c>
      <c r="AG23" s="70">
        <v>7.3689999999999998</v>
      </c>
      <c r="AH23" s="70">
        <v>5.8949999999999996</v>
      </c>
      <c r="AI23" s="150">
        <v>6.19</v>
      </c>
    </row>
    <row r="24" spans="1:35" ht="12.75" customHeight="1">
      <c r="A24" s="65" t="s">
        <v>16</v>
      </c>
      <c r="B24" s="68" t="s">
        <v>37</v>
      </c>
      <c r="C24" s="68" t="s">
        <v>37</v>
      </c>
      <c r="D24" s="67" t="s">
        <v>37</v>
      </c>
      <c r="E24" s="67" t="s">
        <v>37</v>
      </c>
      <c r="F24" s="67" t="s">
        <v>37</v>
      </c>
      <c r="G24" s="67" t="s">
        <v>37</v>
      </c>
      <c r="H24" s="67" t="s">
        <v>37</v>
      </c>
      <c r="I24" s="73">
        <v>5</v>
      </c>
      <c r="J24" s="73">
        <v>4.9000000000000004</v>
      </c>
      <c r="K24" s="73">
        <v>4.8499999999999996</v>
      </c>
      <c r="L24" s="73">
        <v>4.8</v>
      </c>
      <c r="M24" s="73">
        <v>4.75</v>
      </c>
      <c r="N24" s="73">
        <v>4.7</v>
      </c>
      <c r="O24" s="73">
        <v>4.6500000000000004</v>
      </c>
      <c r="P24" s="73">
        <v>4.62</v>
      </c>
      <c r="Q24" s="73">
        <v>4.5</v>
      </c>
      <c r="R24" s="73">
        <v>4.5</v>
      </c>
      <c r="S24" s="73">
        <v>4.4000000000000004</v>
      </c>
      <c r="T24" s="73">
        <v>4.45</v>
      </c>
      <c r="U24" s="73">
        <v>4.5999999999999996</v>
      </c>
      <c r="V24" s="73">
        <v>4.5999999999999996</v>
      </c>
      <c r="W24" s="73">
        <v>4.32</v>
      </c>
      <c r="X24" s="73">
        <f>4.34</f>
        <v>4.34</v>
      </c>
      <c r="Y24" s="73">
        <v>4.4037127814014561</v>
      </c>
      <c r="Z24" s="73">
        <v>4.3922452068246658</v>
      </c>
      <c r="AA24" s="73">
        <f>Z24*(3620.9+113.1)/(3867.5+132.5)</f>
        <v>4.1001609005708248</v>
      </c>
      <c r="AB24" s="73">
        <v>4.2371989510237542</v>
      </c>
      <c r="AC24" s="73">
        <v>4.2203986131076503</v>
      </c>
      <c r="AD24" s="73">
        <v>4.3373421417393576</v>
      </c>
      <c r="AE24" s="73">
        <v>4.3114278950190927</v>
      </c>
      <c r="AF24" s="73">
        <v>4.3522747351298046</v>
      </c>
      <c r="AG24" s="73">
        <v>4.4278194286678954</v>
      </c>
      <c r="AH24" s="73">
        <v>2.61057425707574</v>
      </c>
      <c r="AI24" s="146">
        <v>2.8746512744581647</v>
      </c>
    </row>
    <row r="25" spans="1:35" ht="12.75" customHeight="1">
      <c r="A25" s="69" t="s">
        <v>33</v>
      </c>
      <c r="B25" s="72">
        <v>0.93</v>
      </c>
      <c r="C25" s="72">
        <v>0.74</v>
      </c>
      <c r="D25" s="70">
        <v>0.67</v>
      </c>
      <c r="E25" s="70">
        <v>0.65</v>
      </c>
      <c r="F25" s="70">
        <v>0.63</v>
      </c>
      <c r="G25" s="70">
        <v>0.61</v>
      </c>
      <c r="H25" s="70">
        <v>0.57999999999999996</v>
      </c>
      <c r="I25" s="70">
        <v>0.53</v>
      </c>
      <c r="J25" s="70">
        <v>0.54</v>
      </c>
      <c r="K25" s="70">
        <v>0.5</v>
      </c>
      <c r="L25" s="70">
        <v>0.5</v>
      </c>
      <c r="M25" s="70">
        <v>0.5</v>
      </c>
      <c r="N25" s="70">
        <v>0.53</v>
      </c>
      <c r="O25" s="70">
        <v>0.54500000000000004</v>
      </c>
      <c r="P25" s="70">
        <v>0.55000000000000004</v>
      </c>
      <c r="Q25" s="70">
        <v>0.77</v>
      </c>
      <c r="R25" s="70">
        <v>0.84699999999999998</v>
      </c>
      <c r="S25" s="70">
        <f>0.80121+0.046506</f>
        <v>0.84771600000000003</v>
      </c>
      <c r="T25" s="70">
        <f>0.785327+0.202473</f>
        <v>0.98780000000000001</v>
      </c>
      <c r="U25" s="70">
        <f>0.803969+0.245921</f>
        <v>1.04989</v>
      </c>
      <c r="V25" s="70">
        <f>0.8354+0.259361</f>
        <v>1.0947610000000001</v>
      </c>
      <c r="W25" s="70">
        <f>0.829067+0.261117</f>
        <v>1.090184</v>
      </c>
      <c r="X25" s="70">
        <f>0.866169+0.267064</f>
        <v>1.1332329999999999</v>
      </c>
      <c r="Y25" s="70">
        <v>1.1479999999999999</v>
      </c>
      <c r="Z25" s="70">
        <f>0.745589+0.28248</f>
        <v>1.0280689999999999</v>
      </c>
      <c r="AA25" s="70">
        <f>0.655705+0.285591</f>
        <v>0.94129599999999991</v>
      </c>
      <c r="AB25" s="70">
        <v>0.966561</v>
      </c>
      <c r="AC25" s="70">
        <v>1.0086520000000001</v>
      </c>
      <c r="AD25" s="70">
        <v>1.061299</v>
      </c>
      <c r="AE25" s="70">
        <v>1.1210770000000001</v>
      </c>
      <c r="AF25" s="70">
        <v>1.1759999999999999</v>
      </c>
      <c r="AG25" s="70">
        <v>1.2916639999999999</v>
      </c>
      <c r="AH25" s="70">
        <v>0.66549999999999998</v>
      </c>
      <c r="AI25" s="150">
        <v>0.64965399999999995</v>
      </c>
    </row>
    <row r="26" spans="1:35" ht="12.75" customHeight="1">
      <c r="A26" s="65" t="s">
        <v>17</v>
      </c>
      <c r="B26" s="68"/>
      <c r="C26" s="68"/>
      <c r="D26" s="67"/>
      <c r="E26" s="67"/>
      <c r="F26" s="67"/>
      <c r="G26" s="67"/>
      <c r="H26" s="67"/>
      <c r="I26" s="73">
        <v>6</v>
      </c>
      <c r="J26" s="73">
        <v>6</v>
      </c>
      <c r="K26" s="73">
        <v>6</v>
      </c>
      <c r="L26" s="73">
        <v>6</v>
      </c>
      <c r="M26" s="73">
        <v>6</v>
      </c>
      <c r="N26" s="73">
        <v>6</v>
      </c>
      <c r="O26" s="73">
        <v>6</v>
      </c>
      <c r="P26" s="73">
        <v>6</v>
      </c>
      <c r="Q26" s="67">
        <v>5.777215</v>
      </c>
      <c r="R26" s="67">
        <v>6.1920450000000002</v>
      </c>
      <c r="S26" s="67">
        <v>6.5969080000000009</v>
      </c>
      <c r="T26" s="73">
        <v>6.8</v>
      </c>
      <c r="U26" s="73">
        <v>6.9</v>
      </c>
      <c r="V26" s="73">
        <v>7</v>
      </c>
      <c r="W26" s="73">
        <v>7.0469999999999997</v>
      </c>
      <c r="X26" s="73">
        <v>7.1387100977760349</v>
      </c>
      <c r="Y26" s="73">
        <f>AVERAGE(V26:X26)</f>
        <v>7.0619033659253452</v>
      </c>
      <c r="Z26" s="73">
        <v>7.548372713565322</v>
      </c>
      <c r="AA26" s="73">
        <v>7.7517181005566318</v>
      </c>
      <c r="AB26" s="183">
        <v>8</v>
      </c>
      <c r="AC26" s="73">
        <v>4.9077016000000002</v>
      </c>
      <c r="AD26" s="73">
        <v>5.0683648999999997</v>
      </c>
      <c r="AE26" s="73">
        <v>5.1236129999999998</v>
      </c>
      <c r="AF26" s="73">
        <v>5.001557</v>
      </c>
      <c r="AG26" s="73">
        <v>4.9292309999999997</v>
      </c>
      <c r="AH26" s="73">
        <v>3.4361090000000001</v>
      </c>
      <c r="AI26" s="146">
        <v>3.2026129999999999</v>
      </c>
    </row>
    <row r="27" spans="1:35" ht="12.75" customHeight="1">
      <c r="A27" s="69" t="s">
        <v>19</v>
      </c>
      <c r="B27" s="72" t="s">
        <v>38</v>
      </c>
      <c r="C27" s="72" t="s">
        <v>38</v>
      </c>
      <c r="D27" s="70" t="s">
        <v>38</v>
      </c>
      <c r="E27" s="70" t="s">
        <v>38</v>
      </c>
      <c r="F27" s="70" t="s">
        <v>38</v>
      </c>
      <c r="G27" s="70" t="s">
        <v>38</v>
      </c>
      <c r="H27" s="70" t="s">
        <v>38</v>
      </c>
      <c r="I27" s="70" t="s">
        <v>38</v>
      </c>
      <c r="J27" s="70" t="s">
        <v>38</v>
      </c>
      <c r="K27" s="70" t="s">
        <v>38</v>
      </c>
      <c r="L27" s="70" t="s">
        <v>38</v>
      </c>
      <c r="M27" s="70" t="s">
        <v>38</v>
      </c>
      <c r="N27" s="70" t="s">
        <v>38</v>
      </c>
      <c r="O27" s="70" t="s">
        <v>38</v>
      </c>
      <c r="P27" s="70" t="s">
        <v>38</v>
      </c>
      <c r="Q27" s="70" t="s">
        <v>38</v>
      </c>
      <c r="R27" s="70" t="s">
        <v>38</v>
      </c>
      <c r="S27" s="70" t="s">
        <v>38</v>
      </c>
      <c r="T27" s="70" t="s">
        <v>38</v>
      </c>
      <c r="U27" s="70" t="s">
        <v>38</v>
      </c>
      <c r="V27" s="70" t="s">
        <v>38</v>
      </c>
      <c r="W27" s="70" t="s">
        <v>38</v>
      </c>
      <c r="X27" s="70" t="s">
        <v>38</v>
      </c>
      <c r="Y27" s="70" t="s">
        <v>38</v>
      </c>
      <c r="Z27" s="70" t="s">
        <v>38</v>
      </c>
      <c r="AA27" s="70" t="s">
        <v>38</v>
      </c>
      <c r="AB27" s="70" t="s">
        <v>38</v>
      </c>
      <c r="AC27" s="70" t="s">
        <v>38</v>
      </c>
      <c r="AD27" s="70" t="s">
        <v>38</v>
      </c>
      <c r="AE27" s="70" t="s">
        <v>38</v>
      </c>
      <c r="AF27" s="70" t="s">
        <v>38</v>
      </c>
      <c r="AG27" s="70" t="s">
        <v>38</v>
      </c>
      <c r="AH27" s="70" t="s">
        <v>38</v>
      </c>
      <c r="AI27" s="150" t="s">
        <v>38</v>
      </c>
    </row>
    <row r="28" spans="1:35" ht="12.75" customHeight="1">
      <c r="A28" s="65" t="s">
        <v>18</v>
      </c>
      <c r="B28" s="68"/>
      <c r="C28" s="68"/>
      <c r="D28" s="67"/>
      <c r="E28" s="67"/>
      <c r="F28" s="67"/>
      <c r="G28" s="67" t="s">
        <v>37</v>
      </c>
      <c r="H28" s="67" t="s">
        <v>37</v>
      </c>
      <c r="I28" s="73">
        <f>0.14623*3</f>
        <v>0.43869000000000002</v>
      </c>
      <c r="J28" s="73">
        <v>0.42</v>
      </c>
      <c r="K28" s="73">
        <v>0.4</v>
      </c>
      <c r="L28" s="73">
        <f>0.126488*3</f>
        <v>0.37946399999999997</v>
      </c>
      <c r="M28" s="73">
        <f>0.117714*3</f>
        <v>0.35314200000000001</v>
      </c>
      <c r="N28" s="73">
        <v>0.35</v>
      </c>
      <c r="O28" s="73">
        <v>0.35736277999999999</v>
      </c>
      <c r="P28" s="73">
        <v>0.35821163</v>
      </c>
      <c r="Q28" s="73">
        <v>0.36700559999999993</v>
      </c>
      <c r="R28" s="73">
        <v>0.36223677000000004</v>
      </c>
      <c r="S28" s="73">
        <v>0.38621753999999997</v>
      </c>
      <c r="T28" s="73">
        <v>0.38442599999999999</v>
      </c>
      <c r="U28" s="73">
        <f>0.109705*3.6</f>
        <v>0.39493800000000001</v>
      </c>
      <c r="V28" s="73">
        <f>0.10708*3.43</f>
        <v>0.36728440000000001</v>
      </c>
      <c r="W28" s="73">
        <v>0.29252590000000001</v>
      </c>
      <c r="X28" s="73">
        <v>0.2834431</v>
      </c>
      <c r="Y28" s="73">
        <f>2.81*0.109182</f>
        <v>0.30680141999999999</v>
      </c>
      <c r="Z28" s="73">
        <f>0.098788*2.93</f>
        <v>0.28944884000000004</v>
      </c>
      <c r="AA28" s="73">
        <f>3.1*88.841/1000</f>
        <v>0.27540710000000002</v>
      </c>
      <c r="AB28" s="73">
        <v>0.25687895999999999</v>
      </c>
      <c r="AC28" s="73">
        <v>0.25080015</v>
      </c>
      <c r="AD28" s="73">
        <v>0.30123875999999999</v>
      </c>
      <c r="AE28" s="73">
        <v>0.28485303000000001</v>
      </c>
      <c r="AF28" s="73">
        <v>0.28074900000000003</v>
      </c>
      <c r="AG28" s="73">
        <v>0.27840905000801414</v>
      </c>
      <c r="AH28" s="73">
        <v>0.16838640134636962</v>
      </c>
      <c r="AI28" s="146">
        <v>0.14489690334989583</v>
      </c>
    </row>
    <row r="29" spans="1:35" ht="12.75" customHeight="1">
      <c r="A29" s="69" t="s">
        <v>34</v>
      </c>
      <c r="B29" s="72">
        <v>0.1</v>
      </c>
      <c r="C29" s="72">
        <v>0.13</v>
      </c>
      <c r="D29" s="70">
        <v>0.35</v>
      </c>
      <c r="E29" s="70">
        <v>0.34</v>
      </c>
      <c r="F29" s="70">
        <v>0.34499999999999997</v>
      </c>
      <c r="G29" s="70">
        <f>0.0993+0.2581</f>
        <v>0.3574</v>
      </c>
      <c r="H29" s="70">
        <v>0.37</v>
      </c>
      <c r="I29" s="70">
        <f>0.1091+0.2785</f>
        <v>0.38760000000000006</v>
      </c>
      <c r="J29" s="70">
        <v>0.4</v>
      </c>
      <c r="K29" s="70">
        <f>0.1162+0.3006</f>
        <v>0.41679999999999995</v>
      </c>
      <c r="L29" s="70">
        <v>0.439</v>
      </c>
      <c r="M29" s="70">
        <f>0.1205+0.3598</f>
        <v>0.4803</v>
      </c>
      <c r="N29" s="70">
        <f>0.118+0.379</f>
        <v>0.497</v>
      </c>
      <c r="O29" s="70">
        <f>0.1193+0.3853</f>
        <v>0.50459999999999994</v>
      </c>
      <c r="P29" s="70">
        <f>0.1167+0.4008</f>
        <v>0.51749999999999996</v>
      </c>
      <c r="Q29" s="70">
        <f>0.1182+0.4041</f>
        <v>0.52229999999999999</v>
      </c>
      <c r="R29" s="70">
        <f>0.119+0.404</f>
        <v>0.52300000000000002</v>
      </c>
      <c r="S29" s="70">
        <f>0.117+0.409</f>
        <v>0.52600000000000002</v>
      </c>
      <c r="T29" s="70">
        <f>0.11+0.414</f>
        <v>0.52400000000000002</v>
      </c>
      <c r="U29" s="70">
        <f>0.11+0.41</f>
        <v>0.52</v>
      </c>
      <c r="V29" s="70">
        <f>0.112+0.42</f>
        <v>0.53200000000000003</v>
      </c>
      <c r="W29" s="70">
        <v>0.53200000000000003</v>
      </c>
      <c r="X29" s="70">
        <f>0.113+0.417</f>
        <v>0.53</v>
      </c>
      <c r="Y29" s="70">
        <f>0.397+0.118</f>
        <v>0.51500000000000001</v>
      </c>
      <c r="Z29" s="70">
        <f>0.401+0.125</f>
        <v>0.52600000000000002</v>
      </c>
      <c r="AA29" s="70">
        <f>0.124+0.401</f>
        <v>0.52500000000000002</v>
      </c>
      <c r="AB29" s="71">
        <v>0.51364392678868553</v>
      </c>
      <c r="AC29" s="71">
        <v>0.51582778702163057</v>
      </c>
      <c r="AD29" s="71">
        <v>0.52718386023294506</v>
      </c>
      <c r="AE29" s="71">
        <v>0.55775790349417642</v>
      </c>
      <c r="AF29" s="71">
        <v>0.65472129783693855</v>
      </c>
      <c r="AG29" s="71">
        <v>0.6525374376039933</v>
      </c>
      <c r="AH29" s="71">
        <v>0.56167779439331067</v>
      </c>
      <c r="AI29" s="140">
        <v>0.49559805387645062</v>
      </c>
    </row>
    <row r="30" spans="1:35" ht="12.75" customHeight="1">
      <c r="A30" s="187" t="s">
        <v>35</v>
      </c>
      <c r="B30" s="282">
        <v>1.44</v>
      </c>
      <c r="C30" s="282">
        <v>1.97</v>
      </c>
      <c r="D30" s="234">
        <v>2.0099999999999998</v>
      </c>
      <c r="E30" s="234">
        <v>1.93</v>
      </c>
      <c r="F30" s="234">
        <v>1.91</v>
      </c>
      <c r="G30" s="234">
        <v>1.91</v>
      </c>
      <c r="H30" s="234">
        <v>1.89</v>
      </c>
      <c r="I30" s="234">
        <v>1.94</v>
      </c>
      <c r="J30" s="288">
        <v>1.98</v>
      </c>
      <c r="K30" s="234">
        <f>1.496+0.375</f>
        <v>1.871</v>
      </c>
      <c r="L30" s="234">
        <f>1.505+0.374</f>
        <v>1.879</v>
      </c>
      <c r="M30" s="234">
        <f>1.526+0.38</f>
        <v>1.9060000000000001</v>
      </c>
      <c r="N30" s="234">
        <f>1.588+0.394</f>
        <v>1.9820000000000002</v>
      </c>
      <c r="O30" s="234">
        <f>1.581+0.41</f>
        <v>1.9909999999999999</v>
      </c>
      <c r="P30" s="234">
        <f>1.578+0.415</f>
        <v>1.9930000000000001</v>
      </c>
      <c r="Q30" s="234">
        <f>1.558+0.436</f>
        <v>1.994</v>
      </c>
      <c r="R30" s="234">
        <f>1.556+0.462</f>
        <v>2.0180000000000002</v>
      </c>
      <c r="S30" s="234">
        <f>1.541+0.473</f>
        <v>2.0139999999999998</v>
      </c>
      <c r="T30" s="234">
        <f>1.657+0.482</f>
        <v>2.1390000000000002</v>
      </c>
      <c r="U30" s="234">
        <f>1.69+0.514</f>
        <v>2.2039999999999997</v>
      </c>
      <c r="V30" s="234">
        <f>1.715+0.524</f>
        <v>2.2389999999999999</v>
      </c>
      <c r="W30" s="234">
        <f>1.715+0.524</f>
        <v>2.2389999999999999</v>
      </c>
      <c r="X30" s="234">
        <f>1.731+0.549</f>
        <v>2.2800000000000002</v>
      </c>
      <c r="Y30" s="234">
        <f>1.725+0.615</f>
        <v>2.34</v>
      </c>
      <c r="Z30" s="234">
        <f>1.796+0.577</f>
        <v>2.3730000000000002</v>
      </c>
      <c r="AA30" s="234">
        <v>2.4489999999999998</v>
      </c>
      <c r="AB30" s="234">
        <v>2.4430000000000001</v>
      </c>
      <c r="AC30" s="234">
        <v>2.4998</v>
      </c>
      <c r="AD30" s="234">
        <v>2.6080000000000001</v>
      </c>
      <c r="AE30" s="234">
        <v>2.6470000000000002</v>
      </c>
      <c r="AF30" s="234">
        <v>2.7370000000000001</v>
      </c>
      <c r="AG30" s="234">
        <v>2.7040000000000002</v>
      </c>
      <c r="AH30" s="234">
        <v>1.6879999999999999</v>
      </c>
      <c r="AI30" s="181">
        <v>1.5920000000000001</v>
      </c>
    </row>
    <row r="31" spans="1:35" ht="12.75" customHeight="1">
      <c r="A31" s="69" t="s">
        <v>6</v>
      </c>
      <c r="B31" s="263" t="s">
        <v>38</v>
      </c>
      <c r="C31" s="263" t="s">
        <v>38</v>
      </c>
      <c r="D31" s="264" t="s">
        <v>38</v>
      </c>
      <c r="E31" s="264" t="s">
        <v>38</v>
      </c>
      <c r="F31" s="264" t="s">
        <v>38</v>
      </c>
      <c r="G31" s="264" t="s">
        <v>38</v>
      </c>
      <c r="H31" s="264" t="s">
        <v>38</v>
      </c>
      <c r="I31" s="264" t="s">
        <v>38</v>
      </c>
      <c r="J31" s="264" t="s">
        <v>38</v>
      </c>
      <c r="K31" s="264" t="s">
        <v>38</v>
      </c>
      <c r="L31" s="264" t="s">
        <v>38</v>
      </c>
      <c r="M31" s="264" t="s">
        <v>38</v>
      </c>
      <c r="N31" s="264" t="s">
        <v>38</v>
      </c>
      <c r="O31" s="264" t="s">
        <v>38</v>
      </c>
      <c r="P31" s="264" t="s">
        <v>38</v>
      </c>
      <c r="Q31" s="264" t="s">
        <v>38</v>
      </c>
      <c r="R31" s="264" t="s">
        <v>38</v>
      </c>
      <c r="S31" s="264" t="s">
        <v>38</v>
      </c>
      <c r="T31" s="264" t="s">
        <v>38</v>
      </c>
      <c r="U31" s="264" t="s">
        <v>38</v>
      </c>
      <c r="V31" s="264" t="s">
        <v>38</v>
      </c>
      <c r="W31" s="264" t="s">
        <v>38</v>
      </c>
      <c r="X31" s="264" t="s">
        <v>38</v>
      </c>
      <c r="Y31" s="264" t="s">
        <v>38</v>
      </c>
      <c r="Z31" s="264" t="s">
        <v>38</v>
      </c>
      <c r="AA31" s="264" t="s">
        <v>38</v>
      </c>
      <c r="AB31" s="264" t="s">
        <v>38</v>
      </c>
      <c r="AC31" s="264" t="s">
        <v>38</v>
      </c>
      <c r="AD31" s="264" t="s">
        <v>38</v>
      </c>
      <c r="AE31" s="264" t="s">
        <v>38</v>
      </c>
      <c r="AF31" s="264" t="s">
        <v>38</v>
      </c>
      <c r="AG31" s="264" t="s">
        <v>38</v>
      </c>
      <c r="AH31" s="264" t="s">
        <v>38</v>
      </c>
      <c r="AI31" s="257" t="s">
        <v>38</v>
      </c>
    </row>
    <row r="32" spans="1:35" ht="12.75" customHeight="1">
      <c r="A32" s="65" t="s">
        <v>36</v>
      </c>
      <c r="B32" s="68">
        <v>0.42799999999999999</v>
      </c>
      <c r="C32" s="68">
        <v>0.501</v>
      </c>
      <c r="D32" s="67">
        <v>0.41899999999999998</v>
      </c>
      <c r="E32" s="79">
        <v>0.42</v>
      </c>
      <c r="F32" s="67">
        <v>0.34899999999999998</v>
      </c>
      <c r="G32" s="67">
        <v>0.37</v>
      </c>
      <c r="H32" s="67">
        <v>0.375</v>
      </c>
      <c r="I32" s="67">
        <v>0.38100000000000001</v>
      </c>
      <c r="J32" s="67">
        <v>0.41899999999999998</v>
      </c>
      <c r="K32" s="67">
        <v>0.42699999999999999</v>
      </c>
      <c r="L32" s="67">
        <v>0.46899999999999997</v>
      </c>
      <c r="M32" s="67">
        <v>0.50700000000000001</v>
      </c>
      <c r="N32" s="67">
        <v>0.496</v>
      </c>
      <c r="O32" s="67">
        <v>0.50800000000000001</v>
      </c>
      <c r="P32" s="67">
        <v>0.498</v>
      </c>
      <c r="Q32" s="67">
        <v>0.47599999999999998</v>
      </c>
      <c r="R32" s="67">
        <v>0.45800000000000002</v>
      </c>
      <c r="S32" s="67">
        <v>0.51800000000000002</v>
      </c>
      <c r="T32" s="67">
        <v>0.50800000000000001</v>
      </c>
      <c r="U32" s="67">
        <v>0.53500000000000003</v>
      </c>
      <c r="V32" s="67">
        <v>0.57199999999999995</v>
      </c>
      <c r="W32" s="67">
        <v>0.58799999999999997</v>
      </c>
      <c r="X32" s="67">
        <v>0.62</v>
      </c>
      <c r="Y32" s="67">
        <v>0.63100000000000001</v>
      </c>
      <c r="Z32" s="67">
        <v>0.66038399999999997</v>
      </c>
      <c r="AA32" s="67">
        <v>0.72891899999999998</v>
      </c>
      <c r="AB32" s="67">
        <v>0.752</v>
      </c>
      <c r="AC32" s="67">
        <v>0.80900000000000005</v>
      </c>
      <c r="AD32" s="67">
        <v>0.88300000000000001</v>
      </c>
      <c r="AE32" s="67">
        <v>0.95799999999999996</v>
      </c>
      <c r="AF32" s="67">
        <v>0.996</v>
      </c>
      <c r="AG32" s="67">
        <v>1.0009999999999999</v>
      </c>
      <c r="AH32" s="67">
        <v>0.53</v>
      </c>
      <c r="AI32" s="110">
        <v>0.56200000000000006</v>
      </c>
    </row>
    <row r="33" spans="1:35" ht="12.75" customHeight="1">
      <c r="A33" s="166" t="s">
        <v>7</v>
      </c>
      <c r="B33" s="265"/>
      <c r="C33" s="265"/>
      <c r="D33" s="235"/>
      <c r="E33" s="235"/>
      <c r="F33" s="235"/>
      <c r="G33" s="235"/>
      <c r="H33" s="235"/>
      <c r="I33" s="235">
        <v>1.5002</v>
      </c>
      <c r="J33" s="235">
        <v>1.5463</v>
      </c>
      <c r="K33" s="235">
        <v>1.5072000000000001</v>
      </c>
      <c r="L33" s="235">
        <v>1.3951</v>
      </c>
      <c r="M33" s="235">
        <v>1.403</v>
      </c>
      <c r="N33" s="235">
        <v>1.403</v>
      </c>
      <c r="O33" s="235">
        <v>1.4358</v>
      </c>
      <c r="P33" s="235">
        <v>1.4478</v>
      </c>
      <c r="Q33" s="235">
        <v>1.4394</v>
      </c>
      <c r="R33" s="75">
        <v>1.4695</v>
      </c>
      <c r="S33" s="235">
        <v>0.78149999999999997</v>
      </c>
      <c r="T33" s="235">
        <v>0.78639999999999999</v>
      </c>
      <c r="U33" s="235">
        <v>0.8226</v>
      </c>
      <c r="V33" s="235">
        <v>0.90310000000000001</v>
      </c>
      <c r="W33" s="235">
        <v>0.93459999999999999</v>
      </c>
      <c r="X33" s="235">
        <v>0.97819999999999996</v>
      </c>
      <c r="Y33" s="235">
        <v>1.0706</v>
      </c>
      <c r="Z33" s="235">
        <v>1.1303000000000001</v>
      </c>
      <c r="AA33" s="235">
        <v>1.1200000000000001</v>
      </c>
      <c r="AB33" s="235">
        <v>1.1303000000000001</v>
      </c>
      <c r="AC33" s="235">
        <v>1.1533</v>
      </c>
      <c r="AD33" s="235">
        <v>1.1751</v>
      </c>
      <c r="AE33" s="235">
        <v>1.177</v>
      </c>
      <c r="AF33" s="235">
        <v>1.175</v>
      </c>
      <c r="AG33" s="235">
        <v>1.1859999999999999</v>
      </c>
      <c r="AH33" s="235">
        <v>0.79</v>
      </c>
      <c r="AI33" s="150">
        <v>0.81399999999999995</v>
      </c>
    </row>
    <row r="34" spans="1:35" ht="12.75" customHeight="1">
      <c r="A34" s="291" t="s">
        <v>100</v>
      </c>
      <c r="B34" s="263"/>
      <c r="C34" s="263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1">
        <v>0.127188</v>
      </c>
      <c r="AE34" s="71">
        <v>0.125583</v>
      </c>
      <c r="AF34" s="71">
        <v>0.125385</v>
      </c>
      <c r="AG34" s="71">
        <v>0.11826</v>
      </c>
      <c r="AH34" s="70">
        <v>0.11826</v>
      </c>
      <c r="AI34" s="257">
        <v>0.13322071130692884</v>
      </c>
    </row>
    <row r="35" spans="1:35" ht="12.75" customHeight="1">
      <c r="A35" s="65" t="s">
        <v>75</v>
      </c>
      <c r="B35" s="68" t="s">
        <v>38</v>
      </c>
      <c r="C35" s="68" t="s">
        <v>38</v>
      </c>
      <c r="D35" s="67" t="s">
        <v>38</v>
      </c>
      <c r="E35" s="67" t="s">
        <v>38</v>
      </c>
      <c r="F35" s="67" t="s">
        <v>38</v>
      </c>
      <c r="G35" s="67" t="s">
        <v>38</v>
      </c>
      <c r="H35" s="67" t="s">
        <v>38</v>
      </c>
      <c r="I35" s="67" t="s">
        <v>38</v>
      </c>
      <c r="J35" s="67" t="s">
        <v>38</v>
      </c>
      <c r="K35" s="67" t="s">
        <v>38</v>
      </c>
      <c r="L35" s="67" t="s">
        <v>38</v>
      </c>
      <c r="M35" s="67" t="s">
        <v>38</v>
      </c>
      <c r="N35" s="67" t="s">
        <v>38</v>
      </c>
      <c r="O35" s="67" t="s">
        <v>38</v>
      </c>
      <c r="P35" s="67" t="s">
        <v>38</v>
      </c>
      <c r="Q35" s="67" t="s">
        <v>38</v>
      </c>
      <c r="R35" s="67" t="s">
        <v>38</v>
      </c>
      <c r="S35" s="67" t="s">
        <v>38</v>
      </c>
      <c r="T35" s="67" t="s">
        <v>38</v>
      </c>
      <c r="U35" s="67" t="s">
        <v>38</v>
      </c>
      <c r="V35" s="67" t="s">
        <v>38</v>
      </c>
      <c r="W35" s="67" t="s">
        <v>38</v>
      </c>
      <c r="X35" s="67" t="s">
        <v>38</v>
      </c>
      <c r="Y35" s="67" t="s">
        <v>38</v>
      </c>
      <c r="Z35" s="67" t="s">
        <v>38</v>
      </c>
      <c r="AA35" s="67" t="s">
        <v>38</v>
      </c>
      <c r="AB35" s="67" t="s">
        <v>38</v>
      </c>
      <c r="AC35" s="67" t="s">
        <v>38</v>
      </c>
      <c r="AD35" s="67" t="s">
        <v>38</v>
      </c>
      <c r="AE35" s="67" t="s">
        <v>38</v>
      </c>
      <c r="AF35" s="67" t="s">
        <v>38</v>
      </c>
      <c r="AG35" s="67" t="s">
        <v>38</v>
      </c>
      <c r="AH35" s="67" t="s">
        <v>38</v>
      </c>
      <c r="AI35" s="110" t="s">
        <v>38</v>
      </c>
    </row>
    <row r="36" spans="1:35" ht="12.75" customHeight="1">
      <c r="A36" s="69" t="s">
        <v>101</v>
      </c>
      <c r="B36" s="72" t="s">
        <v>38</v>
      </c>
      <c r="C36" s="72" t="s">
        <v>38</v>
      </c>
      <c r="D36" s="70" t="s">
        <v>38</v>
      </c>
      <c r="E36" s="70" t="s">
        <v>38</v>
      </c>
      <c r="F36" s="70" t="s">
        <v>38</v>
      </c>
      <c r="G36" s="70" t="s">
        <v>38</v>
      </c>
      <c r="H36" s="70" t="s">
        <v>38</v>
      </c>
      <c r="I36" s="70" t="s">
        <v>38</v>
      </c>
      <c r="J36" s="70" t="s">
        <v>38</v>
      </c>
      <c r="K36" s="70" t="s">
        <v>38</v>
      </c>
      <c r="L36" s="70" t="s">
        <v>38</v>
      </c>
      <c r="M36" s="70" t="s">
        <v>38</v>
      </c>
      <c r="N36" s="70" t="s">
        <v>38</v>
      </c>
      <c r="O36" s="70" t="s">
        <v>38</v>
      </c>
      <c r="P36" s="70" t="s">
        <v>38</v>
      </c>
      <c r="Q36" s="70" t="s">
        <v>38</v>
      </c>
      <c r="R36" s="70" t="s">
        <v>38</v>
      </c>
      <c r="S36" s="70" t="s">
        <v>38</v>
      </c>
      <c r="T36" s="70" t="s">
        <v>38</v>
      </c>
      <c r="U36" s="70" t="s">
        <v>38</v>
      </c>
      <c r="V36" s="70" t="s">
        <v>38</v>
      </c>
      <c r="W36" s="70" t="s">
        <v>38</v>
      </c>
      <c r="X36" s="70" t="s">
        <v>38</v>
      </c>
      <c r="Y36" s="70" t="s">
        <v>38</v>
      </c>
      <c r="Z36" s="70" t="s">
        <v>38</v>
      </c>
      <c r="AA36" s="70" t="s">
        <v>38</v>
      </c>
      <c r="AB36" s="70" t="s">
        <v>38</v>
      </c>
      <c r="AC36" s="70" t="s">
        <v>38</v>
      </c>
      <c r="AD36" s="70" t="s">
        <v>38</v>
      </c>
      <c r="AE36" s="70" t="s">
        <v>38</v>
      </c>
      <c r="AF36" s="70" t="s">
        <v>38</v>
      </c>
      <c r="AG36" s="70" t="s">
        <v>38</v>
      </c>
      <c r="AH36" s="70" t="s">
        <v>38</v>
      </c>
      <c r="AI36" s="150" t="s">
        <v>38</v>
      </c>
    </row>
    <row r="37" spans="1:35" ht="12.75" customHeight="1">
      <c r="A37" s="65" t="s">
        <v>3</v>
      </c>
      <c r="B37" s="68" t="s">
        <v>38</v>
      </c>
      <c r="C37" s="68" t="s">
        <v>38</v>
      </c>
      <c r="D37" s="67" t="s">
        <v>38</v>
      </c>
      <c r="E37" s="67" t="s">
        <v>38</v>
      </c>
      <c r="F37" s="67" t="s">
        <v>38</v>
      </c>
      <c r="G37" s="73" t="s">
        <v>38</v>
      </c>
      <c r="H37" s="73" t="s">
        <v>38</v>
      </c>
      <c r="I37" s="73" t="s">
        <v>38</v>
      </c>
      <c r="J37" s="73" t="s">
        <v>38</v>
      </c>
      <c r="K37" s="73" t="s">
        <v>38</v>
      </c>
      <c r="L37" s="73" t="s">
        <v>38</v>
      </c>
      <c r="M37" s="73" t="s">
        <v>38</v>
      </c>
      <c r="N37" s="73" t="s">
        <v>38</v>
      </c>
      <c r="O37" s="73" t="s">
        <v>38</v>
      </c>
      <c r="P37" s="73" t="s">
        <v>38</v>
      </c>
      <c r="Q37" s="73" t="s">
        <v>38</v>
      </c>
      <c r="R37" s="73" t="s">
        <v>38</v>
      </c>
      <c r="S37" s="73" t="s">
        <v>38</v>
      </c>
      <c r="T37" s="73" t="s">
        <v>38</v>
      </c>
      <c r="U37" s="73" t="s">
        <v>38</v>
      </c>
      <c r="V37" s="73" t="s">
        <v>38</v>
      </c>
      <c r="W37" s="73" t="s">
        <v>38</v>
      </c>
      <c r="X37" s="73" t="s">
        <v>38</v>
      </c>
      <c r="Y37" s="73" t="s">
        <v>38</v>
      </c>
      <c r="Z37" s="73" t="s">
        <v>38</v>
      </c>
      <c r="AA37" s="73" t="s">
        <v>38</v>
      </c>
      <c r="AB37" s="73" t="s">
        <v>38</v>
      </c>
      <c r="AC37" s="73" t="s">
        <v>38</v>
      </c>
      <c r="AD37" s="73" t="s">
        <v>38</v>
      </c>
      <c r="AE37" s="73" t="s">
        <v>38</v>
      </c>
      <c r="AF37" s="73" t="s">
        <v>38</v>
      </c>
      <c r="AG37" s="73" t="s">
        <v>38</v>
      </c>
      <c r="AH37" s="73" t="s">
        <v>38</v>
      </c>
      <c r="AI37" s="73" t="s">
        <v>38</v>
      </c>
    </row>
    <row r="38" spans="1:35" ht="12.75" customHeight="1">
      <c r="A38" s="69" t="s">
        <v>79</v>
      </c>
      <c r="B38" s="72" t="s">
        <v>38</v>
      </c>
      <c r="C38" s="72" t="s">
        <v>38</v>
      </c>
      <c r="D38" s="70" t="s">
        <v>38</v>
      </c>
      <c r="E38" s="70" t="s">
        <v>38</v>
      </c>
      <c r="F38" s="70" t="s">
        <v>38</v>
      </c>
      <c r="G38" s="70" t="s">
        <v>38</v>
      </c>
      <c r="H38" s="70" t="s">
        <v>38</v>
      </c>
      <c r="I38" s="70" t="s">
        <v>38</v>
      </c>
      <c r="J38" s="70" t="s">
        <v>38</v>
      </c>
      <c r="K38" s="70" t="s">
        <v>38</v>
      </c>
      <c r="L38" s="70" t="s">
        <v>38</v>
      </c>
      <c r="M38" s="70" t="s">
        <v>38</v>
      </c>
      <c r="N38" s="70" t="s">
        <v>38</v>
      </c>
      <c r="O38" s="70" t="s">
        <v>38</v>
      </c>
      <c r="P38" s="70" t="s">
        <v>38</v>
      </c>
      <c r="Q38" s="70" t="s">
        <v>38</v>
      </c>
      <c r="R38" s="70" t="s">
        <v>38</v>
      </c>
      <c r="S38" s="70" t="s">
        <v>38</v>
      </c>
      <c r="T38" s="70" t="s">
        <v>38</v>
      </c>
      <c r="U38" s="70" t="s">
        <v>38</v>
      </c>
      <c r="V38" s="70" t="s">
        <v>38</v>
      </c>
      <c r="W38" s="70" t="s">
        <v>38</v>
      </c>
      <c r="X38" s="70" t="s">
        <v>38</v>
      </c>
      <c r="Y38" s="70" t="s">
        <v>38</v>
      </c>
      <c r="Z38" s="70" t="s">
        <v>38</v>
      </c>
      <c r="AA38" s="70" t="s">
        <v>38</v>
      </c>
      <c r="AB38" s="70" t="s">
        <v>38</v>
      </c>
      <c r="AC38" s="70" t="s">
        <v>38</v>
      </c>
      <c r="AD38" s="70" t="s">
        <v>38</v>
      </c>
      <c r="AE38" s="70" t="s">
        <v>38</v>
      </c>
      <c r="AF38" s="70" t="s">
        <v>38</v>
      </c>
      <c r="AG38" s="70" t="s">
        <v>38</v>
      </c>
      <c r="AH38" s="70" t="s">
        <v>38</v>
      </c>
      <c r="AI38" s="150" t="s">
        <v>38</v>
      </c>
    </row>
    <row r="39" spans="1:35" ht="12.75" customHeight="1">
      <c r="A39" s="65" t="s">
        <v>76</v>
      </c>
      <c r="B39" s="68"/>
      <c r="C39" s="68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73"/>
      <c r="W39" s="73"/>
      <c r="X39" s="73">
        <v>0.43019567558770144</v>
      </c>
      <c r="Y39" s="73">
        <v>0.43539520546182431</v>
      </c>
      <c r="Z39" s="73">
        <v>0.45043191350042133</v>
      </c>
      <c r="AA39" s="73">
        <v>0.46382932349263195</v>
      </c>
      <c r="AB39" s="73">
        <v>0.46490978492133023</v>
      </c>
      <c r="AC39" s="73">
        <v>0.42586941274663298</v>
      </c>
      <c r="AD39" s="73">
        <v>0.48753510761497898</v>
      </c>
      <c r="AE39" s="73">
        <v>0.63100000000000001</v>
      </c>
      <c r="AF39" s="73">
        <v>0.64700000000000002</v>
      </c>
      <c r="AG39" s="73">
        <v>0.64300000000000002</v>
      </c>
      <c r="AH39" s="73">
        <v>0.55400000000000005</v>
      </c>
      <c r="AI39" s="146">
        <v>0.64376020738820483</v>
      </c>
    </row>
    <row r="40" spans="1:35" ht="12.75" customHeight="1">
      <c r="A40" s="69" t="s">
        <v>20</v>
      </c>
      <c r="B40" s="72"/>
      <c r="C40" s="72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150"/>
    </row>
    <row r="41" spans="1:35" ht="12.75" customHeight="1">
      <c r="A41" s="65" t="s">
        <v>102</v>
      </c>
      <c r="B41" s="68"/>
      <c r="C41" s="68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>
        <v>9.7610460000000003</v>
      </c>
      <c r="Y41" s="67">
        <v>10.357121999999999</v>
      </c>
      <c r="Z41" s="67">
        <v>10.369558000000001</v>
      </c>
      <c r="AA41" s="67">
        <v>10.059136000000001</v>
      </c>
      <c r="AB41" s="67">
        <v>9.8542880000000004</v>
      </c>
      <c r="AC41" s="67">
        <v>9.604906999999999</v>
      </c>
      <c r="AD41" s="67">
        <v>9.3453790000000012</v>
      </c>
      <c r="AE41" s="67">
        <v>9.4308119999999995</v>
      </c>
      <c r="AF41" s="67">
        <v>9.4788560000000004</v>
      </c>
      <c r="AG41" s="67">
        <v>9.2069989999999997</v>
      </c>
      <c r="AH41" s="73">
        <v>9.2069989999999997</v>
      </c>
      <c r="AI41" s="110">
        <v>9.24347288273872</v>
      </c>
    </row>
    <row r="42" spans="1:35" ht="12.75" customHeight="1">
      <c r="A42" s="184" t="s">
        <v>24</v>
      </c>
      <c r="B42" s="365">
        <v>5.2</v>
      </c>
      <c r="C42" s="365">
        <v>4.3</v>
      </c>
      <c r="D42" s="250">
        <v>6.5</v>
      </c>
      <c r="E42" s="250">
        <v>6.24</v>
      </c>
      <c r="F42" s="250">
        <v>6.15</v>
      </c>
      <c r="G42" s="250">
        <v>6.24</v>
      </c>
      <c r="H42" s="250">
        <v>6.5069999999999997</v>
      </c>
      <c r="I42" s="250">
        <v>6.8109999999999999</v>
      </c>
      <c r="J42" s="250">
        <v>6.6479999999999997</v>
      </c>
      <c r="K42" s="250">
        <v>6.9980000000000002</v>
      </c>
      <c r="L42" s="250">
        <f>6.716+0.632</f>
        <v>7.3479999999999999</v>
      </c>
      <c r="M42" s="250">
        <f>7.171+0.714</f>
        <v>7.8849999999999998</v>
      </c>
      <c r="N42" s="250">
        <f>7.47+0.869</f>
        <v>8.3390000000000004</v>
      </c>
      <c r="O42" s="250">
        <f>7.451+0.895</f>
        <v>8.3460000000000001</v>
      </c>
      <c r="P42" s="250">
        <f>7.367+0.961</f>
        <v>8.3279999999999994</v>
      </c>
      <c r="Q42" s="250">
        <f>7.34+0.96</f>
        <v>8.3000000000000007</v>
      </c>
      <c r="R42" s="250">
        <f>7.606+1.079</f>
        <v>8.6850000000000005</v>
      </c>
      <c r="S42" s="250">
        <f>7.586+1.1</f>
        <v>8.6859999999999999</v>
      </c>
      <c r="T42" s="250">
        <f>7.947+1.177</f>
        <v>9.1240000000000006</v>
      </c>
      <c r="U42" s="250">
        <f>8.352+1.1244</f>
        <v>9.4763999999999999</v>
      </c>
      <c r="V42" s="250">
        <f>8.646+1.251</f>
        <v>9.8970000000000002</v>
      </c>
      <c r="W42" s="250">
        <f>8.457+1.271</f>
        <v>9.7280000000000015</v>
      </c>
      <c r="X42" s="250">
        <f>8.875+1.31</f>
        <v>10.185</v>
      </c>
      <c r="Y42" s="250">
        <f>9.519+0.8249*1.60934+0.0412</f>
        <v>10.887744566</v>
      </c>
      <c r="Z42" s="250">
        <f>10.099+0.0402+0.8822*1.609</f>
        <v>11.558659800000001</v>
      </c>
      <c r="AA42" s="366">
        <f>10.422+0.0406+1.4845</f>
        <v>11.947100000000001</v>
      </c>
      <c r="AB42" s="366">
        <v>12.502099999999999</v>
      </c>
      <c r="AC42" s="366">
        <v>13.258800000000001</v>
      </c>
      <c r="AD42" s="366">
        <v>13.7242</v>
      </c>
      <c r="AE42" s="366">
        <v>14.4969</v>
      </c>
      <c r="AF42" s="366">
        <v>14.118799999999998</v>
      </c>
      <c r="AG42" s="366">
        <v>13.6631</v>
      </c>
      <c r="AH42" s="366">
        <v>3.2084999999999999</v>
      </c>
      <c r="AI42" s="366">
        <v>7.8865569052927693</v>
      </c>
    </row>
    <row r="43" spans="1:35" ht="12.75" customHeight="1">
      <c r="O43" s="386"/>
      <c r="U43" s="109"/>
      <c r="V43" s="109"/>
      <c r="W43" s="109"/>
      <c r="X43" s="109"/>
      <c r="Y43" s="10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12</vt:i4>
      </vt:variant>
      <vt:variant>
        <vt:lpstr>Наименувани диапазони</vt:lpstr>
      </vt:variant>
      <vt:variant>
        <vt:i4>8</vt:i4>
      </vt:variant>
    </vt:vector>
  </HeadingPairs>
  <TitlesOfParts>
    <vt:vector size="20" baseType="lpstr">
      <vt:lpstr>T2.3</vt:lpstr>
      <vt:lpstr>perf_mode_pkm</vt:lpstr>
      <vt:lpstr>perf_mode_split</vt:lpstr>
      <vt:lpstr>passeng_graph</vt:lpstr>
      <vt:lpstr>split_mode_proz</vt:lpstr>
      <vt:lpstr>split_mode_pkm</vt:lpstr>
      <vt:lpstr>cars</vt:lpstr>
      <vt:lpstr>bus_coach</vt:lpstr>
      <vt:lpstr>tram_and_metro</vt:lpstr>
      <vt:lpstr>rail_pkm</vt:lpstr>
      <vt:lpstr>hs_rail</vt:lpstr>
      <vt:lpstr>USA</vt:lpstr>
      <vt:lpstr>T2.3!A</vt:lpstr>
      <vt:lpstr>bus_coach!Област_печат</vt:lpstr>
      <vt:lpstr>cars!Област_печат</vt:lpstr>
      <vt:lpstr>passeng_graph!Област_печат</vt:lpstr>
      <vt:lpstr>perf_mode_pkm!Област_печат</vt:lpstr>
      <vt:lpstr>rail_pkm!Област_печат</vt:lpstr>
      <vt:lpstr>T2.3!Област_печат</vt:lpstr>
      <vt:lpstr>USA!Област_печат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georgpi</dc:creator>
  <cp:lastModifiedBy>Masha B</cp:lastModifiedBy>
  <cp:lastPrinted>2012-03-29T14:37:27Z</cp:lastPrinted>
  <dcterms:created xsi:type="dcterms:W3CDTF">2003-09-05T14:33:05Z</dcterms:created>
  <dcterms:modified xsi:type="dcterms:W3CDTF">2024-01-20T23:18:33Z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2023-05-31T18:06:08Z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d0ea9be1-d489-4fa5-a94e-28406580e431</vt:lpwstr>
  </property>
  <property fmtid="{D5CDD505-2E9C-101B-9397-08002B2CF9AE}" pid="8" name="MSIP_Label_6bd9ddd1-4d20-43f6-abfa-fc3c07406f94_ContentBits">
    <vt:lpwstr>0</vt:lpwstr>
  </property>
</Properties>
</file>