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aveExternalLinkValues="0" codeName="ThisWorkbook" defaultThemeVersion="124226"/>
  <mc:AlternateContent xmlns:mc="http://schemas.openxmlformats.org/markup-compatibility/2006">
    <mc:Choice Requires="x15">
      <x15ac:absPath xmlns:x15ac="http://schemas.microsoft.com/office/spreadsheetml/2010/11/ac" url="U:\02. Economic assessment\4. Statistics\02 Pocket book\Pocketbook 2023 work files\To publish\"/>
    </mc:Choice>
  </mc:AlternateContent>
  <xr:revisionPtr revIDLastSave="0" documentId="13_ncr:1_{53CE9255-F1D1-45E7-99B1-D3E7C8F46556}" xr6:coauthVersionLast="47" xr6:coauthVersionMax="47" xr10:uidLastSave="{00000000-0000-0000-0000-000000000000}"/>
  <bookViews>
    <workbookView xWindow="-120" yWindow="-120" windowWidth="29040" windowHeight="15840" tabRatio="957" xr2:uid="{00000000-000D-0000-FFFF-FFFF00000000}"/>
  </bookViews>
  <sheets>
    <sheet name="T2.4" sheetId="179" r:id="rId1"/>
    <sheet name="air_cntr" sheetId="157" r:id="rId2"/>
    <sheet name="airlines" sheetId="177" r:id="rId3"/>
    <sheet name="airpt_pass_maj" sheetId="185" r:id="rId4"/>
    <sheet name="airpt_pairs_intra" sheetId="187" r:id="rId5"/>
    <sheet name="airpt_pairs_extra" sheetId="188" r:id="rId6"/>
    <sheet name="airpt_cargo_maj" sheetId="166" r:id="rId7"/>
    <sheet name="airpt_mvmnt_maj" sheetId="167" r:id="rId8"/>
    <sheet name="sea_cntry_pass" sheetId="148" r:id="rId9"/>
    <sheet name="sea_ports_pass " sheetId="93" r:id="rId10"/>
    <sheet name="sea_ports_freight" sheetId="94" r:id="rId11"/>
    <sheet name="sea_intra_rel" sheetId="168" r:id="rId12"/>
    <sheet name="sea_intra_routes" sheetId="183" r:id="rId13"/>
    <sheet name="sea_container" sheetId="95" r:id="rId14"/>
    <sheet name="combined" sheetId="170" r:id="rId15"/>
    <sheet name="alps" sheetId="98" r:id="rId16"/>
    <sheet name="pyrenee" sheetId="99" r:id="rId17"/>
    <sheet name="rail_traffic" sheetId="186" r:id="rId18"/>
    <sheet name="rail_share_pas" sheetId="181" r:id="rId19"/>
    <sheet name="rail_share_fr" sheetId="180" r:id="rId20"/>
    <sheet name="rail_alp_pyr" sheetId="161" r:id="rId21"/>
  </sheets>
  <definedNames>
    <definedName name="_xlnm._FilterDatabase" localSheetId="2" hidden="1">airlines!$A$1:$Z$479</definedName>
    <definedName name="_xlnm._FilterDatabase" localSheetId="13" hidden="1">sea_container!#REF!</definedName>
    <definedName name="_xlnm._FilterDatabase" localSheetId="10" hidden="1">sea_ports_freight!$F$7:$F$57</definedName>
    <definedName name="_xlnm._FilterDatabase" localSheetId="9" hidden="1">'sea_ports_pass '!$F$7:$F$55</definedName>
    <definedName name="A" localSheetId="0">'T2.4'!$A$65501</definedName>
    <definedName name="HTML1_1" hidden="1">"'[internet 98q4.xls]xcontact'!$A$1:$F$114"</definedName>
    <definedName name="HTML1_10" hidden="1">""</definedName>
    <definedName name="HTML1_11" hidden="1">1</definedName>
    <definedName name="HTML1_12" hidden="1">"D:\data\xl\MyHTML.htm"</definedName>
    <definedName name="HTML1_13" hidden="1">#N/A</definedName>
    <definedName name="HTML1_14" hidden="1">#N/A</definedName>
    <definedName name="HTML1_15" hidden="1">#N/A</definedName>
    <definedName name="HTML1_2" hidden="1">1</definedName>
    <definedName name="HTML1_3" hidden="1">"internet 98q4.xls"</definedName>
    <definedName name="HTML1_4" hidden="1">"xcontact"</definedName>
    <definedName name="HTML1_5" hidden="1">""</definedName>
    <definedName name="HTML1_6" hidden="1">-4146</definedName>
    <definedName name="HTML1_7" hidden="1">-4146</definedName>
    <definedName name="HTML1_8" hidden="1">"15/10/1998"</definedName>
    <definedName name="HTML1_9" hidden="1">"GEORGIADES"</definedName>
    <definedName name="HTML2_1" hidden="1">"'[internet 98q4.xls]xcontact'!$A$2:$F$114"</definedName>
    <definedName name="HTML2_10" hidden="1">""</definedName>
    <definedName name="HTML2_11" hidden="1">1</definedName>
    <definedName name="HTML2_12" hidden="1">"D:\data\xl\MyHTML.htm"</definedName>
    <definedName name="HTML2_13" hidden="1">#N/A</definedName>
    <definedName name="HTML2_14" hidden="1">#N/A</definedName>
    <definedName name="HTML2_15" hidden="1">#N/A</definedName>
    <definedName name="HTML2_2" hidden="1">1</definedName>
    <definedName name="HTML2_3" hidden="1">"internet 98q4.xls"</definedName>
    <definedName name="HTML2_4" hidden="1">"xcontact"</definedName>
    <definedName name="HTML2_5" hidden="1">""</definedName>
    <definedName name="HTML2_6" hidden="1">-4146</definedName>
    <definedName name="HTML2_7" hidden="1">-4146</definedName>
    <definedName name="HTML2_8" hidden="1">"15/10/1998"</definedName>
    <definedName name="HTML2_9" hidden="1">"GEORGIADES"</definedName>
    <definedName name="HTML3_1" hidden="1">"'[internet 98q4.xls]xlist3'!$A$3:$E$175"</definedName>
    <definedName name="HTML3_10" hidden="1">""</definedName>
    <definedName name="HTML3_11" hidden="1">-4146</definedName>
    <definedName name="HTML3_12" hidden="1">"D:\data\aaa html\national2.htm"</definedName>
    <definedName name="HTML3_13" hidden="1">#N/A</definedName>
    <definedName name="HTML3_14" hidden="1">#N/A</definedName>
    <definedName name="HTML3_15" hidden="1">#N/A</definedName>
    <definedName name="HTML3_2" hidden="1">1</definedName>
    <definedName name="HTML3_3" hidden="1">"internet 98q4.xls"</definedName>
    <definedName name="HTML3_4" hidden="1">"xlist3"</definedName>
    <definedName name="HTML3_5" hidden="1">""</definedName>
    <definedName name="HTML3_6" hidden="1">-4146</definedName>
    <definedName name="HTML3_7" hidden="1">-4146</definedName>
    <definedName name="HTML3_8" hidden="1">"15/10/1998"</definedName>
    <definedName name="HTML3_9" hidden="1">"GEORGIADES"</definedName>
    <definedName name="HTML4_1" hidden="1">"'[internet 98q4.xls]x1.2'!$B$5:$C$25"</definedName>
    <definedName name="HTML4_10" hidden="1">""</definedName>
    <definedName name="HTML4_11" hidden="1">1</definedName>
    <definedName name="HTML4_12" hidden="1">"D:\data\aaa html\test1.htm"</definedName>
    <definedName name="HTML4_13" hidden="1">#N/A</definedName>
    <definedName name="HTML4_14" hidden="1">#N/A</definedName>
    <definedName name="HTML4_15" hidden="1">#N/A</definedName>
    <definedName name="HTML4_2" hidden="1">1</definedName>
    <definedName name="HTML4_3" hidden="1">""</definedName>
    <definedName name="HTML4_4" hidden="1">""</definedName>
    <definedName name="HTML4_5" hidden="1">""</definedName>
    <definedName name="HTML4_6" hidden="1">-4146</definedName>
    <definedName name="HTML4_7" hidden="1">-4146</definedName>
    <definedName name="HTML4_8" hidden="1">""</definedName>
    <definedName name="HTML4_9" hidden="1">""</definedName>
    <definedName name="HTMLCount" hidden="1">4</definedName>
    <definedName name="_xlnm.Print_Area" localSheetId="1">air_cntr!#REF!</definedName>
    <definedName name="_xlnm.Print_Area" localSheetId="2">airlines!$B$1:$T$42</definedName>
    <definedName name="_xlnm.Print_Area" localSheetId="6">airpt_cargo_maj!$A$1:$V$64</definedName>
    <definedName name="_xlnm.Print_Area" localSheetId="7">airpt_mvmnt_maj!$A$1:$T$85</definedName>
    <definedName name="_xlnm.Print_Area" localSheetId="5">airpt_pairs_extra!#REF!</definedName>
    <definedName name="_xlnm.Print_Area" localSheetId="4">airpt_pairs_intra!#REF!</definedName>
    <definedName name="_xlnm.Print_Area" localSheetId="3">airpt_pass_maj!$B$1:$R$61</definedName>
    <definedName name="_xlnm.Print_Area" localSheetId="15">alps!#REF!</definedName>
    <definedName name="_xlnm.Print_Area" localSheetId="14">combined!$B$1:$I$40</definedName>
    <definedName name="_xlnm.Print_Area" localSheetId="16">pyrenee!$C$1:$G$38</definedName>
    <definedName name="_xlnm.Print_Area" localSheetId="20">rail_alp_pyr!$A$1:$I$41</definedName>
    <definedName name="_xlnm.Print_Area" localSheetId="8">sea_cntry_pass!$B$1:$CO$40</definedName>
    <definedName name="_xlnm.Print_Area" localSheetId="11">sea_intra_rel!$B$1:$L$35</definedName>
    <definedName name="_xlnm.Print_Area" localSheetId="12">sea_intra_routes!#REF!</definedName>
    <definedName name="_xlnm.Print_Area" localSheetId="10">sea_ports_freight!$C$1:$V$68</definedName>
    <definedName name="_xlnm.Print_Area" localSheetId="9">'sea_ports_pass '!$B$1:$W$70</definedName>
    <definedName name="_xlnm.Print_Area" localSheetId="0">'T2.4'!$B$1:$E$36</definedName>
    <definedName name="_xlnm.Print_Titles" localSheetId="1">air_cntr!$1:$5</definedName>
    <definedName name="_xlnm.Print_Titles" localSheetId="6">airpt_cargo_maj!$1:$7</definedName>
    <definedName name="_xlnm.Print_Titles" localSheetId="7">airpt_mvmnt_maj!$1:$7</definedName>
    <definedName name="_xlnm.Print_Titles" localSheetId="5">airpt_pairs_extra!$1:$6</definedName>
    <definedName name="_xlnm.Print_Titles" localSheetId="3">airpt_pass_maj!$1:$8</definedName>
    <definedName name="_xlnm.Print_Titles" localSheetId="10">sea_ports_freight!$1:$7</definedName>
    <definedName name="_xlnm.Print_Titles" localSheetId="9">'sea_ports_pass '!$1:$7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0" i="180" l="1"/>
  <c r="AB45" i="93" l="1"/>
  <c r="S46" i="186"/>
  <c r="U10" i="186"/>
  <c r="U11" i="186"/>
  <c r="U12" i="186"/>
  <c r="U13" i="186"/>
  <c r="U14" i="186"/>
  <c r="U15" i="186"/>
  <c r="U16" i="186"/>
  <c r="U17" i="186"/>
  <c r="U18" i="186"/>
  <c r="U19" i="186"/>
  <c r="U20" i="186"/>
  <c r="U22" i="186"/>
  <c r="U23" i="186"/>
  <c r="U28" i="186"/>
  <c r="U30" i="186"/>
  <c r="U31" i="186"/>
  <c r="U32" i="186"/>
  <c r="U33" i="186"/>
  <c r="U34" i="186"/>
  <c r="U35" i="186"/>
  <c r="U37" i="186"/>
  <c r="U38" i="186"/>
  <c r="U39" i="186"/>
  <c r="U42" i="186"/>
  <c r="U43" i="186"/>
  <c r="U45" i="186"/>
  <c r="U47" i="186"/>
  <c r="T8" i="186" l="1"/>
  <c r="V44" i="186"/>
  <c r="S29" i="186"/>
  <c r="U29" i="186" s="1"/>
  <c r="R29" i="186"/>
  <c r="S27" i="186"/>
  <c r="U27" i="186" s="1"/>
  <c r="R27" i="186"/>
  <c r="S25" i="186"/>
  <c r="U25" i="186" s="1"/>
  <c r="R25" i="186"/>
  <c r="E25" i="186"/>
  <c r="E8" i="186" s="1"/>
  <c r="S24" i="186"/>
  <c r="U24" i="186" s="1"/>
  <c r="R16" i="186"/>
  <c r="S9" i="186"/>
  <c r="U9" i="186" s="1"/>
  <c r="Q8" i="186"/>
  <c r="P8" i="186"/>
  <c r="O8" i="186"/>
  <c r="N8" i="186"/>
  <c r="M8" i="186"/>
  <c r="L8" i="186"/>
  <c r="K8" i="186"/>
  <c r="J8" i="186"/>
  <c r="I8" i="186"/>
  <c r="H8" i="186"/>
  <c r="G8" i="186"/>
  <c r="F8" i="186"/>
  <c r="D8" i="186"/>
  <c r="R8" i="186" l="1"/>
  <c r="S8" i="186"/>
  <c r="U8" i="186" l="1"/>
  <c r="T44" i="186" l="1"/>
  <c r="U44" i="186" s="1"/>
  <c r="T41" i="186"/>
  <c r="U41" i="186" s="1"/>
  <c r="T40" i="186"/>
  <c r="U40" i="186" s="1"/>
  <c r="T46" i="186"/>
  <c r="U46" i="186" s="1"/>
  <c r="G72" i="98" l="1"/>
  <c r="F72" i="98"/>
  <c r="E72" i="98"/>
  <c r="D72" i="98"/>
  <c r="D42" i="98"/>
  <c r="E42" i="98"/>
  <c r="F42" i="98"/>
  <c r="C42" i="98"/>
  <c r="D41" i="98"/>
  <c r="E41" i="98"/>
  <c r="F41" i="98"/>
  <c r="C41" i="98"/>
  <c r="D42" i="161"/>
  <c r="E42" i="161"/>
  <c r="F42" i="161"/>
  <c r="G42" i="161"/>
  <c r="C42" i="161"/>
  <c r="D41" i="161"/>
  <c r="E41" i="161"/>
  <c r="F41" i="161"/>
  <c r="G41" i="161"/>
  <c r="C41" i="161"/>
  <c r="G37" i="161"/>
  <c r="F37" i="161"/>
  <c r="E37" i="161"/>
  <c r="D37" i="161"/>
  <c r="C37" i="161"/>
  <c r="G38" i="98"/>
  <c r="F38" i="98"/>
  <c r="E38" i="98"/>
  <c r="D38" i="98"/>
  <c r="C38" i="98"/>
  <c r="AB11" i="185"/>
  <c r="AB12" i="185"/>
  <c r="AB13" i="185"/>
  <c r="AB14" i="185"/>
  <c r="AB15" i="185"/>
  <c r="AB16" i="185"/>
  <c r="AB17" i="185"/>
  <c r="AB18" i="185"/>
  <c r="AB19" i="185"/>
  <c r="AB20" i="185"/>
  <c r="AB21" i="185"/>
  <c r="AB22" i="185"/>
  <c r="AB23" i="185"/>
  <c r="AB24" i="185"/>
  <c r="AB25" i="185"/>
  <c r="AB26" i="185"/>
  <c r="AB27" i="185"/>
  <c r="AB28" i="185"/>
  <c r="AB29" i="185"/>
  <c r="AB30" i="185"/>
  <c r="AB31" i="185"/>
  <c r="AB32" i="185"/>
  <c r="AB33" i="185"/>
  <c r="AB34" i="185"/>
  <c r="AB35" i="185"/>
  <c r="AB36" i="185"/>
  <c r="AB37" i="185"/>
  <c r="AB38" i="185"/>
  <c r="AB39" i="185"/>
  <c r="AB40" i="185"/>
  <c r="AB41" i="185"/>
  <c r="AB42" i="185"/>
  <c r="AB43" i="185"/>
  <c r="AB44" i="185"/>
  <c r="AB45" i="185"/>
  <c r="AB46" i="185"/>
  <c r="AB47" i="185"/>
  <c r="AB48" i="185"/>
  <c r="AB49" i="185"/>
  <c r="AB50" i="185"/>
  <c r="AB51" i="185"/>
  <c r="AB52" i="185"/>
  <c r="AB53" i="185"/>
  <c r="AB54" i="185"/>
  <c r="AB55" i="185"/>
  <c r="AB56" i="185"/>
  <c r="AB57" i="185"/>
  <c r="AB58" i="185"/>
  <c r="AB59" i="185"/>
  <c r="AB10" i="185"/>
  <c r="AC9" i="94" l="1"/>
  <c r="AC10" i="94"/>
  <c r="AC11" i="94"/>
  <c r="AC12" i="94"/>
  <c r="AC13" i="94"/>
  <c r="AC14" i="94"/>
  <c r="AC15" i="94"/>
  <c r="AC16" i="94"/>
  <c r="AC17" i="94"/>
  <c r="AC18" i="94"/>
  <c r="AC19" i="94"/>
  <c r="AC20" i="94"/>
  <c r="AC21" i="94"/>
  <c r="AC22" i="94"/>
  <c r="AC23" i="94"/>
  <c r="AC24" i="94"/>
  <c r="AC25" i="94"/>
  <c r="AC26" i="94"/>
  <c r="AC27" i="94"/>
  <c r="AC28" i="94"/>
  <c r="AC29" i="94"/>
  <c r="AC30" i="94"/>
  <c r="AC31" i="94"/>
  <c r="AC32" i="94"/>
  <c r="AC33" i="94"/>
  <c r="AC34" i="94"/>
  <c r="AC35" i="94"/>
  <c r="AC36" i="94"/>
  <c r="AC37" i="94"/>
  <c r="AC38" i="94"/>
  <c r="AC39" i="94"/>
  <c r="AC40" i="94"/>
  <c r="AC41" i="94"/>
  <c r="AC42" i="94"/>
  <c r="AC43" i="94"/>
  <c r="AC44" i="94"/>
  <c r="AC45" i="94"/>
  <c r="AC46" i="94"/>
  <c r="AC47" i="94"/>
  <c r="AC48" i="94"/>
  <c r="AC49" i="94"/>
  <c r="AC50" i="94"/>
  <c r="AC51" i="94"/>
  <c r="AC52" i="94"/>
  <c r="AC53" i="94"/>
  <c r="AC54" i="94"/>
  <c r="AC55" i="94"/>
  <c r="AC56" i="94"/>
  <c r="AC57" i="94"/>
  <c r="AC8" i="94"/>
  <c r="AB9" i="93"/>
  <c r="AB10" i="93"/>
  <c r="AB11" i="93"/>
  <c r="AB12" i="93"/>
  <c r="AB13" i="93"/>
  <c r="AB14" i="93"/>
  <c r="AB15" i="93"/>
  <c r="AB16" i="93"/>
  <c r="AB17" i="93"/>
  <c r="AB18" i="93"/>
  <c r="AB19" i="93"/>
  <c r="AB20" i="93"/>
  <c r="AB21" i="93"/>
  <c r="AB22" i="93"/>
  <c r="AB23" i="93"/>
  <c r="AB24" i="93"/>
  <c r="AB25" i="93"/>
  <c r="AB26" i="93"/>
  <c r="AB27" i="93"/>
  <c r="AB28" i="93"/>
  <c r="AB29" i="93"/>
  <c r="AB30" i="93"/>
  <c r="AB31" i="93"/>
  <c r="AB32" i="93"/>
  <c r="AB33" i="93"/>
  <c r="AB34" i="93"/>
  <c r="AB35" i="93"/>
  <c r="AB36" i="93"/>
  <c r="AB37" i="93"/>
  <c r="AB38" i="93"/>
  <c r="AB39" i="93"/>
  <c r="AB40" i="93"/>
  <c r="AB41" i="93"/>
  <c r="AB42" i="93"/>
  <c r="AB43" i="93"/>
  <c r="AB44" i="93"/>
  <c r="AB46" i="93"/>
  <c r="AB47" i="93"/>
  <c r="AB48" i="93"/>
  <c r="AB49" i="93"/>
  <c r="AB50" i="93"/>
  <c r="AB51" i="93"/>
  <c r="AB52" i="93"/>
  <c r="AB53" i="93"/>
  <c r="AB54" i="93"/>
  <c r="AB55" i="93"/>
  <c r="AB56" i="93"/>
  <c r="AB57" i="93"/>
  <c r="AB8" i="93"/>
  <c r="Y9" i="167"/>
  <c r="Y10" i="167"/>
  <c r="Y11" i="167"/>
  <c r="Y12" i="167"/>
  <c r="Y13" i="167"/>
  <c r="Y14" i="167"/>
  <c r="Y15" i="167"/>
  <c r="Y16" i="167"/>
  <c r="Y17" i="167"/>
  <c r="Y18" i="167"/>
  <c r="Y19" i="167"/>
  <c r="Y20" i="167"/>
  <c r="Y21" i="167"/>
  <c r="Y22" i="167"/>
  <c r="Y23" i="167"/>
  <c r="Y24" i="167"/>
  <c r="Y25" i="167"/>
  <c r="Y26" i="167"/>
  <c r="Y27" i="167"/>
  <c r="Y28" i="167"/>
  <c r="Y29" i="167"/>
  <c r="Y30" i="167"/>
  <c r="Y31" i="167"/>
  <c r="Y32" i="167"/>
  <c r="Y33" i="167"/>
  <c r="Y34" i="167"/>
  <c r="Y35" i="167"/>
  <c r="Y36" i="167"/>
  <c r="Y37" i="167"/>
  <c r="Y38" i="167"/>
  <c r="Y39" i="167"/>
  <c r="Y40" i="167"/>
  <c r="Y41" i="167"/>
  <c r="Y42" i="167"/>
  <c r="Y43" i="167"/>
  <c r="Y44" i="167"/>
  <c r="Y45" i="167"/>
  <c r="Y46" i="167"/>
  <c r="Y47" i="167"/>
  <c r="Y48" i="167"/>
  <c r="Y49" i="167"/>
  <c r="Y50" i="167"/>
  <c r="Y51" i="167"/>
  <c r="Y52" i="167"/>
  <c r="Y53" i="167"/>
  <c r="Y54" i="167"/>
  <c r="Y55" i="167"/>
  <c r="Y56" i="167"/>
  <c r="Y57" i="167"/>
  <c r="Y8" i="167"/>
  <c r="AA10" i="166"/>
  <c r="AA11" i="166"/>
  <c r="AA12" i="166"/>
  <c r="AA13" i="166"/>
  <c r="AA14" i="166"/>
  <c r="AA15" i="166"/>
  <c r="AA16" i="166"/>
  <c r="AA17" i="166"/>
  <c r="AA18" i="166"/>
  <c r="AA19" i="166"/>
  <c r="AA20" i="166"/>
  <c r="AA21" i="166"/>
  <c r="AA22" i="166"/>
  <c r="AA23" i="166"/>
  <c r="AA24" i="166"/>
  <c r="AA25" i="166"/>
  <c r="AA26" i="166"/>
  <c r="AA27" i="166"/>
  <c r="AA28" i="166"/>
  <c r="AA29" i="166"/>
  <c r="AA30" i="166"/>
  <c r="AA31" i="166"/>
  <c r="AA32" i="166"/>
  <c r="AA33" i="166"/>
  <c r="AA34" i="166"/>
  <c r="AA35" i="166"/>
  <c r="AA36" i="166"/>
  <c r="AA37" i="166"/>
  <c r="AA38" i="166"/>
  <c r="AA39" i="166"/>
  <c r="AA40" i="166"/>
  <c r="AA41" i="166"/>
  <c r="AA42" i="166"/>
  <c r="AA43" i="166"/>
  <c r="AA44" i="166"/>
  <c r="AA45" i="166"/>
  <c r="AA46" i="166"/>
  <c r="AA47" i="166"/>
  <c r="AA48" i="166"/>
  <c r="AA49" i="166"/>
  <c r="AA50" i="166"/>
  <c r="AA51" i="166"/>
  <c r="AA52" i="166"/>
  <c r="AA53" i="166"/>
  <c r="AA54" i="166"/>
  <c r="AA55" i="166"/>
  <c r="AA56" i="166"/>
  <c r="AA57" i="166"/>
  <c r="AA58" i="166"/>
  <c r="AA9" i="166"/>
  <c r="G52" i="166"/>
  <c r="U56" i="188" l="1"/>
  <c r="U55" i="188"/>
  <c r="U54" i="188"/>
  <c r="U53" i="188"/>
  <c r="U52" i="188"/>
  <c r="U51" i="188"/>
  <c r="U50" i="188"/>
  <c r="U49" i="188"/>
  <c r="U48" i="188"/>
  <c r="U47" i="188"/>
  <c r="U46" i="188"/>
  <c r="U45" i="188"/>
  <c r="U44" i="188"/>
  <c r="U43" i="188"/>
  <c r="U42" i="188"/>
  <c r="U41" i="188"/>
  <c r="U40" i="188"/>
  <c r="U39" i="188"/>
  <c r="U38" i="188"/>
  <c r="U37" i="188"/>
  <c r="U36" i="188"/>
  <c r="U35" i="188"/>
  <c r="U34" i="188"/>
  <c r="U33" i="188"/>
  <c r="U32" i="188"/>
  <c r="U31" i="188"/>
  <c r="U30" i="188"/>
  <c r="U29" i="188"/>
  <c r="U28" i="188"/>
  <c r="U27" i="188"/>
  <c r="U26" i="188"/>
  <c r="U25" i="188"/>
  <c r="U24" i="188"/>
  <c r="U23" i="188"/>
  <c r="U22" i="188"/>
  <c r="U21" i="188"/>
  <c r="U20" i="188"/>
  <c r="U19" i="188"/>
  <c r="U18" i="188"/>
  <c r="U17" i="188"/>
  <c r="U16" i="188"/>
  <c r="U15" i="188"/>
  <c r="U14" i="188"/>
  <c r="U13" i="188"/>
  <c r="U12" i="188"/>
  <c r="U11" i="188"/>
  <c r="U10" i="188"/>
  <c r="U9" i="188"/>
  <c r="U8" i="188"/>
  <c r="U7" i="188"/>
  <c r="U55" i="187"/>
  <c r="U54" i="187"/>
  <c r="U53" i="187"/>
  <c r="U52" i="187"/>
  <c r="U51" i="187"/>
  <c r="U50" i="187"/>
  <c r="U49" i="187"/>
  <c r="U48" i="187"/>
  <c r="U47" i="187"/>
  <c r="U46" i="187"/>
  <c r="U45" i="187"/>
  <c r="U44" i="187"/>
  <c r="U43" i="187"/>
  <c r="U42" i="187"/>
  <c r="U41" i="187"/>
  <c r="U40" i="187"/>
  <c r="U39" i="187"/>
  <c r="U38" i="187"/>
  <c r="U37" i="187"/>
  <c r="U36" i="187"/>
  <c r="U35" i="187"/>
  <c r="U34" i="187"/>
  <c r="U33" i="187"/>
  <c r="U32" i="187"/>
  <c r="U31" i="187"/>
  <c r="U30" i="187"/>
  <c r="U29" i="187"/>
  <c r="U28" i="187"/>
  <c r="U27" i="187"/>
  <c r="U26" i="187"/>
  <c r="U25" i="187"/>
  <c r="U24" i="187"/>
  <c r="U23" i="187"/>
  <c r="U22" i="187"/>
  <c r="U21" i="187"/>
  <c r="U20" i="187"/>
  <c r="U19" i="187"/>
  <c r="U18" i="187"/>
  <c r="U17" i="187"/>
  <c r="U16" i="187"/>
  <c r="U15" i="187"/>
  <c r="U14" i="187"/>
  <c r="U13" i="187"/>
  <c r="U12" i="187"/>
  <c r="U11" i="187"/>
  <c r="U10" i="187"/>
  <c r="U9" i="187"/>
  <c r="U8" i="187"/>
  <c r="U7" i="187"/>
  <c r="U6" i="187"/>
  <c r="AA37" i="177"/>
  <c r="AA36" i="177"/>
  <c r="AA35" i="177"/>
  <c r="AA34" i="177"/>
  <c r="AA33" i="177"/>
  <c r="AA32" i="177"/>
  <c r="AA31" i="177"/>
  <c r="AA30" i="177"/>
  <c r="AA29" i="177"/>
  <c r="AA28" i="177"/>
  <c r="AA27" i="177"/>
  <c r="AA26" i="177"/>
  <c r="AA25" i="177"/>
  <c r="AA24" i="177"/>
  <c r="AA23" i="177"/>
  <c r="AA22" i="177"/>
  <c r="AA21" i="177"/>
  <c r="AA20" i="177"/>
  <c r="AA19" i="177"/>
  <c r="AA18" i="177"/>
  <c r="AA17" i="177"/>
  <c r="AA16" i="177"/>
  <c r="AA15" i="177"/>
  <c r="AA14" i="177"/>
  <c r="AA13" i="177"/>
  <c r="AA12" i="177"/>
  <c r="AA11" i="177"/>
  <c r="AA10" i="177"/>
  <c r="AA9" i="177"/>
  <c r="AA8" i="177"/>
  <c r="V56" i="95" l="1"/>
  <c r="V55" i="95"/>
  <c r="V54" i="95"/>
  <c r="V53" i="95"/>
  <c r="V52" i="95"/>
  <c r="V51" i="95"/>
  <c r="V50" i="95"/>
  <c r="V49" i="95"/>
  <c r="V48" i="95"/>
  <c r="V47" i="95"/>
  <c r="V46" i="95"/>
  <c r="V45" i="95"/>
  <c r="V44" i="95"/>
  <c r="V43" i="95"/>
  <c r="V42" i="95"/>
  <c r="V41" i="95"/>
  <c r="V40" i="95"/>
  <c r="V39" i="95"/>
  <c r="V38" i="95"/>
  <c r="V37" i="95"/>
  <c r="V36" i="95"/>
  <c r="V35" i="95"/>
  <c r="V34" i="95"/>
  <c r="V33" i="95"/>
  <c r="V32" i="95"/>
  <c r="V31" i="95"/>
  <c r="V30" i="95"/>
  <c r="V29" i="95"/>
  <c r="V28" i="95"/>
  <c r="V27" i="95"/>
  <c r="V26" i="95"/>
  <c r="V25" i="95"/>
  <c r="V24" i="95"/>
  <c r="V23" i="95"/>
  <c r="V22" i="95"/>
  <c r="V21" i="95"/>
  <c r="V20" i="95"/>
  <c r="V19" i="95"/>
  <c r="V18" i="95"/>
  <c r="V17" i="95"/>
  <c r="V16" i="95"/>
  <c r="V15" i="95"/>
  <c r="V14" i="95"/>
  <c r="V13" i="95"/>
  <c r="V12" i="95"/>
  <c r="V11" i="95"/>
  <c r="V10" i="95"/>
  <c r="V9" i="95"/>
  <c r="V8" i="95"/>
  <c r="V7" i="95"/>
  <c r="F36" i="161" l="1"/>
  <c r="D36" i="161"/>
  <c r="C36" i="161"/>
  <c r="G36" i="161" s="1"/>
  <c r="F70" i="98"/>
  <c r="D37" i="98"/>
  <c r="F36" i="98"/>
  <c r="D36" i="98"/>
  <c r="C36" i="98"/>
  <c r="F71" i="98" l="1"/>
  <c r="G71" i="98" s="1"/>
  <c r="E71" i="98"/>
  <c r="D71" i="98"/>
  <c r="F37" i="98"/>
  <c r="E37" i="98"/>
  <c r="C37" i="98"/>
  <c r="G37" i="98" l="1"/>
  <c r="G42" i="98" s="1"/>
  <c r="G22" i="99" l="1"/>
  <c r="G23" i="99"/>
  <c r="G24" i="99"/>
  <c r="G25" i="99"/>
  <c r="G26" i="99"/>
  <c r="G51" i="99"/>
  <c r="F35" i="161" l="1"/>
  <c r="E35" i="161"/>
  <c r="D35" i="161"/>
  <c r="E70" i="98"/>
  <c r="D70" i="98"/>
  <c r="C70" i="98"/>
  <c r="E36" i="98"/>
  <c r="G70" i="98" l="1"/>
  <c r="G35" i="161"/>
  <c r="G36" i="98"/>
  <c r="F40" i="161" l="1"/>
  <c r="E40" i="161"/>
  <c r="D40" i="161"/>
  <c r="C40" i="161"/>
  <c r="G34" i="161"/>
  <c r="G33" i="161"/>
  <c r="G31" i="161"/>
  <c r="C30" i="161"/>
  <c r="G30" i="161" s="1"/>
  <c r="E29" i="161"/>
  <c r="C29" i="161"/>
  <c r="G28" i="161"/>
  <c r="G27" i="161"/>
  <c r="G26" i="161"/>
  <c r="G25" i="161"/>
  <c r="G24" i="161"/>
  <c r="G23" i="161"/>
  <c r="G22" i="161"/>
  <c r="G21" i="161"/>
  <c r="G20" i="161"/>
  <c r="G19" i="161"/>
  <c r="G18" i="161"/>
  <c r="G17" i="161"/>
  <c r="G16" i="161"/>
  <c r="G15" i="161"/>
  <c r="G14" i="161"/>
  <c r="G13" i="161"/>
  <c r="G12" i="161"/>
  <c r="G11" i="161"/>
  <c r="G10" i="161"/>
  <c r="G9" i="161"/>
  <c r="G8" i="161"/>
  <c r="G50" i="99"/>
  <c r="G49" i="99"/>
  <c r="G48" i="99"/>
  <c r="G47" i="99"/>
  <c r="G46" i="99"/>
  <c r="G45" i="99"/>
  <c r="E44" i="99"/>
  <c r="G44" i="99" s="1"/>
  <c r="G42" i="99"/>
  <c r="G41" i="99"/>
  <c r="G40" i="99"/>
  <c r="G39" i="99"/>
  <c r="G38" i="99"/>
  <c r="G37" i="99"/>
  <c r="G36" i="99"/>
  <c r="G35" i="99"/>
  <c r="G34" i="99"/>
  <c r="G33" i="99"/>
  <c r="G21" i="99"/>
  <c r="G20" i="99"/>
  <c r="G19" i="99"/>
  <c r="G18" i="99"/>
  <c r="G17" i="99"/>
  <c r="G16" i="99"/>
  <c r="G15" i="99"/>
  <c r="G14" i="99"/>
  <c r="G13" i="99"/>
  <c r="G12" i="99"/>
  <c r="G11" i="99"/>
  <c r="G10" i="99"/>
  <c r="G9" i="99"/>
  <c r="G8" i="99"/>
  <c r="F69" i="98"/>
  <c r="E69" i="98"/>
  <c r="D69" i="98"/>
  <c r="F68" i="98"/>
  <c r="E68" i="98"/>
  <c r="D68" i="98"/>
  <c r="F67" i="98"/>
  <c r="E67" i="98"/>
  <c r="D67" i="98"/>
  <c r="F66" i="98"/>
  <c r="E66" i="98"/>
  <c r="D66" i="98"/>
  <c r="F65" i="98"/>
  <c r="E65" i="98"/>
  <c r="D65" i="98"/>
  <c r="F64" i="98"/>
  <c r="E64" i="98"/>
  <c r="D64" i="98"/>
  <c r="F63" i="98"/>
  <c r="E63" i="98"/>
  <c r="D63" i="98"/>
  <c r="D62" i="98"/>
  <c r="G62" i="98" s="1"/>
  <c r="F61" i="98"/>
  <c r="E61" i="98"/>
  <c r="D61" i="98"/>
  <c r="F60" i="98"/>
  <c r="E60" i="98"/>
  <c r="D60" i="98"/>
  <c r="G59" i="98"/>
  <c r="G58" i="98"/>
  <c r="G57" i="98"/>
  <c r="G56" i="98"/>
  <c r="G55" i="98"/>
  <c r="G54" i="98"/>
  <c r="G53" i="98"/>
  <c r="G52" i="98"/>
  <c r="G51" i="98"/>
  <c r="G50" i="98"/>
  <c r="F40" i="98"/>
  <c r="E40" i="98"/>
  <c r="D40" i="98"/>
  <c r="C40" i="98"/>
  <c r="F35" i="98"/>
  <c r="E35" i="98"/>
  <c r="D35" i="98"/>
  <c r="F34" i="98"/>
  <c r="E34" i="98"/>
  <c r="D34" i="98"/>
  <c r="F32" i="98"/>
  <c r="E32" i="98"/>
  <c r="D32" i="98"/>
  <c r="G32" i="98" s="1"/>
  <c r="F31" i="98"/>
  <c r="E31" i="98"/>
  <c r="D31" i="98"/>
  <c r="F30" i="98"/>
  <c r="E30" i="98"/>
  <c r="D30" i="98"/>
  <c r="F29" i="98"/>
  <c r="E29" i="98"/>
  <c r="D29" i="98"/>
  <c r="G28" i="98"/>
  <c r="F27" i="98"/>
  <c r="E27" i="98"/>
  <c r="D27" i="98"/>
  <c r="C27" i="98"/>
  <c r="F26" i="98"/>
  <c r="E26" i="98"/>
  <c r="D26" i="98"/>
  <c r="G25" i="98"/>
  <c r="G24" i="98"/>
  <c r="G23" i="98"/>
  <c r="G22" i="98"/>
  <c r="G21" i="98"/>
  <c r="G20" i="98"/>
  <c r="G19" i="98"/>
  <c r="G18" i="98"/>
  <c r="G17" i="98"/>
  <c r="G41" i="98" s="1"/>
  <c r="G16" i="98"/>
  <c r="G15" i="98"/>
  <c r="G14" i="98"/>
  <c r="G13" i="98"/>
  <c r="G12" i="98"/>
  <c r="G11" i="98"/>
  <c r="G10" i="98"/>
  <c r="G9" i="98"/>
  <c r="K29" i="168"/>
  <c r="H29" i="168"/>
  <c r="E29" i="168"/>
  <c r="K28" i="168"/>
  <c r="H28" i="168"/>
  <c r="E28" i="168"/>
  <c r="K27" i="168"/>
  <c r="H27" i="168"/>
  <c r="E27" i="168"/>
  <c r="K26" i="168"/>
  <c r="H26" i="168"/>
  <c r="E26" i="168"/>
  <c r="K25" i="168"/>
  <c r="H25" i="168"/>
  <c r="E25" i="168"/>
  <c r="K24" i="168"/>
  <c r="H24" i="168"/>
  <c r="E24" i="168"/>
  <c r="K23" i="168"/>
  <c r="H23" i="168"/>
  <c r="E23" i="168"/>
  <c r="K22" i="168"/>
  <c r="H22" i="168"/>
  <c r="E22" i="168"/>
  <c r="K21" i="168"/>
  <c r="H21" i="168"/>
  <c r="E21" i="168"/>
  <c r="K20" i="168"/>
  <c r="H20" i="168"/>
  <c r="E20" i="168"/>
  <c r="K19" i="168"/>
  <c r="H19" i="168"/>
  <c r="E19" i="168"/>
  <c r="K18" i="168"/>
  <c r="H18" i="168"/>
  <c r="E18" i="168"/>
  <c r="K17" i="168"/>
  <c r="H17" i="168"/>
  <c r="E17" i="168"/>
  <c r="K16" i="168"/>
  <c r="H16" i="168"/>
  <c r="E16" i="168"/>
  <c r="K15" i="168"/>
  <c r="H15" i="168"/>
  <c r="E15" i="168"/>
  <c r="K14" i="168"/>
  <c r="H14" i="168"/>
  <c r="E14" i="168"/>
  <c r="K13" i="168"/>
  <c r="H13" i="168"/>
  <c r="E13" i="168"/>
  <c r="K12" i="168"/>
  <c r="H12" i="168"/>
  <c r="E12" i="168"/>
  <c r="K11" i="168"/>
  <c r="H11" i="168"/>
  <c r="E11" i="168"/>
  <c r="K10" i="168"/>
  <c r="H10" i="168"/>
  <c r="E10" i="168"/>
  <c r="K9" i="168"/>
  <c r="H9" i="168"/>
  <c r="E9" i="168"/>
  <c r="K8" i="168"/>
  <c r="H8" i="168"/>
  <c r="E8" i="168"/>
  <c r="G31" i="98" l="1"/>
  <c r="G29" i="161"/>
  <c r="G66" i="98"/>
  <c r="G30" i="98"/>
  <c r="G61" i="98"/>
  <c r="G26" i="98"/>
  <c r="G29" i="98"/>
  <c r="G34" i="98"/>
  <c r="G65" i="98"/>
  <c r="G60" i="98"/>
  <c r="G64" i="98"/>
  <c r="G68" i="98"/>
  <c r="G27" i="98"/>
  <c r="G35" i="98"/>
  <c r="G63" i="98"/>
  <c r="G67" i="98"/>
  <c r="G69" i="98"/>
  <c r="G40" i="98"/>
  <c r="G40" i="161"/>
</calcChain>
</file>

<file path=xl/sharedStrings.xml><?xml version="1.0" encoding="utf-8"?>
<sst xmlns="http://schemas.openxmlformats.org/spreadsheetml/2006/main" count="2622" uniqueCount="688">
  <si>
    <t>2.4.13</t>
  </si>
  <si>
    <t>1985-2000</t>
  </si>
  <si>
    <t>1000 tonnes</t>
  </si>
  <si>
    <t>Marseille</t>
  </si>
  <si>
    <t xml:space="preserve">Airline </t>
  </si>
  <si>
    <t>Traffic</t>
  </si>
  <si>
    <t>Total inwards</t>
  </si>
  <si>
    <t>TOTAL goods transported*</t>
  </si>
  <si>
    <t>of which: to/from EU</t>
  </si>
  <si>
    <t>Total outwards</t>
  </si>
  <si>
    <t>Relevance of intra-EU transport in total maritime transport by EU country</t>
  </si>
  <si>
    <t>Antwerpen</t>
  </si>
  <si>
    <t>Göteborg</t>
  </si>
  <si>
    <t>Paloukia Salaminas</t>
  </si>
  <si>
    <t>Perama</t>
  </si>
  <si>
    <t>Cirkewwa</t>
  </si>
  <si>
    <t>Mgarr, Gozo</t>
  </si>
  <si>
    <t>Rødby (Færgehavn)</t>
  </si>
  <si>
    <t>Sjællands Odde</t>
  </si>
  <si>
    <t>Frankfurt (Main)</t>
  </si>
  <si>
    <t>Madrid / Barajas</t>
  </si>
  <si>
    <t>Amsterdam / Schiphol</t>
  </si>
  <si>
    <t>München</t>
  </si>
  <si>
    <t>Roma / Fiumicino</t>
  </si>
  <si>
    <t>Milano / Malpensa</t>
  </si>
  <si>
    <t>Wien / Schwechat</t>
  </si>
  <si>
    <t>København / Kastrup</t>
  </si>
  <si>
    <t>Paris / Orly</t>
  </si>
  <si>
    <t>Düsseldorf</t>
  </si>
  <si>
    <t>Stockholm / Arlanda</t>
  </si>
  <si>
    <t>Athinai / Eleftherios Venizelos</t>
  </si>
  <si>
    <t>Helsinki / Vantaa</t>
  </si>
  <si>
    <t>Praha / Ruzyne</t>
  </si>
  <si>
    <t>Stuttgart</t>
  </si>
  <si>
    <t>Lyon / Saint Exupéry</t>
  </si>
  <si>
    <t>Malaga</t>
  </si>
  <si>
    <t>Las Palmas / Gran Canaria</t>
  </si>
  <si>
    <t>Milano / Linate</t>
  </si>
  <si>
    <t>Marseille / Provence</t>
  </si>
  <si>
    <t>Toulouse / Blagnac</t>
  </si>
  <si>
    <t>Bologna / Borgo Panigale</t>
  </si>
  <si>
    <t>Tenerife Sur / Reina Sofia</t>
  </si>
  <si>
    <t>Porto</t>
  </si>
  <si>
    <t>Wien / Schwechat - Zürich, Switzerland</t>
  </si>
  <si>
    <t xml:space="preserve">Goods traffic </t>
  </si>
  <si>
    <t>Passenger car traffic</t>
  </si>
  <si>
    <t>Port, Country</t>
  </si>
  <si>
    <t>Calais</t>
  </si>
  <si>
    <t>Helsingborg</t>
  </si>
  <si>
    <t>Messina</t>
  </si>
  <si>
    <t>Napoli</t>
  </si>
  <si>
    <t>Puttgarden</t>
  </si>
  <si>
    <t>Capri</t>
  </si>
  <si>
    <t>Algeciras</t>
  </si>
  <si>
    <t>( Alpine Arc: Mont Cenis to Brenner )</t>
  </si>
  <si>
    <t>( Alpine Arc: Montgenèvre to Brenner )</t>
  </si>
  <si>
    <t>Rotterdam</t>
  </si>
  <si>
    <t>Le Havre</t>
  </si>
  <si>
    <t>Trieste</t>
  </si>
  <si>
    <t>Wilhelmshaven</t>
  </si>
  <si>
    <t>Piombino</t>
  </si>
  <si>
    <t>Olbia</t>
  </si>
  <si>
    <t>Genova</t>
  </si>
  <si>
    <t>Valencia</t>
  </si>
  <si>
    <t>Zeebrugge</t>
  </si>
  <si>
    <t>Tarragona</t>
  </si>
  <si>
    <t>Bilbao</t>
  </si>
  <si>
    <t>Ravenna</t>
  </si>
  <si>
    <t>Rouen</t>
  </si>
  <si>
    <t>Klaipeda</t>
  </si>
  <si>
    <t>Koper</t>
  </si>
  <si>
    <t>1000 TEU</t>
  </si>
  <si>
    <t>Gioia Tauro</t>
  </si>
  <si>
    <t>La Spezia</t>
  </si>
  <si>
    <t>Thessaloniki</t>
  </si>
  <si>
    <t>Year</t>
  </si>
  <si>
    <t>Semi-trailers</t>
  </si>
  <si>
    <t>million tonnes</t>
  </si>
  <si>
    <t>St. Gotthard</t>
  </si>
  <si>
    <t>Brenner</t>
  </si>
  <si>
    <t xml:space="preserve">Switzerland </t>
  </si>
  <si>
    <t>Simplon</t>
  </si>
  <si>
    <t>Gr.St. Bernard</t>
  </si>
  <si>
    <t>West coast</t>
  </si>
  <si>
    <t>East coast</t>
  </si>
  <si>
    <t>vehicles per day</t>
  </si>
  <si>
    <t>Venezia</t>
  </si>
  <si>
    <t>Lisboa</t>
  </si>
  <si>
    <t>IS</t>
  </si>
  <si>
    <t>BG</t>
  </si>
  <si>
    <t>CY</t>
  </si>
  <si>
    <t>CZ</t>
  </si>
  <si>
    <t>EE</t>
  </si>
  <si>
    <t>HU</t>
  </si>
  <si>
    <t>LV</t>
  </si>
  <si>
    <t>LT</t>
  </si>
  <si>
    <t>MT</t>
  </si>
  <si>
    <t>PL</t>
  </si>
  <si>
    <t>RO</t>
  </si>
  <si>
    <t>SK</t>
  </si>
  <si>
    <t>SI</t>
  </si>
  <si>
    <t>TR</t>
  </si>
  <si>
    <t>DK</t>
  </si>
  <si>
    <t>EL</t>
  </si>
  <si>
    <t>NL</t>
  </si>
  <si>
    <t>UK</t>
  </si>
  <si>
    <t>BE</t>
  </si>
  <si>
    <t>DE</t>
  </si>
  <si>
    <t>ES</t>
  </si>
  <si>
    <t>FR</t>
  </si>
  <si>
    <t>IE</t>
  </si>
  <si>
    <t>IT</t>
  </si>
  <si>
    <t>LU</t>
  </si>
  <si>
    <t>AT</t>
  </si>
  <si>
    <t>PT</t>
  </si>
  <si>
    <t>FI</t>
  </si>
  <si>
    <t>SE</t>
  </si>
  <si>
    <t>NO</t>
  </si>
  <si>
    <t xml:space="preserve"> </t>
  </si>
  <si>
    <t xml:space="preserve">%      </t>
  </si>
  <si>
    <t>%</t>
  </si>
  <si>
    <t>-</t>
  </si>
  <si>
    <t>Austria</t>
  </si>
  <si>
    <t>France</t>
  </si>
  <si>
    <t>million</t>
  </si>
  <si>
    <t>Virgin Atlantic Airways</t>
  </si>
  <si>
    <t>HR</t>
  </si>
  <si>
    <t>Cartagena</t>
  </si>
  <si>
    <t>Livorno</t>
  </si>
  <si>
    <t>Dunkerque</t>
  </si>
  <si>
    <t>Total</t>
  </si>
  <si>
    <t>Biriatou</t>
  </si>
  <si>
    <t>Le Perthus</t>
  </si>
  <si>
    <t>Other crossings</t>
  </si>
  <si>
    <t>Reporter</t>
  </si>
  <si>
    <t>Belgium</t>
  </si>
  <si>
    <t>Bulgaria</t>
  </si>
  <si>
    <t>Czech Republic</t>
  </si>
  <si>
    <t>Denmark</t>
  </si>
  <si>
    <t>Germany</t>
  </si>
  <si>
    <t>Estonia</t>
  </si>
  <si>
    <t>Ireland</t>
  </si>
  <si>
    <t>Greece</t>
  </si>
  <si>
    <t>Spain</t>
  </si>
  <si>
    <t>Italy</t>
  </si>
  <si>
    <t>Cyprus</t>
  </si>
  <si>
    <t>Latvia</t>
  </si>
  <si>
    <t>Lithuania</t>
  </si>
  <si>
    <t xml:space="preserve">Luxem- bourg </t>
  </si>
  <si>
    <t>Hungary</t>
  </si>
  <si>
    <t>Malta</t>
  </si>
  <si>
    <t>Nether- lands</t>
  </si>
  <si>
    <t>Poland</t>
  </si>
  <si>
    <t>Portugal</t>
  </si>
  <si>
    <t>Romania</t>
  </si>
  <si>
    <t>Slovenia</t>
  </si>
  <si>
    <t>Slovakia</t>
  </si>
  <si>
    <t>Finland</t>
  </si>
  <si>
    <t>Sweden</t>
  </si>
  <si>
    <t>Luxembourg</t>
  </si>
  <si>
    <t>Netherlands</t>
  </si>
  <si>
    <t>Partner &gt;&gt;&gt;&gt;&gt;</t>
  </si>
  <si>
    <t>Nantes Saint-Nazaire</t>
  </si>
  <si>
    <t>Bremerhaven</t>
  </si>
  <si>
    <t>Augusta</t>
  </si>
  <si>
    <t>Sines</t>
  </si>
  <si>
    <t>Porto Foxi</t>
  </si>
  <si>
    <t>Huelva</t>
  </si>
  <si>
    <t>Civitavecchia</t>
  </si>
  <si>
    <t>Igoumenitsa</t>
  </si>
  <si>
    <t>Tonne-kilometres</t>
  </si>
  <si>
    <t>Sea : Intra-EU maritime transport</t>
  </si>
  <si>
    <t>(%)</t>
  </si>
  <si>
    <t>Rank</t>
  </si>
  <si>
    <t>of which: from EU</t>
  </si>
  <si>
    <t>of which: to EU</t>
  </si>
  <si>
    <t>Share of EU in total</t>
  </si>
  <si>
    <t>Country of loading port</t>
  </si>
  <si>
    <t>Country of unloading port</t>
  </si>
  <si>
    <t>TOTAL</t>
  </si>
  <si>
    <t>INWARDS</t>
  </si>
  <si>
    <t>OUTWARDS</t>
  </si>
  <si>
    <t>UIRR companies</t>
  </si>
  <si>
    <t>(arriving + departing + in transit)</t>
  </si>
  <si>
    <t>*: The total goods transported data may be less than the sum of inward and outward traffic due to the double counting of tonnes moved within the same country.</t>
  </si>
  <si>
    <t>Mont-Cenis</t>
  </si>
  <si>
    <t>Alicante</t>
  </si>
  <si>
    <t>ITALY</t>
  </si>
  <si>
    <t>SPAIN</t>
  </si>
  <si>
    <t>NETHERLANDS</t>
  </si>
  <si>
    <t>FRANCE</t>
  </si>
  <si>
    <t>GREECE</t>
  </si>
  <si>
    <t>GERMANY</t>
  </si>
  <si>
    <t>SWEDEN</t>
  </si>
  <si>
    <t>DENMARK</t>
  </si>
  <si>
    <t>BELGIUM</t>
  </si>
  <si>
    <t>LATVIA</t>
  </si>
  <si>
    <t>FINLAND</t>
  </si>
  <si>
    <t>IRELAND</t>
  </si>
  <si>
    <t>PORTUGAL</t>
  </si>
  <si>
    <t>million tonnes transported</t>
  </si>
  <si>
    <t>Scheduled and non-scheduled flights</t>
  </si>
  <si>
    <t>Mont-Blanc</t>
  </si>
  <si>
    <t>St. Bernardino</t>
  </si>
  <si>
    <r>
      <t>Number of heavy goods vehicles</t>
    </r>
    <r>
      <rPr>
        <sz val="10"/>
        <rFont val="Arial"/>
        <family val="2"/>
      </rPr>
      <t xml:space="preserve"> (1000)</t>
    </r>
  </si>
  <si>
    <t xml:space="preserve">1000 passengers </t>
  </si>
  <si>
    <t>1000 cruise passengers</t>
  </si>
  <si>
    <t>(excluding cruise passengers)</t>
  </si>
  <si>
    <t>starting and ending a cruise</t>
  </si>
  <si>
    <t>Inwards</t>
  </si>
  <si>
    <t>Outwards</t>
  </si>
  <si>
    <t>Rostock</t>
  </si>
  <si>
    <t>million passengers</t>
  </si>
  <si>
    <t>change</t>
  </si>
  <si>
    <t>Amsterdam</t>
  </si>
  <si>
    <t>Barcelona</t>
  </si>
  <si>
    <t>Dublin</t>
  </si>
  <si>
    <t>Helsinki</t>
  </si>
  <si>
    <t>Hamburg</t>
  </si>
  <si>
    <t>Riga</t>
  </si>
  <si>
    <t>Tallinn</t>
  </si>
  <si>
    <t>Airport, Country</t>
  </si>
  <si>
    <t>Stockholm / Arlanda - Oslo / Gardermoen, Norway</t>
  </si>
  <si>
    <t>København / Kastrup - Oslo / Gardermoen, Norway</t>
  </si>
  <si>
    <t>Domestic + International</t>
  </si>
  <si>
    <t>Ranking</t>
  </si>
  <si>
    <t xml:space="preserve">average annual change </t>
  </si>
  <si>
    <t>average annual change</t>
  </si>
  <si>
    <t>Passengers carried*</t>
  </si>
  <si>
    <t>Tonnes loaded and unloaded</t>
  </si>
  <si>
    <t>EUROPEAN UNION</t>
  </si>
  <si>
    <t>European Commission</t>
  </si>
  <si>
    <t>using indicators other than tonne-kilometres or passenger kilometres</t>
  </si>
  <si>
    <r>
      <t xml:space="preserve">in co-operation with </t>
    </r>
    <r>
      <rPr>
        <b/>
        <sz val="10"/>
        <rFont val="Arial"/>
        <family val="2"/>
      </rPr>
      <t>Eurostat</t>
    </r>
  </si>
  <si>
    <t>Palma Mallorca</t>
  </si>
  <si>
    <t>Ystad</t>
  </si>
  <si>
    <t>Gdansk</t>
  </si>
  <si>
    <t>CY**</t>
  </si>
  <si>
    <t>RO**</t>
  </si>
  <si>
    <t>**: The share of intra-EU in total maritime transport may be underestimated in this table for CY and RO because a significant share of partner ports are "unknown" and hence cannot be attributed to any geographical area.</t>
  </si>
  <si>
    <t>Reschen</t>
  </si>
  <si>
    <t>Montgenèvre</t>
  </si>
  <si>
    <t>Fréjus</t>
  </si>
  <si>
    <t>Santa Cruz de Tenerife</t>
  </si>
  <si>
    <t>Paris / Charles de Gaulle - New York / J.F. Kennedy Intl, NY, USA</t>
  </si>
  <si>
    <t>Paris / Charles de Gaulle - Montreal / Pierre Elliot Trudeau Intl, Canada</t>
  </si>
  <si>
    <t>Paris / Charles de Gaulle - Dubai Intl, United Arab Emirates</t>
  </si>
  <si>
    <t>Nice / Côte d'Azur</t>
  </si>
  <si>
    <t>Part 2  :  TRANSPORT</t>
  </si>
  <si>
    <t>2.4.1</t>
  </si>
  <si>
    <t>2.4.2</t>
  </si>
  <si>
    <t>2.4.4a</t>
  </si>
  <si>
    <t>2.4.4b</t>
  </si>
  <si>
    <t>2.4.5</t>
  </si>
  <si>
    <t>2.4.6</t>
  </si>
  <si>
    <t>2.4.7</t>
  </si>
  <si>
    <t>2.4.8</t>
  </si>
  <si>
    <t>2.4.9</t>
  </si>
  <si>
    <t>2.4.10a</t>
  </si>
  <si>
    <t>2.4.10b</t>
  </si>
  <si>
    <t>2.4.11</t>
  </si>
  <si>
    <t>2.4.12</t>
  </si>
  <si>
    <t>2.4.14</t>
  </si>
  <si>
    <t>2.4.15</t>
  </si>
  <si>
    <t>Chapter 2.4  :</t>
  </si>
  <si>
    <t>2.4.3</t>
  </si>
  <si>
    <t>Ibiza</t>
  </si>
  <si>
    <t>Toulouse / Blagnac - Paris / Orly</t>
  </si>
  <si>
    <t>Catania / Fontanarossa - Roma / Fiumicino</t>
  </si>
  <si>
    <t>Las Palmas / Gran Canaria - Madrid / Barajas</t>
  </si>
  <si>
    <t>Tenerife Norte - Madrid / Barajas</t>
  </si>
  <si>
    <t>Frankfurt (Main) - Hamburg</t>
  </si>
  <si>
    <t>Madrid / Barajas - Paris / Orly</t>
  </si>
  <si>
    <r>
      <t xml:space="preserve">Source: </t>
    </r>
    <r>
      <rPr>
        <sz val="8"/>
        <rFont val="Arial"/>
        <family val="2"/>
      </rPr>
      <t>Eurostat</t>
    </r>
  </si>
  <si>
    <t>Directorate-General for Mobility and Transport</t>
  </si>
  <si>
    <t xml:space="preserve"> TRANSPORT IN FIGURES</t>
  </si>
  <si>
    <t>Las Palmas</t>
  </si>
  <si>
    <t>Århus</t>
  </si>
  <si>
    <t>Gdynia</t>
  </si>
  <si>
    <t>Frankfurt (Main) - Dubai Intl, United Arab Emirates</t>
  </si>
  <si>
    <t>Helsingør (Elsinore)</t>
  </si>
  <si>
    <t>Constanta</t>
  </si>
  <si>
    <t>Gent (Ghent)</t>
  </si>
  <si>
    <t>Sköldvik</t>
  </si>
  <si>
    <t>Gijón</t>
  </si>
  <si>
    <t>:</t>
  </si>
  <si>
    <t>% of consignments (*)</t>
  </si>
  <si>
    <t>Croatia</t>
  </si>
  <si>
    <t>Cork</t>
  </si>
  <si>
    <t>Castellón</t>
  </si>
  <si>
    <t>Rijeka</t>
  </si>
  <si>
    <t>Split</t>
  </si>
  <si>
    <t>Condor</t>
  </si>
  <si>
    <t>Norwegian</t>
  </si>
  <si>
    <t>Total passengers carried* including domestic flights (1000)</t>
  </si>
  <si>
    <t>Air Europa</t>
  </si>
  <si>
    <t>SunExpress</t>
  </si>
  <si>
    <t>Billion revenue passenger-kilometres</t>
  </si>
  <si>
    <t>Irun</t>
  </si>
  <si>
    <t>La Jonquera</t>
  </si>
  <si>
    <t>2.4.17</t>
  </si>
  <si>
    <t>*passengers carried are fewer than passengers on board, due to transit passengers staying on board the aircraft not being counted.</t>
  </si>
  <si>
    <t>Peiraias</t>
  </si>
  <si>
    <t>Reggio di Calabria</t>
  </si>
  <si>
    <t>Zadar</t>
  </si>
  <si>
    <t>Agioi Theodoroi</t>
  </si>
  <si>
    <t>Larnaka</t>
  </si>
  <si>
    <t>Rolling motorway</t>
  </si>
  <si>
    <t>below 300 km</t>
  </si>
  <si>
    <t>between 300 and 900 km</t>
  </si>
  <si>
    <t>more than 900 km</t>
  </si>
  <si>
    <t>% of which:</t>
  </si>
  <si>
    <t>billion</t>
  </si>
  <si>
    <t>Bologna/Borgo Panigale</t>
  </si>
  <si>
    <t>Madrid / Barajas - Barcelona</t>
  </si>
  <si>
    <t>Palma de Mallorca - Madrid / Barajas</t>
  </si>
  <si>
    <t>Barcelona - Amsterdam / Schiphol</t>
  </si>
  <si>
    <t xml:space="preserve">Amsterdam / Schiphol - Dubai Intl, United Arab Emirates </t>
  </si>
  <si>
    <t>2015</t>
  </si>
  <si>
    <t>Warszawa / Chopina</t>
  </si>
  <si>
    <t>Commercial air flights (passengers, freight and mail)</t>
  </si>
  <si>
    <t>ME</t>
  </si>
  <si>
    <r>
      <t>Source</t>
    </r>
    <r>
      <rPr>
        <sz val="8"/>
        <rFont val="Arial"/>
        <family val="2"/>
      </rPr>
      <t>: International Union of Combined Road-Rail Transport Companies (UIRR)</t>
    </r>
  </si>
  <si>
    <r>
      <t>Source:</t>
    </r>
    <r>
      <rPr>
        <sz val="8"/>
        <rFont val="Arial"/>
        <family val="2"/>
      </rPr>
      <t xml:space="preserve"> Observation et analyse des flux de transports de marchandises transalpins</t>
    </r>
  </si>
  <si>
    <r>
      <t xml:space="preserve">Source: </t>
    </r>
    <r>
      <rPr>
        <sz val="8"/>
        <rFont val="Arial"/>
        <family val="2"/>
      </rPr>
      <t>Observation et analyse des flux de transports de marchandises transalpins</t>
    </r>
  </si>
  <si>
    <t>Pegasus</t>
  </si>
  <si>
    <t>CH</t>
  </si>
  <si>
    <t>(not including general aviation) - Thousand</t>
  </si>
  <si>
    <t>Swap bodies and containers</t>
  </si>
  <si>
    <r>
      <t xml:space="preserve">* Public Service Obligation (PSO) </t>
    </r>
    <r>
      <rPr>
        <sz val="8"/>
        <rFont val="Arial"/>
        <family val="2"/>
      </rPr>
      <t>means a requirement defined or determined by a competent authority in order to ensure public passenger transport services in the general interest that an operator, if it were considering its own commercial interests, would not assume or would not assume to the same extent or under the same conditions without reward.</t>
    </r>
  </si>
  <si>
    <t>AL</t>
  </si>
  <si>
    <t>MK</t>
  </si>
  <si>
    <t>RS</t>
  </si>
  <si>
    <t>million train-km</t>
  </si>
  <si>
    <t>Rail: Traffic measured in train-kilometres</t>
  </si>
  <si>
    <t>2.4.16a</t>
  </si>
  <si>
    <t>2.4.16b</t>
  </si>
  <si>
    <t/>
  </si>
  <si>
    <t>Amsterdam / Schiphol - Paris / Charles de Gaulle</t>
  </si>
  <si>
    <t>Lisboa - Paris / Orly</t>
  </si>
  <si>
    <t>of which: Market share 
PSO</t>
  </si>
  <si>
    <t>of which: Market share Commercial</t>
  </si>
  <si>
    <t>2017</t>
  </si>
  <si>
    <r>
      <t xml:space="preserve">Total passengers carried </t>
    </r>
    <r>
      <rPr>
        <sz val="10"/>
        <rFont val="Arial"/>
        <family val="2"/>
      </rPr>
      <t xml:space="preserve">(arriving + departing from first named airport) </t>
    </r>
    <r>
      <rPr>
        <b/>
        <sz val="10"/>
        <rFont val="Arial"/>
        <family val="2"/>
      </rPr>
      <t/>
    </r>
  </si>
  <si>
    <t>Paris / Orly - Nice / Côte d'Azur</t>
  </si>
  <si>
    <t>POLAND</t>
  </si>
  <si>
    <t>ESTONIA</t>
  </si>
  <si>
    <t xml:space="preserve">of which: % of passsanger traffic </t>
  </si>
  <si>
    <t xml:space="preserve">of which: % of freight traffic </t>
  </si>
  <si>
    <t xml:space="preserve">Rail: traffic measured in train-kilometres
</t>
  </si>
  <si>
    <r>
      <t>Source</t>
    </r>
    <r>
      <rPr>
        <sz val="8"/>
        <rFont val="Arial"/>
        <family val="2"/>
      </rPr>
      <t>: DG MOVE Rail Market Monitoring, IRG-Rail reports (break in series).</t>
    </r>
    <r>
      <rPr>
        <b/>
        <sz val="8"/>
        <rFont val="Arial"/>
        <family val="2"/>
      </rPr>
      <t xml:space="preserve"> </t>
    </r>
    <r>
      <rPr>
        <sz val="8"/>
        <rFont val="Arial"/>
        <family val="2"/>
      </rPr>
      <t>Due to a methodological change in reporting, values from 2015 onwards are mostly estimated by DG MOVE.</t>
    </r>
  </si>
  <si>
    <r>
      <t>Source</t>
    </r>
    <r>
      <rPr>
        <sz val="8"/>
        <rFont val="Arial"/>
        <family val="2"/>
      </rPr>
      <t xml:space="preserve">: Own estimations based on Observatorio hispano-francés de Trafico en los Pirineos, Spain. </t>
    </r>
  </si>
  <si>
    <t>2018</t>
  </si>
  <si>
    <t>Palma De Mallorca</t>
  </si>
  <si>
    <t>Bergamo  / Orio Al Serio</t>
  </si>
  <si>
    <t xml:space="preserve">Dublin </t>
  </si>
  <si>
    <t>Tenerife Norte</t>
  </si>
  <si>
    <t>Vitoria</t>
  </si>
  <si>
    <t>Sofia</t>
  </si>
  <si>
    <t>Leipzig / Halle</t>
  </si>
  <si>
    <t>Palermo / Punta Raisi - Roma / Fiumicino</t>
  </si>
  <si>
    <t>Athinai / Eleftherios Venizelos - Thessaloniki</t>
  </si>
  <si>
    <t>Ibiza - Barcelona</t>
  </si>
  <si>
    <t>Madrid / Barajas - Amsterdam / Schiphol</t>
  </si>
  <si>
    <t>Dublin - London / Heathrow, United Kingdom</t>
  </si>
  <si>
    <t>Amsterdam / Schiphol - London / Heathrow, United Kingdom</t>
  </si>
  <si>
    <t>Madrid / Barajas - London / Heathrow, United Kingdom</t>
  </si>
  <si>
    <t>Dublin - London / Gatwick, United Kingdom</t>
  </si>
  <si>
    <t>Paris / Charles de Gaulle - London / Heathrow, United Kingdom</t>
  </si>
  <si>
    <t>Lisboa - London / Heathrow, United Kingdom</t>
  </si>
  <si>
    <t>EU-27</t>
  </si>
  <si>
    <t>Lufthansa</t>
  </si>
  <si>
    <t>British Airways</t>
  </si>
  <si>
    <t>Iberia</t>
  </si>
  <si>
    <t>SAS</t>
  </si>
  <si>
    <t>Vueling Airlines</t>
  </si>
  <si>
    <t>Austrian</t>
  </si>
  <si>
    <t>Brussels Airlines</t>
  </si>
  <si>
    <t>Source: Eurostat [mar_go_aa]</t>
  </si>
  <si>
    <t>(1) In 2011 the ports of Hamina and Kotka merged into a single legal entity. Older values refer to Kotka only.</t>
  </si>
  <si>
    <r>
      <t>Source</t>
    </r>
    <r>
      <rPr>
        <sz val="8"/>
        <rFont val="Arial"/>
        <family val="2"/>
      </rPr>
      <t xml:space="preserve">: Eurostat [mar_go_qm_cont] . </t>
    </r>
  </si>
  <si>
    <r>
      <t>Source</t>
    </r>
    <r>
      <rPr>
        <sz val="8"/>
        <rFont val="Arial"/>
        <family val="2"/>
      </rPr>
      <t>:</t>
    </r>
    <r>
      <rPr>
        <b/>
        <sz val="8"/>
        <rFont val="Arial"/>
        <family val="2"/>
      </rPr>
      <t xml:space="preserve"> </t>
    </r>
    <r>
      <rPr>
        <sz val="8"/>
        <rFont val="Arial"/>
        <family val="2"/>
      </rPr>
      <t>Eurostat [avia_paoa], airports</t>
    </r>
  </si>
  <si>
    <r>
      <t>Source</t>
    </r>
    <r>
      <rPr>
        <sz val="8"/>
        <rFont val="Arial"/>
        <family val="2"/>
      </rPr>
      <t>: Eurostat [mar_go_qm]</t>
    </r>
  </si>
  <si>
    <r>
      <t xml:space="preserve">Data from </t>
    </r>
    <r>
      <rPr>
        <sz val="8"/>
        <rFont val="Arial"/>
        <family val="2"/>
      </rPr>
      <t xml:space="preserve">main ports only (ports handling more than 1 million tonnes per year). </t>
    </r>
  </si>
  <si>
    <r>
      <t>*Consignment</t>
    </r>
    <r>
      <rPr>
        <sz val="8"/>
        <rFont val="Arial"/>
        <family val="2"/>
      </rPr>
      <t xml:space="preserve"> = equivalent to 2.0 TEU, meaning: 
 - One semi-trailer;
 - Two swap bodies less than 8.30 m and under 16t;
 - One swap-body more than 8.30 m or over 16t; 
 - One vehicle on the Rolling Motorway (RoLa)
</t>
    </r>
  </si>
  <si>
    <t xml:space="preserve">(1) from 2012 to 2016, figures exclude traffic from RoLa operators; (2) from 2013 figures include traffic of new members TEL and FELB; (3) from 2015 figures include RCO CZ; (4) from 2017 figures include RCO (full), Metrans, Lugo, Amber Rail and Baltic Rail; (5) from 2018 figures include CargoBeamer and VIIA. </t>
  </si>
  <si>
    <t>Air : Main intra-EU airport pairs in passenger transport</t>
  </si>
  <si>
    <t>Air : Passenger traffic at major EU airports</t>
  </si>
  <si>
    <t>Air : Freight traffic at major EU airports</t>
  </si>
  <si>
    <t>Cargo and mail loaded and unloaded</t>
  </si>
  <si>
    <t xml:space="preserve">Air : Aircraft traffic at major EU airports </t>
  </si>
  <si>
    <t>Sea : Passenger traffic at major EU seaports</t>
  </si>
  <si>
    <t>Passengers embarked and disembarked</t>
  </si>
  <si>
    <t>Sea : Freight traffic at major EU seaports</t>
  </si>
  <si>
    <t>Combined transport traffic</t>
  </si>
  <si>
    <t>Road: Alps crossing freight traffic</t>
  </si>
  <si>
    <t>Million tonnes</t>
  </si>
  <si>
    <r>
      <t xml:space="preserve">Rail: Degree of market opening -
Passengers
</t>
    </r>
    <r>
      <rPr>
        <b/>
        <sz val="10"/>
        <rFont val="Arial"/>
        <family val="2"/>
      </rPr>
      <t>Share of all but the principal undertakings</t>
    </r>
  </si>
  <si>
    <r>
      <t xml:space="preserve">Rail: Degree of market opening -
Freight
</t>
    </r>
    <r>
      <rPr>
        <b/>
        <sz val="10"/>
        <rFont val="Arial"/>
        <family val="2"/>
      </rPr>
      <t>Share of all but the principal undertakings</t>
    </r>
  </si>
  <si>
    <t>Rail: Alps crossing freight traffic</t>
  </si>
  <si>
    <t>Performance of freight and passenger transport</t>
  </si>
  <si>
    <t>Air: Passenger traffic between Member States (including domestic flights)</t>
  </si>
  <si>
    <t>Air: Major regular European airlines (rpk)</t>
  </si>
  <si>
    <t>Air: Passenger traffic at major EU airports</t>
  </si>
  <si>
    <t>Air: Passenger transport in the EU between its main airports</t>
  </si>
  <si>
    <t>Air: Passenger transport between the major EU airports and their main Extra-EU partner airports</t>
  </si>
  <si>
    <t>Air: Freight traffic at major EU airports</t>
  </si>
  <si>
    <t>Air: Aircraft traffic at major EU airports</t>
  </si>
  <si>
    <t>Sea: Inward and outward flow of passengers by country</t>
  </si>
  <si>
    <t>Sea: Passenger traffic at major EU seaports</t>
  </si>
  <si>
    <t>Sea: Freight traffic at major EU seaports</t>
  </si>
  <si>
    <t>Sea: Intra-EU maritime transport by country</t>
  </si>
  <si>
    <t>Sea: Main routes in Intra-EU maritime transport</t>
  </si>
  <si>
    <t>Sea: Container traffic at major EU seaports</t>
  </si>
  <si>
    <t>Road: Pyrenees crossing traffic</t>
  </si>
  <si>
    <t>Rail: Degree of market opening - passengers</t>
  </si>
  <si>
    <t>Rail: Degree of market opening - freight</t>
  </si>
  <si>
    <t>Rail: Alps crossing traffic</t>
  </si>
  <si>
    <t>Air: Passenger traffic between Member States</t>
  </si>
  <si>
    <t>Air : Major European airlines</t>
  </si>
  <si>
    <t>Road : Pyrenees crossing traffic</t>
  </si>
  <si>
    <r>
      <t>NB:</t>
    </r>
    <r>
      <rPr>
        <sz val="8"/>
        <rFont val="Arial"/>
        <family val="2"/>
      </rPr>
      <t xml:space="preserve"> </t>
    </r>
  </si>
  <si>
    <r>
      <rPr>
        <b/>
        <sz val="8"/>
        <rFont val="Arial"/>
        <family val="2"/>
      </rPr>
      <t xml:space="preserve">NB: </t>
    </r>
    <r>
      <rPr>
        <sz val="8"/>
        <rFont val="Arial"/>
        <family val="2"/>
      </rPr>
      <t>Significant underreporting of Paris airports. Data from airport websites (in italics) often include air cargo which in reality is transported by lorry. The figures from airport websites are therefore not always fully comparable with those collected by Eurostat. The extraordinary growth rate for the Leipzig airport in 2008 is mainly due to DHL moving its hub there during 2008.</t>
    </r>
  </si>
  <si>
    <t>Source: Eurostat [mar_pa_aa]</t>
  </si>
  <si>
    <t>Source: Eurostat [avia_tf_aca]</t>
  </si>
  <si>
    <t>NB:</t>
  </si>
  <si>
    <r>
      <t>NB</t>
    </r>
    <r>
      <rPr>
        <sz val="8"/>
        <rFont val="Arial"/>
        <family val="2"/>
      </rPr>
      <t>:</t>
    </r>
  </si>
  <si>
    <r>
      <t>NB</t>
    </r>
    <r>
      <rPr>
        <sz val="8"/>
        <rFont val="Arial"/>
        <family val="2"/>
      </rPr>
      <t>: internal, import, export and transit traffic</t>
    </r>
  </si>
  <si>
    <r>
      <t xml:space="preserve">NB: </t>
    </r>
    <r>
      <rPr>
        <sz val="8"/>
        <rFont val="Arial"/>
        <family val="2"/>
      </rPr>
      <t>Between 2006 -2013, these statistics were available every two years.</t>
    </r>
  </si>
  <si>
    <r>
      <t xml:space="preserve">NB: </t>
    </r>
    <r>
      <rPr>
        <sz val="8"/>
        <rFont val="Arial"/>
        <family val="2"/>
      </rPr>
      <t>total market share of all but the principal railway undertakings (as a percentage of passenger-km, in some cases as a percentage of train-km).</t>
    </r>
    <r>
      <rPr>
        <b/>
        <sz val="8"/>
        <rFont val="Arial"/>
        <family val="2"/>
      </rPr>
      <t xml:space="preserve"> DK: </t>
    </r>
    <r>
      <rPr>
        <sz val="8"/>
        <rFont val="Arial"/>
        <family val="2"/>
      </rPr>
      <t>not considering metro services after break in series.</t>
    </r>
  </si>
  <si>
    <r>
      <t xml:space="preserve">NB: </t>
    </r>
    <r>
      <rPr>
        <sz val="8"/>
        <rFont val="Arial"/>
        <family val="2"/>
      </rPr>
      <t>total market share of all but the principal railway undertakings (as a percentage of tonnes-km, in some cases as a percentage of train-km).</t>
    </r>
  </si>
  <si>
    <t>n/a</t>
  </si>
  <si>
    <t>Milano / Malpensa - Catania / Fontanarossa</t>
  </si>
  <si>
    <t>Paris / Charles de Gaulle - Nice / Côte d'Azur</t>
  </si>
  <si>
    <t>Madrid / Barajas - Mexico, Mexico</t>
  </si>
  <si>
    <t>MALTA</t>
  </si>
  <si>
    <t>2019</t>
  </si>
  <si>
    <t>2000</t>
  </si>
  <si>
    <t>2001</t>
  </si>
  <si>
    <t>2002</t>
  </si>
  <si>
    <t>2003</t>
  </si>
  <si>
    <t>2004</t>
  </si>
  <si>
    <t>2005</t>
  </si>
  <si>
    <t>2006</t>
  </si>
  <si>
    <t>2007</t>
  </si>
  <si>
    <t>2008</t>
  </si>
  <si>
    <t>2009</t>
  </si>
  <si>
    <t>2010</t>
  </si>
  <si>
    <t>2011</t>
  </si>
  <si>
    <t>2012</t>
  </si>
  <si>
    <t>2013</t>
  </si>
  <si>
    <t>2014</t>
  </si>
  <si>
    <t>2016</t>
  </si>
  <si>
    <t>Madrid /Barajas</t>
  </si>
  <si>
    <t xml:space="preserve">Barcelona / El Prat </t>
  </si>
  <si>
    <t>Turkish Airlines</t>
  </si>
  <si>
    <t>TAP Air Portugal</t>
  </si>
  <si>
    <t>Athinai  / Eleftherios Venizelos</t>
  </si>
  <si>
    <t>Gran Canaria</t>
  </si>
  <si>
    <t>Bucuresti / Henri Coanda</t>
  </si>
  <si>
    <t>Lyon / Saint Exupery</t>
  </si>
  <si>
    <t xml:space="preserve">Berlin / Brandenburg </t>
  </si>
  <si>
    <t>Catania / Fontanarossa</t>
  </si>
  <si>
    <t xml:space="preserve">Valencia </t>
  </si>
  <si>
    <t>Stockholm</t>
  </si>
  <si>
    <t>Norddeich</t>
  </si>
  <si>
    <t>Norderney</t>
  </si>
  <si>
    <t>Source  Eurostat [mar_pa_aa]</t>
  </si>
  <si>
    <t>Zeeland Seaports</t>
  </si>
  <si>
    <t>Piraeus</t>
  </si>
  <si>
    <t>Las Palmas de Gran Canaria</t>
  </si>
  <si>
    <t>Goteborg</t>
  </si>
  <si>
    <t>Hamina Kotka (1)</t>
  </si>
  <si>
    <t>Leixoes</t>
  </si>
  <si>
    <t>Arhus</t>
  </si>
  <si>
    <t>Lemesos (Limassol)</t>
  </si>
  <si>
    <r>
      <t>Source</t>
    </r>
    <r>
      <rPr>
        <sz val="8"/>
        <rFont val="Arial"/>
        <family val="2"/>
      </rPr>
      <t>: Eurostat [rail_tf_trainmv, rail_tf_traveh], DG MOVE Rail Market Monitoring, national sources.</t>
    </r>
  </si>
  <si>
    <t>2020</t>
  </si>
  <si>
    <t>Berlin / Brandenburg</t>
  </si>
  <si>
    <t>Iraklion / Nikos Kazantzakis</t>
  </si>
  <si>
    <t>Frankfurt / Main</t>
  </si>
  <si>
    <t>Paris / Charles de Gaule</t>
  </si>
  <si>
    <t>Milano/Malpensa</t>
  </si>
  <si>
    <t xml:space="preserve">Frankfurt / Hahn </t>
  </si>
  <si>
    <t xml:space="preserve"> Budapest / Liszt </t>
  </si>
  <si>
    <t>Warszawa/Chopina</t>
  </si>
  <si>
    <t xml:space="preserve"> Praha/Ruzyne </t>
  </si>
  <si>
    <t xml:space="preserve">Hannover </t>
  </si>
  <si>
    <t xml:space="preserve"> Brescia/Montichiari </t>
  </si>
  <si>
    <t>Malmo</t>
  </si>
  <si>
    <t xml:space="preserve">Duesseldorf </t>
  </si>
  <si>
    <t>Billund</t>
  </si>
  <si>
    <t>Liege</t>
  </si>
  <si>
    <t>Lanzarote</t>
  </si>
  <si>
    <t>Nice / Cote d'Azur</t>
  </si>
  <si>
    <t>Malaga / Costa del Sol</t>
  </si>
  <si>
    <t>Palma De Mallorca - Barcelona</t>
  </si>
  <si>
    <t>Aime Cesaire (Martinique) - Paris / Orly</t>
  </si>
  <si>
    <t>München - Hamburg</t>
  </si>
  <si>
    <t>Athinai / Eleftherios Venizelos - Iraklion</t>
  </si>
  <si>
    <t>Roland Garros (La Réunion) - Paris / Orly</t>
  </si>
  <si>
    <t>Tenerife Norte - Las Palmas / Gran Canaria</t>
  </si>
  <si>
    <t>Athinai / Eleftherios Venizelos - Larnaka</t>
  </si>
  <si>
    <t>Lisboa - Madeira</t>
  </si>
  <si>
    <t>Ibiza - Madrid / Barajas</t>
  </si>
  <si>
    <t>Fuerteventura (Canaria) - Las Palmas / Gran Canaria</t>
  </si>
  <si>
    <t>Roma / Fiumicino - Cagliari / Elmas</t>
  </si>
  <si>
    <t>København / Kastrup - Aalborg</t>
  </si>
  <si>
    <t>Palermo / Punta Raisi - Milano / Malpensa</t>
  </si>
  <si>
    <t>Sevilla - Barcelona</t>
  </si>
  <si>
    <t>Amsterdam / Schiphol - Atlanta / Hartfield Jackson Intl, GA, USA</t>
  </si>
  <si>
    <t>Athinai / Eleftherios Venizelos - London / Heathrow, United Kingdom</t>
  </si>
  <si>
    <t>Porto - Geneva, Switzerland</t>
  </si>
  <si>
    <t>Amsterdam / Schiphol - Hato, Curaçao</t>
  </si>
  <si>
    <t>Lisboa - Geneva, Switzerland</t>
  </si>
  <si>
    <t>Paris / Orly - Tunis / Carthage, Tunisia</t>
  </si>
  <si>
    <t>Madrid / Barajas - Bogota / Cundinamarca, Colombia</t>
  </si>
  <si>
    <t>Sea Main routes in intra-EU maritime transport</t>
  </si>
  <si>
    <t>Vigo</t>
  </si>
  <si>
    <t>Savona</t>
  </si>
  <si>
    <t>Esbjerg</t>
  </si>
  <si>
    <t>Nordby Havn, Fanø</t>
  </si>
  <si>
    <t>Rønne</t>
  </si>
  <si>
    <t>Trapani</t>
  </si>
  <si>
    <t>Preko</t>
  </si>
  <si>
    <t>Kuivastu</t>
  </si>
  <si>
    <t>Virtsu</t>
  </si>
  <si>
    <t>Supetar</t>
  </si>
  <si>
    <t>Goods traffic: other crossing: data revised back to 2013 due to a computation error</t>
  </si>
  <si>
    <r>
      <t>NB</t>
    </r>
    <r>
      <rPr>
        <sz val="8"/>
        <rFont val="Arial"/>
        <family val="2"/>
      </rPr>
      <t xml:space="preserve">: France: Montgenèvre: from 1999 to 2018. </t>
    </r>
  </si>
  <si>
    <t>Since 2019 no data available on the traffic at Montgenèvre.</t>
  </si>
  <si>
    <t>SWISS</t>
  </si>
  <si>
    <r>
      <t>Source: CIRIUM, International Air Transport Association, air companies annual reports, own estimates</t>
    </r>
    <r>
      <rPr>
        <i/>
        <sz val="8"/>
        <rFont val="Arial"/>
        <family val="2"/>
      </rPr>
      <t xml:space="preserve"> in italics;</t>
    </r>
  </si>
  <si>
    <t>Paris / Charles de Gaulle</t>
  </si>
  <si>
    <r>
      <t xml:space="preserve">* "Passengers carried" do not include direct transit passengers, i.e. transit passengers who stay on board the aircraft and continue their flight with the same flight number. Where the number of passengers carried was not available, the number of "passengers on board" (i.e. incl. direct transit passengers) is given </t>
    </r>
    <r>
      <rPr>
        <i/>
        <sz val="8"/>
        <rFont val="Arial"/>
        <family val="2"/>
      </rPr>
      <t>in italics</t>
    </r>
    <r>
      <rPr>
        <sz val="8"/>
        <rFont val="Arial"/>
        <family val="2"/>
      </rPr>
      <t>.</t>
    </r>
  </si>
  <si>
    <t>1000 cruise passengers on excursion</t>
  </si>
  <si>
    <t>change '20/'21</t>
  </si>
  <si>
    <t>Palma de Mallorca - Düsseldorf</t>
  </si>
  <si>
    <t>Menorca - Barcelona</t>
  </si>
  <si>
    <t>Palma de Mallorca - Frankfurt (Main)</t>
  </si>
  <si>
    <t>Barcelona - Paris / Orly</t>
  </si>
  <si>
    <t>Madrid / Barajas - Lisboa</t>
  </si>
  <si>
    <t>Athinai / Eleftherios Venizelos - Santorini</t>
  </si>
  <si>
    <t>Malaga - Barcelona</t>
  </si>
  <si>
    <t>Lisboa - Ponta Delgada</t>
  </si>
  <si>
    <t>Palma de Mallorca - Köln</t>
  </si>
  <si>
    <t>Paris / Charles de Gaulle - Toulouse / Blagnac</t>
  </si>
  <si>
    <t>Palma de Mallorca - Hamburg</t>
  </si>
  <si>
    <t>Lulea / Kallax - Stockholm / Arlanda</t>
  </si>
  <si>
    <t>Lamezia Terme - Milano / Malpensa</t>
  </si>
  <si>
    <t>Roma / Fiumicino - Madrid / Barajas</t>
  </si>
  <si>
    <t>Source Eurostat</t>
  </si>
  <si>
    <t>'20/'21</t>
  </si>
  <si>
    <t>Le Port (Reunion)</t>
  </si>
  <si>
    <t>Moerdijk</t>
  </si>
  <si>
    <t>Pointe a Pitre (Guadeloupe)</t>
  </si>
  <si>
    <t>Cadiz</t>
  </si>
  <si>
    <t>Air France</t>
  </si>
  <si>
    <t>Wizz Air</t>
  </si>
  <si>
    <t>KLM Royal Dutch Airlines</t>
  </si>
  <si>
    <t>Anadolu Jet</t>
  </si>
  <si>
    <t>LOT Polish Airlines</t>
  </si>
  <si>
    <t>Jet2.com</t>
  </si>
  <si>
    <t>Transavia Airlines</t>
  </si>
  <si>
    <t>Transavia France</t>
  </si>
  <si>
    <t>Aegean Airlines</t>
  </si>
  <si>
    <t>GR</t>
  </si>
  <si>
    <t>Ryanair (1)</t>
  </si>
  <si>
    <t xml:space="preserve">(1): Figures refer to the Ryanair Group (Ryanair, Ryanair UK, Malta Air, Buzz); Year up to 30 March of the following year. </t>
  </si>
  <si>
    <t>(2): Easyjet: Financial year up to 30 September of the year indicated.</t>
  </si>
  <si>
    <t>EasyJet (2)</t>
  </si>
  <si>
    <t>TUIfly (4)</t>
  </si>
  <si>
    <t>Eurowings (3)</t>
  </si>
  <si>
    <t>(3) Germanwings merged with Eurowings in 2015. Data up to 2014 are revenue passenger-kilometres for Germanwings.</t>
  </si>
  <si>
    <t>Düsseldorf - Antalya, Türkiye</t>
  </si>
  <si>
    <t>Köln - Antalya, Türkiye</t>
  </si>
  <si>
    <t>Madrid / Barajas - Santo Domingo / Las Américas Intl, Dominican Republic</t>
  </si>
  <si>
    <t>Paris / Charles de Gaulle -  - Atlanta / Hartfield Jackson Intl, GA, USA</t>
  </si>
  <si>
    <t>Düsseldorf - Istanbul / Sabiha Gökçen, Türkiye</t>
  </si>
  <si>
    <t>Amsterdam / Schiphol - Istanbul / Sabiha Gökçen, Türkiye</t>
  </si>
  <si>
    <t>Palma De Mallorca -  Zurich, Switzerland</t>
  </si>
  <si>
    <t>Köln - Istanbul / Sabiha Gökçen, Türkiye</t>
  </si>
  <si>
    <t>Paris / Charles de Gaulle - Dakar / Blaise-Diagne Intl, Senegal</t>
  </si>
  <si>
    <t>Madrid / Barajas - Zurich, Switzerland</t>
  </si>
  <si>
    <t>Paris / Orly - Casablanca / Mohammed V Intl, Morroco</t>
  </si>
  <si>
    <t>Hannover - Antalya, Türkiye</t>
  </si>
  <si>
    <t>Frankfurt (Main) - London / Stansted, United Kingdom</t>
  </si>
  <si>
    <t>Dublin - London / Stansted, United Kingdom</t>
  </si>
  <si>
    <t>Amsterdam / Schiphol - Zurich, Switzerland</t>
  </si>
  <si>
    <t>Frankfurt (Main) - Chicago / O'hare Intl, IL, USA</t>
  </si>
  <si>
    <t>Frankfurt (Main) - Washington / Dulles Intl, DC, USA</t>
  </si>
  <si>
    <t>Paris / Charles de Gaulle - Tunis / Carthage, Tunisia</t>
  </si>
  <si>
    <t>Düsseldorf - Istanbul / Havalimani, Türkiye</t>
  </si>
  <si>
    <t>Paris / Charles de Gaulle - Tel-Aviv / Ben Gurion, Israel</t>
  </si>
  <si>
    <t>Madrid / Barajas - Miami Intl, FL, USA</t>
  </si>
  <si>
    <t>Paris / Charles de Gaulle - Mexico, Mexico</t>
  </si>
  <si>
    <r>
      <t xml:space="preserve">Source: </t>
    </r>
    <r>
      <rPr>
        <sz val="8"/>
        <rFont val="Arial"/>
        <family val="2"/>
      </rPr>
      <t>Eurostat  [avia_gooa],</t>
    </r>
    <r>
      <rPr>
        <i/>
        <sz val="8"/>
        <rFont val="Arial"/>
        <family val="2"/>
      </rPr>
      <t xml:space="preserve"> airport websites (in italics).</t>
    </r>
  </si>
  <si>
    <t>2021</t>
  </si>
  <si>
    <t>Helsinki Vantaa</t>
  </si>
  <si>
    <t>Wien Schwechat</t>
  </si>
  <si>
    <t>Kobenhavn / Kastrup</t>
  </si>
  <si>
    <t>Maastricht / Aachen</t>
  </si>
  <si>
    <t>Barcelona  / El Prat</t>
  </si>
  <si>
    <t>Paris Orly</t>
  </si>
  <si>
    <t>Bologna  / Borgo Panigale</t>
  </si>
  <si>
    <t>Berlin Brandenburg</t>
  </si>
  <si>
    <t>Bergamo   / Orio Al Serio</t>
  </si>
  <si>
    <t>Katowice / Pyrzowice</t>
  </si>
  <si>
    <t>Napoli / Capodichino</t>
  </si>
  <si>
    <t>Madrid  Barajas</t>
  </si>
  <si>
    <t>Zaragoza</t>
  </si>
  <si>
    <t xml:space="preserve">Lisboa </t>
  </si>
  <si>
    <t>Brussel-Bruxelles</t>
  </si>
  <si>
    <t xml:space="preserve"> Bergamo / Orio al Serio</t>
  </si>
  <si>
    <t xml:space="preserve">Venezia / Tessera </t>
  </si>
  <si>
    <t>La réunion / Roland Garros</t>
  </si>
  <si>
    <t>Malaga   / Costa Del Sol</t>
  </si>
  <si>
    <t>Palermo  / Punta Raisi</t>
  </si>
  <si>
    <t>Iraklion  / Nikos Kazantzakis</t>
  </si>
  <si>
    <t>Thessaloniki / Makedonia</t>
  </si>
  <si>
    <t>Bucuresti  Henri Coanda</t>
  </si>
  <si>
    <t xml:space="preserve">Hamburg </t>
  </si>
  <si>
    <t>Budapest   / Liszt Ferenc</t>
  </si>
  <si>
    <t>'21/'20</t>
  </si>
  <si>
    <t>Korcula</t>
  </si>
  <si>
    <t>Paros</t>
  </si>
  <si>
    <t>Jablanac</t>
  </si>
  <si>
    <t>Toulon</t>
  </si>
  <si>
    <t>Cres</t>
  </si>
  <si>
    <t>Ischia (2)</t>
  </si>
  <si>
    <t>Isola d' Elba(1)</t>
  </si>
  <si>
    <t>(2) Data up to 2018 for Porto D'Ischia</t>
  </si>
  <si>
    <t>(1) Data up to 2018 for Portoferraio</t>
  </si>
  <si>
    <t>20/21</t>
  </si>
  <si>
    <t>Taranto</t>
  </si>
  <si>
    <t>Lübeck</t>
  </si>
  <si>
    <t>Swinoujscie</t>
  </si>
  <si>
    <t>'20/21</t>
  </si>
  <si>
    <t>Frankfurt (Main) - Berlin / Brandenburg (1)</t>
  </si>
  <si>
    <t>Palma de Mallorca - Berlin / Brandenburg (1)</t>
  </si>
  <si>
    <t>(1) Berlin Brandenburg was opened for commercial flights in October 2020. Data up to 2020 refer to Berlin-Schönefeld. This no longer exists as an independent airport, but has become part of the new Berlin-Brandenburg Airport. Tegel Airport closed down its civil air traffic in the course of November 2020 and transferred the corresponding traffic to the Berlin-Brandenburg Airport.</t>
  </si>
  <si>
    <t>Paris / Charles de Gaulles</t>
  </si>
  <si>
    <t xml:space="preserve">Amsterdam / Schiphol </t>
  </si>
  <si>
    <t xml:space="preserve">Paris / Orly </t>
  </si>
  <si>
    <t xml:space="preserve">Milano / Malpensa </t>
  </si>
  <si>
    <t xml:space="preserve">Brussel-Bruxelles </t>
  </si>
  <si>
    <t>Palermo / Punta Raisi</t>
  </si>
  <si>
    <t>Budapest / Liszt Ferenc</t>
  </si>
  <si>
    <t xml:space="preserve">Lyon / Saint Exupery </t>
  </si>
  <si>
    <t xml:space="preserve">Praha / Ruzyne </t>
  </si>
  <si>
    <t xml:space="preserve">Charleroi / Brussels </t>
  </si>
  <si>
    <t xml:space="preserve">Larnaka </t>
  </si>
  <si>
    <t xml:space="preserve">Stuttgart </t>
  </si>
  <si>
    <t xml:space="preserve">Thessaloniki / Makedonia </t>
  </si>
  <si>
    <t>Sevilla</t>
  </si>
  <si>
    <t>2000-2021</t>
  </si>
  <si>
    <t>2020-2021</t>
  </si>
  <si>
    <t>BA</t>
  </si>
  <si>
    <t>MD</t>
  </si>
  <si>
    <t>UA</t>
  </si>
  <si>
    <t>..</t>
  </si>
  <si>
    <t>change 20/21</t>
  </si>
  <si>
    <r>
      <t>Source</t>
    </r>
    <r>
      <rPr>
        <sz val="8"/>
        <rFont val="Arial"/>
        <family val="2"/>
      </rPr>
      <t>: Eurostat  [avia_paocc]</t>
    </r>
  </si>
  <si>
    <t>(4) Part of TUI Group (TUI UK, TUIfly, TUI Airlines Netherlands, TUIfly Belgium and TUIfly Nordic).</t>
  </si>
  <si>
    <t>TUI UK (4)</t>
  </si>
  <si>
    <t xml:space="preserve">Köln / Bonn </t>
  </si>
  <si>
    <t>Ponte-à-Pitre (Guadeloupe)  - Paris / Orly</t>
  </si>
  <si>
    <t>Lanzarote  - Las Palmas / Gran Canaria</t>
  </si>
  <si>
    <t>Air : Main connections between EU- and non-EU airports in passenger transport</t>
  </si>
  <si>
    <t>Berlin / Brandenburg - Istanbul / Havalimani, Türkiye (1) (2)</t>
  </si>
  <si>
    <t>Amsterdam / Schiphol - Istanbul / Havalimani, Türkiye (1)</t>
  </si>
  <si>
    <t>Paris / Charles de Gaulle - Istanbul / Havalimani, Türkiye (1)</t>
  </si>
  <si>
    <t>Frankfurt (Main) - Istanbul / Havalimani, Türkiye (1)</t>
  </si>
  <si>
    <t>Berlin / Brandenburg - Antalya, Türkiye (2)</t>
  </si>
  <si>
    <t>Berlin / Brandenburg - Zürich, Switzerland (2)</t>
  </si>
  <si>
    <t>(1) Istanbul / Ataturk airport was closed in course of 2019 and has been replaced by Istanbul / Havalimani airport.</t>
  </si>
  <si>
    <t>(2) Berlin Brandenburg was opened for commercial flights in October 2020. Data up to 2020 refer to Berlin-Schönefeld. This no longer exists as an independent airport, but has become part of the new Berlin-Brandenburg Airport. Tegel Airport closed down its civil air traffic in the course of November 2020 and transferred the corresponding traffic to the Berlin-Brandenburg Airport.</t>
  </si>
  <si>
    <t>Oostende/Brugge</t>
  </si>
  <si>
    <t>Köln / Bonn</t>
  </si>
  <si>
    <t>Brussel /Bruxelles</t>
  </si>
  <si>
    <t>Gotland - ports (3)</t>
  </si>
  <si>
    <t>Egadi (4)</t>
  </si>
  <si>
    <t>(4) Data up to 2018 for Favignana.</t>
  </si>
  <si>
    <t xml:space="preserve">(3) As of 2021, Gotland Ports include ports of Klintehamn, Slite and Visby. Values up to 2020 refer to Visby only. </t>
  </si>
  <si>
    <r>
      <t xml:space="preserve">N.B.: </t>
    </r>
    <r>
      <rPr>
        <sz val="8"/>
        <rFont val="Arial"/>
        <family val="2"/>
      </rPr>
      <t>data from main ports only (ports handling more than 1 million tonnes per year);  the tonnes have been calculated by taking the declarations of the unloading ports (inward declarations) and adding those outward declarations of partner ports for which the inward declarations were missing.</t>
    </r>
  </si>
  <si>
    <t>Sea:  Container traffic at major EU seaports</t>
  </si>
  <si>
    <r>
      <t>Source</t>
    </r>
    <r>
      <rPr>
        <sz val="8"/>
        <rFont val="Arial"/>
        <family val="2"/>
      </rPr>
      <t xml:space="preserve">: DG MOVE Rail Market Monitoring, IRG-Rail reports (break in series), estimates in </t>
    </r>
    <r>
      <rPr>
        <i/>
        <sz val="8"/>
        <rFont val="Arial"/>
        <family val="2"/>
      </rPr>
      <t>italics.</t>
    </r>
  </si>
  <si>
    <r>
      <rPr>
        <b/>
        <sz val="8"/>
        <rFont val="Arial"/>
        <family val="2"/>
      </rPr>
      <t>NB:</t>
    </r>
    <r>
      <rPr>
        <sz val="8"/>
        <rFont val="Arial"/>
        <family val="2"/>
      </rPr>
      <t xml:space="preserve"> The three italian ports Ischia (containing Casamicciola, Forio and Porto D'Ischia), Isola d'Alba (containing Cavo, Porto Azzuro, Portoferraio and Rio Marina) and Egadi (containing Favignana, Levanzo and Marettimo) started reporting data as statistical ports in 2019.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</si>
</sst>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164" formatCode="#,##0.0"/>
    <numFmt numFmtId="165" formatCode="0.0"/>
    <numFmt numFmtId="166" formatCode="0.000"/>
    <numFmt numFmtId="167" formatCode="0.0%"/>
    <numFmt numFmtId="168" formatCode="0.00\ "/>
    <numFmt numFmtId="169" formatCode="0.0\ "/>
    <numFmt numFmtId="170" formatCode="#\ ##0.0"/>
    <numFmt numFmtId="171" formatCode="#\ ##0"/>
    <numFmt numFmtId="172" formatCode="0.0_ ;\-0.0\ "/>
  </numFmts>
  <fonts count="53" x14ac:knownFonts="1">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b/>
      <sz val="14"/>
      <name val="Arial"/>
      <family val="2"/>
    </font>
    <font>
      <sz val="8"/>
      <name val="Arial"/>
      <family val="2"/>
    </font>
    <font>
      <b/>
      <sz val="8"/>
      <name val="Arial"/>
      <family val="2"/>
    </font>
    <font>
      <sz val="8"/>
      <name val="Arial"/>
      <family val="2"/>
    </font>
    <font>
      <b/>
      <sz val="12"/>
      <name val="Arial"/>
      <family val="2"/>
    </font>
    <font>
      <b/>
      <sz val="8"/>
      <name val="Arial"/>
      <family val="2"/>
    </font>
    <font>
      <sz val="12"/>
      <name val="Arial"/>
      <family val="2"/>
    </font>
    <font>
      <b/>
      <sz val="10"/>
      <name val="Arial"/>
      <family val="2"/>
    </font>
    <font>
      <b/>
      <sz val="9"/>
      <name val="Arial"/>
      <family val="2"/>
    </font>
    <font>
      <sz val="9"/>
      <name val="Arial"/>
      <family val="2"/>
    </font>
    <font>
      <u/>
      <sz val="10"/>
      <color indexed="12"/>
      <name val="Arial"/>
      <family val="2"/>
    </font>
    <font>
      <i/>
      <sz val="8"/>
      <name val="Arial"/>
      <family val="2"/>
    </font>
    <font>
      <b/>
      <sz val="10"/>
      <color indexed="18"/>
      <name val="Arial"/>
      <family val="2"/>
    </font>
    <font>
      <b/>
      <sz val="10"/>
      <color indexed="8"/>
      <name val="Arial"/>
      <family val="2"/>
    </font>
    <font>
      <b/>
      <sz val="7"/>
      <name val="Arial"/>
      <family val="2"/>
    </font>
    <font>
      <b/>
      <sz val="10"/>
      <name val="Arial"/>
      <family val="2"/>
    </font>
    <font>
      <i/>
      <sz val="8"/>
      <name val="Times New Roman"/>
      <family val="1"/>
    </font>
    <font>
      <i/>
      <sz val="7"/>
      <name val="Arial"/>
      <family val="2"/>
    </font>
    <font>
      <b/>
      <sz val="12"/>
      <name val="Arial"/>
      <family val="2"/>
    </font>
    <font>
      <i/>
      <sz val="8"/>
      <name val="Arial"/>
      <family val="2"/>
    </font>
    <font>
      <sz val="12"/>
      <name val="Arial"/>
      <family val="2"/>
    </font>
    <font>
      <b/>
      <sz val="12"/>
      <name val="Times"/>
      <family val="1"/>
    </font>
    <font>
      <b/>
      <sz val="8"/>
      <name val="Times New Roman"/>
      <family val="1"/>
    </font>
    <font>
      <b/>
      <sz val="8"/>
      <name val="Times New Roman"/>
      <family val="1"/>
    </font>
    <font>
      <sz val="10"/>
      <name val="Times"/>
      <family val="1"/>
    </font>
    <font>
      <b/>
      <sz val="10"/>
      <name val="Times"/>
      <family val="1"/>
    </font>
    <font>
      <b/>
      <sz val="8"/>
      <name val="Times"/>
      <family val="1"/>
    </font>
    <font>
      <b/>
      <sz val="18"/>
      <name val="Arial"/>
      <family val="2"/>
    </font>
    <font>
      <b/>
      <sz val="10"/>
      <name val="Times"/>
      <family val="1"/>
    </font>
    <font>
      <b/>
      <i/>
      <sz val="10"/>
      <name val="Times"/>
      <family val="1"/>
    </font>
    <font>
      <sz val="8"/>
      <name val="Times"/>
      <family val="1"/>
    </font>
    <font>
      <i/>
      <sz val="8"/>
      <name val="Times"/>
      <family val="1"/>
    </font>
    <font>
      <b/>
      <sz val="8"/>
      <name val="Helvetica"/>
      <family val="2"/>
    </font>
    <font>
      <sz val="11"/>
      <name val="Arial"/>
      <family val="2"/>
    </font>
    <font>
      <sz val="10"/>
      <name val="Arial"/>
      <family val="2"/>
    </font>
    <font>
      <sz val="10"/>
      <name val="Times New Roman"/>
      <family val="1"/>
    </font>
    <font>
      <sz val="11"/>
      <name val="Arial"/>
      <family val="2"/>
    </font>
    <font>
      <b/>
      <i/>
      <sz val="8"/>
      <name val="Arial"/>
      <family val="2"/>
    </font>
    <font>
      <b/>
      <sz val="12"/>
      <color rgb="FFFFFFFF"/>
      <name val="Arial"/>
      <family val="2"/>
    </font>
    <font>
      <sz val="12"/>
      <color rgb="FF4D4D4D"/>
      <name val="Arial"/>
      <family val="2"/>
    </font>
    <font>
      <sz val="7"/>
      <name val="Arial"/>
      <family val="2"/>
    </font>
    <font>
      <i/>
      <sz val="10"/>
      <color theme="1"/>
      <name val="Arial"/>
      <family val="2"/>
    </font>
    <font>
      <i/>
      <sz val="7"/>
      <color theme="1"/>
      <name val="Arial"/>
      <family val="2"/>
    </font>
    <font>
      <sz val="8"/>
      <color theme="1"/>
      <name val="Arial"/>
      <family val="2"/>
    </font>
    <font>
      <i/>
      <sz val="8"/>
      <color theme="1"/>
      <name val="Arial"/>
      <family val="2"/>
    </font>
    <font>
      <b/>
      <i/>
      <sz val="8"/>
      <color theme="1"/>
      <name val="Arial"/>
      <family val="2"/>
    </font>
    <font>
      <b/>
      <i/>
      <sz val="9"/>
      <name val="Arial"/>
      <family val="2"/>
    </font>
    <font>
      <i/>
      <sz val="10"/>
      <name val="Arial"/>
      <family val="2"/>
    </font>
  </fonts>
  <fills count="13">
    <fill>
      <patternFill patternType="none"/>
    </fill>
    <fill>
      <patternFill patternType="gray125"/>
    </fill>
    <fill>
      <patternFill patternType="lightGray">
        <fgColor indexed="9"/>
      </patternFill>
    </fill>
    <fill>
      <patternFill patternType="gray0625">
        <fgColor indexed="9"/>
      </patternFill>
    </fill>
    <fill>
      <patternFill patternType="solid">
        <fgColor indexed="41"/>
        <bgColor indexed="64"/>
      </patternFill>
    </fill>
    <fill>
      <patternFill patternType="solid">
        <fgColor indexed="42"/>
        <bgColor indexed="64"/>
      </patternFill>
    </fill>
    <fill>
      <patternFill patternType="solid">
        <fgColor indexed="15"/>
        <bgColor indexed="64"/>
      </patternFill>
    </fill>
    <fill>
      <patternFill patternType="solid">
        <fgColor indexed="13"/>
        <bgColor indexed="64"/>
      </patternFill>
    </fill>
    <fill>
      <patternFill patternType="solid">
        <fgColor rgb="FFCCFFCC"/>
        <bgColor indexed="64"/>
      </patternFill>
    </fill>
    <fill>
      <patternFill patternType="solid">
        <fgColor rgb="FFFFFF00"/>
        <bgColor indexed="64"/>
      </patternFill>
    </fill>
    <fill>
      <patternFill patternType="solid">
        <fgColor rgb="FF00B0F0"/>
        <bgColor indexed="64"/>
      </patternFill>
    </fill>
    <fill>
      <patternFill patternType="solid">
        <fgColor rgb="FF2C85A4"/>
        <bgColor rgb="FF000000"/>
      </patternFill>
    </fill>
    <fill>
      <patternFill patternType="solid">
        <fgColor theme="0"/>
        <bgColor indexed="64"/>
      </patternFill>
    </fill>
  </fills>
  <borders count="45">
    <border>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right style="hair">
        <color indexed="64"/>
      </right>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hair">
        <color indexed="64"/>
      </right>
      <top/>
      <bottom style="thin">
        <color indexed="64"/>
      </bottom>
      <diagonal/>
    </border>
    <border>
      <left/>
      <right style="hair">
        <color indexed="64"/>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hair">
        <color indexed="64"/>
      </right>
      <top style="thick">
        <color indexed="64"/>
      </top>
      <bottom/>
      <diagonal/>
    </border>
    <border>
      <left style="hair">
        <color indexed="64"/>
      </left>
      <right style="hair">
        <color indexed="64"/>
      </right>
      <top style="thick">
        <color indexed="64"/>
      </top>
      <bottom/>
      <diagonal/>
    </border>
    <border>
      <left style="hair">
        <color indexed="64"/>
      </left>
      <right/>
      <top/>
      <bottom/>
      <diagonal/>
    </border>
    <border>
      <left style="hair">
        <color indexed="64"/>
      </left>
      <right/>
      <top/>
      <bottom style="thin">
        <color indexed="64"/>
      </bottom>
      <diagonal/>
    </border>
    <border>
      <left style="thick">
        <color indexed="64"/>
      </left>
      <right/>
      <top/>
      <bottom/>
      <diagonal/>
    </border>
    <border>
      <left style="hair">
        <color indexed="64"/>
      </left>
      <right/>
      <top style="thick">
        <color indexed="64"/>
      </top>
      <bottom/>
      <diagonal/>
    </border>
    <border>
      <left/>
      <right/>
      <top style="thick">
        <color indexed="64"/>
      </top>
      <bottom/>
      <diagonal/>
    </border>
    <border>
      <left/>
      <right/>
      <top style="thin">
        <color rgb="FF2C85A4"/>
      </top>
      <bottom style="thin">
        <color rgb="FF2C85A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diagonal/>
    </border>
    <border>
      <left style="thick">
        <color indexed="64"/>
      </left>
      <right style="thin">
        <color indexed="64"/>
      </right>
      <top/>
      <bottom/>
      <diagonal/>
    </border>
  </borders>
  <cellStyleXfs count="17">
    <xf numFmtId="0" fontId="0" fillId="0" borderId="0"/>
    <xf numFmtId="0" fontId="15" fillId="0" borderId="0" applyNumberFormat="0" applyFill="0" applyBorder="0" applyAlignment="0" applyProtection="0">
      <alignment vertical="top"/>
      <protection locked="0"/>
    </xf>
    <xf numFmtId="0" fontId="4" fillId="0" borderId="0"/>
    <xf numFmtId="0" fontId="8" fillId="0" borderId="0"/>
    <xf numFmtId="0" fontId="17" fillId="2" borderId="0" applyNumberFormat="0" applyBorder="0">
      <protection locked="0"/>
    </xf>
    <xf numFmtId="0" fontId="18" fillId="3" borderId="0" applyNumberFormat="0" applyBorder="0">
      <protection locked="0"/>
    </xf>
    <xf numFmtId="0" fontId="38" fillId="0" borderId="0"/>
    <xf numFmtId="0" fontId="2" fillId="0" borderId="0"/>
    <xf numFmtId="9" fontId="39" fillId="0" borderId="0" applyFont="0" applyFill="0" applyBorder="0" applyAlignment="0" applyProtection="0"/>
    <xf numFmtId="0" fontId="3" fillId="0" borderId="0"/>
    <xf numFmtId="0" fontId="40" fillId="0" borderId="0"/>
    <xf numFmtId="0" fontId="41" fillId="0" borderId="0"/>
    <xf numFmtId="0" fontId="3"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1" fontId="1" fillId="0" borderId="0" applyFont="0" applyFill="0" applyBorder="0" applyAlignment="0" applyProtection="0"/>
  </cellStyleXfs>
  <cellXfs count="1225">
    <xf numFmtId="0" fontId="0" fillId="0" borderId="0" xfId="0"/>
    <xf numFmtId="0" fontId="0" fillId="0" borderId="0" xfId="0" applyBorder="1"/>
    <xf numFmtId="0" fontId="10" fillId="0" borderId="0" xfId="0" applyFont="1" applyBorder="1" applyAlignment="1">
      <alignment horizontal="left"/>
    </xf>
    <xf numFmtId="0" fontId="6" fillId="0" borderId="0" xfId="0" applyFont="1"/>
    <xf numFmtId="0" fontId="10" fillId="0" borderId="0" xfId="0" applyFont="1"/>
    <xf numFmtId="0" fontId="8" fillId="0" borderId="0" xfId="0" applyFont="1"/>
    <xf numFmtId="0" fontId="0" fillId="0" borderId="0" xfId="0" applyAlignment="1">
      <alignment horizontal="center"/>
    </xf>
    <xf numFmtId="0" fontId="0" fillId="0" borderId="0" xfId="0" applyFill="1"/>
    <xf numFmtId="0" fontId="6" fillId="0" borderId="0" xfId="0" applyFont="1" applyAlignment="1">
      <alignment horizontal="center"/>
    </xf>
    <xf numFmtId="0" fontId="0" fillId="0" borderId="0" xfId="0" applyAlignment="1">
      <alignment vertical="top"/>
    </xf>
    <xf numFmtId="0" fontId="9" fillId="0" borderId="0" xfId="0" quotePrefix="1" applyFont="1" applyBorder="1" applyAlignment="1">
      <alignment horizontal="right" vertical="top"/>
    </xf>
    <xf numFmtId="0" fontId="9" fillId="0" borderId="0" xfId="0" applyFont="1" applyBorder="1" applyAlignment="1">
      <alignment horizontal="center" vertical="center"/>
    </xf>
    <xf numFmtId="0" fontId="20" fillId="0" borderId="0" xfId="0" applyFont="1" applyAlignment="1">
      <alignment horizontal="center"/>
    </xf>
    <xf numFmtId="0" fontId="0" fillId="0" borderId="0" xfId="0" applyAlignment="1"/>
    <xf numFmtId="0" fontId="0" fillId="0" borderId="0" xfId="0" applyAlignment="1">
      <alignment vertical="center"/>
    </xf>
    <xf numFmtId="0" fontId="11" fillId="0" borderId="0" xfId="0" applyFont="1"/>
    <xf numFmtId="0" fontId="10" fillId="0" borderId="0" xfId="0" applyFont="1" applyFill="1" applyBorder="1" applyAlignment="1">
      <alignment horizontal="center"/>
    </xf>
    <xf numFmtId="0" fontId="25" fillId="0" borderId="0" xfId="0" applyFont="1"/>
    <xf numFmtId="0" fontId="6" fillId="0" borderId="0" xfId="0" applyFont="1" applyFill="1" applyAlignment="1">
      <alignment horizontal="center"/>
    </xf>
    <xf numFmtId="0" fontId="7" fillId="0" borderId="0" xfId="0" applyFont="1"/>
    <xf numFmtId="0" fontId="11" fillId="0" borderId="0" xfId="0" applyFont="1" applyBorder="1" applyAlignment="1">
      <alignment horizontal="left" vertical="top"/>
    </xf>
    <xf numFmtId="0" fontId="9" fillId="0" borderId="0" xfId="0" quotePrefix="1" applyFont="1" applyBorder="1" applyAlignment="1">
      <alignment horizontal="left" vertical="top"/>
    </xf>
    <xf numFmtId="0" fontId="0" fillId="0" borderId="0" xfId="0" applyFill="1" applyAlignment="1">
      <alignment vertical="center"/>
    </xf>
    <xf numFmtId="0" fontId="25" fillId="0" borderId="0" xfId="0" applyFont="1" applyAlignment="1">
      <alignment horizontal="center"/>
    </xf>
    <xf numFmtId="0" fontId="20" fillId="0" borderId="0" xfId="0" applyFont="1" applyFill="1" applyAlignment="1">
      <alignment horizontal="center"/>
    </xf>
    <xf numFmtId="0" fontId="0" fillId="0" borderId="0" xfId="0" applyFill="1" applyAlignment="1"/>
    <xf numFmtId="0" fontId="7" fillId="0" borderId="0" xfId="0" applyFont="1" applyFill="1"/>
    <xf numFmtId="0" fontId="11" fillId="0" borderId="0" xfId="0" applyFont="1" applyAlignment="1">
      <alignment vertical="top" wrapText="1"/>
    </xf>
    <xf numFmtId="0" fontId="9" fillId="0" borderId="0" xfId="0" applyFont="1" applyAlignment="1">
      <alignment horizontal="right" vertical="top"/>
    </xf>
    <xf numFmtId="0" fontId="11" fillId="0" borderId="0" xfId="0" applyFont="1" applyBorder="1" applyAlignment="1">
      <alignment vertical="top"/>
    </xf>
    <xf numFmtId="2" fontId="9" fillId="0" borderId="0" xfId="0" quotePrefix="1" applyNumberFormat="1" applyFont="1" applyBorder="1" applyAlignment="1">
      <alignment horizontal="right" vertical="top"/>
    </xf>
    <xf numFmtId="0" fontId="10" fillId="0" borderId="1" xfId="0" applyFont="1" applyFill="1" applyBorder="1" applyAlignment="1">
      <alignment horizontal="center"/>
    </xf>
    <xf numFmtId="0" fontId="12" fillId="0" borderId="1" xfId="0" applyFont="1" applyFill="1" applyBorder="1" applyAlignment="1">
      <alignment horizontal="center" vertical="top" wrapText="1"/>
    </xf>
    <xf numFmtId="0" fontId="6" fillId="0" borderId="0" xfId="0" applyFont="1" applyFill="1" applyAlignment="1">
      <alignment horizontal="center" vertical="center"/>
    </xf>
    <xf numFmtId="0" fontId="10" fillId="4" borderId="3" xfId="0" applyFont="1" applyFill="1" applyBorder="1" applyAlignment="1">
      <alignment horizontal="center" vertical="center"/>
    </xf>
    <xf numFmtId="0" fontId="9" fillId="0" borderId="0" xfId="0" quotePrefix="1" applyFont="1" applyAlignment="1">
      <alignment horizontal="right" vertical="top"/>
    </xf>
    <xf numFmtId="0" fontId="6" fillId="4" borderId="8" xfId="0" applyFont="1" applyFill="1" applyBorder="1"/>
    <xf numFmtId="0" fontId="6" fillId="4" borderId="6" xfId="0" applyFont="1" applyFill="1" applyBorder="1" applyAlignment="1">
      <alignment horizontal="center"/>
    </xf>
    <xf numFmtId="0" fontId="6" fillId="4" borderId="6" xfId="0" applyFont="1" applyFill="1" applyBorder="1"/>
    <xf numFmtId="0" fontId="10" fillId="4" borderId="0" xfId="0" applyFont="1" applyFill="1" applyBorder="1"/>
    <xf numFmtId="0" fontId="10" fillId="4" borderId="1" xfId="0" applyFont="1" applyFill="1" applyBorder="1" applyAlignment="1">
      <alignment horizontal="center"/>
    </xf>
    <xf numFmtId="0" fontId="10" fillId="4" borderId="0" xfId="0" applyFont="1" applyFill="1" applyBorder="1" applyAlignment="1">
      <alignment horizontal="center"/>
    </xf>
    <xf numFmtId="0" fontId="27" fillId="4" borderId="11" xfId="0" applyFont="1" applyFill="1" applyBorder="1"/>
    <xf numFmtId="0" fontId="27" fillId="4" borderId="5" xfId="0" applyFont="1" applyFill="1" applyBorder="1" applyAlignment="1">
      <alignment horizontal="center"/>
    </xf>
    <xf numFmtId="0" fontId="27" fillId="4" borderId="11" xfId="0" applyFont="1" applyFill="1" applyBorder="1" applyAlignment="1">
      <alignment horizontal="center"/>
    </xf>
    <xf numFmtId="0" fontId="7" fillId="4" borderId="12" xfId="0" applyFont="1" applyFill="1" applyBorder="1" applyAlignment="1">
      <alignment horizontal="center"/>
    </xf>
    <xf numFmtId="0" fontId="10" fillId="4" borderId="1" xfId="0" applyFont="1" applyFill="1" applyBorder="1"/>
    <xf numFmtId="0" fontId="19" fillId="4" borderId="4" xfId="0" quotePrefix="1" applyFont="1" applyFill="1" applyBorder="1" applyAlignment="1">
      <alignment horizontal="center"/>
    </xf>
    <xf numFmtId="0" fontId="27" fillId="4" borderId="5" xfId="0" applyFont="1" applyFill="1" applyBorder="1"/>
    <xf numFmtId="0" fontId="20" fillId="4" borderId="9" xfId="0" applyFont="1" applyFill="1" applyBorder="1" applyAlignment="1">
      <alignment horizontal="center"/>
    </xf>
    <xf numFmtId="0" fontId="20" fillId="4" borderId="3" xfId="0" applyFont="1" applyFill="1" applyBorder="1" applyAlignment="1">
      <alignment horizontal="center"/>
    </xf>
    <xf numFmtId="0" fontId="20" fillId="4" borderId="12" xfId="0" applyFont="1" applyFill="1" applyBorder="1" applyAlignment="1">
      <alignment horizontal="center"/>
    </xf>
    <xf numFmtId="3" fontId="6" fillId="0" borderId="0" xfId="0" applyNumberFormat="1" applyFont="1" applyAlignment="1">
      <alignment horizontal="right"/>
    </xf>
    <xf numFmtId="0" fontId="12" fillId="4" borderId="1" xfId="0" applyFont="1" applyFill="1" applyBorder="1" applyAlignment="1">
      <alignment horizontal="center"/>
    </xf>
    <xf numFmtId="0" fontId="10" fillId="4" borderId="0" xfId="0" applyFont="1" applyFill="1" applyBorder="1" applyAlignment="1">
      <alignment horizontal="center" vertical="center"/>
    </xf>
    <xf numFmtId="0" fontId="7" fillId="4" borderId="8" xfId="0" applyFont="1" applyFill="1" applyBorder="1" applyAlignment="1">
      <alignment horizontal="center"/>
    </xf>
    <xf numFmtId="0" fontId="6" fillId="4" borderId="8" xfId="0" applyFont="1" applyFill="1" applyBorder="1" applyAlignment="1">
      <alignment horizontal="centerContinuous"/>
    </xf>
    <xf numFmtId="0" fontId="19" fillId="4" borderId="4" xfId="0" quotePrefix="1" applyFont="1" applyFill="1" applyBorder="1" applyAlignment="1">
      <alignment horizontal="center" vertical="center"/>
    </xf>
    <xf numFmtId="0" fontId="7" fillId="4" borderId="11" xfId="0" applyFont="1" applyFill="1" applyBorder="1" applyAlignment="1">
      <alignment horizontal="center"/>
    </xf>
    <xf numFmtId="0" fontId="7" fillId="4" borderId="5" xfId="0" applyFont="1" applyFill="1" applyBorder="1" applyAlignment="1">
      <alignment horizontal="center"/>
    </xf>
    <xf numFmtId="0" fontId="19" fillId="4" borderId="10" xfId="0" applyFont="1" applyFill="1" applyBorder="1" applyAlignment="1">
      <alignment horizontal="center" vertical="center" wrapText="1"/>
    </xf>
    <xf numFmtId="0" fontId="12" fillId="4" borderId="7" xfId="0" applyFont="1" applyFill="1" applyBorder="1" applyAlignment="1">
      <alignment horizontal="center" vertical="top"/>
    </xf>
    <xf numFmtId="0" fontId="13" fillId="4" borderId="8" xfId="0" applyFont="1" applyFill="1" applyBorder="1" applyAlignment="1">
      <alignment horizontal="center" vertical="center" wrapText="1"/>
    </xf>
    <xf numFmtId="0" fontId="13" fillId="4" borderId="11" xfId="0" applyFont="1" applyFill="1" applyBorder="1" applyAlignment="1">
      <alignment horizontal="center" vertical="center" wrapText="1"/>
    </xf>
    <xf numFmtId="0" fontId="13" fillId="4" borderId="5" xfId="0" applyFont="1" applyFill="1" applyBorder="1" applyAlignment="1">
      <alignment horizontal="center" vertical="center" wrapText="1"/>
    </xf>
    <xf numFmtId="0" fontId="10" fillId="4" borderId="0" xfId="0" applyFont="1" applyFill="1" applyBorder="1" applyAlignment="1">
      <alignment horizontal="center" vertical="center" wrapText="1"/>
    </xf>
    <xf numFmtId="0" fontId="6" fillId="4" borderId="9" xfId="0" applyFont="1" applyFill="1" applyBorder="1"/>
    <xf numFmtId="0" fontId="6" fillId="0" borderId="3" xfId="0" applyFont="1" applyFill="1" applyBorder="1"/>
    <xf numFmtId="0" fontId="0" fillId="0" borderId="9" xfId="0" applyFill="1" applyBorder="1"/>
    <xf numFmtId="0" fontId="0" fillId="0" borderId="3" xfId="0" applyFill="1" applyBorder="1"/>
    <xf numFmtId="0" fontId="6" fillId="0" borderId="0" xfId="0" applyFont="1" applyFill="1" applyBorder="1"/>
    <xf numFmtId="2" fontId="7" fillId="5" borderId="4" xfId="0" applyNumberFormat="1" applyFont="1" applyFill="1" applyBorder="1" applyAlignment="1">
      <alignment horizontal="center"/>
    </xf>
    <xf numFmtId="2" fontId="7" fillId="0" borderId="4" xfId="0" applyNumberFormat="1" applyFont="1" applyFill="1" applyBorder="1" applyAlignment="1">
      <alignment horizontal="center"/>
    </xf>
    <xf numFmtId="9" fontId="8" fillId="0" borderId="13" xfId="0" applyNumberFormat="1" applyFont="1" applyFill="1" applyBorder="1" applyAlignment="1">
      <alignment horizontal="center" vertical="center"/>
    </xf>
    <xf numFmtId="9" fontId="8" fillId="0" borderId="16" xfId="0" applyNumberFormat="1" applyFont="1" applyFill="1" applyBorder="1" applyAlignment="1">
      <alignment horizontal="center" vertical="center"/>
    </xf>
    <xf numFmtId="9" fontId="8" fillId="0" borderId="1" xfId="0" applyNumberFormat="1" applyFont="1" applyFill="1" applyBorder="1" applyAlignment="1">
      <alignment horizontal="center" vertical="center"/>
    </xf>
    <xf numFmtId="165" fontId="8" fillId="0" borderId="13" xfId="0" applyNumberFormat="1" applyFont="1" applyFill="1" applyBorder="1" applyAlignment="1">
      <alignment horizontal="center" vertical="center"/>
    </xf>
    <xf numFmtId="0" fontId="10" fillId="4" borderId="7"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10" fillId="5" borderId="4" xfId="0" applyFont="1" applyFill="1" applyBorder="1" applyAlignment="1">
      <alignment horizontal="center" vertical="center"/>
    </xf>
    <xf numFmtId="0" fontId="10" fillId="5" borderId="10" xfId="0" applyFont="1" applyFill="1" applyBorder="1" applyAlignment="1">
      <alignment horizontal="center" vertical="center"/>
    </xf>
    <xf numFmtId="165" fontId="10" fillId="0" borderId="1" xfId="0" applyNumberFormat="1" applyFont="1" applyFill="1" applyBorder="1" applyAlignment="1">
      <alignment horizontal="center" vertical="center"/>
    </xf>
    <xf numFmtId="0" fontId="8" fillId="4" borderId="13" xfId="0" applyFont="1" applyFill="1" applyBorder="1" applyAlignment="1">
      <alignment horizontal="right" vertical="center" wrapText="1"/>
    </xf>
    <xf numFmtId="0" fontId="8" fillId="0" borderId="0" xfId="0" applyFont="1" applyBorder="1" applyAlignment="1">
      <alignment horizontal="center" vertical="center"/>
    </xf>
    <xf numFmtId="0" fontId="12" fillId="0" borderId="9" xfId="0" applyFont="1" applyBorder="1" applyAlignment="1">
      <alignment horizontal="left"/>
    </xf>
    <xf numFmtId="0" fontId="12" fillId="0" borderId="9" xfId="0" applyFont="1" applyBorder="1" applyAlignment="1">
      <alignment vertical="center"/>
    </xf>
    <xf numFmtId="0" fontId="0" fillId="0" borderId="8" xfId="0" applyBorder="1"/>
    <xf numFmtId="0" fontId="13" fillId="4" borderId="3" xfId="0" applyFont="1" applyFill="1" applyBorder="1" applyAlignment="1">
      <alignment horizontal="centerContinuous" vertical="center"/>
    </xf>
    <xf numFmtId="0" fontId="14" fillId="4" borderId="1" xfId="0" applyFont="1" applyFill="1" applyBorder="1" applyAlignment="1">
      <alignment horizontal="centerContinuous" vertical="center"/>
    </xf>
    <xf numFmtId="0" fontId="13" fillId="4" borderId="1"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4" xfId="0" applyFont="1" applyFill="1" applyBorder="1" applyAlignment="1">
      <alignment horizontal="center" vertical="center"/>
    </xf>
    <xf numFmtId="0" fontId="10" fillId="0" borderId="0" xfId="0" applyFont="1" applyBorder="1" applyAlignment="1">
      <alignment wrapText="1"/>
    </xf>
    <xf numFmtId="0" fontId="14" fillId="0" borderId="0" xfId="0" applyFont="1" applyBorder="1" applyAlignment="1">
      <alignment horizontal="center" vertical="center" wrapText="1"/>
    </xf>
    <xf numFmtId="0" fontId="12" fillId="4" borderId="5" xfId="0" applyFont="1" applyFill="1" applyBorder="1" applyAlignment="1">
      <alignment horizontal="center"/>
    </xf>
    <xf numFmtId="0" fontId="14" fillId="0" borderId="0" xfId="0" applyFont="1" applyBorder="1" applyAlignment="1">
      <alignment horizontal="center" vertical="center"/>
    </xf>
    <xf numFmtId="0" fontId="10" fillId="4" borderId="13" xfId="0" applyFont="1" applyFill="1" applyBorder="1" applyAlignment="1">
      <alignment horizontal="center" vertical="top" wrapText="1"/>
    </xf>
    <xf numFmtId="0" fontId="21" fillId="4" borderId="3" xfId="0" applyFont="1" applyFill="1" applyBorder="1" applyAlignment="1">
      <alignment horizontal="center"/>
    </xf>
    <xf numFmtId="0" fontId="21" fillId="4" borderId="12" xfId="0" applyFont="1" applyFill="1" applyBorder="1" applyAlignment="1">
      <alignment horizontal="center"/>
    </xf>
    <xf numFmtId="0" fontId="10" fillId="4" borderId="11" xfId="0" applyFont="1" applyFill="1" applyBorder="1" applyAlignment="1">
      <alignment horizontal="center" vertical="center"/>
    </xf>
    <xf numFmtId="0" fontId="19" fillId="4" borderId="4" xfId="0" quotePrefix="1" applyFont="1" applyFill="1" applyBorder="1" applyAlignment="1">
      <alignment horizontal="center" vertical="center" wrapText="1"/>
    </xf>
    <xf numFmtId="0" fontId="8" fillId="4" borderId="21" xfId="0" applyFont="1" applyFill="1" applyBorder="1" applyAlignment="1">
      <alignment horizontal="center" vertical="center" wrapText="1"/>
    </xf>
    <xf numFmtId="0" fontId="10" fillId="4" borderId="20" xfId="0" applyFont="1" applyFill="1" applyBorder="1" applyAlignment="1">
      <alignment horizontal="center" vertical="top" wrapText="1"/>
    </xf>
    <xf numFmtId="0" fontId="10" fillId="4" borderId="15" xfId="0" applyFont="1" applyFill="1" applyBorder="1" applyAlignment="1">
      <alignment horizontal="center" vertical="top" wrapText="1"/>
    </xf>
    <xf numFmtId="0" fontId="10" fillId="4" borderId="16" xfId="0" applyFont="1" applyFill="1" applyBorder="1" applyAlignment="1">
      <alignment horizontal="center" wrapText="1"/>
    </xf>
    <xf numFmtId="0" fontId="6" fillId="0" borderId="1" xfId="0" applyFont="1" applyFill="1" applyBorder="1"/>
    <xf numFmtId="0" fontId="6" fillId="0" borderId="5" xfId="0" applyFont="1" applyFill="1" applyBorder="1"/>
    <xf numFmtId="0" fontId="6" fillId="0" borderId="12" xfId="0" applyFont="1" applyFill="1" applyBorder="1"/>
    <xf numFmtId="0" fontId="10" fillId="0" borderId="0" xfId="0" applyFont="1" applyAlignment="1"/>
    <xf numFmtId="0" fontId="9" fillId="0" borderId="0" xfId="0" applyFont="1" applyBorder="1" applyAlignment="1">
      <alignment horizontal="center" vertical="top"/>
    </xf>
    <xf numFmtId="0" fontId="10" fillId="0" borderId="0" xfId="0" applyFont="1" applyFill="1" applyBorder="1" applyAlignment="1">
      <alignment horizontal="left" wrapText="1"/>
    </xf>
    <xf numFmtId="0" fontId="10" fillId="0" borderId="0" xfId="0" applyFont="1" applyFill="1" applyAlignment="1">
      <alignment horizontal="left" wrapText="1"/>
    </xf>
    <xf numFmtId="0" fontId="10" fillId="4" borderId="4" xfId="0" applyFont="1" applyFill="1" applyBorder="1" applyAlignment="1">
      <alignment horizontal="center" wrapText="1"/>
    </xf>
    <xf numFmtId="0" fontId="10" fillId="5" borderId="4" xfId="0" applyFont="1" applyFill="1" applyBorder="1" applyAlignment="1">
      <alignment horizontal="center" vertical="center" wrapText="1"/>
    </xf>
    <xf numFmtId="0" fontId="3" fillId="0" borderId="0" xfId="0" applyFont="1"/>
    <xf numFmtId="0" fontId="10" fillId="4" borderId="8" xfId="0" applyFont="1" applyFill="1" applyBorder="1" applyAlignment="1">
      <alignment horizontal="center" vertical="center"/>
    </xf>
    <xf numFmtId="0" fontId="8" fillId="0" borderId="0" xfId="0" applyFont="1" applyFill="1" applyBorder="1"/>
    <xf numFmtId="0" fontId="8" fillId="4" borderId="4" xfId="0" applyFont="1" applyFill="1" applyBorder="1" applyAlignment="1">
      <alignment vertical="center"/>
    </xf>
    <xf numFmtId="0" fontId="6" fillId="4" borderId="12" xfId="0" applyFont="1" applyFill="1" applyBorder="1" applyAlignment="1">
      <alignment horizontal="center" vertical="top" wrapText="1"/>
    </xf>
    <xf numFmtId="0" fontId="6" fillId="4" borderId="11" xfId="0" applyFont="1" applyFill="1" applyBorder="1" applyAlignment="1">
      <alignment horizontal="center" vertical="top" wrapText="1"/>
    </xf>
    <xf numFmtId="0" fontId="8" fillId="4" borderId="10" xfId="0" applyFont="1" applyFill="1" applyBorder="1" applyAlignment="1">
      <alignment horizontal="right" vertical="center"/>
    </xf>
    <xf numFmtId="0" fontId="8" fillId="4" borderId="4" xfId="0" applyFont="1" applyFill="1" applyBorder="1" applyAlignment="1">
      <alignment horizontal="right" vertical="center"/>
    </xf>
    <xf numFmtId="0" fontId="0" fillId="0" borderId="0" xfId="0" applyAlignment="1">
      <alignment horizontal="left"/>
    </xf>
    <xf numFmtId="0" fontId="9" fillId="0" borderId="0" xfId="0" applyFont="1" applyAlignment="1">
      <alignment horizontal="left" vertical="top" wrapText="1"/>
    </xf>
    <xf numFmtId="0" fontId="8" fillId="0" borderId="3" xfId="0" applyFont="1" applyFill="1" applyBorder="1" applyAlignment="1">
      <alignment horizontal="center"/>
    </xf>
    <xf numFmtId="0" fontId="10" fillId="5" borderId="26" xfId="0" applyFont="1" applyFill="1" applyBorder="1" applyAlignment="1">
      <alignment horizontal="center" vertical="center"/>
    </xf>
    <xf numFmtId="0" fontId="12" fillId="0" borderId="0" xfId="0" applyFont="1" applyAlignment="1">
      <alignment horizontal="center" vertical="center" wrapText="1"/>
    </xf>
    <xf numFmtId="0" fontId="29" fillId="0" borderId="0" xfId="0" applyFont="1"/>
    <xf numFmtId="0" fontId="4" fillId="0" borderId="0" xfId="0" applyFont="1" applyBorder="1" applyAlignment="1">
      <alignment horizontal="center" vertical="center"/>
    </xf>
    <xf numFmtId="0" fontId="30" fillId="0" borderId="0" xfId="0" applyFont="1" applyAlignment="1">
      <alignment horizontal="center"/>
    </xf>
    <xf numFmtId="0" fontId="31" fillId="0" borderId="0" xfId="0" applyFont="1"/>
    <xf numFmtId="17" fontId="5" fillId="0" borderId="0" xfId="0" quotePrefix="1" applyNumberFormat="1" applyFont="1" applyBorder="1" applyAlignment="1">
      <alignment horizontal="center" vertical="center" wrapText="1"/>
    </xf>
    <xf numFmtId="0" fontId="31" fillId="0" borderId="0" xfId="0" applyFont="1" applyAlignment="1">
      <alignment horizontal="center"/>
    </xf>
    <xf numFmtId="0" fontId="5" fillId="0" borderId="0" xfId="0" applyFont="1" applyAlignment="1">
      <alignment horizontal="center" vertical="center" wrapText="1"/>
    </xf>
    <xf numFmtId="49" fontId="4" fillId="0" borderId="0" xfId="0" applyNumberFormat="1" applyFont="1" applyAlignment="1">
      <alignment horizontal="left" vertical="center"/>
    </xf>
    <xf numFmtId="0" fontId="33" fillId="0" borderId="0" xfId="0" applyFont="1" applyAlignment="1">
      <alignment horizontal="left" vertical="center"/>
    </xf>
    <xf numFmtId="0" fontId="4" fillId="0" borderId="0" xfId="0" applyFont="1" applyAlignment="1">
      <alignment horizontal="left" vertical="center" wrapText="1"/>
    </xf>
    <xf numFmtId="0" fontId="33" fillId="0" borderId="0" xfId="0" applyFont="1" applyAlignment="1">
      <alignment horizontal="center"/>
    </xf>
    <xf numFmtId="0" fontId="29" fillId="0" borderId="0" xfId="0" applyFont="1" applyAlignment="1">
      <alignment horizontal="left" vertical="center"/>
    </xf>
    <xf numFmtId="168" fontId="4" fillId="0" borderId="0" xfId="0" quotePrefix="1" applyNumberFormat="1" applyFont="1" applyAlignment="1">
      <alignment horizontal="left" vertical="center"/>
    </xf>
    <xf numFmtId="0" fontId="34" fillId="0" borderId="0" xfId="0" applyFont="1" applyAlignment="1">
      <alignment horizontal="left"/>
    </xf>
    <xf numFmtId="0" fontId="35" fillId="0" borderId="0" xfId="0" applyFont="1" applyAlignment="1">
      <alignment horizontal="left" vertical="center"/>
    </xf>
    <xf numFmtId="0" fontId="36" fillId="0" borderId="0" xfId="0" applyFont="1"/>
    <xf numFmtId="0" fontId="8" fillId="4" borderId="4" xfId="0" applyFont="1" applyFill="1" applyBorder="1" applyAlignment="1">
      <alignment horizontal="center" vertical="top" wrapText="1"/>
    </xf>
    <xf numFmtId="0" fontId="8" fillId="4" borderId="7" xfId="0" applyFont="1" applyFill="1" applyBorder="1" applyAlignment="1">
      <alignment horizontal="center" vertical="top" wrapText="1"/>
    </xf>
    <xf numFmtId="0" fontId="10" fillId="0" borderId="0" xfId="0" applyFont="1" applyFill="1" applyAlignment="1">
      <alignment horizontal="center"/>
    </xf>
    <xf numFmtId="0" fontId="7" fillId="0" borderId="0" xfId="0" applyFont="1" applyFill="1" applyAlignment="1">
      <alignment horizontal="center" vertical="center"/>
    </xf>
    <xf numFmtId="0" fontId="7" fillId="0" borderId="0" xfId="0" applyFont="1" applyFill="1" applyAlignment="1">
      <alignment horizontal="center"/>
    </xf>
    <xf numFmtId="0" fontId="37" fillId="0" borderId="0" xfId="0" applyFont="1" applyFill="1" applyAlignment="1">
      <alignment horizontal="center" vertical="center"/>
    </xf>
    <xf numFmtId="0" fontId="7" fillId="0" borderId="0" xfId="0" applyFont="1" applyAlignment="1">
      <alignment horizontal="center"/>
    </xf>
    <xf numFmtId="0" fontId="10" fillId="0" borderId="0" xfId="0" applyFont="1" applyAlignment="1">
      <alignment horizontal="center"/>
    </xf>
    <xf numFmtId="0" fontId="25" fillId="0" borderId="0" xfId="0" applyFont="1" applyFill="1" applyBorder="1" applyAlignment="1">
      <alignment vertical="top"/>
    </xf>
    <xf numFmtId="0" fontId="25" fillId="0" borderId="0" xfId="0" applyFont="1" applyFill="1"/>
    <xf numFmtId="0" fontId="7" fillId="0" borderId="0" xfId="0" applyFont="1" applyAlignment="1">
      <alignment horizontal="center" vertical="top" wrapText="1"/>
    </xf>
    <xf numFmtId="0" fontId="7" fillId="0" borderId="0" xfId="0" applyFont="1" applyAlignment="1">
      <alignment horizontal="center" vertical="center"/>
    </xf>
    <xf numFmtId="0" fontId="7" fillId="0" borderId="0" xfId="0" applyFont="1" applyAlignment="1">
      <alignment horizontal="left" wrapText="1"/>
    </xf>
    <xf numFmtId="0" fontId="8" fillId="0" borderId="1" xfId="0" applyFont="1" applyFill="1" applyBorder="1"/>
    <xf numFmtId="0" fontId="15" fillId="0" borderId="0" xfId="1" applyAlignment="1" applyProtection="1">
      <alignment horizontal="left" indent="4"/>
    </xf>
    <xf numFmtId="0" fontId="12" fillId="4" borderId="1" xfId="0" applyFont="1" applyFill="1" applyBorder="1" applyAlignment="1">
      <alignment vertical="center"/>
    </xf>
    <xf numFmtId="0" fontId="7" fillId="4" borderId="9" xfId="0" applyFont="1" applyFill="1" applyBorder="1" applyAlignment="1">
      <alignment horizontal="center"/>
    </xf>
    <xf numFmtId="165" fontId="10" fillId="0" borderId="4" xfId="0" applyNumberFormat="1" applyFont="1" applyFill="1" applyBorder="1" applyAlignment="1">
      <alignment horizontal="center" vertical="center"/>
    </xf>
    <xf numFmtId="0" fontId="8" fillId="0" borderId="3" xfId="0" applyFont="1" applyFill="1" applyBorder="1"/>
    <xf numFmtId="3" fontId="11" fillId="0" borderId="0" xfId="0" applyNumberFormat="1" applyFont="1"/>
    <xf numFmtId="165" fontId="8" fillId="0" borderId="18" xfId="0" applyNumberFormat="1" applyFont="1" applyFill="1" applyBorder="1" applyAlignment="1">
      <alignment horizontal="center" vertical="center"/>
    </xf>
    <xf numFmtId="9" fontId="8" fillId="0" borderId="18" xfId="0" applyNumberFormat="1" applyFont="1" applyFill="1" applyBorder="1" applyAlignment="1">
      <alignment horizontal="center" vertical="center"/>
    </xf>
    <xf numFmtId="9" fontId="8" fillId="0" borderId="29" xfId="0" applyNumberFormat="1" applyFont="1" applyFill="1" applyBorder="1" applyAlignment="1">
      <alignment horizontal="center" vertical="center"/>
    </xf>
    <xf numFmtId="9" fontId="8" fillId="0" borderId="6" xfId="0" applyNumberFormat="1" applyFont="1" applyFill="1" applyBorder="1" applyAlignment="1">
      <alignment horizontal="center" vertical="center"/>
    </xf>
    <xf numFmtId="169" fontId="8" fillId="0" borderId="10" xfId="0" applyNumberFormat="1" applyFont="1" applyFill="1" applyBorder="1" applyAlignment="1">
      <alignment horizontal="right" vertical="center"/>
    </xf>
    <xf numFmtId="165" fontId="10" fillId="0" borderId="10" xfId="0" applyNumberFormat="1" applyFont="1" applyFill="1" applyBorder="1" applyAlignment="1">
      <alignment horizontal="center" vertical="center"/>
    </xf>
    <xf numFmtId="169" fontId="8" fillId="0" borderId="4" xfId="0" applyNumberFormat="1" applyFont="1" applyFill="1" applyBorder="1" applyAlignment="1">
      <alignment horizontal="right" vertical="center"/>
    </xf>
    <xf numFmtId="0" fontId="8" fillId="0" borderId="5" xfId="0" applyFont="1" applyBorder="1" applyAlignment="1">
      <alignment vertical="center"/>
    </xf>
    <xf numFmtId="0" fontId="9" fillId="0" borderId="0" xfId="0" applyFont="1" applyBorder="1" applyAlignment="1">
      <alignment horizontal="center" vertical="center"/>
    </xf>
    <xf numFmtId="0" fontId="10" fillId="4" borderId="0" xfId="0" applyFont="1" applyFill="1" applyBorder="1" applyAlignment="1">
      <alignment horizontal="center" vertical="center"/>
    </xf>
    <xf numFmtId="0" fontId="0" fillId="0" borderId="0" xfId="0"/>
    <xf numFmtId="0" fontId="0" fillId="0" borderId="0" xfId="0"/>
    <xf numFmtId="0" fontId="6" fillId="0" borderId="0" xfId="0" applyFont="1" applyFill="1" applyBorder="1" applyAlignment="1">
      <alignment vertical="center"/>
    </xf>
    <xf numFmtId="0" fontId="0" fillId="0" borderId="0" xfId="0"/>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11" xfId="0" applyFont="1" applyFill="1" applyBorder="1" applyAlignment="1">
      <alignment horizontal="center" vertical="center"/>
    </xf>
    <xf numFmtId="0" fontId="0" fillId="0" borderId="0" xfId="0"/>
    <xf numFmtId="0" fontId="0" fillId="0" borderId="0" xfId="0"/>
    <xf numFmtId="0" fontId="8" fillId="8" borderId="3" xfId="0" applyFont="1" applyFill="1" applyBorder="1" applyAlignment="1">
      <alignment horizontal="center"/>
    </xf>
    <xf numFmtId="0" fontId="8" fillId="8" borderId="3" xfId="0" applyFont="1" applyFill="1" applyBorder="1"/>
    <xf numFmtId="0" fontId="8" fillId="8" borderId="0" xfId="0" applyFont="1" applyFill="1" applyBorder="1"/>
    <xf numFmtId="0" fontId="6" fillId="8" borderId="0" xfId="0" applyFont="1" applyFill="1" applyBorder="1"/>
    <xf numFmtId="0" fontId="0" fillId="8" borderId="3" xfId="0" applyFill="1" applyBorder="1"/>
    <xf numFmtId="0" fontId="0" fillId="0" borderId="0" xfId="0"/>
    <xf numFmtId="0" fontId="22" fillId="8" borderId="1" xfId="0" applyFont="1" applyFill="1" applyBorder="1" applyAlignment="1">
      <alignment horizontal="center"/>
    </xf>
    <xf numFmtId="0" fontId="7" fillId="5" borderId="7" xfId="0" quotePrefix="1" applyFont="1" applyFill="1" applyBorder="1" applyAlignment="1">
      <alignment horizontal="center" vertical="center"/>
    </xf>
    <xf numFmtId="0" fontId="7" fillId="5" borderId="7" xfId="0" applyFont="1" applyFill="1" applyBorder="1" applyAlignment="1">
      <alignment horizontal="center" vertical="center"/>
    </xf>
    <xf numFmtId="0" fontId="0" fillId="0" borderId="0" xfId="0"/>
    <xf numFmtId="0" fontId="7" fillId="0" borderId="0" xfId="0" applyNumberFormat="1" applyFont="1" applyBorder="1" applyAlignment="1">
      <alignment horizontal="right"/>
    </xf>
    <xf numFmtId="0" fontId="12" fillId="0" borderId="0" xfId="0" applyFont="1"/>
    <xf numFmtId="0" fontId="0" fillId="8" borderId="0" xfId="0" applyFill="1"/>
    <xf numFmtId="0" fontId="0" fillId="0" borderId="0" xfId="0"/>
    <xf numFmtId="0" fontId="6" fillId="8" borderId="15" xfId="0" applyFont="1" applyFill="1" applyBorder="1" applyAlignment="1">
      <alignment horizontal="left"/>
    </xf>
    <xf numFmtId="0" fontId="0" fillId="0" borderId="0" xfId="0"/>
    <xf numFmtId="0" fontId="6" fillId="4" borderId="4" xfId="0" applyFont="1" applyFill="1" applyBorder="1" applyAlignment="1">
      <alignment vertical="center"/>
    </xf>
    <xf numFmtId="0" fontId="6" fillId="4" borderId="4" xfId="0" applyFont="1" applyFill="1" applyBorder="1" applyAlignment="1">
      <alignment horizontal="right" vertical="center"/>
    </xf>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11" xfId="0" applyFont="1" applyFill="1" applyBorder="1" applyAlignment="1">
      <alignment horizontal="center" vertical="center"/>
    </xf>
    <xf numFmtId="0" fontId="0" fillId="0" borderId="0" xfId="0"/>
    <xf numFmtId="0" fontId="9" fillId="0" borderId="0" xfId="0" applyFont="1" applyBorder="1" applyAlignment="1">
      <alignment horizontal="center" vertical="center"/>
    </xf>
    <xf numFmtId="0" fontId="10" fillId="4" borderId="0" xfId="0" applyFont="1" applyFill="1" applyBorder="1" applyAlignment="1">
      <alignment horizontal="center" vertical="center"/>
    </xf>
    <xf numFmtId="0" fontId="0" fillId="0" borderId="0" xfId="0"/>
    <xf numFmtId="2" fontId="10" fillId="0" borderId="4" xfId="0" applyNumberFormat="1" applyFont="1" applyFill="1" applyBorder="1" applyAlignment="1">
      <alignment horizontal="center"/>
    </xf>
    <xf numFmtId="2" fontId="7" fillId="8" borderId="4" xfId="0" applyNumberFormat="1" applyFont="1" applyFill="1" applyBorder="1" applyAlignment="1">
      <alignment horizontal="center"/>
    </xf>
    <xf numFmtId="0" fontId="0" fillId="0" borderId="0" xfId="0"/>
    <xf numFmtId="0" fontId="0" fillId="0" borderId="0" xfId="0"/>
    <xf numFmtId="0" fontId="6" fillId="8" borderId="0" xfId="0" applyFont="1" applyFill="1" applyBorder="1" applyAlignment="1">
      <alignment vertical="center"/>
    </xf>
    <xf numFmtId="0" fontId="10" fillId="8" borderId="4" xfId="0" applyFont="1" applyFill="1" applyBorder="1" applyAlignment="1">
      <alignment horizontal="center"/>
    </xf>
    <xf numFmtId="167" fontId="6" fillId="8" borderId="1" xfId="0" applyNumberFormat="1" applyFont="1" applyFill="1" applyBorder="1" applyAlignment="1"/>
    <xf numFmtId="0" fontId="7" fillId="8" borderId="4" xfId="0" applyFont="1" applyFill="1" applyBorder="1" applyAlignment="1">
      <alignment horizontal="center"/>
    </xf>
    <xf numFmtId="0" fontId="10" fillId="0" borderId="10" xfId="0" applyFont="1" applyFill="1" applyBorder="1" applyAlignment="1">
      <alignment horizontal="center"/>
    </xf>
    <xf numFmtId="167" fontId="6" fillId="0" borderId="6" xfId="0" applyNumberFormat="1" applyFont="1" applyFill="1" applyBorder="1" applyAlignment="1"/>
    <xf numFmtId="0" fontId="10" fillId="0" borderId="4" xfId="0" applyFont="1" applyFill="1" applyBorder="1" applyAlignment="1">
      <alignment horizontal="center"/>
    </xf>
    <xf numFmtId="167" fontId="6" fillId="0" borderId="1" xfId="0" applyNumberFormat="1" applyFont="1" applyFill="1" applyBorder="1" applyAlignment="1"/>
    <xf numFmtId="0" fontId="6" fillId="4" borderId="4" xfId="0" applyFont="1" applyFill="1" applyBorder="1" applyAlignment="1">
      <alignment horizontal="center" vertical="center" wrapText="1"/>
    </xf>
    <xf numFmtId="0" fontId="7" fillId="5" borderId="4" xfId="0" applyFont="1" applyFill="1" applyBorder="1" applyAlignment="1">
      <alignment horizontal="center" vertical="center"/>
    </xf>
    <xf numFmtId="0" fontId="7" fillId="5" borderId="27" xfId="0" applyFont="1" applyFill="1" applyBorder="1" applyAlignment="1">
      <alignment horizontal="center" vertical="center"/>
    </xf>
    <xf numFmtId="0" fontId="3" fillId="0" borderId="0" xfId="0" applyFont="1" applyAlignment="1">
      <alignment horizontal="left" vertical="center" wrapText="1"/>
    </xf>
    <xf numFmtId="49" fontId="3" fillId="0" borderId="0" xfId="0" applyNumberFormat="1" applyFont="1" applyAlignment="1">
      <alignment horizontal="left" vertical="center"/>
    </xf>
    <xf numFmtId="0" fontId="7" fillId="4" borderId="14"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10" fillId="4" borderId="0" xfId="0" applyFont="1" applyFill="1" applyBorder="1" applyAlignment="1">
      <alignment horizontal="center" vertical="center"/>
    </xf>
    <xf numFmtId="0" fontId="10" fillId="4" borderId="3" xfId="0" applyFont="1" applyFill="1" applyBorder="1" applyAlignment="1">
      <alignment horizontal="center" vertical="center"/>
    </xf>
    <xf numFmtId="0" fontId="0" fillId="0" borderId="0" xfId="0"/>
    <xf numFmtId="0" fontId="6" fillId="8" borderId="1" xfId="0" applyFont="1" applyFill="1" applyBorder="1"/>
    <xf numFmtId="0" fontId="7" fillId="0" borderId="4" xfId="0" applyFont="1" applyFill="1" applyBorder="1" applyAlignment="1">
      <alignment horizontal="center"/>
    </xf>
    <xf numFmtId="0" fontId="6" fillId="4" borderId="6" xfId="0" applyFont="1" applyFill="1" applyBorder="1" applyAlignment="1">
      <alignment horizontal="centerContinuous"/>
    </xf>
    <xf numFmtId="0" fontId="6" fillId="4" borderId="9" xfId="0" applyFont="1" applyFill="1" applyBorder="1" applyAlignment="1">
      <alignment horizontal="centerContinuous"/>
    </xf>
    <xf numFmtId="0" fontId="7" fillId="0" borderId="10" xfId="0" applyFont="1" applyFill="1" applyBorder="1" applyAlignment="1">
      <alignment horizontal="center"/>
    </xf>
    <xf numFmtId="0" fontId="0" fillId="0" borderId="0" xfId="0"/>
    <xf numFmtId="170" fontId="6" fillId="7" borderId="0" xfId="0" applyNumberFormat="1" applyFont="1" applyFill="1" applyAlignment="1">
      <alignment horizontal="right" vertical="center"/>
    </xf>
    <xf numFmtId="170" fontId="6" fillId="0" borderId="0" xfId="0" applyNumberFormat="1" applyFont="1" applyAlignment="1">
      <alignment horizontal="right" vertical="center"/>
    </xf>
    <xf numFmtId="170" fontId="6" fillId="5" borderId="0" xfId="0" applyNumberFormat="1" applyFont="1" applyFill="1" applyAlignment="1">
      <alignment horizontal="right" vertical="center"/>
    </xf>
    <xf numFmtId="170" fontId="6" fillId="0" borderId="3" xfId="0" applyNumberFormat="1" applyFont="1" applyFill="1" applyBorder="1" applyAlignment="1">
      <alignment horizontal="right" vertical="center"/>
    </xf>
    <xf numFmtId="170" fontId="6" fillId="0" borderId="0" xfId="0" applyNumberFormat="1" applyFont="1" applyFill="1" applyBorder="1" applyAlignment="1">
      <alignment horizontal="right" vertical="center"/>
    </xf>
    <xf numFmtId="170" fontId="6" fillId="8" borderId="0" xfId="0" applyNumberFormat="1" applyFont="1" applyFill="1" applyBorder="1" applyAlignment="1">
      <alignment horizontal="right" vertical="center"/>
    </xf>
    <xf numFmtId="170" fontId="6" fillId="9" borderId="0" xfId="0" applyNumberFormat="1" applyFont="1" applyFill="1" applyBorder="1" applyAlignment="1">
      <alignment horizontal="right" vertical="center"/>
    </xf>
    <xf numFmtId="170" fontId="6" fillId="0" borderId="0" xfId="0" applyNumberFormat="1" applyFont="1" applyFill="1" applyAlignment="1">
      <alignment horizontal="right" vertical="center"/>
    </xf>
    <xf numFmtId="170" fontId="6" fillId="9" borderId="0" xfId="0" applyNumberFormat="1" applyFont="1" applyFill="1" applyAlignment="1">
      <alignment horizontal="right" vertical="center"/>
    </xf>
    <xf numFmtId="170" fontId="6" fillId="8" borderId="0" xfId="0" applyNumberFormat="1" applyFont="1" applyFill="1" applyAlignment="1">
      <alignment horizontal="right" vertical="center"/>
    </xf>
    <xf numFmtId="170" fontId="6" fillId="8" borderId="0" xfId="0" applyNumberFormat="1" applyFont="1" applyFill="1" applyBorder="1"/>
    <xf numFmtId="170" fontId="6" fillId="0" borderId="0" xfId="0" applyNumberFormat="1" applyFont="1" applyFill="1" applyBorder="1"/>
    <xf numFmtId="170" fontId="8" fillId="0" borderId="0" xfId="0" applyNumberFormat="1" applyFont="1" applyFill="1" applyBorder="1"/>
    <xf numFmtId="170" fontId="8" fillId="8" borderId="0" xfId="0" applyNumberFormat="1" applyFont="1" applyFill="1" applyBorder="1"/>
    <xf numFmtId="170" fontId="8" fillId="8" borderId="0" xfId="0" applyNumberFormat="1" applyFont="1" applyFill="1" applyBorder="1" applyAlignment="1">
      <alignment vertical="center"/>
    </xf>
    <xf numFmtId="170" fontId="16" fillId="0" borderId="3" xfId="0" applyNumberFormat="1" applyFont="1" applyFill="1" applyBorder="1" applyAlignment="1">
      <alignment vertical="center"/>
    </xf>
    <xf numFmtId="170" fontId="8" fillId="0" borderId="0" xfId="0" applyNumberFormat="1" applyFont="1" applyFill="1" applyBorder="1" applyAlignment="1">
      <alignment vertical="center"/>
    </xf>
    <xf numFmtId="170" fontId="24" fillId="0" borderId="0" xfId="0" applyNumberFormat="1" applyFont="1" applyFill="1" applyBorder="1" applyAlignment="1">
      <alignment vertical="center"/>
    </xf>
    <xf numFmtId="170" fontId="16" fillId="8" borderId="0" xfId="0" applyNumberFormat="1" applyFont="1" applyFill="1" applyBorder="1" applyAlignment="1">
      <alignment vertical="center"/>
    </xf>
    <xf numFmtId="170" fontId="16" fillId="0" borderId="0" xfId="0" applyNumberFormat="1" applyFont="1" applyFill="1" applyBorder="1" applyAlignment="1">
      <alignment vertical="center"/>
    </xf>
    <xf numFmtId="170" fontId="24" fillId="8" borderId="0" xfId="0" applyNumberFormat="1" applyFont="1" applyFill="1" applyBorder="1" applyAlignment="1">
      <alignment vertical="center"/>
    </xf>
    <xf numFmtId="171" fontId="8" fillId="0" borderId="3" xfId="0" applyNumberFormat="1" applyFont="1" applyBorder="1" applyAlignment="1">
      <alignment horizontal="right"/>
    </xf>
    <xf numFmtId="171" fontId="8" fillId="0" borderId="0" xfId="0" applyNumberFormat="1" applyFont="1" applyBorder="1" applyAlignment="1">
      <alignment horizontal="right"/>
    </xf>
    <xf numFmtId="171" fontId="8" fillId="0" borderId="0" xfId="0" applyNumberFormat="1" applyFont="1" applyBorder="1"/>
    <xf numFmtId="171" fontId="8" fillId="5" borderId="3" xfId="0" applyNumberFormat="1" applyFont="1" applyFill="1" applyBorder="1" applyAlignment="1">
      <alignment horizontal="right"/>
    </xf>
    <xf numFmtId="171" fontId="8" fillId="5" borderId="0" xfId="0" applyNumberFormat="1" applyFont="1" applyFill="1" applyBorder="1" applyAlignment="1">
      <alignment horizontal="right"/>
    </xf>
    <xf numFmtId="171" fontId="8" fillId="5" borderId="0" xfId="0" applyNumberFormat="1" applyFont="1" applyFill="1" applyBorder="1"/>
    <xf numFmtId="171" fontId="8" fillId="5" borderId="1" xfId="0" applyNumberFormat="1" applyFont="1" applyFill="1" applyBorder="1" applyAlignment="1">
      <alignment horizontal="right"/>
    </xf>
    <xf numFmtId="171" fontId="8" fillId="0" borderId="1" xfId="0" applyNumberFormat="1" applyFont="1" applyBorder="1" applyAlignment="1">
      <alignment horizontal="right"/>
    </xf>
    <xf numFmtId="171" fontId="8" fillId="0" borderId="3" xfId="0" applyNumberFormat="1" applyFont="1" applyFill="1" applyBorder="1" applyAlignment="1">
      <alignment horizontal="right"/>
    </xf>
    <xf numFmtId="171" fontId="8" fillId="0" borderId="0" xfId="0" applyNumberFormat="1" applyFont="1" applyFill="1" applyBorder="1" applyAlignment="1">
      <alignment horizontal="right"/>
    </xf>
    <xf numFmtId="171" fontId="8" fillId="0" borderId="1" xfId="0" applyNumberFormat="1" applyFont="1" applyFill="1" applyBorder="1" applyAlignment="1">
      <alignment horizontal="right"/>
    </xf>
    <xf numFmtId="171" fontId="8" fillId="8" borderId="3" xfId="0" applyNumberFormat="1" applyFont="1" applyFill="1" applyBorder="1" applyAlignment="1">
      <alignment horizontal="right"/>
    </xf>
    <xf numFmtId="171" fontId="8" fillId="8" borderId="0" xfId="0" applyNumberFormat="1" applyFont="1" applyFill="1" applyBorder="1" applyAlignment="1">
      <alignment horizontal="right"/>
    </xf>
    <xf numFmtId="171" fontId="8" fillId="8" borderId="1" xfId="0" applyNumberFormat="1" applyFont="1" applyFill="1" applyBorder="1" applyAlignment="1">
      <alignment horizontal="right"/>
    </xf>
    <xf numFmtId="171" fontId="8" fillId="8" borderId="0" xfId="0" applyNumberFormat="1" applyFont="1" applyFill="1" applyBorder="1"/>
    <xf numFmtId="171" fontId="8" fillId="0" borderId="0" xfId="0" applyNumberFormat="1" applyFont="1" applyFill="1" applyBorder="1"/>
    <xf numFmtId="171" fontId="8" fillId="8" borderId="11" xfId="0" applyNumberFormat="1" applyFont="1" applyFill="1" applyBorder="1" applyAlignment="1">
      <alignment horizontal="right"/>
    </xf>
    <xf numFmtId="170" fontId="6" fillId="8" borderId="1" xfId="0" applyNumberFormat="1" applyFont="1" applyFill="1" applyBorder="1"/>
    <xf numFmtId="171" fontId="16" fillId="0" borderId="0" xfId="0" applyNumberFormat="1" applyFont="1" applyBorder="1" applyAlignment="1">
      <alignment horizontal="center" vertical="center"/>
    </xf>
    <xf numFmtId="171" fontId="16" fillId="0" borderId="1" xfId="0" applyNumberFormat="1" applyFont="1" applyBorder="1" applyAlignment="1">
      <alignment horizontal="center" vertical="center"/>
    </xf>
    <xf numFmtId="169" fontId="16" fillId="0" borderId="0" xfId="0" applyNumberFormat="1" applyFont="1" applyFill="1" applyBorder="1" applyAlignment="1">
      <alignment horizontal="center" vertical="center"/>
    </xf>
    <xf numFmtId="169" fontId="16" fillId="0" borderId="1" xfId="0" applyNumberFormat="1" applyFont="1" applyFill="1" applyBorder="1" applyAlignment="1">
      <alignment horizontal="center" vertical="center"/>
    </xf>
    <xf numFmtId="0" fontId="0" fillId="0" borderId="0" xfId="0"/>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11" xfId="0" applyFont="1" applyFill="1" applyBorder="1" applyAlignment="1">
      <alignment horizontal="center" vertical="center"/>
    </xf>
    <xf numFmtId="0" fontId="0" fillId="0" borderId="0" xfId="0"/>
    <xf numFmtId="171" fontId="8" fillId="8" borderId="5" xfId="0" applyNumberFormat="1" applyFont="1" applyFill="1" applyBorder="1" applyAlignment="1">
      <alignment horizontal="right"/>
    </xf>
    <xf numFmtId="0" fontId="9" fillId="0" borderId="0" xfId="0" applyFont="1" applyBorder="1" applyAlignment="1">
      <alignment horizontal="center" vertical="center"/>
    </xf>
    <xf numFmtId="0" fontId="10" fillId="4" borderId="0" xfId="0" applyFont="1" applyFill="1" applyBorder="1" applyAlignment="1">
      <alignment horizontal="center" vertical="center"/>
    </xf>
    <xf numFmtId="0" fontId="13" fillId="4" borderId="8" xfId="0" applyFont="1" applyFill="1" applyBorder="1" applyAlignment="1">
      <alignment horizontal="center" vertical="center" wrapText="1"/>
    </xf>
    <xf numFmtId="0" fontId="0" fillId="0" borderId="0" xfId="0"/>
    <xf numFmtId="0" fontId="9" fillId="0" borderId="0" xfId="0" applyFont="1" applyBorder="1" applyAlignment="1">
      <alignment horizontal="center" vertical="top"/>
    </xf>
    <xf numFmtId="0" fontId="10" fillId="0" borderId="0" xfId="0" applyFont="1" applyFill="1" applyBorder="1" applyAlignment="1">
      <alignment horizontal="left" wrapText="1"/>
    </xf>
    <xf numFmtId="0" fontId="10" fillId="0" borderId="0" xfId="0" applyFont="1" applyFill="1" applyAlignment="1">
      <alignment horizontal="left" wrapText="1"/>
    </xf>
    <xf numFmtId="0" fontId="8" fillId="0" borderId="0" xfId="0" applyFont="1" applyFill="1" applyBorder="1" applyAlignment="1">
      <alignment horizontal="left" vertical="top" wrapText="1"/>
    </xf>
    <xf numFmtId="0" fontId="10" fillId="4" borderId="0" xfId="0" applyFont="1" applyFill="1" applyBorder="1" applyAlignment="1">
      <alignment horizontal="center" vertical="top" wrapText="1"/>
    </xf>
    <xf numFmtId="0" fontId="0" fillId="0" borderId="0" xfId="0"/>
    <xf numFmtId="0" fontId="7" fillId="0" borderId="0" xfId="0" applyFont="1" applyFill="1" applyBorder="1" applyAlignment="1">
      <alignment horizontal="center" vertical="center"/>
    </xf>
    <xf numFmtId="0" fontId="3" fillId="0" borderId="0" xfId="9"/>
    <xf numFmtId="0" fontId="7" fillId="4" borderId="19" xfId="0" applyFont="1" applyFill="1" applyBorder="1" applyAlignment="1">
      <alignment horizontal="center" vertical="top" wrapText="1"/>
    </xf>
    <xf numFmtId="0" fontId="7" fillId="4" borderId="12" xfId="0" applyFont="1" applyFill="1" applyBorder="1" applyAlignment="1">
      <alignment horizontal="center" vertical="top" wrapText="1"/>
    </xf>
    <xf numFmtId="0" fontId="7" fillId="4" borderId="23" xfId="0" applyFont="1" applyFill="1" applyBorder="1" applyAlignment="1">
      <alignment horizontal="center" vertical="top" wrapText="1"/>
    </xf>
    <xf numFmtId="0" fontId="7" fillId="4" borderId="11" xfId="0" applyFont="1" applyFill="1" applyBorder="1" applyAlignment="1">
      <alignment horizontal="center" vertical="top" wrapText="1"/>
    </xf>
    <xf numFmtId="0" fontId="7" fillId="4" borderId="5" xfId="0" applyFont="1" applyFill="1" applyBorder="1" applyAlignment="1">
      <alignment horizontal="center" vertical="top" wrapText="1"/>
    </xf>
    <xf numFmtId="0" fontId="6" fillId="0" borderId="0" xfId="0" applyFont="1" applyFill="1" applyBorder="1" applyAlignment="1">
      <alignment horizontal="center"/>
    </xf>
    <xf numFmtId="0" fontId="6" fillId="5" borderId="3" xfId="0" applyFont="1" applyFill="1" applyBorder="1" applyAlignment="1">
      <alignment horizontal="center"/>
    </xf>
    <xf numFmtId="0" fontId="6" fillId="5" borderId="15" xfId="0" applyFont="1" applyFill="1" applyBorder="1" applyAlignment="1">
      <alignment horizontal="left"/>
    </xf>
    <xf numFmtId="166" fontId="6" fillId="5" borderId="1" xfId="0" applyNumberFormat="1" applyFont="1" applyFill="1" applyBorder="1" applyAlignment="1">
      <alignment horizontal="center"/>
    </xf>
    <xf numFmtId="0" fontId="6" fillId="8" borderId="3" xfId="0" applyFont="1" applyFill="1" applyBorder="1" applyAlignment="1">
      <alignment horizontal="center"/>
    </xf>
    <xf numFmtId="166" fontId="6" fillId="8" borderId="1" xfId="0" applyNumberFormat="1" applyFont="1" applyFill="1" applyBorder="1" applyAlignment="1">
      <alignment horizontal="center"/>
    </xf>
    <xf numFmtId="0" fontId="7" fillId="0" borderId="0" xfId="0" applyFont="1" applyFill="1" applyBorder="1" applyAlignment="1">
      <alignment horizontal="center"/>
    </xf>
    <xf numFmtId="9" fontId="8" fillId="0" borderId="0" xfId="0" applyNumberFormat="1" applyFont="1" applyFill="1" applyBorder="1" applyAlignment="1">
      <alignment horizontal="center" vertical="center"/>
    </xf>
    <xf numFmtId="9" fontId="8" fillId="0" borderId="34" xfId="0" applyNumberFormat="1" applyFont="1" applyFill="1" applyBorder="1" applyAlignment="1">
      <alignment horizontal="center" vertical="center"/>
    </xf>
    <xf numFmtId="9" fontId="6" fillId="0" borderId="0" xfId="0" applyNumberFormat="1" applyFont="1" applyFill="1" applyBorder="1" applyAlignment="1">
      <alignment horizontal="center" vertical="center"/>
    </xf>
    <xf numFmtId="0" fontId="6" fillId="4" borderId="36" xfId="0" applyFont="1" applyFill="1" applyBorder="1" applyAlignment="1">
      <alignment horizontal="center" vertical="center" wrapText="1"/>
    </xf>
    <xf numFmtId="0" fontId="6" fillId="4" borderId="11" xfId="0" applyFont="1" applyFill="1" applyBorder="1" applyAlignment="1">
      <alignment horizontal="center" vertical="center" wrapText="1"/>
    </xf>
    <xf numFmtId="9" fontId="8" fillId="0" borderId="8" xfId="0" applyNumberFormat="1" applyFont="1" applyFill="1" applyBorder="1" applyAlignment="1">
      <alignment horizontal="center" vertical="center"/>
    </xf>
    <xf numFmtId="165" fontId="8" fillId="0" borderId="3" xfId="0" applyNumberFormat="1" applyFont="1" applyFill="1" applyBorder="1" applyAlignment="1">
      <alignment horizontal="center" vertical="center"/>
    </xf>
    <xf numFmtId="9" fontId="8" fillId="0" borderId="35" xfId="0" applyNumberFormat="1" applyFont="1" applyFill="1" applyBorder="1" applyAlignment="1">
      <alignment horizontal="center" vertical="center"/>
    </xf>
    <xf numFmtId="0" fontId="8" fillId="4" borderId="3" xfId="0" applyFont="1" applyFill="1" applyBorder="1" applyAlignment="1">
      <alignment vertical="top" wrapText="1"/>
    </xf>
    <xf numFmtId="0" fontId="10" fillId="4" borderId="0" xfId="0" applyFont="1" applyFill="1" applyBorder="1" applyAlignment="1">
      <alignment vertical="top" wrapText="1"/>
    </xf>
    <xf numFmtId="165" fontId="8" fillId="0" borderId="33"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0" borderId="0" xfId="0"/>
    <xf numFmtId="0" fontId="7" fillId="0" borderId="1" xfId="0" applyFont="1" applyFill="1" applyBorder="1" applyAlignment="1">
      <alignment horizontal="center" vertical="top" wrapText="1"/>
    </xf>
    <xf numFmtId="0" fontId="7" fillId="4" borderId="13" xfId="0" applyFont="1" applyFill="1" applyBorder="1" applyAlignment="1">
      <alignment horizontal="center" vertical="top"/>
    </xf>
    <xf numFmtId="0" fontId="7" fillId="4" borderId="16" xfId="0" applyFont="1" applyFill="1" applyBorder="1" applyAlignment="1">
      <alignment horizontal="center" vertical="top"/>
    </xf>
    <xf numFmtId="0" fontId="7" fillId="4" borderId="4" xfId="0" applyFont="1" applyFill="1" applyBorder="1" applyAlignment="1">
      <alignment horizontal="center" vertical="top"/>
    </xf>
    <xf numFmtId="0" fontId="7" fillId="0" borderId="1" xfId="0" applyFont="1" applyFill="1" applyBorder="1" applyAlignment="1">
      <alignment horizontal="center"/>
    </xf>
    <xf numFmtId="0" fontId="7" fillId="4" borderId="7" xfId="0" applyFont="1" applyFill="1" applyBorder="1" applyAlignment="1">
      <alignment horizontal="center" vertical="top" wrapText="1"/>
    </xf>
    <xf numFmtId="1" fontId="7" fillId="5" borderId="10" xfId="0" applyNumberFormat="1" applyFont="1" applyFill="1" applyBorder="1" applyAlignment="1">
      <alignment horizontal="center" vertical="center"/>
    </xf>
    <xf numFmtId="171" fontId="6" fillId="0" borderId="3" xfId="0" applyNumberFormat="1" applyFont="1" applyFill="1" applyBorder="1" applyAlignment="1">
      <alignment horizontal="center" vertical="center"/>
    </xf>
    <xf numFmtId="171" fontId="6" fillId="0" borderId="0" xfId="0" applyNumberFormat="1" applyFont="1" applyFill="1" applyBorder="1" applyAlignment="1">
      <alignment horizontal="center" vertical="center"/>
    </xf>
    <xf numFmtId="171" fontId="6" fillId="0" borderId="1" xfId="0" applyNumberFormat="1" applyFont="1" applyFill="1" applyBorder="1" applyAlignment="1">
      <alignment horizontal="center" vertical="center"/>
    </xf>
    <xf numFmtId="1" fontId="7" fillId="5" borderId="4" xfId="0" applyNumberFormat="1" applyFont="1" applyFill="1" applyBorder="1" applyAlignment="1">
      <alignment horizontal="center" vertical="center"/>
    </xf>
    <xf numFmtId="171" fontId="6" fillId="0" borderId="4" xfId="0" applyNumberFormat="1" applyFont="1" applyFill="1" applyBorder="1" applyAlignment="1">
      <alignment horizontal="center" vertical="center"/>
    </xf>
    <xf numFmtId="1" fontId="7" fillId="5" borderId="7" xfId="0" applyNumberFormat="1" applyFont="1" applyFill="1" applyBorder="1" applyAlignment="1">
      <alignment horizontal="center" vertical="center"/>
    </xf>
    <xf numFmtId="171" fontId="6" fillId="0" borderId="11" xfId="0" applyNumberFormat="1" applyFont="1" applyFill="1" applyBorder="1" applyAlignment="1">
      <alignment horizontal="center" vertical="center"/>
    </xf>
    <xf numFmtId="0" fontId="7" fillId="4" borderId="13" xfId="0" applyFont="1" applyFill="1" applyBorder="1" applyAlignment="1">
      <alignment horizontal="center" vertical="top" wrapText="1"/>
    </xf>
    <xf numFmtId="0" fontId="7" fillId="4" borderId="16" xfId="0" applyFont="1" applyFill="1" applyBorder="1" applyAlignment="1">
      <alignment horizontal="center" vertical="top" wrapText="1"/>
    </xf>
    <xf numFmtId="0" fontId="7" fillId="0" borderId="0" xfId="0" applyFont="1" applyBorder="1" applyAlignment="1">
      <alignment vertical="top" wrapText="1"/>
    </xf>
    <xf numFmtId="0" fontId="9" fillId="0" borderId="0" xfId="0" applyFont="1" applyBorder="1" applyAlignment="1">
      <alignment horizontal="center" vertical="center"/>
    </xf>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11" xfId="0" applyFont="1" applyFill="1" applyBorder="1" applyAlignment="1">
      <alignment horizontal="center" vertical="center"/>
    </xf>
    <xf numFmtId="0" fontId="0" fillId="0" borderId="0" xfId="0"/>
    <xf numFmtId="0" fontId="6" fillId="0" borderId="0" xfId="9" applyFont="1"/>
    <xf numFmtId="0" fontId="9" fillId="0" borderId="0" xfId="9" quotePrefix="1" applyFont="1" applyBorder="1" applyAlignment="1">
      <alignment horizontal="left" vertical="top"/>
    </xf>
    <xf numFmtId="0" fontId="26" fillId="0" borderId="0" xfId="9" applyFont="1" applyFill="1" applyBorder="1" applyAlignment="1">
      <alignment horizontal="center" vertical="center"/>
    </xf>
    <xf numFmtId="0" fontId="11" fillId="0" borderId="0" xfId="9" applyFont="1" applyBorder="1"/>
    <xf numFmtId="0" fontId="11" fillId="0" borderId="0" xfId="9" applyFont="1"/>
    <xf numFmtId="0" fontId="6" fillId="0" borderId="11" xfId="9" applyFont="1" applyBorder="1" applyAlignment="1">
      <alignment horizontal="right" vertical="center"/>
    </xf>
    <xf numFmtId="0" fontId="12" fillId="0" borderId="0" xfId="9" applyFont="1" applyAlignment="1">
      <alignment horizontal="center"/>
    </xf>
    <xf numFmtId="0" fontId="7" fillId="6" borderId="9" xfId="9" applyFont="1" applyFill="1" applyBorder="1" applyAlignment="1">
      <alignment horizontal="center"/>
    </xf>
    <xf numFmtId="0" fontId="6" fillId="6" borderId="8" xfId="9" applyFont="1" applyFill="1" applyBorder="1"/>
    <xf numFmtId="0" fontId="6" fillId="6" borderId="6" xfId="9" applyFont="1" applyFill="1" applyBorder="1"/>
    <xf numFmtId="0" fontId="7" fillId="6" borderId="8" xfId="9" applyFont="1" applyFill="1" applyBorder="1" applyAlignment="1">
      <alignment horizontal="center"/>
    </xf>
    <xf numFmtId="0" fontId="7" fillId="6" borderId="3" xfId="9" applyFont="1" applyFill="1" applyBorder="1" applyAlignment="1">
      <alignment horizontal="center"/>
    </xf>
    <xf numFmtId="0" fontId="7" fillId="6" borderId="0" xfId="9" applyFont="1" applyFill="1" applyBorder="1"/>
    <xf numFmtId="0" fontId="7" fillId="6" borderId="1" xfId="9" applyFont="1" applyFill="1" applyBorder="1" applyAlignment="1">
      <alignment horizontal="right"/>
    </xf>
    <xf numFmtId="0" fontId="7" fillId="6" borderId="0" xfId="9" applyFont="1" applyFill="1" applyBorder="1" applyAlignment="1">
      <alignment horizontal="center"/>
    </xf>
    <xf numFmtId="0" fontId="21" fillId="6" borderId="12" xfId="9" applyFont="1" applyFill="1" applyBorder="1" applyAlignment="1">
      <alignment horizontal="center"/>
    </xf>
    <xf numFmtId="0" fontId="27" fillId="6" borderId="11" xfId="9" applyFont="1" applyFill="1" applyBorder="1"/>
    <xf numFmtId="0" fontId="27" fillId="6" borderId="5" xfId="9" applyFont="1" applyFill="1" applyBorder="1"/>
    <xf numFmtId="0" fontId="7" fillId="6" borderId="12" xfId="9" applyFont="1" applyFill="1" applyBorder="1" applyAlignment="1">
      <alignment horizontal="right"/>
    </xf>
    <xf numFmtId="0" fontId="7" fillId="6" borderId="11" xfId="9" applyFont="1" applyFill="1" applyBorder="1" applyAlignment="1">
      <alignment horizontal="right"/>
    </xf>
    <xf numFmtId="0" fontId="6" fillId="0" borderId="0" xfId="9" applyFont="1" applyFill="1" applyAlignment="1">
      <alignment horizontal="center" vertical="center"/>
    </xf>
    <xf numFmtId="0" fontId="7" fillId="0" borderId="0" xfId="9" applyFont="1" applyFill="1" applyAlignment="1">
      <alignment horizontal="center" vertical="center"/>
    </xf>
    <xf numFmtId="0" fontId="6" fillId="0" borderId="0" xfId="9" applyFont="1" applyFill="1" applyAlignment="1">
      <alignment horizontal="center"/>
    </xf>
    <xf numFmtId="2" fontId="6" fillId="0" borderId="3" xfId="9" applyNumberFormat="1" applyFont="1" applyFill="1" applyBorder="1"/>
    <xf numFmtId="2" fontId="16" fillId="0" borderId="0" xfId="9" applyNumberFormat="1" applyFont="1" applyFill="1" applyBorder="1" applyAlignment="1">
      <alignment horizontal="right"/>
    </xf>
    <xf numFmtId="2" fontId="6" fillId="0" borderId="0" xfId="9" applyNumberFormat="1" applyFont="1" applyFill="1" applyBorder="1" applyAlignment="1">
      <alignment horizontal="right"/>
    </xf>
    <xf numFmtId="2" fontId="6" fillId="8" borderId="3" xfId="9" applyNumberFormat="1" applyFont="1" applyFill="1" applyBorder="1"/>
    <xf numFmtId="2" fontId="6" fillId="8" borderId="0" xfId="9" applyNumberFormat="1" applyFont="1" applyFill="1" applyBorder="1" applyAlignment="1">
      <alignment horizontal="right"/>
    </xf>
    <xf numFmtId="2" fontId="16" fillId="8" borderId="0" xfId="9" applyNumberFormat="1" applyFont="1" applyFill="1" applyBorder="1" applyAlignment="1">
      <alignment horizontal="right"/>
    </xf>
    <xf numFmtId="0" fontId="3" fillId="0" borderId="0" xfId="9" applyFill="1"/>
    <xf numFmtId="2" fontId="6" fillId="8" borderId="11" xfId="9" applyNumberFormat="1" applyFont="1" applyFill="1" applyBorder="1" applyAlignment="1">
      <alignment horizontal="right"/>
    </xf>
    <xf numFmtId="0" fontId="7" fillId="0" borderId="0" xfId="9" applyFont="1" applyBorder="1" applyAlignment="1">
      <alignment horizontal="left" wrapText="1"/>
    </xf>
    <xf numFmtId="0" fontId="0" fillId="0" borderId="0" xfId="0"/>
    <xf numFmtId="172" fontId="8" fillId="8" borderId="0" xfId="0" applyNumberFormat="1" applyFont="1" applyFill="1" applyBorder="1" applyAlignment="1" applyProtection="1">
      <alignment horizontal="right" vertical="center"/>
    </xf>
    <xf numFmtId="172" fontId="8" fillId="0" borderId="0" xfId="0" applyNumberFormat="1" applyFont="1" applyFill="1" applyBorder="1" applyAlignment="1" applyProtection="1">
      <alignment horizontal="right" vertical="center"/>
    </xf>
    <xf numFmtId="172" fontId="8" fillId="0" borderId="1" xfId="0" applyNumberFormat="1" applyFont="1" applyFill="1" applyBorder="1" applyAlignment="1" applyProtection="1">
      <alignment horizontal="right" vertical="center"/>
    </xf>
    <xf numFmtId="172" fontId="8" fillId="8" borderId="1" xfId="0" applyNumberFormat="1" applyFont="1" applyFill="1" applyBorder="1" applyAlignment="1" applyProtection="1">
      <alignment horizontal="right" vertical="center"/>
    </xf>
    <xf numFmtId="172" fontId="8" fillId="0" borderId="0" xfId="0" applyNumberFormat="1" applyFont="1" applyFill="1" applyBorder="1" applyAlignment="1" applyProtection="1">
      <alignment horizontal="left" vertical="center"/>
    </xf>
    <xf numFmtId="0" fontId="0" fillId="0" borderId="0" xfId="0"/>
    <xf numFmtId="0" fontId="6" fillId="8" borderId="3" xfId="0" applyFont="1" applyFill="1" applyBorder="1"/>
    <xf numFmtId="170" fontId="6" fillId="8" borderId="0" xfId="0" applyNumberFormat="1" applyFont="1" applyFill="1" applyBorder="1" applyAlignment="1">
      <alignment vertical="center"/>
    </xf>
    <xf numFmtId="170" fontId="6" fillId="0" borderId="0" xfId="0" applyNumberFormat="1" applyFont="1" applyFill="1" applyBorder="1" applyAlignment="1">
      <alignment vertical="center"/>
    </xf>
    <xf numFmtId="170" fontId="6" fillId="8" borderId="1" xfId="0" applyNumberFormat="1" applyFont="1" applyFill="1" applyBorder="1" applyAlignment="1">
      <alignment vertical="center"/>
    </xf>
    <xf numFmtId="0" fontId="6" fillId="0" borderId="3" xfId="0" applyFont="1" applyFill="1" applyBorder="1" applyAlignment="1">
      <alignment vertical="center"/>
    </xf>
    <xf numFmtId="0" fontId="6" fillId="0" borderId="1" xfId="0" applyFont="1" applyFill="1" applyBorder="1" applyAlignment="1">
      <alignment vertical="center"/>
    </xf>
    <xf numFmtId="0" fontId="6" fillId="8" borderId="6" xfId="0" applyFont="1" applyFill="1" applyBorder="1" applyAlignment="1">
      <alignment vertical="center"/>
    </xf>
    <xf numFmtId="0" fontId="6" fillId="8" borderId="1" xfId="0" applyFont="1" applyFill="1" applyBorder="1" applyAlignment="1">
      <alignment vertical="center"/>
    </xf>
    <xf numFmtId="0" fontId="6" fillId="8" borderId="9" xfId="0" applyFont="1" applyFill="1" applyBorder="1" applyAlignment="1">
      <alignment vertical="center"/>
    </xf>
    <xf numFmtId="0" fontId="6" fillId="8" borderId="3" xfId="0" applyFont="1" applyFill="1" applyBorder="1" applyAlignment="1">
      <alignment vertical="center"/>
    </xf>
    <xf numFmtId="172" fontId="8" fillId="0" borderId="3" xfId="0" applyNumberFormat="1" applyFont="1" applyFill="1" applyBorder="1" applyAlignment="1" applyProtection="1">
      <alignment horizontal="left" vertical="center"/>
    </xf>
    <xf numFmtId="172" fontId="8" fillId="8" borderId="3" xfId="0" applyNumberFormat="1" applyFont="1" applyFill="1" applyBorder="1" applyAlignment="1" applyProtection="1">
      <alignment horizontal="left" vertical="center"/>
    </xf>
    <xf numFmtId="0" fontId="0" fillId="0" borderId="0" xfId="0"/>
    <xf numFmtId="2" fontId="6" fillId="8" borderId="12" xfId="9" applyNumberFormat="1" applyFont="1" applyFill="1" applyBorder="1"/>
    <xf numFmtId="0" fontId="10" fillId="4" borderId="0" xfId="0" applyFont="1" applyFill="1" applyBorder="1" applyAlignment="1">
      <alignment horizontal="center" vertical="center"/>
    </xf>
    <xf numFmtId="0" fontId="0" fillId="0" borderId="0" xfId="0"/>
    <xf numFmtId="171" fontId="8" fillId="0" borderId="8" xfId="0" applyNumberFormat="1" applyFont="1" applyFill="1" applyBorder="1" applyAlignment="1">
      <alignment horizontal="right"/>
    </xf>
    <xf numFmtId="171" fontId="8" fillId="0" borderId="6" xfId="0" applyNumberFormat="1" applyFont="1" applyFill="1" applyBorder="1" applyAlignment="1">
      <alignment horizontal="right"/>
    </xf>
    <xf numFmtId="0" fontId="0" fillId="0" borderId="0" xfId="0"/>
    <xf numFmtId="0" fontId="6" fillId="0" borderId="12" xfId="0" applyFont="1" applyFill="1" applyBorder="1" applyAlignment="1">
      <alignment vertical="center"/>
    </xf>
    <xf numFmtId="9" fontId="8" fillId="0" borderId="3" xfId="0" applyNumberFormat="1" applyFont="1" applyFill="1" applyBorder="1" applyAlignment="1">
      <alignment horizontal="center" vertical="center"/>
    </xf>
    <xf numFmtId="9" fontId="8" fillId="0" borderId="38" xfId="0" applyNumberFormat="1" applyFont="1" applyFill="1" applyBorder="1" applyAlignment="1">
      <alignment horizontal="center" vertical="center"/>
    </xf>
    <xf numFmtId="9" fontId="8" fillId="0" borderId="39" xfId="0" applyNumberFormat="1" applyFont="1" applyFill="1" applyBorder="1" applyAlignment="1">
      <alignment horizontal="center" vertical="center"/>
    </xf>
    <xf numFmtId="9" fontId="8" fillId="0" borderId="33" xfId="0" applyNumberFormat="1" applyFont="1" applyFill="1" applyBorder="1" applyAlignment="1">
      <alignment horizontal="center" vertical="center"/>
    </xf>
    <xf numFmtId="9" fontId="8" fillId="0" borderId="31" xfId="0" applyNumberFormat="1" applyFont="1" applyFill="1" applyBorder="1" applyAlignment="1">
      <alignment horizontal="center" vertical="center"/>
    </xf>
    <xf numFmtId="0" fontId="0" fillId="0" borderId="0" xfId="0"/>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11" xfId="0" applyFont="1" applyFill="1" applyBorder="1" applyAlignment="1">
      <alignment horizontal="center" vertical="center"/>
    </xf>
    <xf numFmtId="0" fontId="0" fillId="0" borderId="0" xfId="0"/>
    <xf numFmtId="0" fontId="9" fillId="0" borderId="0" xfId="0" applyFont="1" applyBorder="1" applyAlignment="1">
      <alignment horizontal="center" vertical="center"/>
    </xf>
    <xf numFmtId="0" fontId="10" fillId="4" borderId="0" xfId="0" applyFont="1" applyFill="1" applyBorder="1" applyAlignment="1">
      <alignment horizontal="center" vertical="center"/>
    </xf>
    <xf numFmtId="0" fontId="0" fillId="0" borderId="0" xfId="0"/>
    <xf numFmtId="170" fontId="6" fillId="0" borderId="1" xfId="0" applyNumberFormat="1" applyFont="1" applyFill="1" applyBorder="1"/>
    <xf numFmtId="170" fontId="6" fillId="0" borderId="3" xfId="0" applyNumberFormat="1" applyFont="1" applyFill="1" applyBorder="1" applyAlignment="1">
      <alignment vertical="center"/>
    </xf>
    <xf numFmtId="165" fontId="0" fillId="0" borderId="0" xfId="0" applyNumberFormat="1"/>
    <xf numFmtId="0" fontId="10" fillId="5" borderId="3" xfId="0" applyFont="1" applyFill="1" applyBorder="1" applyAlignment="1">
      <alignment horizontal="center" vertical="center"/>
    </xf>
    <xf numFmtId="2" fontId="16" fillId="0" borderId="1" xfId="9" applyNumberFormat="1" applyFont="1" applyFill="1" applyBorder="1" applyAlignment="1">
      <alignment horizontal="left"/>
    </xf>
    <xf numFmtId="2" fontId="16" fillId="8" borderId="1" xfId="9" applyNumberFormat="1" applyFont="1" applyFill="1" applyBorder="1" applyAlignment="1">
      <alignment horizontal="left"/>
    </xf>
    <xf numFmtId="2" fontId="16" fillId="8" borderId="5" xfId="9" applyNumberFormat="1" applyFont="1" applyFill="1" applyBorder="1" applyAlignment="1">
      <alignment horizontal="left"/>
    </xf>
    <xf numFmtId="165" fontId="6" fillId="0" borderId="0" xfId="0" applyNumberFormat="1" applyFont="1" applyFill="1" applyBorder="1" applyAlignment="1">
      <alignment horizontal="right" vertical="center"/>
    </xf>
    <xf numFmtId="0" fontId="7" fillId="8" borderId="3" xfId="0" applyFont="1" applyFill="1" applyBorder="1" applyAlignment="1">
      <alignment horizontal="left" vertical="center"/>
    </xf>
    <xf numFmtId="0" fontId="10" fillId="4" borderId="0" xfId="0" applyFont="1" applyFill="1" applyBorder="1" applyAlignment="1">
      <alignment horizontal="center" vertical="center"/>
    </xf>
    <xf numFmtId="0" fontId="7" fillId="4" borderId="0" xfId="0" applyFont="1" applyFill="1" applyBorder="1" applyAlignment="1">
      <alignment horizontal="center"/>
    </xf>
    <xf numFmtId="0" fontId="0" fillId="0" borderId="0" xfId="0"/>
    <xf numFmtId="0" fontId="6" fillId="8" borderId="5" xfId="0" applyFont="1" applyFill="1" applyBorder="1"/>
    <xf numFmtId="0" fontId="0" fillId="0" borderId="0" xfId="0"/>
    <xf numFmtId="0" fontId="0" fillId="0" borderId="0" xfId="0"/>
    <xf numFmtId="0" fontId="9" fillId="0" borderId="0" xfId="0" applyFont="1" applyBorder="1" applyAlignment="1">
      <alignment horizontal="center" vertical="center"/>
    </xf>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11" xfId="0" applyFont="1" applyFill="1" applyBorder="1" applyAlignment="1">
      <alignment horizontal="center" vertical="center"/>
    </xf>
    <xf numFmtId="0" fontId="0" fillId="0" borderId="0" xfId="0"/>
    <xf numFmtId="0" fontId="0" fillId="0" borderId="0" xfId="0"/>
    <xf numFmtId="2" fontId="6" fillId="0" borderId="9" xfId="9" applyNumberFormat="1" applyFont="1" applyFill="1" applyBorder="1"/>
    <xf numFmtId="2" fontId="16" fillId="0" borderId="6" xfId="9" applyNumberFormat="1" applyFont="1" applyFill="1" applyBorder="1" applyAlignment="1">
      <alignment horizontal="left"/>
    </xf>
    <xf numFmtId="2" fontId="6" fillId="0" borderId="8" xfId="9" applyNumberFormat="1" applyFont="1" applyFill="1" applyBorder="1" applyAlignment="1">
      <alignment horizontal="right"/>
    </xf>
    <xf numFmtId="0" fontId="8" fillId="0" borderId="9" xfId="0" applyFont="1" applyFill="1" applyBorder="1" applyAlignment="1">
      <alignment horizontal="center"/>
    </xf>
    <xf numFmtId="170" fontId="6" fillId="0" borderId="3" xfId="0" applyNumberFormat="1" applyFont="1" applyFill="1" applyBorder="1"/>
    <xf numFmtId="170" fontId="16" fillId="8" borderId="3" xfId="0" applyNumberFormat="1" applyFont="1" applyFill="1" applyBorder="1"/>
    <xf numFmtId="0" fontId="8" fillId="8" borderId="12" xfId="0" applyFont="1" applyFill="1" applyBorder="1" applyAlignment="1">
      <alignment horizontal="center"/>
    </xf>
    <xf numFmtId="172" fontId="8" fillId="0" borderId="9" xfId="0" applyNumberFormat="1" applyFont="1" applyFill="1" applyBorder="1" applyAlignment="1" applyProtection="1">
      <alignment horizontal="left" vertical="center"/>
    </xf>
    <xf numFmtId="172" fontId="8" fillId="0" borderId="8" xfId="0" applyNumberFormat="1" applyFont="1" applyFill="1" applyBorder="1" applyAlignment="1" applyProtection="1">
      <alignment horizontal="left" vertical="center"/>
    </xf>
    <xf numFmtId="172" fontId="8" fillId="0" borderId="6" xfId="0" applyNumberFormat="1" applyFont="1" applyFill="1" applyBorder="1" applyAlignment="1" applyProtection="1">
      <alignment horizontal="right" vertical="center"/>
    </xf>
    <xf numFmtId="172" fontId="8" fillId="0" borderId="8" xfId="0" applyNumberFormat="1" applyFont="1" applyFill="1" applyBorder="1" applyAlignment="1" applyProtection="1">
      <alignment horizontal="right" vertical="center"/>
    </xf>
    <xf numFmtId="172" fontId="8" fillId="8" borderId="12" xfId="0" applyNumberFormat="1" applyFont="1" applyFill="1" applyBorder="1" applyAlignment="1" applyProtection="1">
      <alignment horizontal="left" vertical="center"/>
    </xf>
    <xf numFmtId="172" fontId="8" fillId="8" borderId="5" xfId="0" applyNumberFormat="1" applyFont="1" applyFill="1" applyBorder="1" applyAlignment="1" applyProtection="1">
      <alignment horizontal="right" vertical="center"/>
    </xf>
    <xf numFmtId="172" fontId="8" fillId="8" borderId="11" xfId="0" applyNumberFormat="1" applyFont="1" applyFill="1" applyBorder="1" applyAlignment="1" applyProtection="1">
      <alignment horizontal="right" vertical="center"/>
    </xf>
    <xf numFmtId="171" fontId="10" fillId="5" borderId="22" xfId="0" applyNumberFormat="1" applyFont="1" applyFill="1" applyBorder="1" applyAlignment="1">
      <alignment horizontal="right"/>
    </xf>
    <xf numFmtId="0" fontId="6" fillId="8" borderId="11" xfId="0" applyFont="1" applyFill="1" applyBorder="1"/>
    <xf numFmtId="0" fontId="0" fillId="8" borderId="12" xfId="0" applyFill="1" applyBorder="1"/>
    <xf numFmtId="0" fontId="10" fillId="4" borderId="0" xfId="0" applyFont="1" applyFill="1" applyBorder="1" applyAlignment="1">
      <alignment horizontal="center" vertical="center"/>
    </xf>
    <xf numFmtId="0" fontId="7" fillId="4" borderId="0" xfId="0" applyFont="1" applyFill="1" applyBorder="1" applyAlignment="1">
      <alignment horizontal="center"/>
    </xf>
    <xf numFmtId="0" fontId="0" fillId="0" borderId="0" xfId="0"/>
    <xf numFmtId="0" fontId="10" fillId="5" borderId="3" xfId="0" applyFont="1" applyFill="1" applyBorder="1" applyAlignment="1">
      <alignment horizontal="center" vertical="center" wrapText="1"/>
    </xf>
    <xf numFmtId="1" fontId="7" fillId="4" borderId="8" xfId="12" applyNumberFormat="1" applyFont="1" applyFill="1" applyBorder="1" applyAlignment="1">
      <alignment horizontal="center"/>
    </xf>
    <xf numFmtId="1" fontId="7" fillId="4" borderId="0" xfId="12" applyNumberFormat="1" applyFont="1" applyFill="1" applyBorder="1" applyAlignment="1">
      <alignment horizontal="center" vertical="center"/>
    </xf>
    <xf numFmtId="0" fontId="7" fillId="5" borderId="28" xfId="12" applyFont="1" applyFill="1" applyBorder="1" applyAlignment="1">
      <alignment horizontal="center" vertical="center"/>
    </xf>
    <xf numFmtId="165" fontId="42" fillId="5" borderId="25" xfId="12" applyNumberFormat="1" applyFont="1" applyFill="1" applyBorder="1" applyAlignment="1">
      <alignment horizontal="right"/>
    </xf>
    <xf numFmtId="0" fontId="7" fillId="0" borderId="4" xfId="12" applyFont="1" applyFill="1" applyBorder="1" applyAlignment="1">
      <alignment horizontal="center" vertical="center"/>
    </xf>
    <xf numFmtId="0" fontId="7" fillId="5" borderId="4" xfId="12" applyFont="1" applyFill="1" applyBorder="1" applyAlignment="1">
      <alignment horizontal="center" vertical="center"/>
    </xf>
    <xf numFmtId="165" fontId="6" fillId="0" borderId="0" xfId="12" applyNumberFormat="1" applyFont="1" applyFill="1" applyBorder="1" applyAlignment="1">
      <alignment horizontal="right" vertical="center"/>
    </xf>
    <xf numFmtId="0" fontId="7" fillId="8" borderId="4" xfId="12" applyFont="1" applyFill="1" applyBorder="1" applyAlignment="1">
      <alignment horizontal="center" vertical="center"/>
    </xf>
    <xf numFmtId="165" fontId="6" fillId="8" borderId="0" xfId="12" applyNumberFormat="1" applyFont="1" applyFill="1" applyBorder="1" applyAlignment="1">
      <alignment horizontal="right" vertical="center"/>
    </xf>
    <xf numFmtId="165" fontId="6" fillId="8" borderId="0" xfId="12" applyNumberFormat="1" applyFont="1" applyFill="1" applyBorder="1" applyAlignment="1">
      <alignment horizontal="center" vertical="center"/>
    </xf>
    <xf numFmtId="165" fontId="6" fillId="8" borderId="8" xfId="12" applyNumberFormat="1" applyFont="1" applyFill="1" applyBorder="1" applyAlignment="1">
      <alignment horizontal="center" vertical="center"/>
    </xf>
    <xf numFmtId="165" fontId="6" fillId="0" borderId="1" xfId="12" applyNumberFormat="1" applyFont="1" applyFill="1" applyBorder="1" applyAlignment="1">
      <alignment horizontal="right" vertical="center"/>
    </xf>
    <xf numFmtId="0" fontId="7" fillId="8" borderId="7" xfId="12" applyFont="1" applyFill="1" applyBorder="1" applyAlignment="1">
      <alignment horizontal="center" vertical="center"/>
    </xf>
    <xf numFmtId="165" fontId="6" fillId="8" borderId="11" xfId="12" applyNumberFormat="1" applyFont="1" applyFill="1" applyBorder="1" applyAlignment="1">
      <alignment horizontal="right" vertical="center"/>
    </xf>
    <xf numFmtId="165" fontId="6" fillId="0" borderId="0" xfId="12" applyNumberFormat="1" applyFont="1" applyBorder="1" applyAlignment="1">
      <alignment vertical="center"/>
    </xf>
    <xf numFmtId="165" fontId="6" fillId="5" borderId="0" xfId="12" applyNumberFormat="1" applyFont="1" applyFill="1" applyBorder="1" applyAlignment="1">
      <alignment vertical="center"/>
    </xf>
    <xf numFmtId="165" fontId="6" fillId="8" borderId="0" xfId="12" applyNumberFormat="1" applyFont="1" applyFill="1" applyBorder="1" applyAlignment="1">
      <alignment vertical="center"/>
    </xf>
    <xf numFmtId="165" fontId="6" fillId="8" borderId="1" xfId="12" applyNumberFormat="1" applyFont="1" applyFill="1" applyBorder="1" applyAlignment="1">
      <alignment vertical="center"/>
    </xf>
    <xf numFmtId="165" fontId="16" fillId="0" borderId="0" xfId="12" applyNumberFormat="1" applyFont="1" applyBorder="1" applyAlignment="1">
      <alignment vertical="center"/>
    </xf>
    <xf numFmtId="0" fontId="7" fillId="0" borderId="8" xfId="0" applyFont="1" applyBorder="1" applyAlignment="1">
      <alignment vertical="top"/>
    </xf>
    <xf numFmtId="0" fontId="3" fillId="0" borderId="0" xfId="12"/>
    <xf numFmtId="0" fontId="3" fillId="0" borderId="0" xfId="12" applyFont="1"/>
    <xf numFmtId="0" fontId="9" fillId="0" borderId="0" xfId="0" applyFont="1" applyBorder="1" applyAlignment="1">
      <alignment horizontal="center" vertical="center"/>
    </xf>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11" xfId="0" applyFont="1" applyFill="1" applyBorder="1" applyAlignment="1">
      <alignment horizontal="center" vertical="center"/>
    </xf>
    <xf numFmtId="0" fontId="6" fillId="0" borderId="0" xfId="0" applyFont="1" applyAlignment="1">
      <alignment wrapText="1"/>
    </xf>
    <xf numFmtId="0" fontId="12" fillId="0" borderId="0" xfId="0" applyFont="1" applyFill="1" applyBorder="1" applyAlignment="1">
      <alignment horizontal="center" vertical="center" wrapText="1"/>
    </xf>
    <xf numFmtId="0" fontId="0" fillId="0" borderId="0" xfId="0"/>
    <xf numFmtId="0" fontId="7" fillId="0" borderId="0" xfId="9" applyFont="1" applyBorder="1" applyAlignment="1">
      <alignment textRotation="90" wrapText="1"/>
    </xf>
    <xf numFmtId="0" fontId="21" fillId="6" borderId="3" xfId="9" applyFont="1" applyFill="1" applyBorder="1" applyAlignment="1">
      <alignment horizontal="center"/>
    </xf>
    <xf numFmtId="0" fontId="27" fillId="6" borderId="0" xfId="9" applyFont="1" applyFill="1" applyBorder="1"/>
    <xf numFmtId="0" fontId="27" fillId="6" borderId="1" xfId="9" applyFont="1" applyFill="1" applyBorder="1"/>
    <xf numFmtId="0" fontId="7" fillId="6" borderId="0" xfId="9" applyFont="1" applyFill="1" applyBorder="1" applyAlignment="1">
      <alignment horizontal="right"/>
    </xf>
    <xf numFmtId="2" fontId="6" fillId="0" borderId="11" xfId="9" applyNumberFormat="1" applyFont="1" applyFill="1" applyBorder="1" applyAlignment="1">
      <alignment horizontal="right"/>
    </xf>
    <xf numFmtId="2" fontId="6" fillId="0" borderId="12" xfId="9" applyNumberFormat="1" applyFont="1" applyFill="1" applyBorder="1"/>
    <xf numFmtId="2" fontId="16" fillId="0" borderId="5" xfId="9" applyNumberFormat="1" applyFont="1" applyFill="1" applyBorder="1" applyAlignment="1">
      <alignment horizontal="left"/>
    </xf>
    <xf numFmtId="170" fontId="16" fillId="0" borderId="3" xfId="0" applyNumberFormat="1" applyFont="1" applyFill="1" applyBorder="1"/>
    <xf numFmtId="170" fontId="8" fillId="8" borderId="8" xfId="0" applyNumberFormat="1" applyFont="1" applyFill="1" applyBorder="1"/>
    <xf numFmtId="170" fontId="6" fillId="0" borderId="11" xfId="0" applyNumberFormat="1" applyFont="1" applyFill="1" applyBorder="1" applyAlignment="1">
      <alignment vertical="center"/>
    </xf>
    <xf numFmtId="0" fontId="7" fillId="8" borderId="0" xfId="0" applyFont="1" applyFill="1" applyAlignment="1">
      <alignment horizontal="center"/>
    </xf>
    <xf numFmtId="170" fontId="16" fillId="8" borderId="0" xfId="0" applyNumberFormat="1" applyFont="1" applyFill="1" applyBorder="1"/>
    <xf numFmtId="0" fontId="8" fillId="8" borderId="4" xfId="0" applyFont="1" applyFill="1" applyBorder="1" applyAlignment="1">
      <alignment horizontal="center"/>
    </xf>
    <xf numFmtId="0" fontId="0" fillId="0" borderId="3" xfId="0" applyBorder="1"/>
    <xf numFmtId="0" fontId="7" fillId="4" borderId="28" xfId="0" applyFont="1" applyFill="1" applyBorder="1" applyAlignment="1">
      <alignment horizontal="center" vertical="center" wrapText="1"/>
    </xf>
    <xf numFmtId="0" fontId="6" fillId="5" borderId="3" xfId="0" applyFont="1" applyFill="1" applyBorder="1"/>
    <xf numFmtId="0" fontId="6" fillId="8" borderId="6" xfId="0" applyFont="1" applyFill="1" applyBorder="1"/>
    <xf numFmtId="170" fontId="6" fillId="8" borderId="8" xfId="0" applyNumberFormat="1" applyFont="1" applyFill="1" applyBorder="1"/>
    <xf numFmtId="170" fontId="6" fillId="8" borderId="8" xfId="0" applyNumberFormat="1" applyFont="1" applyFill="1" applyBorder="1" applyAlignment="1">
      <alignment horizontal="right"/>
    </xf>
    <xf numFmtId="170" fontId="6" fillId="0" borderId="0" xfId="0" applyNumberFormat="1" applyFont="1" applyFill="1" applyBorder="1" applyAlignment="1">
      <alignment horizontal="right"/>
    </xf>
    <xf numFmtId="171" fontId="6" fillId="0" borderId="0" xfId="0" applyNumberFormat="1" applyFont="1" applyFill="1" applyBorder="1" applyAlignment="1">
      <alignment horizontal="right"/>
    </xf>
    <xf numFmtId="0" fontId="6" fillId="5" borderId="12" xfId="0" applyFont="1" applyFill="1" applyBorder="1"/>
    <xf numFmtId="171" fontId="6" fillId="8" borderId="11" xfId="0" applyNumberFormat="1" applyFont="1" applyFill="1" applyBorder="1" applyAlignment="1">
      <alignment horizontal="right"/>
    </xf>
    <xf numFmtId="165" fontId="6" fillId="8" borderId="0" xfId="0" applyNumberFormat="1" applyFont="1" applyFill="1" applyBorder="1" applyAlignment="1">
      <alignment vertical="center"/>
    </xf>
    <xf numFmtId="165" fontId="6" fillId="0" borderId="0" xfId="0" applyNumberFormat="1" applyFont="1" applyFill="1" applyBorder="1" applyAlignment="1">
      <alignment vertical="center"/>
    </xf>
    <xf numFmtId="165" fontId="6" fillId="0" borderId="1" xfId="0" applyNumberFormat="1" applyFont="1" applyFill="1" applyBorder="1" applyAlignment="1">
      <alignment vertical="center"/>
    </xf>
    <xf numFmtId="165" fontId="6" fillId="5" borderId="0" xfId="0" applyNumberFormat="1" applyFont="1" applyFill="1" applyBorder="1" applyAlignment="1">
      <alignment horizontal="right" vertical="center"/>
    </xf>
    <xf numFmtId="165" fontId="6" fillId="5" borderId="1" xfId="0" applyNumberFormat="1" applyFont="1" applyFill="1" applyBorder="1" applyAlignment="1">
      <alignment horizontal="right" vertical="center"/>
    </xf>
    <xf numFmtId="165" fontId="6" fillId="0" borderId="1" xfId="0" applyNumberFormat="1" applyFont="1" applyFill="1" applyBorder="1" applyAlignment="1">
      <alignment horizontal="right" vertical="center"/>
    </xf>
    <xf numFmtId="165" fontId="6" fillId="8" borderId="1" xfId="0" applyNumberFormat="1" applyFont="1" applyFill="1" applyBorder="1" applyAlignment="1">
      <alignment vertical="center"/>
    </xf>
    <xf numFmtId="165" fontId="6" fillId="8" borderId="8" xfId="0" applyNumberFormat="1" applyFont="1" applyFill="1" applyBorder="1" applyAlignment="1">
      <alignment vertical="center"/>
    </xf>
    <xf numFmtId="165" fontId="6" fillId="0" borderId="11" xfId="0" applyNumberFormat="1" applyFont="1" applyFill="1" applyBorder="1" applyAlignment="1">
      <alignment vertical="center"/>
    </xf>
    <xf numFmtId="165" fontId="6" fillId="0" borderId="5" xfId="0" applyNumberFormat="1" applyFont="1" applyFill="1" applyBorder="1" applyAlignment="1">
      <alignment vertical="center"/>
    </xf>
    <xf numFmtId="164" fontId="6" fillId="0" borderId="9" xfId="0" applyNumberFormat="1" applyFont="1" applyFill="1" applyBorder="1"/>
    <xf numFmtId="164" fontId="6" fillId="0" borderId="8" xfId="0" applyNumberFormat="1" applyFont="1" applyFill="1" applyBorder="1"/>
    <xf numFmtId="164" fontId="6" fillId="8" borderId="3" xfId="0" applyNumberFormat="1" applyFont="1" applyFill="1" applyBorder="1"/>
    <xf numFmtId="164" fontId="6" fillId="8" borderId="0" xfId="0" applyNumberFormat="1" applyFont="1" applyFill="1" applyBorder="1"/>
    <xf numFmtId="164" fontId="6" fillId="0" borderId="3" xfId="0" applyNumberFormat="1" applyFont="1" applyFill="1" applyBorder="1"/>
    <xf numFmtId="164" fontId="6" fillId="0" borderId="0" xfId="0" applyNumberFormat="1" applyFont="1" applyFill="1" applyBorder="1"/>
    <xf numFmtId="0" fontId="10" fillId="4" borderId="0" xfId="0" applyFont="1" applyFill="1" applyBorder="1" applyAlignment="1">
      <alignment horizontal="center" vertical="center"/>
    </xf>
    <xf numFmtId="0" fontId="0" fillId="0" borderId="0" xfId="0"/>
    <xf numFmtId="0" fontId="0" fillId="0" borderId="1" xfId="0" applyBorder="1"/>
    <xf numFmtId="0" fontId="7" fillId="4" borderId="1" xfId="0" applyFont="1" applyFill="1" applyBorder="1" applyAlignment="1">
      <alignment horizontal="center" vertical="center"/>
    </xf>
    <xf numFmtId="0" fontId="7" fillId="4" borderId="5" xfId="0" applyFont="1" applyFill="1" applyBorder="1" applyAlignment="1">
      <alignment horizontal="center" vertical="center"/>
    </xf>
    <xf numFmtId="166" fontId="6" fillId="8" borderId="1" xfId="0" applyNumberFormat="1" applyFont="1" applyFill="1" applyBorder="1" applyAlignment="1">
      <alignment horizontal="right" vertical="center"/>
    </xf>
    <xf numFmtId="165" fontId="6" fillId="5" borderId="1" xfId="12" applyNumberFormat="1" applyFont="1" applyFill="1" applyBorder="1" applyAlignment="1">
      <alignment vertical="center"/>
    </xf>
    <xf numFmtId="165" fontId="6" fillId="0" borderId="1" xfId="12" applyNumberFormat="1" applyFont="1" applyBorder="1" applyAlignment="1">
      <alignment vertical="center"/>
    </xf>
    <xf numFmtId="0" fontId="9" fillId="0" borderId="0" xfId="0" quotePrefix="1" applyFont="1" applyAlignment="1">
      <alignment horizontal="center" vertical="top"/>
    </xf>
    <xf numFmtId="167" fontId="6" fillId="0" borderId="9" xfId="0" applyNumberFormat="1" applyFont="1" applyBorder="1" applyAlignment="1">
      <alignment horizontal="center"/>
    </xf>
    <xf numFmtId="167" fontId="6" fillId="10" borderId="4" xfId="8" applyNumberFormat="1" applyFont="1" applyFill="1" applyBorder="1" applyAlignment="1">
      <alignment horizontal="center"/>
    </xf>
    <xf numFmtId="167" fontId="6" fillId="8" borderId="3" xfId="0" applyNumberFormat="1" applyFont="1" applyFill="1" applyBorder="1" applyAlignment="1">
      <alignment horizontal="center"/>
    </xf>
    <xf numFmtId="167" fontId="6" fillId="0" borderId="3" xfId="0" applyNumberFormat="1" applyFont="1" applyFill="1" applyBorder="1" applyAlignment="1">
      <alignment horizontal="center"/>
    </xf>
    <xf numFmtId="167" fontId="6" fillId="8" borderId="37" xfId="0" applyNumberFormat="1" applyFont="1" applyFill="1" applyBorder="1" applyAlignment="1">
      <alignment horizontal="center"/>
    </xf>
    <xf numFmtId="167" fontId="6" fillId="10" borderId="28" xfId="8" applyNumberFormat="1" applyFont="1" applyFill="1" applyBorder="1" applyAlignment="1">
      <alignment horizontal="center"/>
    </xf>
    <xf numFmtId="169" fontId="0" fillId="0" borderId="0" xfId="0" applyNumberFormat="1"/>
    <xf numFmtId="165" fontId="10" fillId="0" borderId="5" xfId="0" applyNumberFormat="1" applyFont="1" applyFill="1" applyBorder="1" applyAlignment="1">
      <alignment horizontal="center" vertical="center"/>
    </xf>
    <xf numFmtId="0" fontId="22" fillId="8" borderId="5" xfId="0" applyFont="1" applyFill="1" applyBorder="1" applyAlignment="1">
      <alignment horizontal="center"/>
    </xf>
    <xf numFmtId="170" fontId="6" fillId="8" borderId="11" xfId="0" applyNumberFormat="1" applyFont="1" applyFill="1" applyBorder="1"/>
    <xf numFmtId="0" fontId="0" fillId="0" borderId="0" xfId="0" applyAlignment="1">
      <alignment horizontal="center" vertical="center"/>
    </xf>
    <xf numFmtId="0" fontId="6" fillId="0" borderId="11" xfId="9" applyFont="1" applyBorder="1" applyAlignment="1">
      <alignment horizontal="center" vertical="center"/>
    </xf>
    <xf numFmtId="0" fontId="20" fillId="0" borderId="0" xfId="0" applyFont="1" applyAlignment="1">
      <alignment horizontal="center" vertical="center"/>
    </xf>
    <xf numFmtId="0" fontId="19" fillId="4" borderId="7" xfId="0" applyFont="1" applyFill="1" applyBorder="1" applyAlignment="1">
      <alignment horizontal="center" vertical="center" wrapText="1"/>
    </xf>
    <xf numFmtId="0" fontId="23" fillId="0" borderId="0" xfId="0" quotePrefix="1" applyFont="1" applyAlignment="1">
      <alignment horizontal="center" vertical="center"/>
    </xf>
    <xf numFmtId="171" fontId="16" fillId="0" borderId="0" xfId="0" applyNumberFormat="1" applyFont="1" applyFill="1" applyBorder="1" applyAlignment="1">
      <alignment horizontal="right"/>
    </xf>
    <xf numFmtId="165" fontId="9" fillId="0" borderId="0" xfId="0" quotePrefix="1" applyNumberFormat="1" applyFont="1" applyBorder="1" applyAlignment="1">
      <alignment horizontal="right" vertical="top"/>
    </xf>
    <xf numFmtId="165" fontId="6" fillId="4" borderId="8" xfId="0" applyNumberFormat="1" applyFont="1" applyFill="1" applyBorder="1" applyAlignment="1">
      <alignment horizontal="centerContinuous"/>
    </xf>
    <xf numFmtId="165" fontId="7" fillId="4" borderId="5" xfId="0" applyNumberFormat="1" applyFont="1" applyFill="1" applyBorder="1" applyAlignment="1">
      <alignment horizontal="center"/>
    </xf>
    <xf numFmtId="165" fontId="10" fillId="0" borderId="0" xfId="0" applyNumberFormat="1" applyFont="1" applyBorder="1" applyAlignment="1">
      <alignment horizontal="left" wrapText="1"/>
    </xf>
    <xf numFmtId="165" fontId="8" fillId="0" borderId="0" xfId="0" applyNumberFormat="1" applyFont="1"/>
    <xf numFmtId="0" fontId="10" fillId="4" borderId="0" xfId="0" applyNumberFormat="1" applyFont="1" applyFill="1" applyBorder="1" applyAlignment="1">
      <alignment horizontal="center" vertical="center"/>
    </xf>
    <xf numFmtId="0" fontId="10" fillId="4" borderId="7" xfId="0" applyFont="1" applyFill="1" applyBorder="1" applyAlignment="1">
      <alignment horizontal="center" vertical="center"/>
    </xf>
    <xf numFmtId="0" fontId="10" fillId="8" borderId="1" xfId="0" applyFont="1" applyFill="1" applyBorder="1" applyAlignment="1">
      <alignment horizontal="center"/>
    </xf>
    <xf numFmtId="0" fontId="7" fillId="8" borderId="1" xfId="0" applyFont="1" applyFill="1" applyBorder="1" applyAlignment="1">
      <alignment horizontal="center"/>
    </xf>
    <xf numFmtId="0" fontId="0" fillId="0" borderId="5" xfId="0" applyBorder="1"/>
    <xf numFmtId="0" fontId="3" fillId="0" borderId="1" xfId="0" applyFont="1" applyBorder="1"/>
    <xf numFmtId="0" fontId="10" fillId="8" borderId="7" xfId="0" applyFont="1" applyFill="1" applyBorder="1" applyAlignment="1">
      <alignment horizontal="center"/>
    </xf>
    <xf numFmtId="0" fontId="19" fillId="4" borderId="10" xfId="0" applyFont="1" applyFill="1" applyBorder="1" applyAlignment="1">
      <alignment horizontal="center" wrapText="1"/>
    </xf>
    <xf numFmtId="0" fontId="7" fillId="4" borderId="7" xfId="0" applyFont="1" applyFill="1" applyBorder="1" applyAlignment="1">
      <alignment horizontal="center"/>
    </xf>
    <xf numFmtId="0" fontId="0" fillId="0" borderId="0" xfId="0"/>
    <xf numFmtId="0" fontId="9" fillId="0" borderId="0" xfId="9" applyFont="1" applyBorder="1" applyAlignment="1">
      <alignment horizontal="center" vertical="top" wrapText="1"/>
    </xf>
    <xf numFmtId="0" fontId="12" fillId="0" borderId="0" xfId="9" applyFont="1" applyBorder="1" applyAlignment="1">
      <alignment horizontal="center" vertical="top" wrapText="1"/>
    </xf>
    <xf numFmtId="0" fontId="6" fillId="0" borderId="0" xfId="9" applyFont="1" applyBorder="1" applyAlignment="1">
      <alignment horizontal="center" vertical="top" wrapText="1"/>
    </xf>
    <xf numFmtId="171" fontId="6" fillId="0" borderId="5" xfId="0" applyNumberFormat="1" applyFont="1" applyFill="1" applyBorder="1" applyAlignment="1">
      <alignment horizontal="center" vertical="center"/>
    </xf>
    <xf numFmtId="2" fontId="16" fillId="0" borderId="8" xfId="9" applyNumberFormat="1" applyFont="1" applyFill="1" applyBorder="1" applyAlignment="1">
      <alignment horizontal="right"/>
    </xf>
    <xf numFmtId="0" fontId="9" fillId="0" borderId="0" xfId="9" quotePrefix="1" applyFont="1" applyBorder="1" applyAlignment="1">
      <alignment horizontal="center" vertical="center"/>
    </xf>
    <xf numFmtId="0" fontId="3" fillId="0" borderId="0" xfId="9" applyAlignment="1">
      <alignment horizontal="center" vertical="center"/>
    </xf>
    <xf numFmtId="0" fontId="19" fillId="6" borderId="10" xfId="9" applyFont="1" applyFill="1" applyBorder="1" applyAlignment="1">
      <alignment horizontal="center" vertical="center"/>
    </xf>
    <xf numFmtId="0" fontId="19" fillId="6" borderId="4" xfId="9" quotePrefix="1" applyFont="1" applyFill="1" applyBorder="1" applyAlignment="1">
      <alignment horizontal="center" vertical="center"/>
    </xf>
    <xf numFmtId="0" fontId="7" fillId="6" borderId="7" xfId="9" applyFont="1" applyFill="1" applyBorder="1" applyAlignment="1">
      <alignment horizontal="center" vertical="center"/>
    </xf>
    <xf numFmtId="0" fontId="7" fillId="0" borderId="0" xfId="9" applyFont="1" applyBorder="1" applyAlignment="1">
      <alignment horizontal="center" vertical="center" wrapText="1"/>
    </xf>
    <xf numFmtId="0" fontId="3" fillId="0" borderId="0" xfId="9" applyFill="1" applyAlignment="1">
      <alignment horizontal="center" vertical="center"/>
    </xf>
    <xf numFmtId="0" fontId="7" fillId="0" borderId="11" xfId="9" applyFont="1" applyFill="1" applyBorder="1" applyAlignment="1">
      <alignment horizontal="center" vertical="center"/>
    </xf>
    <xf numFmtId="0" fontId="7" fillId="6" borderId="28" xfId="9" applyFont="1" applyFill="1" applyBorder="1" applyAlignment="1">
      <alignment horizontal="center" vertical="center"/>
    </xf>
    <xf numFmtId="0" fontId="12" fillId="0" borderId="0" xfId="0" applyFont="1" applyFill="1" applyBorder="1" applyAlignment="1">
      <alignment horizontal="center" vertical="center" wrapText="1"/>
    </xf>
    <xf numFmtId="0" fontId="23" fillId="0" borderId="0" xfId="0" applyFont="1" applyFill="1" applyBorder="1" applyAlignment="1">
      <alignment horizontal="center" vertical="top" wrapText="1"/>
    </xf>
    <xf numFmtId="0" fontId="10" fillId="0" borderId="0" xfId="0" applyFont="1" applyBorder="1" applyAlignment="1">
      <alignment horizontal="left" wrapText="1"/>
    </xf>
    <xf numFmtId="0" fontId="0" fillId="0" borderId="0" xfId="0"/>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1" xfId="0" applyFont="1" applyFill="1" applyBorder="1" applyAlignment="1">
      <alignment horizontal="center" vertical="center"/>
    </xf>
    <xf numFmtId="170" fontId="16" fillId="0" borderId="0" xfId="0" applyNumberFormat="1" applyFont="1" applyFill="1" applyBorder="1"/>
    <xf numFmtId="0" fontId="9" fillId="0" borderId="0" xfId="0" quotePrefix="1" applyFont="1" applyAlignment="1">
      <alignment horizontal="center" vertical="center"/>
    </xf>
    <xf numFmtId="0" fontId="19" fillId="4" borderId="10" xfId="0" applyFont="1" applyFill="1" applyBorder="1" applyAlignment="1">
      <alignment horizontal="center" vertical="center"/>
    </xf>
    <xf numFmtId="0" fontId="28" fillId="4" borderId="7" xfId="0" applyFont="1" applyFill="1" applyBorder="1" applyAlignment="1">
      <alignment horizontal="center" vertical="center"/>
    </xf>
    <xf numFmtId="0" fontId="0" fillId="0" borderId="0" xfId="0" applyFill="1" applyAlignment="1">
      <alignment horizontal="center" vertical="center"/>
    </xf>
    <xf numFmtId="172" fontId="6" fillId="0" borderId="3" xfId="0" applyNumberFormat="1" applyFont="1" applyFill="1" applyBorder="1" applyAlignment="1" applyProtection="1">
      <alignment horizontal="left" vertical="center"/>
    </xf>
    <xf numFmtId="172" fontId="6" fillId="0" borderId="0" xfId="0" applyNumberFormat="1" applyFont="1" applyFill="1" applyBorder="1" applyAlignment="1" applyProtection="1">
      <alignment horizontal="left" vertical="center"/>
    </xf>
    <xf numFmtId="172" fontId="6" fillId="0" borderId="0" xfId="0" applyNumberFormat="1" applyFont="1" applyFill="1" applyBorder="1" applyAlignment="1" applyProtection="1">
      <alignment horizontal="right" vertical="center"/>
    </xf>
    <xf numFmtId="0" fontId="7" fillId="0" borderId="11" xfId="0" applyFont="1" applyBorder="1" applyAlignment="1">
      <alignment horizontal="center"/>
    </xf>
    <xf numFmtId="172" fontId="6" fillId="8" borderId="12" xfId="0" applyNumberFormat="1" applyFont="1" applyFill="1" applyBorder="1" applyAlignment="1" applyProtection="1">
      <alignment horizontal="left" vertical="center"/>
    </xf>
    <xf numFmtId="172" fontId="6" fillId="8" borderId="11" xfId="0" applyNumberFormat="1" applyFont="1" applyFill="1" applyBorder="1" applyAlignment="1" applyProtection="1">
      <alignment horizontal="left" vertical="center"/>
    </xf>
    <xf numFmtId="172" fontId="6" fillId="8" borderId="11" xfId="0" applyNumberFormat="1" applyFont="1" applyFill="1" applyBorder="1" applyAlignment="1" applyProtection="1">
      <alignment horizontal="right" vertical="center"/>
    </xf>
    <xf numFmtId="0" fontId="6" fillId="0" borderId="0" xfId="0" applyFont="1" applyFill="1"/>
    <xf numFmtId="0" fontId="6" fillId="0" borderId="0" xfId="0" applyFont="1" applyBorder="1" applyAlignment="1">
      <alignment horizontal="center" vertical="center"/>
    </xf>
    <xf numFmtId="0" fontId="6" fillId="4" borderId="13" xfId="0" applyFont="1" applyFill="1" applyBorder="1" applyAlignment="1">
      <alignment horizontal="center" vertical="center" wrapText="1"/>
    </xf>
    <xf numFmtId="0" fontId="6" fillId="4" borderId="20" xfId="0" applyFont="1" applyFill="1" applyBorder="1" applyAlignment="1">
      <alignment horizontal="center" vertical="center"/>
    </xf>
    <xf numFmtId="0" fontId="7" fillId="4" borderId="4" xfId="0" applyFont="1" applyFill="1" applyBorder="1" applyAlignment="1">
      <alignment horizontal="center"/>
    </xf>
    <xf numFmtId="0" fontId="6" fillId="4" borderId="20"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7" fillId="5" borderId="10" xfId="0" applyFont="1" applyFill="1" applyBorder="1" applyAlignment="1">
      <alignment horizontal="center" vertical="center"/>
    </xf>
    <xf numFmtId="169" fontId="6" fillId="0" borderId="9" xfId="0" applyNumberFormat="1" applyFont="1" applyFill="1" applyBorder="1" applyAlignment="1">
      <alignment horizontal="center" vertical="center"/>
    </xf>
    <xf numFmtId="169" fontId="6" fillId="0" borderId="8" xfId="0" applyNumberFormat="1" applyFont="1" applyFill="1" applyBorder="1" applyAlignment="1">
      <alignment horizontal="center" vertical="center"/>
    </xf>
    <xf numFmtId="169" fontId="6" fillId="0" borderId="6" xfId="0" applyNumberFormat="1" applyFont="1" applyFill="1" applyBorder="1" applyAlignment="1">
      <alignment horizontal="center" vertical="center"/>
    </xf>
    <xf numFmtId="165" fontId="7" fillId="0" borderId="6" xfId="0" applyNumberFormat="1" applyFont="1" applyFill="1" applyBorder="1" applyAlignment="1">
      <alignment horizontal="center" vertical="center"/>
    </xf>
    <xf numFmtId="169" fontId="6" fillId="0" borderId="3" xfId="0" applyNumberFormat="1" applyFont="1" applyFill="1" applyBorder="1" applyAlignment="1">
      <alignment horizontal="center" vertical="center"/>
    </xf>
    <xf numFmtId="169" fontId="6" fillId="0" borderId="0" xfId="0" applyNumberFormat="1" applyFont="1" applyFill="1" applyBorder="1" applyAlignment="1">
      <alignment horizontal="center" vertical="center"/>
    </xf>
    <xf numFmtId="169" fontId="6" fillId="0" borderId="1" xfId="0" applyNumberFormat="1" applyFont="1" applyFill="1" applyBorder="1" applyAlignment="1">
      <alignment horizontal="center" vertical="center"/>
    </xf>
    <xf numFmtId="165" fontId="7" fillId="0" borderId="1" xfId="0" applyNumberFormat="1" applyFont="1" applyFill="1" applyBorder="1" applyAlignment="1">
      <alignment horizontal="center" vertical="center"/>
    </xf>
    <xf numFmtId="169" fontId="6" fillId="0" borderId="31" xfId="0" applyNumberFormat="1" applyFont="1" applyFill="1" applyBorder="1" applyAlignment="1">
      <alignment horizontal="center" vertical="center"/>
    </xf>
    <xf numFmtId="165" fontId="7" fillId="0" borderId="32" xfId="0" applyNumberFormat="1" applyFont="1" applyFill="1" applyBorder="1" applyAlignment="1">
      <alignment horizontal="center" vertical="center"/>
    </xf>
    <xf numFmtId="165" fontId="7" fillId="0" borderId="4" xfId="0" applyNumberFormat="1" applyFont="1" applyFill="1" applyBorder="1" applyAlignment="1">
      <alignment horizontal="center" vertical="center"/>
    </xf>
    <xf numFmtId="0" fontId="7" fillId="5" borderId="3" xfId="0" applyFont="1" applyFill="1" applyBorder="1" applyAlignment="1">
      <alignment horizontal="center" vertical="center"/>
    </xf>
    <xf numFmtId="169" fontId="6" fillId="0" borderId="12" xfId="0" applyNumberFormat="1" applyFont="1" applyFill="1" applyBorder="1" applyAlignment="1">
      <alignment horizontal="center" vertical="center"/>
    </xf>
    <xf numFmtId="169" fontId="6" fillId="0" borderId="11" xfId="0" applyNumberFormat="1" applyFont="1" applyFill="1" applyBorder="1" applyAlignment="1">
      <alignment horizontal="center" vertical="center"/>
    </xf>
    <xf numFmtId="0" fontId="6" fillId="0" borderId="2" xfId="0" applyFont="1" applyFill="1" applyBorder="1"/>
    <xf numFmtId="0" fontId="7" fillId="0" borderId="0" xfId="0" applyFont="1" applyAlignment="1"/>
    <xf numFmtId="0" fontId="6" fillId="0" borderId="0" xfId="0" applyFont="1" applyAlignment="1">
      <alignment vertical="center"/>
    </xf>
    <xf numFmtId="171" fontId="6" fillId="0" borderId="9" xfId="0" applyNumberFormat="1" applyFont="1" applyBorder="1" applyAlignment="1">
      <alignment horizontal="center" vertical="center"/>
    </xf>
    <xf numFmtId="171" fontId="6" fillId="0" borderId="8" xfId="0" applyNumberFormat="1" applyFont="1" applyBorder="1" applyAlignment="1">
      <alignment horizontal="center" vertical="center"/>
    </xf>
    <xf numFmtId="171" fontId="6" fillId="0" borderId="6" xfId="0" applyNumberFormat="1" applyFont="1" applyBorder="1" applyAlignment="1">
      <alignment horizontal="center" vertical="center"/>
    </xf>
    <xf numFmtId="171" fontId="7" fillId="0" borderId="6" xfId="0" applyNumberFormat="1" applyFont="1" applyFill="1" applyBorder="1" applyAlignment="1">
      <alignment horizontal="center" vertical="center"/>
    </xf>
    <xf numFmtId="171" fontId="6" fillId="0" borderId="3" xfId="0" applyNumberFormat="1" applyFont="1" applyBorder="1" applyAlignment="1">
      <alignment horizontal="center" vertical="center"/>
    </xf>
    <xf numFmtId="171" fontId="6" fillId="0" borderId="0" xfId="0" applyNumberFormat="1" applyFont="1" applyBorder="1" applyAlignment="1">
      <alignment horizontal="center" vertical="center"/>
    </xf>
    <xf numFmtId="171" fontId="6" fillId="0" borderId="1" xfId="0" applyNumberFormat="1" applyFont="1" applyBorder="1" applyAlignment="1">
      <alignment horizontal="center" vertical="center"/>
    </xf>
    <xf numFmtId="171" fontId="7" fillId="0" borderId="1" xfId="0" applyNumberFormat="1" applyFont="1" applyFill="1" applyBorder="1" applyAlignment="1">
      <alignment horizontal="center" vertical="center"/>
    </xf>
    <xf numFmtId="171" fontId="7" fillId="0" borderId="4" xfId="0" applyNumberFormat="1" applyFont="1" applyFill="1" applyBorder="1" applyAlignment="1">
      <alignment horizontal="center" vertical="center"/>
    </xf>
    <xf numFmtId="171" fontId="7" fillId="0" borderId="7" xfId="0" applyNumberFormat="1" applyFont="1" applyFill="1" applyBorder="1" applyAlignment="1">
      <alignment horizontal="center" vertical="center"/>
    </xf>
    <xf numFmtId="0" fontId="19" fillId="4" borderId="6" xfId="12" applyFont="1" applyFill="1" applyBorder="1" applyAlignment="1">
      <alignment horizontal="center" wrapText="1"/>
    </xf>
    <xf numFmtId="1" fontId="7" fillId="4" borderId="6" xfId="12" applyNumberFormat="1" applyFont="1" applyFill="1" applyBorder="1" applyAlignment="1">
      <alignment horizontal="center"/>
    </xf>
    <xf numFmtId="1" fontId="7" fillId="4" borderId="1" xfId="12" applyNumberFormat="1" applyFont="1" applyFill="1" applyBorder="1" applyAlignment="1">
      <alignment horizontal="center" vertical="center"/>
    </xf>
    <xf numFmtId="165" fontId="6" fillId="8" borderId="1" xfId="12" applyNumberFormat="1" applyFont="1" applyFill="1" applyBorder="1" applyAlignment="1">
      <alignment horizontal="center" vertical="center"/>
    </xf>
    <xf numFmtId="165" fontId="6" fillId="8" borderId="1" xfId="12" applyNumberFormat="1" applyFont="1" applyFill="1" applyBorder="1" applyAlignment="1">
      <alignment horizontal="right" vertical="center"/>
    </xf>
    <xf numFmtId="165" fontId="16" fillId="8" borderId="1" xfId="12" applyNumberFormat="1" applyFont="1" applyFill="1" applyBorder="1" applyAlignment="1">
      <alignment horizontal="right" vertical="center"/>
    </xf>
    <xf numFmtId="165" fontId="6" fillId="8" borderId="5" xfId="12" applyNumberFormat="1" applyFont="1" applyFill="1" applyBorder="1" applyAlignment="1">
      <alignment horizontal="right" vertical="center"/>
    </xf>
    <xf numFmtId="0" fontId="0" fillId="0" borderId="0" xfId="0"/>
    <xf numFmtId="0" fontId="7" fillId="0" borderId="0" xfId="0" applyFont="1" applyBorder="1" applyAlignment="1">
      <alignment horizontal="left" vertical="top" wrapText="1"/>
    </xf>
    <xf numFmtId="0" fontId="10" fillId="4" borderId="0" xfId="0" applyFont="1" applyFill="1" applyBorder="1" applyAlignment="1">
      <alignment horizontal="center" vertical="center"/>
    </xf>
    <xf numFmtId="0" fontId="0" fillId="0" borderId="0" xfId="0"/>
    <xf numFmtId="167" fontId="6" fillId="0" borderId="0" xfId="0" applyNumberFormat="1" applyFont="1" applyBorder="1" applyAlignment="1">
      <alignment horizontal="center"/>
    </xf>
    <xf numFmtId="167" fontId="6" fillId="8" borderId="0" xfId="0" applyNumberFormat="1" applyFont="1" applyFill="1" applyBorder="1" applyAlignment="1">
      <alignment horizontal="center"/>
    </xf>
    <xf numFmtId="167" fontId="6" fillId="8" borderId="1" xfId="0" applyNumberFormat="1" applyFont="1" applyFill="1" applyBorder="1" applyAlignment="1">
      <alignment horizontal="center"/>
    </xf>
    <xf numFmtId="167" fontId="6" fillId="0" borderId="0" xfId="0" applyNumberFormat="1" applyFont="1" applyFill="1" applyBorder="1" applyAlignment="1">
      <alignment horizontal="center"/>
    </xf>
    <xf numFmtId="167" fontId="6" fillId="0" borderId="1" xfId="0" applyNumberFormat="1" applyFont="1" applyFill="1" applyBorder="1" applyAlignment="1">
      <alignment horizontal="center"/>
    </xf>
    <xf numFmtId="167" fontId="16" fillId="0" borderId="0" xfId="0" applyNumberFormat="1" applyFont="1" applyFill="1" applyBorder="1" applyAlignment="1">
      <alignment horizontal="center"/>
    </xf>
    <xf numFmtId="167" fontId="6" fillId="0" borderId="11" xfId="0" applyNumberFormat="1" applyFont="1" applyFill="1" applyBorder="1" applyAlignment="1">
      <alignment horizontal="center"/>
    </xf>
    <xf numFmtId="167" fontId="6" fillId="0" borderId="5" xfId="0" applyNumberFormat="1" applyFont="1" applyFill="1" applyBorder="1" applyAlignment="1">
      <alignment horizontal="center"/>
    </xf>
    <xf numFmtId="0" fontId="43" fillId="11" borderId="0" xfId="0" applyFont="1" applyFill="1" applyBorder="1" applyAlignment="1">
      <alignment wrapText="1"/>
    </xf>
    <xf numFmtId="9" fontId="44" fillId="0" borderId="40" xfId="8" applyNumberFormat="1" applyFont="1" applyFill="1" applyBorder="1"/>
    <xf numFmtId="0" fontId="9" fillId="0" borderId="0" xfId="0" applyFont="1" applyBorder="1" applyAlignment="1">
      <alignment horizontal="center" vertical="center"/>
    </xf>
    <xf numFmtId="0" fontId="9" fillId="0" borderId="0" xfId="0" applyFont="1" applyBorder="1" applyAlignment="1">
      <alignment horizontal="center" vertical="top" wrapText="1"/>
    </xf>
    <xf numFmtId="0" fontId="12" fillId="0" borderId="0" xfId="0" applyFont="1" applyBorder="1" applyAlignment="1">
      <alignment horizontal="center" vertical="center" wrapText="1"/>
    </xf>
    <xf numFmtId="0" fontId="0" fillId="0" borderId="0" xfId="0"/>
    <xf numFmtId="0" fontId="9" fillId="0" borderId="0" xfId="0" quotePrefix="1" applyFont="1" applyBorder="1" applyAlignment="1">
      <alignment horizontal="left" vertical="top"/>
    </xf>
    <xf numFmtId="0" fontId="10" fillId="4" borderId="0" xfId="0" applyFont="1" applyFill="1" applyBorder="1" applyAlignment="1">
      <alignment horizontal="center" vertical="center"/>
    </xf>
    <xf numFmtId="0" fontId="7" fillId="4" borderId="5" xfId="0" quotePrefix="1" applyFont="1" applyFill="1" applyBorder="1" applyAlignment="1">
      <alignment horizontal="center" vertical="center" wrapText="1"/>
    </xf>
    <xf numFmtId="0" fontId="12" fillId="0" borderId="0" xfId="0" applyFont="1" applyAlignment="1">
      <alignment horizontal="center" vertical="center"/>
    </xf>
    <xf numFmtId="171" fontId="10" fillId="5" borderId="11" xfId="0" applyNumberFormat="1" applyFont="1" applyFill="1" applyBorder="1" applyAlignment="1">
      <alignment horizontal="right"/>
    </xf>
    <xf numFmtId="171" fontId="10" fillId="5" borderId="5" xfId="0" applyNumberFormat="1" applyFont="1" applyFill="1" applyBorder="1" applyAlignment="1">
      <alignment horizontal="right"/>
    </xf>
    <xf numFmtId="2" fontId="7" fillId="5" borderId="7" xfId="0" applyNumberFormat="1" applyFont="1" applyFill="1" applyBorder="1" applyAlignment="1">
      <alignment horizontal="center" vertical="center"/>
    </xf>
    <xf numFmtId="171" fontId="7" fillId="5" borderId="5" xfId="0" applyNumberFormat="1" applyFont="1" applyFill="1" applyBorder="1" applyAlignment="1">
      <alignment horizontal="right"/>
    </xf>
    <xf numFmtId="0" fontId="8" fillId="8" borderId="11" xfId="0" applyFont="1" applyFill="1" applyBorder="1"/>
    <xf numFmtId="171" fontId="7" fillId="0" borderId="0" xfId="0" applyNumberFormat="1" applyFont="1" applyFill="1" applyBorder="1" applyAlignment="1">
      <alignment horizontal="right"/>
    </xf>
    <xf numFmtId="0" fontId="45" fillId="0" borderId="8" xfId="0" applyFont="1" applyFill="1" applyBorder="1" applyAlignment="1">
      <alignment horizontal="center"/>
    </xf>
    <xf numFmtId="0" fontId="45" fillId="8" borderId="0" xfId="0" applyFont="1" applyFill="1" applyBorder="1" applyAlignment="1">
      <alignment horizontal="center"/>
    </xf>
    <xf numFmtId="0" fontId="45" fillId="0" borderId="0" xfId="0" applyFont="1" applyFill="1" applyBorder="1" applyAlignment="1">
      <alignment horizontal="center"/>
    </xf>
    <xf numFmtId="0" fontId="45" fillId="8" borderId="11" xfId="0" applyFont="1" applyFill="1" applyBorder="1" applyAlignment="1">
      <alignment horizontal="center"/>
    </xf>
    <xf numFmtId="0" fontId="3" fillId="0" borderId="0" xfId="0" applyFont="1" applyBorder="1"/>
    <xf numFmtId="165" fontId="7" fillId="4" borderId="11" xfId="0" applyNumberFormat="1" applyFont="1" applyFill="1" applyBorder="1" applyAlignment="1">
      <alignment horizontal="center"/>
    </xf>
    <xf numFmtId="0" fontId="0" fillId="0" borderId="0" xfId="0" applyBorder="1" applyAlignment="1">
      <alignment horizontal="center" vertical="center"/>
    </xf>
    <xf numFmtId="164" fontId="6" fillId="8" borderId="12" xfId="0" applyNumberFormat="1" applyFont="1" applyFill="1" applyBorder="1"/>
    <xf numFmtId="164" fontId="6" fillId="8" borderId="11" xfId="0" applyNumberFormat="1" applyFont="1" applyFill="1" applyBorder="1"/>
    <xf numFmtId="167" fontId="6" fillId="8" borderId="5" xfId="0" applyNumberFormat="1" applyFont="1" applyFill="1" applyBorder="1" applyAlignment="1"/>
    <xf numFmtId="0" fontId="0" fillId="0" borderId="1" xfId="0" applyBorder="1"/>
    <xf numFmtId="0" fontId="8" fillId="4" borderId="7" xfId="0" applyFont="1" applyFill="1" applyBorder="1" applyAlignment="1">
      <alignment vertical="center"/>
    </xf>
    <xf numFmtId="170" fontId="6" fillId="0" borderId="11" xfId="0" applyNumberFormat="1" applyFont="1" applyFill="1" applyBorder="1" applyAlignment="1">
      <alignment horizontal="right" vertical="center"/>
    </xf>
    <xf numFmtId="170" fontId="6" fillId="9" borderId="11" xfId="0" applyNumberFormat="1" applyFont="1" applyFill="1" applyBorder="1" applyAlignment="1">
      <alignment horizontal="right" vertical="center"/>
    </xf>
    <xf numFmtId="0" fontId="8" fillId="4" borderId="7" xfId="0" applyFont="1" applyFill="1" applyBorder="1" applyAlignment="1">
      <alignment horizontal="right" vertical="center"/>
    </xf>
    <xf numFmtId="2" fontId="7" fillId="0" borderId="7" xfId="0" applyNumberFormat="1" applyFont="1" applyFill="1" applyBorder="1" applyAlignment="1">
      <alignment horizontal="center"/>
    </xf>
    <xf numFmtId="171" fontId="8" fillId="0" borderId="12" xfId="0" applyNumberFormat="1" applyFont="1" applyFill="1" applyBorder="1" applyAlignment="1">
      <alignment horizontal="right"/>
    </xf>
    <xf numFmtId="171" fontId="8" fillId="0" borderId="11" xfId="0" applyNumberFormat="1" applyFont="1" applyFill="1" applyBorder="1" applyAlignment="1">
      <alignment horizontal="right"/>
    </xf>
    <xf numFmtId="171" fontId="8" fillId="0" borderId="5" xfId="0" applyNumberFormat="1" applyFont="1" applyFill="1" applyBorder="1" applyAlignment="1">
      <alignment horizontal="right"/>
    </xf>
    <xf numFmtId="171" fontId="8" fillId="0" borderId="11" xfId="0" applyNumberFormat="1" applyFont="1" applyBorder="1" applyAlignment="1">
      <alignment horizontal="right"/>
    </xf>
    <xf numFmtId="2" fontId="7" fillId="0" borderId="1" xfId="0" applyNumberFormat="1" applyFont="1" applyFill="1" applyBorder="1" applyAlignment="1">
      <alignment horizontal="center"/>
    </xf>
    <xf numFmtId="171" fontId="10" fillId="5" borderId="2" xfId="0" applyNumberFormat="1" applyFont="1" applyFill="1" applyBorder="1" applyAlignment="1">
      <alignment horizontal="right"/>
    </xf>
    <xf numFmtId="171" fontId="8" fillId="0" borderId="1" xfId="0" applyNumberFormat="1" applyFont="1" applyBorder="1"/>
    <xf numFmtId="171" fontId="8" fillId="5" borderId="25" xfId="0" applyNumberFormat="1" applyFont="1" applyFill="1" applyBorder="1" applyAlignment="1">
      <alignment horizontal="right"/>
    </xf>
    <xf numFmtId="0" fontId="10" fillId="0" borderId="5" xfId="0" applyFont="1" applyFill="1" applyBorder="1" applyAlignment="1">
      <alignment horizontal="center"/>
    </xf>
    <xf numFmtId="167" fontId="16" fillId="0" borderId="11" xfId="0" applyNumberFormat="1" applyFont="1" applyFill="1" applyBorder="1" applyAlignment="1">
      <alignment horizontal="center"/>
    </xf>
    <xf numFmtId="0" fontId="9" fillId="0" borderId="0" xfId="0" applyFont="1" applyBorder="1" applyAlignment="1">
      <alignment horizontal="center" vertical="center"/>
    </xf>
    <xf numFmtId="0" fontId="0" fillId="0" borderId="0" xfId="0"/>
    <xf numFmtId="0" fontId="10" fillId="4" borderId="0" xfId="0" applyFont="1" applyFill="1" applyBorder="1" applyAlignment="1">
      <alignment horizontal="center" vertical="center"/>
    </xf>
    <xf numFmtId="0" fontId="6" fillId="0" borderId="0" xfId="0" quotePrefix="1" applyFont="1" applyAlignment="1">
      <alignment vertical="top"/>
    </xf>
    <xf numFmtId="165" fontId="6" fillId="8" borderId="6" xfId="12" applyNumberFormat="1" applyFont="1" applyFill="1" applyBorder="1" applyAlignment="1">
      <alignment horizontal="center" vertical="center"/>
    </xf>
    <xf numFmtId="0" fontId="10" fillId="8" borderId="28" xfId="0" applyFont="1" applyFill="1" applyBorder="1" applyAlignment="1">
      <alignment horizontal="center"/>
    </xf>
    <xf numFmtId="167" fontId="6" fillId="8" borderId="22" xfId="0" applyNumberFormat="1" applyFont="1" applyFill="1" applyBorder="1" applyAlignment="1">
      <alignment horizontal="center"/>
    </xf>
    <xf numFmtId="167" fontId="6" fillId="0" borderId="8" xfId="0" applyNumberFormat="1" applyFont="1" applyBorder="1" applyAlignment="1">
      <alignment horizontal="center"/>
    </xf>
    <xf numFmtId="167" fontId="6" fillId="8" borderId="25" xfId="0" applyNumberFormat="1" applyFont="1" applyFill="1" applyBorder="1" applyAlignment="1">
      <alignment horizontal="center"/>
    </xf>
    <xf numFmtId="0" fontId="0" fillId="0" borderId="0" xfId="0"/>
    <xf numFmtId="0" fontId="7" fillId="5" borderId="3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167" fontId="6" fillId="0" borderId="9" xfId="0" applyNumberFormat="1" applyFont="1" applyFill="1" applyBorder="1" applyAlignment="1">
      <alignment horizontal="center" vertical="center"/>
    </xf>
    <xf numFmtId="167" fontId="6" fillId="0" borderId="3" xfId="0" applyNumberFormat="1" applyFont="1" applyFill="1" applyBorder="1" applyAlignment="1">
      <alignment horizontal="center" vertical="center"/>
    </xf>
    <xf numFmtId="167" fontId="6" fillId="0" borderId="12" xfId="0" applyNumberFormat="1" applyFont="1" applyFill="1" applyBorder="1" applyAlignment="1">
      <alignment horizontal="center" vertical="center"/>
    </xf>
    <xf numFmtId="0" fontId="0" fillId="0" borderId="0" xfId="0"/>
    <xf numFmtId="0" fontId="7" fillId="0" borderId="0" xfId="0" applyFont="1" applyAlignment="1">
      <alignment horizontal="left"/>
    </xf>
    <xf numFmtId="0" fontId="0" fillId="0" borderId="0" xfId="0"/>
    <xf numFmtId="0" fontId="15" fillId="0" borderId="0" xfId="1" applyAlignment="1" applyProtection="1"/>
    <xf numFmtId="165" fontId="7" fillId="8" borderId="1" xfId="0" applyNumberFormat="1" applyFont="1" applyFill="1" applyBorder="1" applyAlignment="1">
      <alignment horizontal="center" vertical="center"/>
    </xf>
    <xf numFmtId="0" fontId="3" fillId="0" borderId="0" xfId="12" applyFont="1" applyBorder="1"/>
    <xf numFmtId="0" fontId="0" fillId="0" borderId="0" xfId="0"/>
    <xf numFmtId="0" fontId="9" fillId="0" borderId="0" xfId="9" applyFont="1" applyBorder="1" applyAlignment="1">
      <alignment horizontal="center" vertical="top" wrapText="1"/>
    </xf>
    <xf numFmtId="0" fontId="12" fillId="0" borderId="0" xfId="9" applyFont="1" applyBorder="1" applyAlignment="1">
      <alignment horizontal="center" vertical="top" wrapText="1"/>
    </xf>
    <xf numFmtId="0" fontId="6" fillId="0" borderId="0" xfId="9" applyFont="1" applyBorder="1" applyAlignment="1">
      <alignment horizontal="center" vertical="top" wrapText="1"/>
    </xf>
    <xf numFmtId="0" fontId="7" fillId="4" borderId="0" xfId="0" applyFont="1" applyFill="1" applyBorder="1" applyAlignment="1">
      <alignment horizontal="center"/>
    </xf>
    <xf numFmtId="0" fontId="0" fillId="0" borderId="0" xfId="0"/>
    <xf numFmtId="0" fontId="10" fillId="4" borderId="0" xfId="0" applyFont="1" applyFill="1" applyBorder="1" applyAlignment="1">
      <alignment horizontal="center" vertical="center"/>
    </xf>
    <xf numFmtId="0" fontId="12" fillId="0" borderId="0" xfId="0" applyFont="1" applyFill="1" applyBorder="1" applyAlignment="1">
      <alignment horizontal="center" vertical="center" wrapText="1"/>
    </xf>
    <xf numFmtId="0" fontId="23" fillId="0" borderId="0" xfId="0" applyFont="1" applyFill="1" applyBorder="1" applyAlignment="1">
      <alignment horizontal="center" vertical="top" wrapText="1"/>
    </xf>
    <xf numFmtId="0" fontId="10" fillId="0" borderId="0" xfId="0" applyFont="1" applyBorder="1" applyAlignment="1">
      <alignment horizontal="left" wrapText="1"/>
    </xf>
    <xf numFmtId="0" fontId="0" fillId="0" borderId="0" xfId="0"/>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0" fillId="0" borderId="11" xfId="0" applyBorder="1"/>
    <xf numFmtId="167" fontId="6" fillId="0" borderId="1" xfId="0" quotePrefix="1" applyNumberFormat="1" applyFont="1" applyFill="1" applyBorder="1" applyAlignment="1">
      <alignment horizontal="center"/>
    </xf>
    <xf numFmtId="0" fontId="0" fillId="0" borderId="0" xfId="0"/>
    <xf numFmtId="0" fontId="7" fillId="6" borderId="8" xfId="9" applyFont="1" applyFill="1" applyBorder="1" applyAlignment="1">
      <alignment horizontal="right"/>
    </xf>
    <xf numFmtId="0" fontId="6" fillId="0" borderId="11" xfId="9" applyFont="1" applyBorder="1" applyAlignment="1">
      <alignment vertical="center"/>
    </xf>
    <xf numFmtId="0" fontId="46" fillId="4" borderId="6" xfId="0" applyFont="1" applyFill="1" applyBorder="1" applyAlignment="1">
      <alignment horizontal="center" vertical="center"/>
    </xf>
    <xf numFmtId="0" fontId="46" fillId="4" borderId="1" xfId="0" applyFont="1" applyFill="1" applyBorder="1" applyAlignment="1">
      <alignment horizontal="center" vertical="center"/>
    </xf>
    <xf numFmtId="0" fontId="46" fillId="4" borderId="5" xfId="0" applyFont="1" applyFill="1" applyBorder="1" applyAlignment="1">
      <alignment horizontal="center" vertical="center"/>
    </xf>
    <xf numFmtId="0" fontId="47" fillId="8" borderId="1" xfId="0" applyFont="1" applyFill="1" applyBorder="1" applyAlignment="1">
      <alignment horizontal="right" vertical="center"/>
    </xf>
    <xf numFmtId="0" fontId="49" fillId="0" borderId="0" xfId="0" applyFont="1"/>
    <xf numFmtId="0" fontId="46" fillId="0" borderId="0" xfId="0" applyFont="1"/>
    <xf numFmtId="170" fontId="6" fillId="8" borderId="3" xfId="0" applyNumberFormat="1" applyFont="1" applyFill="1" applyBorder="1"/>
    <xf numFmtId="170" fontId="6" fillId="8" borderId="3" xfId="0" applyNumberFormat="1" applyFont="1" applyFill="1" applyBorder="1" applyAlignment="1">
      <alignment vertical="center"/>
    </xf>
    <xf numFmtId="0" fontId="9" fillId="0" borderId="0" xfId="0" applyFont="1" applyBorder="1" applyAlignment="1">
      <alignment horizontal="center" vertical="center"/>
    </xf>
    <xf numFmtId="0" fontId="9" fillId="0" borderId="0" xfId="0" applyFont="1" applyBorder="1" applyAlignment="1">
      <alignment horizontal="center" vertical="top" wrapText="1"/>
    </xf>
    <xf numFmtId="0" fontId="12" fillId="0" borderId="0" xfId="0" applyFont="1" applyBorder="1" applyAlignment="1">
      <alignment horizontal="center" vertical="center" wrapText="1"/>
    </xf>
    <xf numFmtId="0" fontId="10" fillId="0" borderId="0" xfId="0" applyFont="1" applyBorder="1" applyAlignment="1">
      <alignment horizontal="left" wrapText="1"/>
    </xf>
    <xf numFmtId="0" fontId="0" fillId="0" borderId="0" xfId="0"/>
    <xf numFmtId="0" fontId="0" fillId="0" borderId="1" xfId="0" applyBorder="1"/>
    <xf numFmtId="0" fontId="9" fillId="0" borderId="0" xfId="0" quotePrefix="1" applyFont="1" applyBorder="1" applyAlignment="1">
      <alignment horizontal="left" vertical="top"/>
    </xf>
    <xf numFmtId="0" fontId="3" fillId="0" borderId="11" xfId="0" applyFont="1" applyBorder="1" applyAlignment="1">
      <alignment horizontal="right" vertical="center"/>
    </xf>
    <xf numFmtId="0" fontId="10" fillId="4" borderId="0" xfId="0" applyFont="1" applyFill="1" applyBorder="1" applyAlignment="1">
      <alignment horizontal="center" vertical="center"/>
    </xf>
    <xf numFmtId="172" fontId="6" fillId="8" borderId="0" xfId="0" applyNumberFormat="1" applyFont="1" applyFill="1" applyBorder="1" applyAlignment="1" applyProtection="1">
      <alignment horizontal="left" vertical="center"/>
    </xf>
    <xf numFmtId="0" fontId="0" fillId="8" borderId="0" xfId="0" applyFill="1" applyBorder="1"/>
    <xf numFmtId="171" fontId="10" fillId="5" borderId="25" xfId="0" applyNumberFormat="1" applyFont="1" applyFill="1" applyBorder="1" applyAlignment="1">
      <alignment horizontal="right"/>
    </xf>
    <xf numFmtId="171" fontId="8" fillId="0" borderId="8" xfId="0" applyNumberFormat="1" applyFont="1" applyBorder="1" applyAlignment="1">
      <alignment horizontal="right"/>
    </xf>
    <xf numFmtId="171" fontId="8" fillId="0" borderId="6" xfId="0" applyNumberFormat="1" applyFont="1" applyBorder="1" applyAlignment="1">
      <alignment horizontal="right"/>
    </xf>
    <xf numFmtId="171" fontId="6" fillId="0" borderId="3" xfId="0" quotePrefix="1" applyNumberFormat="1" applyFont="1" applyBorder="1" applyAlignment="1">
      <alignment horizontal="center"/>
    </xf>
    <xf numFmtId="171" fontId="6" fillId="0" borderId="0" xfId="0" quotePrefix="1" applyNumberFormat="1" applyFont="1" applyBorder="1" applyAlignment="1">
      <alignment horizontal="center"/>
    </xf>
    <xf numFmtId="171" fontId="6" fillId="0" borderId="0" xfId="0" quotePrefix="1" applyNumberFormat="1" applyFont="1" applyFill="1" applyBorder="1" applyAlignment="1">
      <alignment horizontal="center"/>
    </xf>
    <xf numFmtId="171" fontId="6" fillId="8" borderId="3" xfId="0" quotePrefix="1" applyNumberFormat="1" applyFont="1" applyFill="1" applyBorder="1" applyAlignment="1">
      <alignment horizontal="center"/>
    </xf>
    <xf numFmtId="171" fontId="6" fillId="8" borderId="0" xfId="0" quotePrefix="1" applyNumberFormat="1" applyFont="1" applyFill="1" applyBorder="1" applyAlignment="1">
      <alignment horizontal="center"/>
    </xf>
    <xf numFmtId="171" fontId="16" fillId="0" borderId="1" xfId="0" applyNumberFormat="1" applyFont="1" applyFill="1" applyBorder="1" applyAlignment="1">
      <alignment horizontal="right"/>
    </xf>
    <xf numFmtId="0" fontId="6" fillId="4" borderId="8" xfId="0" applyFont="1" applyFill="1" applyBorder="1" applyAlignment="1">
      <alignment horizontal="center"/>
    </xf>
    <xf numFmtId="165" fontId="6" fillId="4" borderId="8" xfId="0" applyNumberFormat="1" applyFont="1" applyFill="1" applyBorder="1" applyAlignment="1">
      <alignment horizontal="center"/>
    </xf>
    <xf numFmtId="165" fontId="7" fillId="0" borderId="0" xfId="0" applyNumberFormat="1" applyFont="1" applyFill="1" applyBorder="1" applyAlignment="1">
      <alignment horizontal="center" vertical="center"/>
    </xf>
    <xf numFmtId="3" fontId="0" fillId="0" borderId="0" xfId="0" applyNumberFormat="1"/>
    <xf numFmtId="169" fontId="8" fillId="0" borderId="5" xfId="0" applyNumberFormat="1" applyFont="1" applyFill="1" applyBorder="1" applyAlignment="1">
      <alignment horizontal="right" vertical="center"/>
    </xf>
    <xf numFmtId="0" fontId="9" fillId="0" borderId="0" xfId="0" quotePrefix="1" applyFont="1" applyAlignment="1">
      <alignment horizontal="center"/>
    </xf>
    <xf numFmtId="0" fontId="7" fillId="4" borderId="5" xfId="12" applyFont="1" applyFill="1" applyBorder="1" applyAlignment="1">
      <alignment horizontal="center"/>
    </xf>
    <xf numFmtId="170" fontId="7" fillId="0" borderId="4" xfId="0" applyNumberFormat="1" applyFont="1" applyFill="1" applyBorder="1" applyAlignment="1">
      <alignment horizontal="center"/>
    </xf>
    <xf numFmtId="167" fontId="6" fillId="0" borderId="1" xfId="0" applyNumberFormat="1" applyFont="1" applyBorder="1" applyAlignment="1">
      <alignment horizontal="center"/>
    </xf>
    <xf numFmtId="167" fontId="6" fillId="8" borderId="1" xfId="0" quotePrefix="1" applyNumberFormat="1" applyFont="1" applyFill="1" applyBorder="1" applyAlignment="1">
      <alignment horizontal="center"/>
    </xf>
    <xf numFmtId="167" fontId="6" fillId="8" borderId="2" xfId="0" applyNumberFormat="1" applyFont="1" applyFill="1" applyBorder="1" applyAlignment="1">
      <alignment horizontal="center"/>
    </xf>
    <xf numFmtId="167" fontId="6" fillId="10" borderId="4" xfId="8" quotePrefix="1" applyNumberFormat="1" applyFont="1" applyFill="1" applyBorder="1" applyAlignment="1">
      <alignment horizontal="center"/>
    </xf>
    <xf numFmtId="0" fontId="0" fillId="0" borderId="0" xfId="0"/>
    <xf numFmtId="0" fontId="7" fillId="0" borderId="1" xfId="0" applyFont="1" applyFill="1" applyBorder="1" applyAlignment="1">
      <alignment horizontal="center" vertical="center"/>
    </xf>
    <xf numFmtId="1" fontId="7" fillId="4" borderId="11" xfId="12" applyNumberFormat="1" applyFont="1" applyFill="1" applyBorder="1" applyAlignment="1">
      <alignment horizontal="center" vertical="center"/>
    </xf>
    <xf numFmtId="0" fontId="51" fillId="10" borderId="10" xfId="0" applyFont="1" applyFill="1" applyBorder="1" applyAlignment="1">
      <alignment horizontal="center" wrapText="1"/>
    </xf>
    <xf numFmtId="49" fontId="7" fillId="10" borderId="6" xfId="12" applyNumberFormat="1" applyFont="1" applyFill="1" applyBorder="1" applyAlignment="1">
      <alignment horizontal="center" wrapText="1"/>
    </xf>
    <xf numFmtId="49" fontId="7" fillId="10" borderId="5" xfId="8" applyNumberFormat="1" applyFont="1" applyFill="1" applyBorder="1" applyAlignment="1">
      <alignment horizontal="center"/>
    </xf>
    <xf numFmtId="0" fontId="9" fillId="0" borderId="0" xfId="9" applyFont="1" applyBorder="1" applyAlignment="1">
      <alignment horizontal="center" vertical="top" wrapText="1"/>
    </xf>
    <xf numFmtId="0" fontId="12" fillId="0" borderId="0" xfId="9" applyFont="1" applyBorder="1" applyAlignment="1">
      <alignment horizontal="center" vertical="top" wrapText="1"/>
    </xf>
    <xf numFmtId="0" fontId="6" fillId="0" borderId="0" xfId="9" applyFont="1" applyBorder="1" applyAlignment="1">
      <alignment horizontal="center" vertical="top" wrapText="1"/>
    </xf>
    <xf numFmtId="0" fontId="12" fillId="0" borderId="0" xfId="0" applyFont="1" applyFill="1" applyBorder="1" applyAlignment="1">
      <alignment horizontal="center" vertical="center" wrapText="1"/>
    </xf>
    <xf numFmtId="0" fontId="23" fillId="0" borderId="0" xfId="0" applyFont="1" applyFill="1" applyBorder="1" applyAlignment="1">
      <alignment horizontal="center" vertical="top" wrapText="1"/>
    </xf>
    <xf numFmtId="0" fontId="0" fillId="0" borderId="0" xfId="0"/>
    <xf numFmtId="0" fontId="10" fillId="0" borderId="0" xfId="0" applyFont="1" applyBorder="1" applyAlignment="1">
      <alignment horizontal="left" wrapText="1"/>
    </xf>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2" fontId="6" fillId="8" borderId="8" xfId="9" applyNumberFormat="1" applyFont="1" applyFill="1" applyBorder="1" applyAlignment="1">
      <alignment horizontal="right"/>
    </xf>
    <xf numFmtId="2" fontId="16" fillId="0" borderId="11" xfId="9" applyNumberFormat="1" applyFont="1" applyFill="1" applyBorder="1" applyAlignment="1">
      <alignment horizontal="right"/>
    </xf>
    <xf numFmtId="0" fontId="7" fillId="4" borderId="0" xfId="0" applyFont="1" applyFill="1" applyBorder="1" applyAlignment="1">
      <alignment horizontal="center"/>
    </xf>
    <xf numFmtId="0" fontId="0" fillId="0" borderId="0" xfId="0"/>
    <xf numFmtId="0" fontId="10" fillId="4" borderId="0" xfId="0" applyFont="1" applyFill="1" applyBorder="1" applyAlignment="1">
      <alignment horizontal="center" vertical="center"/>
    </xf>
    <xf numFmtId="170" fontId="6" fillId="0" borderId="37" xfId="0" applyNumberFormat="1" applyFont="1" applyFill="1" applyBorder="1"/>
    <xf numFmtId="171" fontId="8" fillId="8" borderId="25" xfId="0" applyNumberFormat="1" applyFont="1" applyFill="1" applyBorder="1" applyAlignment="1">
      <alignment horizontal="right"/>
    </xf>
    <xf numFmtId="171" fontId="8" fillId="0" borderId="5" xfId="0" applyNumberFormat="1" applyFont="1" applyBorder="1" applyAlignment="1">
      <alignment horizontal="right"/>
    </xf>
    <xf numFmtId="171" fontId="8" fillId="5" borderId="2" xfId="0" applyNumberFormat="1" applyFont="1" applyFill="1" applyBorder="1" applyAlignment="1">
      <alignment horizontal="right"/>
    </xf>
    <xf numFmtId="0" fontId="9" fillId="0" borderId="0" xfId="0" applyFont="1" applyBorder="1" applyAlignment="1">
      <alignment horizontal="center" vertical="center"/>
    </xf>
    <xf numFmtId="0" fontId="9" fillId="0" borderId="0" xfId="0" applyFont="1" applyBorder="1" applyAlignment="1">
      <alignment horizontal="center" vertical="top" wrapText="1"/>
    </xf>
    <xf numFmtId="0" fontId="12" fillId="0" borderId="0" xfId="0" applyFont="1" applyBorder="1" applyAlignment="1">
      <alignment horizontal="center" vertical="center" wrapText="1"/>
    </xf>
    <xf numFmtId="0" fontId="0" fillId="0" borderId="0" xfId="0"/>
    <xf numFmtId="0" fontId="0" fillId="0" borderId="1" xfId="0" applyBorder="1"/>
    <xf numFmtId="0" fontId="10" fillId="4" borderId="0" xfId="0" applyFont="1" applyFill="1" applyBorder="1" applyAlignment="1">
      <alignment horizontal="center" vertical="center"/>
    </xf>
    <xf numFmtId="167" fontId="6" fillId="0" borderId="0" xfId="0" quotePrefix="1" applyNumberFormat="1" applyFont="1" applyFill="1" applyBorder="1" applyAlignment="1">
      <alignment horizontal="center"/>
    </xf>
    <xf numFmtId="167" fontId="6" fillId="8" borderId="0" xfId="0" quotePrefix="1" applyNumberFormat="1" applyFont="1" applyFill="1" applyBorder="1" applyAlignment="1">
      <alignment horizontal="center"/>
    </xf>
    <xf numFmtId="0" fontId="0" fillId="0" borderId="0" xfId="0"/>
    <xf numFmtId="165" fontId="7" fillId="5" borderId="1" xfId="0" applyNumberFormat="1" applyFont="1" applyFill="1" applyBorder="1" applyAlignment="1">
      <alignment horizontal="center" vertical="center"/>
    </xf>
    <xf numFmtId="165" fontId="7" fillId="0" borderId="5" xfId="0" applyNumberFormat="1" applyFont="1" applyFill="1" applyBorder="1" applyAlignment="1">
      <alignment horizontal="center" vertical="center"/>
    </xf>
    <xf numFmtId="0" fontId="0" fillId="0" borderId="0" xfId="0" applyNumberFormat="1"/>
    <xf numFmtId="171" fontId="8" fillId="0" borderId="37" xfId="0" applyNumberFormat="1" applyFont="1" applyFill="1" applyBorder="1" applyAlignment="1">
      <alignment horizontal="right"/>
    </xf>
    <xf numFmtId="171" fontId="8" fillId="8" borderId="37" xfId="0" applyNumberFormat="1" applyFont="1" applyFill="1" applyBorder="1" applyAlignment="1">
      <alignment horizontal="right"/>
    </xf>
    <xf numFmtId="0" fontId="7" fillId="6" borderId="25" xfId="9" applyFont="1" applyFill="1" applyBorder="1" applyAlignment="1">
      <alignment horizontal="right"/>
    </xf>
    <xf numFmtId="167" fontId="7" fillId="8" borderId="4" xfId="0" applyNumberFormat="1" applyFont="1" applyFill="1" applyBorder="1" applyAlignment="1">
      <alignment horizontal="center"/>
    </xf>
    <xf numFmtId="167" fontId="7" fillId="0" borderId="4" xfId="0" applyNumberFormat="1" applyFont="1" applyBorder="1" applyAlignment="1">
      <alignment horizontal="center"/>
    </xf>
    <xf numFmtId="167" fontId="7" fillId="0" borderId="7" xfId="0" applyNumberFormat="1" applyFont="1" applyBorder="1" applyAlignment="1">
      <alignment horizontal="center"/>
    </xf>
    <xf numFmtId="0" fontId="0" fillId="0" borderId="0" xfId="0"/>
    <xf numFmtId="0" fontId="7" fillId="5" borderId="5" xfId="0" applyFont="1" applyFill="1" applyBorder="1" applyAlignment="1">
      <alignment horizontal="center" vertical="center"/>
    </xf>
    <xf numFmtId="171" fontId="7" fillId="0" borderId="41" xfId="0" applyNumberFormat="1" applyFont="1" applyFill="1" applyBorder="1" applyAlignment="1">
      <alignment horizontal="center" vertical="center"/>
    </xf>
    <xf numFmtId="169" fontId="6" fillId="0" borderId="42" xfId="0" applyNumberFormat="1" applyFont="1" applyFill="1" applyBorder="1" applyAlignment="1">
      <alignment horizontal="center" vertical="center"/>
    </xf>
    <xf numFmtId="165" fontId="7" fillId="0" borderId="41" xfId="0" applyNumberFormat="1" applyFont="1" applyFill="1" applyBorder="1" applyAlignment="1">
      <alignment horizontal="center" vertical="center"/>
    </xf>
    <xf numFmtId="171" fontId="6" fillId="0" borderId="42" xfId="0" applyNumberFormat="1" applyFont="1" applyFill="1" applyBorder="1" applyAlignment="1">
      <alignment horizontal="center" vertical="center"/>
    </xf>
    <xf numFmtId="171" fontId="6" fillId="0" borderId="39" xfId="0" applyNumberFormat="1" applyFont="1" applyFill="1" applyBorder="1" applyAlignment="1">
      <alignment horizontal="center" vertical="center"/>
    </xf>
    <xf numFmtId="171" fontId="7" fillId="0" borderId="32" xfId="0" applyNumberFormat="1" applyFont="1" applyFill="1" applyBorder="1" applyAlignment="1">
      <alignment horizontal="center" vertical="center"/>
    </xf>
    <xf numFmtId="169" fontId="8" fillId="0" borderId="1" xfId="0" applyNumberFormat="1" applyFont="1" applyFill="1" applyBorder="1" applyAlignment="1">
      <alignment horizontal="right" vertical="center"/>
    </xf>
    <xf numFmtId="169" fontId="8" fillId="0" borderId="7" xfId="0" applyNumberFormat="1" applyFont="1" applyFill="1" applyBorder="1" applyAlignment="1">
      <alignment horizontal="right" vertical="center"/>
    </xf>
    <xf numFmtId="167" fontId="10" fillId="0" borderId="6" xfId="0" applyNumberFormat="1" applyFont="1" applyFill="1" applyBorder="1" applyAlignment="1">
      <alignment horizontal="center" vertical="center"/>
    </xf>
    <xf numFmtId="167" fontId="10" fillId="0" borderId="1" xfId="0" applyNumberFormat="1" applyFont="1" applyFill="1" applyBorder="1" applyAlignment="1">
      <alignment horizontal="center" vertical="center"/>
    </xf>
    <xf numFmtId="0" fontId="6" fillId="12" borderId="0" xfId="0" applyFont="1" applyFill="1"/>
    <xf numFmtId="170" fontId="7" fillId="8" borderId="4" xfId="0" applyNumberFormat="1" applyFont="1" applyFill="1" applyBorder="1" applyAlignment="1">
      <alignment horizontal="center"/>
    </xf>
    <xf numFmtId="2" fontId="7" fillId="8" borderId="28" xfId="0" applyNumberFormat="1" applyFont="1" applyFill="1" applyBorder="1" applyAlignment="1">
      <alignment horizontal="center"/>
    </xf>
    <xf numFmtId="171" fontId="8" fillId="8" borderId="22" xfId="0" applyNumberFormat="1" applyFont="1" applyFill="1" applyBorder="1" applyAlignment="1">
      <alignment horizontal="right"/>
    </xf>
    <xf numFmtId="171" fontId="8" fillId="8" borderId="2" xfId="0" applyNumberFormat="1" applyFont="1" applyFill="1" applyBorder="1" applyAlignment="1">
      <alignment horizontal="right"/>
    </xf>
    <xf numFmtId="171" fontId="6" fillId="8" borderId="1" xfId="0" quotePrefix="1" applyNumberFormat="1" applyFont="1" applyFill="1" applyBorder="1" applyAlignment="1">
      <alignment horizontal="center"/>
    </xf>
    <xf numFmtId="171" fontId="6" fillId="0" borderId="1" xfId="0" quotePrefix="1" applyNumberFormat="1" applyFont="1" applyBorder="1" applyAlignment="1">
      <alignment horizontal="center"/>
    </xf>
    <xf numFmtId="171" fontId="6" fillId="0" borderId="1" xfId="0" quotePrefix="1" applyNumberFormat="1" applyFont="1" applyFill="1" applyBorder="1" applyAlignment="1">
      <alignment horizontal="center"/>
    </xf>
    <xf numFmtId="0" fontId="0" fillId="0" borderId="25" xfId="0" applyBorder="1"/>
    <xf numFmtId="171" fontId="6" fillId="0" borderId="7" xfId="0" applyNumberFormat="1" applyFont="1" applyFill="1" applyBorder="1" applyAlignment="1">
      <alignment horizontal="center" vertical="center"/>
    </xf>
    <xf numFmtId="165" fontId="7" fillId="0" borderId="1" xfId="12" applyNumberFormat="1" applyFont="1" applyFill="1" applyBorder="1" applyAlignment="1">
      <alignment horizontal="center" vertical="center"/>
    </xf>
    <xf numFmtId="165" fontId="7" fillId="8" borderId="1" xfId="12" applyNumberFormat="1" applyFont="1" applyFill="1" applyBorder="1" applyAlignment="1">
      <alignment horizontal="center" vertical="center"/>
    </xf>
    <xf numFmtId="165" fontId="7" fillId="8" borderId="5" xfId="12" applyNumberFormat="1" applyFont="1" applyFill="1" applyBorder="1" applyAlignment="1">
      <alignment horizontal="center" vertical="center"/>
    </xf>
    <xf numFmtId="165" fontId="6" fillId="10" borderId="1" xfId="8" applyNumberFormat="1" applyFont="1" applyFill="1" applyBorder="1" applyAlignment="1">
      <alignment horizontal="center" vertical="center"/>
    </xf>
    <xf numFmtId="165" fontId="6" fillId="10" borderId="5" xfId="8" applyNumberFormat="1" applyFont="1" applyFill="1" applyBorder="1" applyAlignment="1">
      <alignment horizontal="center" vertical="center"/>
    </xf>
    <xf numFmtId="165" fontId="3" fillId="10" borderId="1" xfId="0" applyNumberFormat="1" applyFont="1" applyFill="1" applyBorder="1" applyAlignment="1">
      <alignment horizontal="center" vertical="center"/>
    </xf>
    <xf numFmtId="165" fontId="3" fillId="10" borderId="4" xfId="0" applyNumberFormat="1" applyFont="1" applyFill="1" applyBorder="1" applyAlignment="1">
      <alignment horizontal="center" vertical="center"/>
    </xf>
    <xf numFmtId="165" fontId="6" fillId="10" borderId="28" xfId="8" applyNumberFormat="1" applyFont="1" applyFill="1" applyBorder="1" applyAlignment="1">
      <alignment horizontal="center" vertical="center"/>
    </xf>
    <xf numFmtId="165" fontId="6" fillId="10" borderId="28" xfId="8" applyNumberFormat="1" applyFont="1" applyFill="1" applyBorder="1" applyAlignment="1">
      <alignment horizontal="center" vertical="center" wrapText="1"/>
    </xf>
    <xf numFmtId="165" fontId="6" fillId="10" borderId="4" xfId="8" applyNumberFormat="1" applyFont="1" applyFill="1" applyBorder="1" applyAlignment="1">
      <alignment horizontal="center" vertical="center"/>
    </xf>
    <xf numFmtId="165" fontId="6" fillId="10" borderId="7" xfId="8" applyNumberFormat="1" applyFont="1" applyFill="1" applyBorder="1" applyAlignment="1">
      <alignment horizontal="center" vertical="center"/>
    </xf>
    <xf numFmtId="49" fontId="7" fillId="10" borderId="6" xfId="12" applyNumberFormat="1" applyFont="1" applyFill="1" applyBorder="1" applyAlignment="1">
      <alignment horizontal="center" vertical="center" wrapText="1"/>
    </xf>
    <xf numFmtId="165" fontId="3" fillId="10" borderId="7" xfId="0" applyNumberFormat="1" applyFont="1" applyFill="1" applyBorder="1" applyAlignment="1">
      <alignment horizontal="center" vertical="center"/>
    </xf>
    <xf numFmtId="165" fontId="3" fillId="10" borderId="4" xfId="0" quotePrefix="1" applyNumberFormat="1" applyFont="1" applyFill="1" applyBorder="1" applyAlignment="1">
      <alignment horizontal="center" vertical="center"/>
    </xf>
    <xf numFmtId="0" fontId="51" fillId="10" borderId="7" xfId="0" applyFont="1" applyFill="1" applyBorder="1" applyAlignment="1">
      <alignment horizontal="center" wrapText="1"/>
    </xf>
    <xf numFmtId="166" fontId="16" fillId="8" borderId="1" xfId="0" applyNumberFormat="1" applyFont="1" applyFill="1" applyBorder="1" applyAlignment="1">
      <alignment horizontal="right" vertical="center"/>
    </xf>
    <xf numFmtId="0" fontId="0" fillId="0" borderId="0" xfId="0"/>
    <xf numFmtId="165" fontId="7" fillId="0" borderId="10" xfId="9" applyNumberFormat="1" applyFont="1" applyFill="1" applyBorder="1" applyAlignment="1">
      <alignment horizontal="center" vertical="center"/>
    </xf>
    <xf numFmtId="165" fontId="7" fillId="8" borderId="4" xfId="9" applyNumberFormat="1" applyFont="1" applyFill="1" applyBorder="1" applyAlignment="1">
      <alignment horizontal="center" vertical="center"/>
    </xf>
    <xf numFmtId="165" fontId="7" fillId="0" borderId="4" xfId="9" applyNumberFormat="1" applyFont="1" applyFill="1" applyBorder="1" applyAlignment="1">
      <alignment horizontal="center" vertical="center"/>
    </xf>
    <xf numFmtId="165" fontId="7" fillId="0" borderId="7" xfId="9" applyNumberFormat="1" applyFont="1" applyFill="1" applyBorder="1" applyAlignment="1">
      <alignment horizontal="center" vertical="center"/>
    </xf>
    <xf numFmtId="165" fontId="7" fillId="8" borderId="7" xfId="9" applyNumberFormat="1" applyFont="1" applyFill="1" applyBorder="1" applyAlignment="1">
      <alignment horizontal="center" vertical="center"/>
    </xf>
    <xf numFmtId="0" fontId="6" fillId="0" borderId="0" xfId="9" applyFont="1" applyAlignment="1">
      <alignment wrapText="1"/>
    </xf>
    <xf numFmtId="167" fontId="7" fillId="8" borderId="7" xfId="0" applyNumberFormat="1" applyFont="1" applyFill="1" applyBorder="1" applyAlignment="1">
      <alignment horizontal="center"/>
    </xf>
    <xf numFmtId="171" fontId="0" fillId="0" borderId="0" xfId="0" applyNumberFormat="1"/>
    <xf numFmtId="0" fontId="0" fillId="0" borderId="0" xfId="0"/>
    <xf numFmtId="0" fontId="9" fillId="0" borderId="0" xfId="0" applyFont="1" applyAlignment="1">
      <alignment horizontal="center" wrapText="1"/>
    </xf>
    <xf numFmtId="0" fontId="7" fillId="0" borderId="0" xfId="0" applyFont="1" applyBorder="1" applyAlignment="1">
      <alignment horizontal="left" vertical="top"/>
    </xf>
    <xf numFmtId="2" fontId="7" fillId="0" borderId="10" xfId="9" applyNumberFormat="1" applyFont="1" applyFill="1" applyBorder="1"/>
    <xf numFmtId="2" fontId="7" fillId="8" borderId="4" xfId="9" applyNumberFormat="1" applyFont="1" applyFill="1" applyBorder="1"/>
    <xf numFmtId="2" fontId="7" fillId="0" borderId="4" xfId="9" applyNumberFormat="1" applyFont="1" applyFill="1" applyBorder="1"/>
    <xf numFmtId="2" fontId="7" fillId="0" borderId="7" xfId="9" applyNumberFormat="1" applyFont="1" applyFill="1" applyBorder="1"/>
    <xf numFmtId="0" fontId="9" fillId="0" borderId="0" xfId="0" applyFont="1" applyBorder="1" applyAlignment="1">
      <alignment horizontal="center" vertical="center"/>
    </xf>
    <xf numFmtId="0" fontId="9" fillId="0" borderId="0" xfId="0" applyFont="1" applyAlignment="1">
      <alignment horizontal="center" vertical="center"/>
    </xf>
    <xf numFmtId="0" fontId="12" fillId="0" borderId="0" xfId="0" applyFont="1" applyAlignment="1">
      <alignment horizontal="center"/>
    </xf>
    <xf numFmtId="0" fontId="7" fillId="4" borderId="3"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11" xfId="0" applyFont="1" applyFill="1" applyBorder="1" applyAlignment="1">
      <alignment horizontal="center" vertical="center"/>
    </xf>
    <xf numFmtId="0" fontId="9" fillId="0" borderId="0" xfId="0" applyFont="1" applyBorder="1" applyAlignment="1">
      <alignment horizontal="center" vertical="top" wrapText="1"/>
    </xf>
    <xf numFmtId="0" fontId="12" fillId="0" borderId="0" xfId="0" applyFont="1" applyBorder="1" applyAlignment="1">
      <alignment horizontal="center" vertical="center"/>
    </xf>
    <xf numFmtId="0" fontId="9" fillId="0" borderId="0" xfId="9" applyFont="1" applyBorder="1" applyAlignment="1">
      <alignment horizontal="center" vertical="top" wrapText="1"/>
    </xf>
    <xf numFmtId="0" fontId="12" fillId="0" borderId="0" xfId="9" applyFont="1" applyBorder="1" applyAlignment="1">
      <alignment horizontal="center" vertical="top" wrapText="1"/>
    </xf>
    <xf numFmtId="0" fontId="6" fillId="0" borderId="0" xfId="9" applyFont="1" applyBorder="1" applyAlignment="1">
      <alignment horizontal="center" vertical="top" wrapText="1"/>
    </xf>
    <xf numFmtId="0" fontId="9" fillId="0" borderId="0" xfId="0" applyFont="1" applyAlignment="1">
      <alignment horizontal="center" vertical="top" wrapText="1"/>
    </xf>
    <xf numFmtId="0" fontId="12" fillId="0" borderId="0" xfId="0" applyFont="1" applyFill="1" applyBorder="1" applyAlignment="1">
      <alignment horizontal="center" vertical="center" wrapText="1"/>
    </xf>
    <xf numFmtId="0" fontId="23" fillId="0" borderId="0" xfId="0" applyFont="1" applyFill="1" applyBorder="1" applyAlignment="1">
      <alignment horizontal="center" vertical="top" wrapText="1"/>
    </xf>
    <xf numFmtId="0" fontId="7" fillId="0" borderId="0" xfId="0" applyFont="1" applyAlignment="1">
      <alignment horizontal="left"/>
    </xf>
    <xf numFmtId="0" fontId="0" fillId="0" borderId="0" xfId="0" applyAlignment="1">
      <alignment horizontal="left" vertical="top" wrapText="1"/>
    </xf>
    <xf numFmtId="0" fontId="12" fillId="0" borderId="0" xfId="0" applyFont="1" applyBorder="1" applyAlignment="1">
      <alignment horizontal="center" vertical="center" wrapText="1"/>
    </xf>
    <xf numFmtId="0" fontId="0" fillId="0" borderId="0" xfId="0"/>
    <xf numFmtId="0" fontId="0" fillId="0" borderId="1" xfId="0" applyBorder="1"/>
    <xf numFmtId="0" fontId="9" fillId="0" borderId="0" xfId="0" applyFont="1" applyAlignment="1">
      <alignment horizontal="center" wrapText="1"/>
    </xf>
    <xf numFmtId="0" fontId="7" fillId="4" borderId="22" xfId="0" applyFont="1" applyFill="1" applyBorder="1" applyAlignment="1">
      <alignment horizontal="center" vertical="center"/>
    </xf>
    <xf numFmtId="0" fontId="7" fillId="4" borderId="25"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6"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1" xfId="0" applyFont="1" applyFill="1" applyBorder="1" applyAlignment="1">
      <alignment horizontal="center" vertical="center"/>
    </xf>
    <xf numFmtId="0" fontId="0" fillId="0" borderId="6" xfId="0" applyBorder="1"/>
    <xf numFmtId="0" fontId="0" fillId="0" borderId="0" xfId="0"/>
    <xf numFmtId="0" fontId="6" fillId="0" borderId="0" xfId="0" applyFont="1" applyAlignment="1">
      <alignment horizontal="right" vertical="center"/>
    </xf>
    <xf numFmtId="170" fontId="6" fillId="8" borderId="0" xfId="0" applyNumberFormat="1" applyFont="1" applyFill="1" applyAlignment="1">
      <alignment horizontal="right"/>
    </xf>
    <xf numFmtId="0" fontId="6" fillId="0" borderId="3" xfId="0" applyFont="1" applyBorder="1"/>
    <xf numFmtId="0" fontId="6" fillId="0" borderId="1" xfId="0" applyFont="1" applyBorder="1"/>
    <xf numFmtId="170" fontId="6" fillId="0" borderId="0" xfId="0" applyNumberFormat="1" applyFont="1"/>
    <xf numFmtId="170" fontId="6" fillId="0" borderId="0" xfId="0" applyNumberFormat="1" applyFont="1" applyAlignment="1">
      <alignment horizontal="right"/>
    </xf>
    <xf numFmtId="170" fontId="6" fillId="8" borderId="0" xfId="0" applyNumberFormat="1" applyFont="1" applyFill="1"/>
    <xf numFmtId="0" fontId="7" fillId="0" borderId="1" xfId="0" applyFont="1" applyBorder="1" applyAlignment="1">
      <alignment horizontal="center"/>
    </xf>
    <xf numFmtId="0" fontId="6" fillId="0" borderId="12" xfId="0" applyFont="1" applyBorder="1"/>
    <xf numFmtId="0" fontId="6" fillId="0" borderId="5" xfId="0" applyFont="1" applyBorder="1"/>
    <xf numFmtId="170" fontId="6" fillId="0" borderId="11" xfId="0" applyNumberFormat="1" applyFont="1" applyBorder="1"/>
    <xf numFmtId="170" fontId="6" fillId="0" borderId="11" xfId="0" applyNumberFormat="1" applyFont="1" applyBorder="1" applyAlignment="1">
      <alignment horizontal="right"/>
    </xf>
    <xf numFmtId="0" fontId="7" fillId="0" borderId="0" xfId="0" applyFont="1" applyAlignment="1">
      <alignment horizontal="center" textRotation="90" wrapText="1"/>
    </xf>
    <xf numFmtId="2" fontId="9" fillId="0" borderId="0" xfId="0" quotePrefix="1" applyNumberFormat="1" applyFont="1" applyAlignment="1">
      <alignment horizontal="right" vertical="top"/>
    </xf>
    <xf numFmtId="0" fontId="6" fillId="0" borderId="3" xfId="0" applyFont="1" applyBorder="1" applyAlignment="1">
      <alignment horizontal="center"/>
    </xf>
    <xf numFmtId="0" fontId="6" fillId="0" borderId="15" xfId="0" applyFont="1" applyBorder="1" applyAlignment="1">
      <alignment horizontal="left"/>
    </xf>
    <xf numFmtId="166" fontId="6" fillId="0" borderId="1" xfId="0" applyNumberFormat="1" applyFont="1" applyBorder="1" applyAlignment="1">
      <alignment horizontal="center"/>
    </xf>
    <xf numFmtId="0" fontId="6" fillId="5" borderId="0" xfId="0" applyFont="1" applyFill="1" applyAlignment="1">
      <alignment horizontal="center"/>
    </xf>
    <xf numFmtId="0" fontId="6" fillId="8" borderId="0" xfId="0" applyFont="1" applyFill="1" applyAlignment="1">
      <alignment horizontal="center"/>
    </xf>
    <xf numFmtId="0" fontId="6" fillId="0" borderId="12" xfId="0" applyFont="1" applyBorder="1" applyAlignment="1">
      <alignment horizontal="center"/>
    </xf>
    <xf numFmtId="0" fontId="6" fillId="0" borderId="23" xfId="0" applyFont="1" applyBorder="1" applyAlignment="1">
      <alignment horizontal="left"/>
    </xf>
    <xf numFmtId="0" fontId="6" fillId="0" borderId="11" xfId="0" applyFont="1" applyBorder="1" applyAlignment="1">
      <alignment horizontal="center"/>
    </xf>
    <xf numFmtId="166" fontId="6" fillId="0" borderId="5" xfId="0" applyNumberFormat="1" applyFont="1" applyBorder="1" applyAlignment="1">
      <alignment horizontal="center"/>
    </xf>
    <xf numFmtId="165" fontId="6" fillId="0" borderId="0" xfId="0" applyNumberFormat="1" applyFont="1" applyAlignment="1">
      <alignment horizontal="center"/>
    </xf>
    <xf numFmtId="0" fontId="9" fillId="0" borderId="0" xfId="0" quotePrefix="1" applyFont="1" applyAlignment="1">
      <alignment horizontal="left" vertical="top"/>
    </xf>
    <xf numFmtId="0" fontId="7" fillId="4" borderId="0" xfId="0" applyFont="1" applyFill="1" applyAlignment="1">
      <alignment horizontal="center" vertical="center"/>
    </xf>
    <xf numFmtId="0" fontId="0" fillId="0" borderId="9" xfId="0" applyBorder="1"/>
    <xf numFmtId="0" fontId="6" fillId="0" borderId="8" xfId="0" applyFont="1" applyBorder="1"/>
    <xf numFmtId="0" fontId="22" fillId="0" borderId="6" xfId="0" applyFont="1" applyBorder="1" applyAlignment="1">
      <alignment horizontal="center"/>
    </xf>
    <xf numFmtId="170" fontId="6" fillId="0" borderId="8" xfId="0" applyNumberFormat="1" applyFont="1" applyBorder="1"/>
    <xf numFmtId="170" fontId="7" fillId="0" borderId="10" xfId="0" applyNumberFormat="1" applyFont="1" applyBorder="1" applyAlignment="1">
      <alignment horizontal="center"/>
    </xf>
    <xf numFmtId="0" fontId="6" fillId="8" borderId="0" xfId="0" applyFont="1" applyFill="1"/>
    <xf numFmtId="170" fontId="7" fillId="0" borderId="4" xfId="0" applyNumberFormat="1" applyFont="1" applyBorder="1" applyAlignment="1">
      <alignment horizontal="center"/>
    </xf>
    <xf numFmtId="0" fontId="22" fillId="0" borderId="1" xfId="0" applyFont="1" applyBorder="1" applyAlignment="1">
      <alignment horizontal="center"/>
    </xf>
    <xf numFmtId="0" fontId="6" fillId="0" borderId="11" xfId="0" applyFont="1" applyBorder="1"/>
    <xf numFmtId="0" fontId="22" fillId="0" borderId="5" xfId="0" applyFont="1" applyBorder="1" applyAlignment="1">
      <alignment horizontal="center"/>
    </xf>
    <xf numFmtId="0" fontId="7" fillId="0" borderId="9" xfId="0" applyFont="1" applyBorder="1" applyAlignment="1">
      <alignment horizontal="left" vertical="center"/>
    </xf>
    <xf numFmtId="0" fontId="47" fillId="0" borderId="1" xfId="0" applyFont="1" applyBorder="1" applyAlignment="1">
      <alignment horizontal="right" vertical="center"/>
    </xf>
    <xf numFmtId="166" fontId="6" fillId="0" borderId="0" xfId="0" applyNumberFormat="1" applyFont="1" applyAlignment="1">
      <alignment horizontal="right" vertical="center"/>
    </xf>
    <xf numFmtId="166" fontId="6" fillId="0" borderId="8" xfId="0" applyNumberFormat="1" applyFont="1" applyBorder="1" applyAlignment="1">
      <alignment horizontal="right" vertical="center"/>
    </xf>
    <xf numFmtId="166" fontId="6" fillId="0" borderId="1" xfId="0" applyNumberFormat="1" applyFont="1" applyBorder="1" applyAlignment="1">
      <alignment horizontal="right" vertical="center"/>
    </xf>
    <xf numFmtId="165" fontId="7" fillId="0" borderId="1" xfId="0" applyNumberFormat="1" applyFont="1" applyBorder="1" applyAlignment="1">
      <alignment horizontal="center" vertical="center"/>
    </xf>
    <xf numFmtId="166" fontId="6" fillId="8" borderId="0" xfId="0" applyNumberFormat="1" applyFont="1" applyFill="1" applyAlignment="1">
      <alignment horizontal="right" vertical="center"/>
    </xf>
    <xf numFmtId="0" fontId="7" fillId="0" borderId="3" xfId="0" applyFont="1" applyBorder="1" applyAlignment="1">
      <alignment horizontal="left" vertical="center"/>
    </xf>
    <xf numFmtId="166" fontId="16" fillId="8" borderId="0" xfId="0" applyNumberFormat="1" applyFont="1" applyFill="1" applyAlignment="1">
      <alignment horizontal="right" vertical="center"/>
    </xf>
    <xf numFmtId="165" fontId="7" fillId="0" borderId="4" xfId="0" applyNumberFormat="1" applyFont="1" applyBorder="1" applyAlignment="1">
      <alignment horizontal="center" vertical="center"/>
    </xf>
    <xf numFmtId="0" fontId="7" fillId="8" borderId="0" xfId="0" applyFont="1" applyFill="1" applyAlignment="1">
      <alignment horizontal="left" vertical="center"/>
    </xf>
    <xf numFmtId="0" fontId="7" fillId="0" borderId="12" xfId="0" applyFont="1" applyBorder="1" applyAlignment="1">
      <alignment horizontal="left" vertical="center"/>
    </xf>
    <xf numFmtId="0" fontId="47" fillId="0" borderId="5" xfId="0" applyFont="1" applyBorder="1" applyAlignment="1">
      <alignment horizontal="right" vertical="center"/>
    </xf>
    <xf numFmtId="166" fontId="6" fillId="0" borderId="11" xfId="0" applyNumberFormat="1" applyFont="1" applyBorder="1" applyAlignment="1">
      <alignment horizontal="right" vertical="center"/>
    </xf>
    <xf numFmtId="166" fontId="6" fillId="0" borderId="5" xfId="0" applyNumberFormat="1" applyFont="1" applyBorder="1" applyAlignment="1">
      <alignment horizontal="right" vertical="center"/>
    </xf>
    <xf numFmtId="0" fontId="6" fillId="0" borderId="0" xfId="0" applyFont="1" applyAlignment="1">
      <alignment vertical="top"/>
    </xf>
    <xf numFmtId="0" fontId="49" fillId="0" borderId="0" xfId="0" applyFont="1" applyAlignment="1">
      <alignment vertical="top"/>
    </xf>
    <xf numFmtId="0" fontId="12" fillId="0" borderId="0" xfId="0" applyFont="1" applyAlignment="1">
      <alignment vertical="center"/>
    </xf>
    <xf numFmtId="0" fontId="50" fillId="0" borderId="0" xfId="0" applyFont="1" applyAlignment="1">
      <alignment vertical="top"/>
    </xf>
    <xf numFmtId="166" fontId="12" fillId="0" borderId="0" xfId="0" applyNumberFormat="1" applyFont="1" applyAlignment="1">
      <alignment vertical="center"/>
    </xf>
    <xf numFmtId="0" fontId="7" fillId="0" borderId="5" xfId="0" applyFont="1" applyBorder="1" applyAlignment="1">
      <alignment horizontal="center"/>
    </xf>
    <xf numFmtId="0" fontId="3" fillId="0" borderId="0" xfId="12" applyAlignment="1">
      <alignment horizontal="center"/>
    </xf>
    <xf numFmtId="0" fontId="6" fillId="0" borderId="9" xfId="0" applyFont="1" applyBorder="1"/>
    <xf numFmtId="0" fontId="6" fillId="0" borderId="6" xfId="0" applyFont="1" applyBorder="1"/>
    <xf numFmtId="171" fontId="6" fillId="0" borderId="0" xfId="0" applyNumberFormat="1" applyFont="1" applyAlignment="1">
      <alignment horizontal="right"/>
    </xf>
    <xf numFmtId="171" fontId="6" fillId="0" borderId="8" xfId="0" applyNumberFormat="1" applyFont="1" applyBorder="1" applyAlignment="1">
      <alignment horizontal="right"/>
    </xf>
    <xf numFmtId="171" fontId="6" fillId="8" borderId="0" xfId="0" applyNumberFormat="1" applyFont="1" applyFill="1" applyAlignment="1">
      <alignment horizontal="right"/>
    </xf>
    <xf numFmtId="170" fontId="7" fillId="8" borderId="1" xfId="0" applyNumberFormat="1" applyFont="1" applyFill="1" applyBorder="1" applyAlignment="1">
      <alignment horizontal="center" vertical="center"/>
    </xf>
    <xf numFmtId="170" fontId="7" fillId="0" borderId="1" xfId="0" applyNumberFormat="1" applyFont="1" applyFill="1" applyBorder="1" applyAlignment="1">
      <alignment horizontal="center"/>
    </xf>
    <xf numFmtId="170" fontId="8" fillId="8" borderId="6" xfId="0" applyNumberFormat="1" applyFont="1" applyFill="1" applyBorder="1"/>
    <xf numFmtId="170" fontId="8" fillId="0" borderId="1" xfId="0" applyNumberFormat="1" applyFont="1" applyFill="1" applyBorder="1"/>
    <xf numFmtId="170" fontId="8" fillId="8" borderId="1" xfId="0" applyNumberFormat="1" applyFont="1" applyFill="1" applyBorder="1"/>
    <xf numFmtId="170" fontId="7" fillId="8" borderId="10" xfId="0" applyNumberFormat="1" applyFont="1" applyFill="1" applyBorder="1" applyAlignment="1">
      <alignment horizontal="center"/>
    </xf>
    <xf numFmtId="170" fontId="7" fillId="8" borderId="4" xfId="0" applyNumberFormat="1" applyFont="1" applyFill="1" applyBorder="1" applyAlignment="1">
      <alignment horizontal="center" vertical="center"/>
    </xf>
    <xf numFmtId="170" fontId="7" fillId="8" borderId="1" xfId="0" applyNumberFormat="1" applyFont="1" applyFill="1" applyBorder="1" applyAlignment="1">
      <alignment horizontal="center"/>
    </xf>
    <xf numFmtId="170" fontId="6" fillId="0" borderId="5" xfId="0" applyNumberFormat="1" applyFont="1" applyFill="1" applyBorder="1" applyAlignment="1">
      <alignment vertical="center"/>
    </xf>
    <xf numFmtId="170" fontId="6" fillId="0" borderId="1" xfId="0" applyNumberFormat="1" applyFont="1" applyFill="1" applyBorder="1" applyAlignment="1">
      <alignment vertical="center"/>
    </xf>
    <xf numFmtId="170" fontId="7" fillId="0" borderId="7" xfId="0" applyNumberFormat="1" applyFont="1" applyFill="1" applyBorder="1" applyAlignment="1">
      <alignment horizontal="center" vertical="center"/>
    </xf>
    <xf numFmtId="170" fontId="7" fillId="0" borderId="4" xfId="0" applyNumberFormat="1" applyFont="1" applyFill="1" applyBorder="1" applyAlignment="1">
      <alignment horizontal="center" vertical="center"/>
    </xf>
    <xf numFmtId="171" fontId="8" fillId="0" borderId="43" xfId="0" applyNumberFormat="1" applyFont="1" applyFill="1" applyBorder="1" applyAlignment="1">
      <alignment horizontal="right"/>
    </xf>
    <xf numFmtId="0" fontId="10" fillId="5" borderId="0" xfId="0" applyFont="1" applyFill="1" applyBorder="1" applyAlignment="1">
      <alignment horizontal="center" vertical="center" wrapText="1"/>
    </xf>
    <xf numFmtId="0" fontId="6" fillId="8" borderId="1" xfId="0" applyFont="1" applyFill="1" applyBorder="1" applyAlignment="1">
      <alignment horizontal="left"/>
    </xf>
    <xf numFmtId="0" fontId="0" fillId="0" borderId="28" xfId="0" applyBorder="1"/>
    <xf numFmtId="0" fontId="7" fillId="5" borderId="12" xfId="0" applyFont="1" applyFill="1" applyBorder="1" applyAlignment="1">
      <alignment horizontal="center" vertical="center"/>
    </xf>
    <xf numFmtId="0" fontId="10" fillId="5" borderId="7" xfId="0" applyFont="1" applyFill="1" applyBorder="1" applyAlignment="1">
      <alignment horizontal="center" vertical="center"/>
    </xf>
    <xf numFmtId="167" fontId="8" fillId="0" borderId="10" xfId="0" applyNumberFormat="1" applyFont="1" applyFill="1" applyBorder="1" applyAlignment="1">
      <alignment horizontal="right" vertical="center"/>
    </xf>
    <xf numFmtId="167" fontId="8" fillId="0" borderId="4" xfId="0" applyNumberFormat="1" applyFont="1" applyFill="1" applyBorder="1" applyAlignment="1">
      <alignment horizontal="right" vertical="center"/>
    </xf>
    <xf numFmtId="167" fontId="8" fillId="0" borderId="7" xfId="0" applyNumberFormat="1" applyFont="1" applyFill="1" applyBorder="1" applyAlignment="1">
      <alignment horizontal="right" vertical="center"/>
    </xf>
    <xf numFmtId="167" fontId="7" fillId="0" borderId="7" xfId="0" applyNumberFormat="1" applyFont="1" applyFill="1" applyBorder="1" applyAlignment="1">
      <alignment horizontal="center" vertical="center"/>
    </xf>
    <xf numFmtId="167" fontId="6" fillId="0" borderId="8" xfId="0" applyNumberFormat="1" applyFont="1" applyFill="1" applyBorder="1" applyAlignment="1">
      <alignment horizontal="center" vertical="center"/>
    </xf>
    <xf numFmtId="167" fontId="6" fillId="0" borderId="0" xfId="0" applyNumberFormat="1" applyFont="1" applyFill="1" applyBorder="1" applyAlignment="1">
      <alignment horizontal="center" vertical="center"/>
    </xf>
    <xf numFmtId="167" fontId="6" fillId="0" borderId="11" xfId="0" applyNumberFormat="1" applyFont="1" applyFill="1" applyBorder="1" applyAlignment="1">
      <alignment horizontal="center" vertical="center"/>
    </xf>
    <xf numFmtId="167" fontId="7" fillId="0" borderId="6" xfId="0" applyNumberFormat="1" applyFont="1" applyFill="1" applyBorder="1" applyAlignment="1">
      <alignment horizontal="center" vertical="center"/>
    </xf>
    <xf numFmtId="167" fontId="7" fillId="0" borderId="1" xfId="0" applyNumberFormat="1" applyFont="1" applyFill="1" applyBorder="1" applyAlignment="1">
      <alignment horizontal="center" vertical="center"/>
    </xf>
    <xf numFmtId="167" fontId="6" fillId="0" borderId="6" xfId="0" applyNumberFormat="1" applyFont="1" applyFill="1" applyBorder="1" applyAlignment="1">
      <alignment horizontal="center" vertical="center"/>
    </xf>
    <xf numFmtId="167" fontId="6" fillId="0" borderId="1" xfId="0" applyNumberFormat="1" applyFont="1" applyFill="1" applyBorder="1" applyAlignment="1">
      <alignment horizontal="center" vertical="center"/>
    </xf>
    <xf numFmtId="167" fontId="6" fillId="0" borderId="5" xfId="0" applyNumberFormat="1" applyFont="1" applyFill="1" applyBorder="1" applyAlignment="1">
      <alignment horizontal="center" vertical="center"/>
    </xf>
    <xf numFmtId="169" fontId="6" fillId="0" borderId="5" xfId="0" applyNumberFormat="1" applyFont="1" applyFill="1" applyBorder="1" applyAlignment="1">
      <alignment horizontal="center" vertical="center"/>
    </xf>
    <xf numFmtId="0" fontId="3" fillId="0" borderId="1" xfId="12" applyBorder="1"/>
    <xf numFmtId="1" fontId="7" fillId="4" borderId="0" xfId="12" applyNumberFormat="1" applyFont="1" applyFill="1" applyAlignment="1">
      <alignment horizontal="center" vertical="center"/>
    </xf>
    <xf numFmtId="0" fontId="7" fillId="0" borderId="4" xfId="12" applyFont="1" applyBorder="1" applyAlignment="1">
      <alignment horizontal="center" vertical="center"/>
    </xf>
    <xf numFmtId="165" fontId="16" fillId="0" borderId="0" xfId="12" applyNumberFormat="1" applyFont="1" applyAlignment="1">
      <alignment vertical="center"/>
    </xf>
    <xf numFmtId="165" fontId="6" fillId="0" borderId="0" xfId="12" applyNumberFormat="1" applyFont="1" applyAlignment="1">
      <alignment vertical="center"/>
    </xf>
    <xf numFmtId="165" fontId="16" fillId="0" borderId="8" xfId="12" applyNumberFormat="1" applyFont="1" applyBorder="1" applyAlignment="1">
      <alignment vertical="center"/>
    </xf>
    <xf numFmtId="165" fontId="16" fillId="5" borderId="0" xfId="12" applyNumberFormat="1" applyFont="1" applyFill="1" applyAlignment="1">
      <alignment vertical="center"/>
    </xf>
    <xf numFmtId="165" fontId="6" fillId="5" borderId="0" xfId="12" applyNumberFormat="1" applyFont="1" applyFill="1" applyAlignment="1">
      <alignment vertical="center"/>
    </xf>
    <xf numFmtId="165" fontId="6" fillId="8" borderId="0" xfId="12" applyNumberFormat="1" applyFont="1" applyFill="1" applyAlignment="1">
      <alignment vertical="center"/>
    </xf>
    <xf numFmtId="165" fontId="16" fillId="8" borderId="0" xfId="12" applyNumberFormat="1" applyFont="1" applyFill="1" applyAlignment="1">
      <alignment vertical="center"/>
    </xf>
    <xf numFmtId="165" fontId="6" fillId="0" borderId="0" xfId="12" applyNumberFormat="1" applyFont="1" applyAlignment="1">
      <alignment horizontal="center" vertical="center"/>
    </xf>
    <xf numFmtId="165" fontId="7" fillId="0" borderId="1" xfId="12" applyNumberFormat="1" applyFont="1" applyBorder="1" applyAlignment="1">
      <alignment horizontal="center" vertical="center"/>
    </xf>
    <xf numFmtId="165" fontId="6" fillId="8" borderId="0" xfId="12" applyNumberFormat="1" applyFont="1" applyFill="1" applyAlignment="1">
      <alignment horizontal="center" vertical="center"/>
    </xf>
    <xf numFmtId="0" fontId="7" fillId="0" borderId="7" xfId="12" applyFont="1" applyBorder="1" applyAlignment="1">
      <alignment horizontal="center" vertical="center"/>
    </xf>
    <xf numFmtId="165" fontId="6" fillId="0" borderId="11" xfId="12" applyNumberFormat="1" applyFont="1" applyBorder="1" applyAlignment="1">
      <alignment vertical="center"/>
    </xf>
    <xf numFmtId="165" fontId="6" fillId="0" borderId="5" xfId="12" applyNumberFormat="1" applyFont="1" applyBorder="1" applyAlignment="1">
      <alignment vertical="center"/>
    </xf>
    <xf numFmtId="165" fontId="7" fillId="0" borderId="5" xfId="12" applyNumberFormat="1" applyFont="1" applyBorder="1" applyAlignment="1">
      <alignment horizontal="center" vertical="center"/>
    </xf>
    <xf numFmtId="165" fontId="6" fillId="0" borderId="0" xfId="12" applyNumberFormat="1" applyFont="1" applyAlignment="1">
      <alignment horizontal="right" vertical="center"/>
    </xf>
    <xf numFmtId="165" fontId="6" fillId="0" borderId="1" xfId="12" applyNumberFormat="1" applyFont="1" applyBorder="1" applyAlignment="1">
      <alignment horizontal="right" vertical="center"/>
    </xf>
    <xf numFmtId="165" fontId="6" fillId="8" borderId="0" xfId="12" applyNumberFormat="1" applyFont="1" applyFill="1" applyAlignment="1">
      <alignment horizontal="right" vertical="center"/>
    </xf>
    <xf numFmtId="165" fontId="16" fillId="8" borderId="0" xfId="12" applyNumberFormat="1" applyFont="1" applyFill="1" applyAlignment="1">
      <alignment horizontal="center" vertical="center"/>
    </xf>
    <xf numFmtId="165" fontId="6" fillId="0" borderId="0" xfId="12" applyNumberFormat="1" applyFont="1" applyBorder="1" applyAlignment="1">
      <alignment horizontal="center" vertical="center"/>
    </xf>
    <xf numFmtId="0" fontId="3" fillId="0" borderId="3" xfId="12" applyBorder="1"/>
    <xf numFmtId="0" fontId="3" fillId="0" borderId="12" xfId="12" applyBorder="1"/>
    <xf numFmtId="165" fontId="6" fillId="0" borderId="0" xfId="12" applyNumberFormat="1" applyFont="1" applyBorder="1" applyAlignment="1">
      <alignment horizontal="right" vertical="center"/>
    </xf>
    <xf numFmtId="165" fontId="42" fillId="5" borderId="25" xfId="12" applyNumberFormat="1" applyFont="1" applyFill="1" applyBorder="1" applyAlignment="1">
      <alignment horizontal="center"/>
    </xf>
    <xf numFmtId="165" fontId="7" fillId="5" borderId="1" xfId="12" applyNumberFormat="1" applyFont="1" applyFill="1" applyBorder="1" applyAlignment="1">
      <alignment horizontal="center" vertical="center"/>
    </xf>
    <xf numFmtId="165" fontId="42" fillId="8" borderId="1" xfId="12" applyNumberFormat="1" applyFont="1" applyFill="1" applyBorder="1" applyAlignment="1">
      <alignment horizontal="center" vertical="center"/>
    </xf>
    <xf numFmtId="165" fontId="16" fillId="0" borderId="0" xfId="12" applyNumberFormat="1" applyFont="1" applyFill="1" applyAlignment="1">
      <alignment horizontal="center" vertical="center"/>
    </xf>
    <xf numFmtId="165" fontId="6" fillId="0" borderId="0" xfId="12" applyNumberFormat="1" applyFont="1" applyFill="1" applyAlignment="1">
      <alignment horizontal="right" vertical="center"/>
    </xf>
    <xf numFmtId="165" fontId="16" fillId="0" borderId="1" xfId="12" applyNumberFormat="1" applyFont="1" applyFill="1" applyBorder="1" applyAlignment="1">
      <alignment horizontal="right" vertical="center"/>
    </xf>
    <xf numFmtId="165" fontId="42" fillId="0" borderId="1" xfId="12" applyNumberFormat="1" applyFont="1" applyFill="1" applyBorder="1" applyAlignment="1">
      <alignment horizontal="center" vertical="center"/>
    </xf>
    <xf numFmtId="165" fontId="6" fillId="0" borderId="0" xfId="12" applyNumberFormat="1" applyFont="1" applyFill="1" applyAlignment="1">
      <alignment horizontal="center" vertical="center"/>
    </xf>
    <xf numFmtId="165" fontId="6" fillId="0" borderId="4" xfId="12" applyNumberFormat="1" applyFont="1" applyBorder="1" applyAlignment="1">
      <alignment horizontal="center" vertical="center"/>
    </xf>
    <xf numFmtId="165" fontId="6" fillId="8" borderId="4" xfId="12" applyNumberFormat="1" applyFont="1" applyFill="1" applyBorder="1" applyAlignment="1">
      <alignment horizontal="center" vertical="center"/>
    </xf>
    <xf numFmtId="0" fontId="9" fillId="0" borderId="11" xfId="0" applyFont="1" applyBorder="1" applyAlignment="1">
      <alignment horizontal="center" wrapText="1"/>
    </xf>
    <xf numFmtId="0" fontId="6" fillId="4" borderId="5" xfId="0" applyFont="1" applyFill="1" applyBorder="1" applyAlignment="1">
      <alignment horizontal="center" vertical="top" wrapText="1"/>
    </xf>
    <xf numFmtId="0" fontId="6" fillId="0" borderId="0" xfId="12" applyFont="1" applyAlignment="1">
      <alignment horizontal="left"/>
    </xf>
    <xf numFmtId="172" fontId="7" fillId="0" borderId="6" xfId="0" applyNumberFormat="1" applyFont="1" applyFill="1" applyBorder="1" applyAlignment="1" applyProtection="1">
      <alignment horizontal="center" vertical="center"/>
    </xf>
    <xf numFmtId="172" fontId="7" fillId="8" borderId="1" xfId="0" applyNumberFormat="1" applyFont="1" applyFill="1" applyBorder="1" applyAlignment="1" applyProtection="1">
      <alignment horizontal="center" vertical="center"/>
    </xf>
    <xf numFmtId="172" fontId="7" fillId="0" borderId="1" xfId="0" applyNumberFormat="1" applyFont="1" applyFill="1" applyBorder="1" applyAlignment="1" applyProtection="1">
      <alignment horizontal="center" vertical="center"/>
    </xf>
    <xf numFmtId="172" fontId="7" fillId="8" borderId="5" xfId="0" applyNumberFormat="1" applyFont="1" applyFill="1" applyBorder="1" applyAlignment="1" applyProtection="1">
      <alignment horizontal="center" vertical="center"/>
    </xf>
    <xf numFmtId="171" fontId="42" fillId="5" borderId="25" xfId="0" applyNumberFormat="1" applyFont="1" applyFill="1" applyBorder="1" applyAlignment="1">
      <alignment horizontal="right"/>
    </xf>
    <xf numFmtId="171" fontId="42" fillId="5" borderId="2" xfId="0" applyNumberFormat="1" applyFont="1" applyFill="1" applyBorder="1" applyAlignment="1">
      <alignment horizontal="right"/>
    </xf>
    <xf numFmtId="165" fontId="7" fillId="8" borderId="5" xfId="0" applyNumberFormat="1" applyFont="1" applyFill="1" applyBorder="1" applyAlignment="1">
      <alignment horizontal="center" vertical="center"/>
    </xf>
    <xf numFmtId="171" fontId="8" fillId="8" borderId="44" xfId="0" applyNumberFormat="1" applyFont="1" applyFill="1" applyBorder="1" applyAlignment="1">
      <alignment horizontal="right"/>
    </xf>
    <xf numFmtId="170" fontId="7" fillId="8" borderId="7" xfId="0" applyNumberFormat="1" applyFont="1" applyFill="1" applyBorder="1" applyAlignment="1">
      <alignment horizontal="center"/>
    </xf>
    <xf numFmtId="170" fontId="6" fillId="0" borderId="1" xfId="0" applyNumberFormat="1" applyFont="1" applyBorder="1"/>
    <xf numFmtId="170" fontId="6" fillId="8" borderId="5" xfId="0" applyNumberFormat="1" applyFont="1" applyFill="1" applyBorder="1"/>
    <xf numFmtId="167" fontId="16" fillId="0" borderId="1" xfId="0" applyNumberFormat="1" applyFont="1" applyFill="1" applyBorder="1" applyAlignment="1">
      <alignment horizontal="center"/>
    </xf>
    <xf numFmtId="0" fontId="52" fillId="0" borderId="0" xfId="0" applyFont="1"/>
    <xf numFmtId="0" fontId="0" fillId="0" borderId="0" xfId="0"/>
    <xf numFmtId="0" fontId="0" fillId="0" borderId="0" xfId="0"/>
    <xf numFmtId="0" fontId="0" fillId="0" borderId="1" xfId="0" applyBorder="1"/>
    <xf numFmtId="2" fontId="16" fillId="8" borderId="0" xfId="9" applyNumberFormat="1" applyFont="1" applyFill="1" applyAlignment="1">
      <alignment horizontal="right"/>
    </xf>
    <xf numFmtId="165" fontId="3" fillId="10" borderId="28" xfId="0" applyNumberFormat="1" applyFont="1" applyFill="1" applyBorder="1" applyAlignment="1">
      <alignment horizontal="center" vertical="center"/>
    </xf>
    <xf numFmtId="165" fontId="42" fillId="5" borderId="2" xfId="12" applyNumberFormat="1" applyFont="1" applyFill="1" applyBorder="1" applyAlignment="1">
      <alignment horizontal="right"/>
    </xf>
    <xf numFmtId="165" fontId="16" fillId="8" borderId="0" xfId="12" applyNumberFormat="1" applyFont="1" applyFill="1" applyBorder="1" applyAlignment="1">
      <alignment horizontal="right" vertical="center"/>
    </xf>
    <xf numFmtId="0" fontId="7" fillId="0" borderId="28" xfId="12" applyFont="1" applyFill="1" applyBorder="1" applyAlignment="1">
      <alignment horizontal="center" vertical="center"/>
    </xf>
    <xf numFmtId="165" fontId="6" fillId="0" borderId="25" xfId="12" applyNumberFormat="1" applyFont="1" applyFill="1" applyBorder="1" applyAlignment="1">
      <alignment vertical="center"/>
    </xf>
    <xf numFmtId="165" fontId="6" fillId="0" borderId="25" xfId="12" applyNumberFormat="1" applyFont="1" applyFill="1" applyBorder="1" applyAlignment="1">
      <alignment vertical="center" wrapText="1"/>
    </xf>
    <xf numFmtId="165" fontId="6" fillId="0" borderId="2" xfId="12" applyNumberFormat="1" applyFont="1" applyFill="1" applyBorder="1" applyAlignment="1">
      <alignment vertical="center" wrapText="1"/>
    </xf>
    <xf numFmtId="165" fontId="7" fillId="0" borderId="2" xfId="12" applyNumberFormat="1" applyFont="1" applyFill="1" applyBorder="1" applyAlignment="1">
      <alignment horizontal="center" vertical="center" wrapText="1"/>
    </xf>
    <xf numFmtId="0" fontId="6" fillId="0" borderId="0" xfId="0" quotePrefix="1" applyFont="1"/>
    <xf numFmtId="165" fontId="8" fillId="0" borderId="0" xfId="0" applyNumberFormat="1" applyFont="1" applyFill="1" applyBorder="1" applyAlignment="1">
      <alignment horizontal="center" vertical="center"/>
    </xf>
    <xf numFmtId="0" fontId="10" fillId="5" borderId="7" xfId="0" applyFont="1" applyFill="1" applyBorder="1" applyAlignment="1">
      <alignment horizontal="center" vertical="center" wrapText="1"/>
    </xf>
    <xf numFmtId="0" fontId="9" fillId="0" borderId="0" xfId="0" quotePrefix="1" applyFont="1" applyAlignment="1">
      <alignment vertical="top"/>
    </xf>
    <xf numFmtId="165" fontId="7" fillId="0" borderId="7" xfId="0" applyNumberFormat="1" applyFont="1" applyBorder="1" applyAlignment="1">
      <alignment horizontal="center" vertical="center"/>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quotePrefix="1" applyNumberFormat="1" applyFont="1" applyBorder="1" applyAlignment="1">
      <alignment horizontal="center" vertical="center" wrapText="1"/>
    </xf>
    <xf numFmtId="0" fontId="5" fillId="0" borderId="0" xfId="0" applyFont="1" applyBorder="1" applyAlignment="1">
      <alignment horizontal="center" vertical="center"/>
    </xf>
    <xf numFmtId="0" fontId="5" fillId="0" borderId="0" xfId="0" applyFont="1" applyAlignment="1">
      <alignment horizontal="center" vertical="center" wrapText="1"/>
    </xf>
    <xf numFmtId="0" fontId="9" fillId="0" borderId="0" xfId="0" applyFont="1" applyBorder="1" applyAlignment="1">
      <alignment horizontal="center" vertical="center"/>
    </xf>
    <xf numFmtId="0" fontId="9" fillId="0" borderId="0" xfId="0" applyFont="1" applyBorder="1" applyAlignment="1">
      <alignment horizontal="center" vertical="center" wrapText="1"/>
    </xf>
    <xf numFmtId="0" fontId="4" fillId="0" borderId="0" xfId="0" applyFont="1" applyBorder="1" applyAlignment="1">
      <alignment horizontal="center" vertical="center"/>
    </xf>
    <xf numFmtId="0" fontId="12" fillId="0" borderId="0" xfId="0" applyFont="1" applyAlignment="1">
      <alignment horizontal="center" vertical="center" wrapText="1"/>
    </xf>
    <xf numFmtId="0" fontId="32" fillId="0" borderId="0" xfId="0" applyFont="1" applyAlignment="1">
      <alignment horizontal="center" vertical="center" wrapText="1"/>
    </xf>
    <xf numFmtId="0" fontId="5" fillId="0" borderId="0" xfId="0" applyFont="1" applyAlignment="1">
      <alignment horizontal="center" vertical="top" wrapText="1"/>
    </xf>
    <xf numFmtId="0" fontId="5" fillId="0" borderId="0" xfId="0" applyFont="1" applyAlignment="1">
      <alignment horizontal="center" vertical="center"/>
    </xf>
    <xf numFmtId="0" fontId="9" fillId="0" borderId="0" xfId="0" applyFont="1" applyAlignment="1">
      <alignment horizontal="center" vertical="center"/>
    </xf>
    <xf numFmtId="0" fontId="12" fillId="0" borderId="0" xfId="0" applyFont="1" applyAlignment="1">
      <alignment horizontal="center"/>
    </xf>
    <xf numFmtId="0" fontId="9" fillId="0" borderId="0" xfId="0" applyFont="1" applyAlignment="1">
      <alignment horizontal="center" vertical="top" wrapText="1"/>
    </xf>
    <xf numFmtId="0" fontId="12" fillId="0" borderId="0" xfId="0" applyFont="1" applyAlignment="1">
      <alignment horizontal="center" vertical="center"/>
    </xf>
    <xf numFmtId="0" fontId="6" fillId="0" borderId="11" xfId="0" applyFont="1" applyBorder="1" applyAlignment="1">
      <alignment horizontal="right" vertical="center"/>
    </xf>
    <xf numFmtId="0" fontId="6" fillId="0" borderId="0" xfId="0" quotePrefix="1" applyFont="1" applyAlignment="1">
      <alignment horizontal="left" vertical="top" wrapText="1"/>
    </xf>
    <xf numFmtId="0" fontId="19" fillId="0" borderId="0" xfId="0" applyFont="1" applyAlignment="1">
      <alignment horizontal="center" vertical="center" textRotation="90" wrapText="1"/>
    </xf>
    <xf numFmtId="0" fontId="12" fillId="4" borderId="9" xfId="0" applyFont="1" applyFill="1" applyBorder="1" applyAlignment="1">
      <alignment horizontal="center" vertical="center"/>
    </xf>
    <xf numFmtId="0" fontId="12" fillId="4" borderId="3" xfId="0" applyFont="1" applyFill="1" applyBorder="1" applyAlignment="1">
      <alignment horizontal="center" vertical="center"/>
    </xf>
    <xf numFmtId="0" fontId="12" fillId="4" borderId="12"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3"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0" xfId="0" applyFont="1" applyFill="1" applyAlignment="1">
      <alignment horizontal="center" vertical="center"/>
    </xf>
    <xf numFmtId="0" fontId="7" fillId="4" borderId="11" xfId="0" applyFont="1" applyFill="1" applyBorder="1" applyAlignment="1">
      <alignment horizontal="center" vertical="center"/>
    </xf>
    <xf numFmtId="0" fontId="6" fillId="0" borderId="0" xfId="9" applyFont="1" applyAlignment="1">
      <alignment horizontal="left" vertical="top" wrapText="1"/>
    </xf>
    <xf numFmtId="0" fontId="7" fillId="0" borderId="8" xfId="9" applyFont="1" applyBorder="1" applyAlignment="1">
      <alignment horizontal="left" vertical="top" wrapText="1"/>
    </xf>
    <xf numFmtId="0" fontId="7" fillId="0" borderId="1" xfId="9" applyFont="1" applyBorder="1" applyAlignment="1">
      <alignment textRotation="90" wrapText="1"/>
    </xf>
    <xf numFmtId="0" fontId="11" fillId="0" borderId="0" xfId="9" applyFont="1" applyBorder="1" applyAlignment="1">
      <alignment horizontal="left" vertical="top"/>
    </xf>
    <xf numFmtId="0" fontId="9" fillId="0" borderId="0" xfId="9" applyFont="1" applyBorder="1" applyAlignment="1">
      <alignment horizontal="center" vertical="top" wrapText="1"/>
    </xf>
    <xf numFmtId="0" fontId="12" fillId="0" borderId="0" xfId="9" applyFont="1" applyBorder="1" applyAlignment="1">
      <alignment horizontal="center" vertical="top" wrapText="1"/>
    </xf>
    <xf numFmtId="0" fontId="6" fillId="0" borderId="0" xfId="9" applyFont="1" applyBorder="1" applyAlignment="1">
      <alignment horizontal="center" vertical="top" wrapText="1"/>
    </xf>
    <xf numFmtId="0" fontId="6" fillId="0" borderId="0" xfId="12" applyFont="1" applyAlignment="1">
      <alignment horizontal="left" wrapText="1"/>
    </xf>
    <xf numFmtId="0" fontId="7" fillId="0" borderId="0" xfId="0" applyFont="1" applyAlignment="1">
      <alignment horizontal="center" textRotation="90" wrapText="1"/>
    </xf>
    <xf numFmtId="0" fontId="9" fillId="0" borderId="0" xfId="0" applyFont="1" applyAlignment="1">
      <alignment horizontal="center" vertical="center" wrapText="1"/>
    </xf>
    <xf numFmtId="0" fontId="12" fillId="0" borderId="0" xfId="0" applyFont="1" applyAlignment="1">
      <alignment horizontal="center" vertical="top" wrapText="1"/>
    </xf>
    <xf numFmtId="0" fontId="7" fillId="0" borderId="1" xfId="0" applyFont="1" applyBorder="1" applyAlignment="1">
      <alignment horizontal="center" textRotation="90" wrapText="1"/>
    </xf>
    <xf numFmtId="0" fontId="9" fillId="0" borderId="0" xfId="0" applyFont="1" applyFill="1" applyBorder="1" applyAlignment="1">
      <alignment horizontal="center" vertical="top" wrapText="1"/>
    </xf>
    <xf numFmtId="0" fontId="23" fillId="0" borderId="0" xfId="0" applyFont="1" applyFill="1" applyBorder="1" applyAlignment="1">
      <alignment horizontal="center" vertical="top" wrapText="1"/>
    </xf>
    <xf numFmtId="0" fontId="7" fillId="0" borderId="0" xfId="0" applyFont="1" applyAlignment="1">
      <alignment horizontal="left"/>
    </xf>
    <xf numFmtId="0" fontId="8" fillId="0" borderId="11" xfId="0" applyFont="1" applyFill="1" applyBorder="1" applyAlignment="1">
      <alignment horizontal="right" vertical="center"/>
    </xf>
    <xf numFmtId="0" fontId="6" fillId="0" borderId="0" xfId="0" applyFont="1" applyAlignment="1">
      <alignment horizontal="left" wrapText="1"/>
    </xf>
    <xf numFmtId="0" fontId="12" fillId="0" borderId="0" xfId="0" applyFont="1" applyFill="1" applyBorder="1" applyAlignment="1">
      <alignment horizontal="center" vertical="center" wrapText="1"/>
    </xf>
    <xf numFmtId="0" fontId="15" fillId="0" borderId="0" xfId="1" applyBorder="1" applyAlignment="1" applyProtection="1">
      <alignment horizontal="left" wrapText="1"/>
    </xf>
    <xf numFmtId="0" fontId="3" fillId="0" borderId="0" xfId="0" applyFont="1" applyBorder="1" applyAlignment="1">
      <alignment horizontal="center" vertical="center" wrapText="1"/>
    </xf>
    <xf numFmtId="0" fontId="3" fillId="0" borderId="11" xfId="0" applyFont="1" applyBorder="1" applyAlignment="1">
      <alignment horizontal="center" vertical="center" wrapText="1"/>
    </xf>
    <xf numFmtId="0" fontId="7" fillId="4" borderId="3" xfId="0" applyFont="1" applyFill="1" applyBorder="1" applyAlignment="1">
      <alignment horizontal="center"/>
    </xf>
    <xf numFmtId="0" fontId="7" fillId="4" borderId="0" xfId="0" applyFont="1" applyFill="1" applyBorder="1" applyAlignment="1">
      <alignment horizontal="center"/>
    </xf>
    <xf numFmtId="0" fontId="7" fillId="4" borderId="1" xfId="0" applyFont="1" applyFill="1" applyBorder="1" applyAlignment="1">
      <alignment horizontal="center"/>
    </xf>
    <xf numFmtId="0" fontId="9" fillId="0" borderId="11" xfId="0" applyFont="1" applyBorder="1" applyAlignment="1">
      <alignment horizontal="center" vertical="top" wrapText="1"/>
    </xf>
    <xf numFmtId="0" fontId="9" fillId="0" borderId="0" xfId="0" applyFont="1" applyBorder="1" applyAlignment="1">
      <alignment horizontal="center" vertical="top" wrapText="1"/>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0"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9" xfId="0" applyFont="1" applyFill="1" applyBorder="1" applyAlignment="1">
      <alignment horizontal="center" wrapText="1"/>
    </xf>
    <xf numFmtId="0" fontId="7" fillId="4" borderId="8" xfId="0" applyFont="1" applyFill="1" applyBorder="1" applyAlignment="1">
      <alignment horizontal="center" wrapText="1"/>
    </xf>
    <xf numFmtId="0" fontId="7" fillId="4" borderId="6" xfId="0" applyFont="1" applyFill="1" applyBorder="1" applyAlignment="1">
      <alignment horizontal="center" wrapText="1"/>
    </xf>
    <xf numFmtId="0" fontId="6" fillId="4" borderId="3" xfId="0" applyFont="1" applyFill="1" applyBorder="1" applyAlignment="1">
      <alignment horizontal="center" vertical="top" wrapText="1"/>
    </xf>
    <xf numFmtId="0" fontId="6" fillId="4" borderId="0" xfId="0" applyFont="1" applyFill="1" applyBorder="1" applyAlignment="1">
      <alignment horizontal="center" vertical="top" wrapText="1"/>
    </xf>
    <xf numFmtId="0" fontId="6" fillId="4" borderId="1" xfId="0" applyFont="1" applyFill="1" applyBorder="1" applyAlignment="1">
      <alignment horizontal="center" vertical="top" wrapText="1"/>
    </xf>
    <xf numFmtId="0" fontId="12" fillId="0" borderId="0" xfId="0" applyFont="1" applyBorder="1" applyAlignment="1">
      <alignment horizontal="center" vertical="center" wrapText="1"/>
    </xf>
    <xf numFmtId="0" fontId="8" fillId="0" borderId="11" xfId="0" applyFont="1" applyBorder="1" applyAlignment="1">
      <alignment horizontal="right" vertical="center"/>
    </xf>
    <xf numFmtId="0" fontId="6" fillId="0" borderId="0" xfId="0" applyFont="1" applyAlignment="1">
      <alignment horizontal="left"/>
    </xf>
    <xf numFmtId="0" fontId="10" fillId="0" borderId="1" xfId="0" applyFont="1" applyBorder="1" applyAlignment="1">
      <alignment horizontal="center" textRotation="90" wrapText="1"/>
    </xf>
    <xf numFmtId="0" fontId="13" fillId="4" borderId="8"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13" fillId="4" borderId="0"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0" fillId="0" borderId="6" xfId="0" applyBorder="1"/>
    <xf numFmtId="0" fontId="0" fillId="0" borderId="0" xfId="0"/>
    <xf numFmtId="0" fontId="0" fillId="0" borderId="1" xfId="0" applyBorder="1"/>
    <xf numFmtId="0" fontId="9" fillId="0" borderId="0" xfId="0" applyFont="1" applyBorder="1" applyAlignment="1">
      <alignment horizontal="center" vertical="top"/>
    </xf>
    <xf numFmtId="0" fontId="12" fillId="0" borderId="0" xfId="0" applyFont="1" applyBorder="1" applyAlignment="1">
      <alignment horizontal="center" vertical="center"/>
    </xf>
    <xf numFmtId="0" fontId="3" fillId="0" borderId="11" xfId="0" applyFont="1" applyBorder="1" applyAlignment="1">
      <alignment horizontal="right" vertical="center"/>
    </xf>
    <xf numFmtId="0" fontId="6" fillId="0" borderId="0" xfId="0" applyFont="1" applyAlignment="1">
      <alignment wrapText="1"/>
    </xf>
    <xf numFmtId="0" fontId="6" fillId="0" borderId="0" xfId="0" applyFont="1" applyBorder="1" applyAlignment="1">
      <alignment horizontal="left" vertical="top" wrapText="1"/>
    </xf>
    <xf numFmtId="0" fontId="8" fillId="0" borderId="0" xfId="0" applyFont="1" applyBorder="1" applyAlignment="1">
      <alignment horizontal="left" vertical="top" wrapText="1"/>
    </xf>
    <xf numFmtId="0" fontId="7" fillId="0" borderId="0" xfId="0" applyFont="1" applyFill="1" applyBorder="1" applyAlignment="1">
      <alignment horizontal="left" wrapText="1"/>
    </xf>
    <xf numFmtId="0" fontId="10"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8" fillId="4" borderId="12" xfId="0" applyFont="1" applyFill="1" applyBorder="1" applyAlignment="1">
      <alignment horizontal="center" vertical="center" wrapText="1"/>
    </xf>
    <xf numFmtId="0" fontId="8" fillId="4" borderId="23" xfId="0" applyFont="1" applyFill="1" applyBorder="1" applyAlignment="1">
      <alignment horizontal="center" vertical="center" wrapText="1"/>
    </xf>
    <xf numFmtId="0" fontId="9" fillId="0" borderId="0" xfId="0" applyFont="1" applyAlignment="1">
      <alignment horizontal="center" wrapText="1"/>
    </xf>
    <xf numFmtId="0" fontId="12" fillId="0" borderId="0" xfId="0" applyFont="1" applyFill="1" applyAlignment="1">
      <alignment horizontal="center" vertical="top" wrapText="1"/>
    </xf>
    <xf numFmtId="0" fontId="7" fillId="4" borderId="24" xfId="0" applyFont="1" applyFill="1" applyBorder="1" applyAlignment="1">
      <alignment horizontal="center" vertical="center" wrapText="1"/>
    </xf>
    <xf numFmtId="0" fontId="7" fillId="4" borderId="30" xfId="0" applyFont="1" applyFill="1" applyBorder="1" applyAlignment="1">
      <alignment horizontal="center" vertical="center" wrapText="1"/>
    </xf>
    <xf numFmtId="0" fontId="7" fillId="0" borderId="0" xfId="0" applyFont="1" applyAlignment="1">
      <alignment horizontal="left" vertical="top" wrapText="1"/>
    </xf>
    <xf numFmtId="0" fontId="9" fillId="0" borderId="0" xfId="0" quotePrefix="1" applyFont="1" applyAlignment="1">
      <alignment horizontal="left" vertical="top"/>
    </xf>
    <xf numFmtId="0" fontId="12" fillId="4" borderId="8" xfId="0" applyFont="1" applyFill="1" applyBorder="1" applyAlignment="1">
      <alignment horizontal="center" vertical="center"/>
    </xf>
    <xf numFmtId="0" fontId="12" fillId="4" borderId="0" xfId="0" applyFont="1" applyFill="1" applyAlignment="1">
      <alignment horizontal="center" vertical="center"/>
    </xf>
    <xf numFmtId="0" fontId="6" fillId="0" borderId="0" xfId="0" applyFont="1" applyFill="1" applyBorder="1" applyAlignment="1">
      <alignment horizontal="left" vertical="top" wrapText="1"/>
    </xf>
    <xf numFmtId="0" fontId="7" fillId="0" borderId="8" xfId="0" applyFont="1" applyFill="1" applyBorder="1" applyAlignment="1">
      <alignment horizontal="left" wrapText="1"/>
    </xf>
    <xf numFmtId="0" fontId="10" fillId="0" borderId="8" xfId="0" applyFont="1" applyFill="1" applyBorder="1" applyAlignment="1">
      <alignment horizontal="left" wrapText="1"/>
    </xf>
    <xf numFmtId="0" fontId="9" fillId="0" borderId="11" xfId="0" applyFont="1" applyBorder="1" applyAlignment="1">
      <alignment horizontal="center" vertical="top"/>
    </xf>
    <xf numFmtId="0" fontId="12" fillId="4" borderId="6" xfId="0" applyFont="1" applyFill="1" applyBorder="1" applyAlignment="1">
      <alignment horizontal="center" vertical="center"/>
    </xf>
    <xf numFmtId="0" fontId="7" fillId="0" borderId="0" xfId="0" applyFont="1" applyFill="1" applyAlignment="1">
      <alignment horizontal="left" wrapText="1"/>
    </xf>
    <xf numFmtId="0" fontId="10" fillId="0" borderId="0" xfId="0" applyFont="1" applyFill="1" applyAlignment="1">
      <alignment horizontal="left" wrapText="1"/>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7" fillId="4" borderId="3" xfId="0" applyFont="1" applyFill="1" applyBorder="1" applyAlignment="1">
      <alignment horizontal="center" vertical="top" wrapText="1"/>
    </xf>
    <xf numFmtId="0" fontId="10" fillId="4" borderId="0" xfId="0" applyFont="1" applyFill="1" applyBorder="1" applyAlignment="1">
      <alignment horizontal="center" vertical="top" wrapText="1"/>
    </xf>
    <xf numFmtId="0" fontId="10" fillId="4" borderId="1" xfId="0" applyFont="1" applyFill="1" applyBorder="1" applyAlignment="1">
      <alignment horizontal="center" vertical="top" wrapText="1"/>
    </xf>
    <xf numFmtId="0" fontId="10" fillId="4" borderId="3" xfId="0" applyFont="1" applyFill="1" applyBorder="1" applyAlignment="1">
      <alignment horizontal="center" wrapText="1"/>
    </xf>
    <xf numFmtId="0" fontId="10" fillId="4" borderId="0" xfId="0" applyFont="1" applyFill="1" applyBorder="1" applyAlignment="1">
      <alignment horizontal="center" wrapText="1"/>
    </xf>
    <xf numFmtId="0" fontId="10" fillId="4" borderId="1" xfId="0" applyFont="1" applyFill="1" applyBorder="1" applyAlignment="1">
      <alignment horizontal="center" wrapText="1"/>
    </xf>
    <xf numFmtId="0" fontId="6" fillId="4" borderId="35"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9" fillId="4" borderId="13" xfId="0" applyFont="1" applyFill="1" applyBorder="1" applyAlignment="1">
      <alignment horizontal="center" vertical="center" wrapText="1"/>
    </xf>
    <xf numFmtId="0" fontId="19" fillId="4" borderId="14"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9" fillId="4" borderId="17" xfId="0" applyFont="1" applyFill="1" applyBorder="1" applyAlignment="1">
      <alignment horizontal="center" vertical="center" wrapText="1"/>
    </xf>
    <xf numFmtId="9" fontId="19" fillId="4" borderId="20" xfId="0" applyNumberFormat="1" applyFont="1" applyFill="1" applyBorder="1" applyAlignment="1">
      <alignment horizontal="center" vertical="center" wrapText="1"/>
    </xf>
    <xf numFmtId="9" fontId="19" fillId="4" borderId="21" xfId="0" applyNumberFormat="1" applyFont="1" applyFill="1" applyBorder="1" applyAlignment="1">
      <alignment horizontal="center" vertical="center" wrapText="1"/>
    </xf>
    <xf numFmtId="0" fontId="48" fillId="0" borderId="0" xfId="0" applyFont="1" applyBorder="1" applyAlignment="1">
      <alignment horizontal="left" wrapText="1"/>
    </xf>
    <xf numFmtId="0" fontId="7" fillId="0" borderId="0" xfId="0" applyFont="1" applyBorder="1" applyAlignment="1">
      <alignment horizontal="left" wrapText="1"/>
    </xf>
    <xf numFmtId="0" fontId="6" fillId="4" borderId="3" xfId="0" applyFont="1" applyFill="1" applyBorder="1" applyAlignment="1">
      <alignment horizontal="center" vertical="center"/>
    </xf>
    <xf numFmtId="0" fontId="6" fillId="4" borderId="0" xfId="0" applyFont="1" applyFill="1" applyBorder="1" applyAlignment="1">
      <alignment horizontal="center" vertical="center"/>
    </xf>
    <xf numFmtId="0" fontId="6" fillId="4" borderId="1" xfId="0" applyFont="1" applyFill="1" applyBorder="1" applyAlignment="1">
      <alignment horizontal="center" vertical="center"/>
    </xf>
    <xf numFmtId="0" fontId="7" fillId="4" borderId="22" xfId="0" applyFont="1" applyFill="1" applyBorder="1" applyAlignment="1">
      <alignment horizontal="center" vertical="center"/>
    </xf>
    <xf numFmtId="0" fontId="7" fillId="4" borderId="25" xfId="0" applyFont="1" applyFill="1" applyBorder="1" applyAlignment="1">
      <alignment horizontal="center" vertical="center"/>
    </xf>
    <xf numFmtId="0" fontId="7" fillId="4" borderId="2" xfId="0" applyFont="1" applyFill="1" applyBorder="1" applyAlignment="1">
      <alignment horizontal="center" vertical="center"/>
    </xf>
    <xf numFmtId="0" fontId="7" fillId="0" borderId="0" xfId="0" applyFont="1" applyBorder="1" applyAlignment="1">
      <alignment wrapText="1"/>
    </xf>
    <xf numFmtId="0" fontId="7" fillId="0" borderId="0" xfId="0" applyFont="1" applyBorder="1" applyAlignment="1">
      <alignment horizontal="left" vertical="top" wrapText="1"/>
    </xf>
    <xf numFmtId="0" fontId="7" fillId="4" borderId="20" xfId="0" applyFont="1" applyFill="1" applyBorder="1" applyAlignment="1">
      <alignment horizontal="center" vertical="top" wrapText="1"/>
    </xf>
    <xf numFmtId="0" fontId="7" fillId="4" borderId="21" xfId="0" applyFont="1" applyFill="1" applyBorder="1" applyAlignment="1">
      <alignment horizontal="center" vertical="top" wrapText="1"/>
    </xf>
    <xf numFmtId="0" fontId="14" fillId="4" borderId="3" xfId="0" applyFont="1" applyFill="1" applyBorder="1" applyAlignment="1">
      <alignment horizontal="center" vertical="center" wrapText="1"/>
    </xf>
    <xf numFmtId="0" fontId="14" fillId="4" borderId="0"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4" fillId="4" borderId="12" xfId="0" applyFont="1" applyFill="1" applyBorder="1" applyAlignment="1">
      <alignment horizontal="center" vertical="center"/>
    </xf>
    <xf numFmtId="0" fontId="14" fillId="4" borderId="11" xfId="0" applyFont="1" applyFill="1" applyBorder="1" applyAlignment="1">
      <alignment horizontal="center" vertical="center"/>
    </xf>
    <xf numFmtId="0" fontId="14" fillId="4" borderId="5" xfId="0" applyFont="1" applyFill="1" applyBorder="1" applyAlignment="1">
      <alignment horizontal="center" vertical="center"/>
    </xf>
    <xf numFmtId="0" fontId="6" fillId="0" borderId="11" xfId="0" applyFont="1" applyBorder="1" applyAlignment="1">
      <alignment horizontal="right"/>
    </xf>
    <xf numFmtId="0" fontId="7" fillId="0" borderId="8" xfId="0" applyFont="1" applyBorder="1" applyAlignment="1">
      <alignment horizontal="left" wrapText="1"/>
    </xf>
    <xf numFmtId="49" fontId="7" fillId="0" borderId="0" xfId="12" applyNumberFormat="1" applyFont="1" applyBorder="1" applyAlignment="1">
      <alignment vertical="top" wrapText="1"/>
    </xf>
    <xf numFmtId="0" fontId="7" fillId="0" borderId="0" xfId="0" applyFont="1" applyBorder="1" applyAlignment="1">
      <alignment horizontal="left" vertical="top"/>
    </xf>
    <xf numFmtId="0" fontId="10" fillId="0" borderId="8" xfId="0" applyFont="1" applyBorder="1" applyAlignment="1">
      <alignment horizontal="left" wrapText="1"/>
    </xf>
    <xf numFmtId="0" fontId="9" fillId="0" borderId="0" xfId="0" quotePrefix="1" applyFont="1" applyBorder="1" applyAlignment="1">
      <alignment horizontal="left" vertical="top"/>
    </xf>
    <xf numFmtId="0" fontId="7" fillId="4" borderId="6" xfId="0" applyFont="1" applyFill="1" applyBorder="1" applyAlignment="1">
      <alignment horizontal="center" vertical="center"/>
    </xf>
    <xf numFmtId="0" fontId="10" fillId="4" borderId="9"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6"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0" xfId="0" applyFont="1" applyFill="1" applyBorder="1" applyAlignment="1">
      <alignment horizontal="center" vertical="center"/>
    </xf>
    <xf numFmtId="0" fontId="10" fillId="4" borderId="1" xfId="0" applyFont="1" applyFill="1" applyBorder="1" applyAlignment="1">
      <alignment horizontal="center" vertical="center"/>
    </xf>
    <xf numFmtId="0" fontId="8" fillId="4" borderId="13" xfId="0" applyFont="1" applyFill="1" applyBorder="1" applyAlignment="1">
      <alignment horizontal="center" vertical="top" wrapText="1"/>
    </xf>
    <xf numFmtId="0" fontId="8" fillId="4" borderId="14" xfId="0" applyFont="1" applyFill="1" applyBorder="1" applyAlignment="1">
      <alignment horizontal="center" vertical="top" wrapText="1"/>
    </xf>
    <xf numFmtId="0" fontId="8" fillId="4" borderId="20" xfId="0" applyFont="1" applyFill="1" applyBorder="1" applyAlignment="1">
      <alignment horizontal="center" vertical="top" wrapText="1"/>
    </xf>
    <xf numFmtId="0" fontId="8" fillId="4" borderId="21" xfId="0" applyFont="1" applyFill="1" applyBorder="1" applyAlignment="1">
      <alignment horizontal="center" vertical="top" wrapText="1"/>
    </xf>
    <xf numFmtId="0" fontId="8" fillId="4" borderId="4" xfId="0" applyFont="1" applyFill="1" applyBorder="1" applyAlignment="1">
      <alignment horizontal="center" vertical="top"/>
    </xf>
    <xf numFmtId="0" fontId="8" fillId="4" borderId="7" xfId="0" applyFont="1" applyFill="1" applyBorder="1" applyAlignment="1">
      <alignment horizontal="center" vertical="top"/>
    </xf>
    <xf numFmtId="0" fontId="13" fillId="4" borderId="3" xfId="0" applyFont="1" applyFill="1" applyBorder="1" applyAlignment="1">
      <alignment horizontal="center" vertical="center"/>
    </xf>
    <xf numFmtId="0" fontId="13" fillId="4" borderId="1" xfId="0" applyFont="1" applyFill="1" applyBorder="1" applyAlignment="1">
      <alignment horizontal="center" vertical="center"/>
    </xf>
  </cellXfs>
  <cellStyles count="17">
    <cellStyle name="Dezimal [0] 4 2" xfId="16" xr:uid="{00000000-0005-0000-0000-000000000000}"/>
    <cellStyle name="Hyperlink" xfId="1" builtinId="8"/>
    <cellStyle name="Normal" xfId="0" builtinId="0"/>
    <cellStyle name="Normal 2" xfId="2" xr:uid="{00000000-0005-0000-0000-000003000000}"/>
    <cellStyle name="Normal 2 2" xfId="12" xr:uid="{00000000-0005-0000-0000-000004000000}"/>
    <cellStyle name="Normal 3" xfId="6" xr:uid="{00000000-0005-0000-0000-000005000000}"/>
    <cellStyle name="Normal 4" xfId="7" xr:uid="{00000000-0005-0000-0000-000006000000}"/>
    <cellStyle name="Normal 5" xfId="9" xr:uid="{00000000-0005-0000-0000-000007000000}"/>
    <cellStyle name="Normal 6" xfId="10" xr:uid="{00000000-0005-0000-0000-000008000000}"/>
    <cellStyle name="Normal 7" xfId="11" xr:uid="{00000000-0005-0000-0000-000009000000}"/>
    <cellStyle name="Percent" xfId="8" builtinId="5"/>
    <cellStyle name="Prozent 2 2 2" xfId="14" xr:uid="{00000000-0005-0000-0000-00000B000000}"/>
    <cellStyle name="Prozent 3 2 2 2" xfId="13" xr:uid="{00000000-0005-0000-0000-00000C000000}"/>
    <cellStyle name="Prozent 4 2" xfId="15" xr:uid="{00000000-0005-0000-0000-00000D000000}"/>
    <cellStyle name="Standard_E00seit45" xfId="3" xr:uid="{00000000-0005-0000-0000-00000E000000}"/>
    <cellStyle name="Titre ligne" xfId="4" xr:uid="{00000000-0005-0000-0000-00000F000000}"/>
    <cellStyle name="Total intermediaire" xfId="5" xr:uid="{00000000-0005-0000-0000-000010000000}"/>
  </cellStyles>
  <dxfs count="3">
    <dxf>
      <font>
        <color rgb="FFFFFFFF"/>
      </font>
      <fill>
        <patternFill patternType="none">
          <bgColor auto="1"/>
        </patternFill>
      </fill>
      <border>
        <left/>
        <right/>
        <top/>
        <bottom/>
      </border>
    </dxf>
    <dxf>
      <font>
        <color rgb="FFFFFFFF"/>
      </font>
    </dxf>
    <dxf>
      <font>
        <color rgb="FFFFFFFF"/>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A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AF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00FFFF"/>
      <rgbColor rgb="00993300"/>
      <rgbColor rgb="00993366"/>
      <rgbColor rgb="00333399"/>
      <rgbColor rgb="00333333"/>
    </indexedColors>
    <mruColors>
      <color rgb="FFCC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appsso.eurostat.ec.europa.eu/nui/show.do?dataset=mar_pa_aa&amp;lang=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appsso.eurostat.ec.europa.eu/nui/show.do?dataset=avia_tf_aca&amp;lang=en"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appsso.eurostat.ec.europa.eu/nui/show.do?dataset=mar_pa_aa&amp;lang=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741"/>
  <dimension ref="B1:J60"/>
  <sheetViews>
    <sheetView tabSelected="1" topLeftCell="B1" workbookViewId="0">
      <selection activeCell="G28" sqref="G28"/>
    </sheetView>
  </sheetViews>
  <sheetFormatPr defaultRowHeight="12.75" x14ac:dyDescent="0.2"/>
  <cols>
    <col min="1" max="1" width="0.85546875" style="127" customWidth="1"/>
    <col min="2" max="2" width="8.140625" style="129" customWidth="1"/>
    <col min="3" max="3" width="1.42578125" style="130" customWidth="1"/>
    <col min="4" max="4" width="62.5703125" style="127" customWidth="1"/>
    <col min="5" max="5" width="20" style="127" customWidth="1"/>
    <col min="6" max="16384" width="9.140625" style="127"/>
  </cols>
  <sheetData>
    <row r="1" spans="2:10" ht="20.100000000000001" customHeight="1" x14ac:dyDescent="0.2">
      <c r="B1" s="1068" t="s">
        <v>230</v>
      </c>
      <c r="C1" s="1068"/>
      <c r="D1" s="1068"/>
      <c r="E1" s="1068"/>
    </row>
    <row r="2" spans="2:10" ht="20.100000000000001" customHeight="1" x14ac:dyDescent="0.2">
      <c r="B2" s="1070" t="s">
        <v>231</v>
      </c>
      <c r="C2" s="1070"/>
      <c r="D2" s="1070"/>
      <c r="E2" s="1070"/>
    </row>
    <row r="3" spans="2:10" ht="20.100000000000001" customHeight="1" x14ac:dyDescent="0.2">
      <c r="B3" s="1071" t="s">
        <v>274</v>
      </c>
      <c r="C3" s="1071"/>
      <c r="D3" s="1071"/>
      <c r="E3" s="1071"/>
    </row>
    <row r="4" spans="2:10" ht="20.100000000000001" customHeight="1" x14ac:dyDescent="0.2">
      <c r="B4" s="1072" t="s">
        <v>233</v>
      </c>
      <c r="C4" s="1072"/>
      <c r="D4" s="1072"/>
      <c r="E4" s="1072"/>
    </row>
    <row r="5" spans="2:10" ht="20.100000000000001" customHeight="1" x14ac:dyDescent="0.2">
      <c r="C5" s="128"/>
      <c r="D5" s="128"/>
      <c r="E5" s="128"/>
    </row>
    <row r="6" spans="2:10" ht="20.100000000000001" customHeight="1" x14ac:dyDescent="0.2"/>
    <row r="7" spans="2:10" ht="20.100000000000001" customHeight="1" x14ac:dyDescent="0.2">
      <c r="B7" s="1068" t="s">
        <v>275</v>
      </c>
      <c r="C7" s="1068"/>
      <c r="D7" s="1068"/>
      <c r="E7" s="1068"/>
    </row>
    <row r="8" spans="2:10" ht="20.100000000000001" customHeight="1" x14ac:dyDescent="0.2">
      <c r="B8" s="1067">
        <v>2023</v>
      </c>
      <c r="C8" s="1067"/>
      <c r="D8" s="1067"/>
      <c r="E8" s="1067"/>
    </row>
    <row r="9" spans="2:10" ht="20.100000000000001" customHeight="1" x14ac:dyDescent="0.2">
      <c r="B9" s="131"/>
      <c r="C9" s="131"/>
      <c r="D9" s="131"/>
      <c r="E9" s="131"/>
    </row>
    <row r="10" spans="2:10" ht="20.100000000000001" customHeight="1" x14ac:dyDescent="0.2">
      <c r="B10" s="1074" t="s">
        <v>248</v>
      </c>
      <c r="C10" s="1074"/>
      <c r="D10" s="1074"/>
      <c r="E10" s="1074"/>
    </row>
    <row r="11" spans="2:10" ht="20.100000000000001" customHeight="1" x14ac:dyDescent="0.2">
      <c r="B11" s="132"/>
      <c r="E11" s="132"/>
    </row>
    <row r="12" spans="2:10" ht="20.100000000000001" customHeight="1" x14ac:dyDescent="0.2">
      <c r="B12" s="1075" t="s">
        <v>264</v>
      </c>
      <c r="C12" s="1075"/>
      <c r="D12" s="1075"/>
      <c r="E12" s="1075"/>
    </row>
    <row r="13" spans="2:10" customFormat="1" ht="20.100000000000001" customHeight="1" x14ac:dyDescent="0.2">
      <c r="B13" s="1069" t="s">
        <v>400</v>
      </c>
      <c r="C13" s="1069"/>
      <c r="D13" s="1069"/>
      <c r="E13" s="1069"/>
      <c r="F13" s="133"/>
      <c r="G13" s="133"/>
      <c r="H13" s="133"/>
      <c r="I13" s="133"/>
      <c r="J13" s="133"/>
    </row>
    <row r="14" spans="2:10" customFormat="1" ht="20.100000000000001" customHeight="1" x14ac:dyDescent="0.2">
      <c r="B14" s="1073" t="s">
        <v>232</v>
      </c>
      <c r="C14" s="1073"/>
      <c r="D14" s="1073"/>
      <c r="E14" s="1073"/>
      <c r="F14" s="126"/>
      <c r="G14" s="126"/>
      <c r="H14" s="126"/>
      <c r="I14" s="126"/>
      <c r="J14" s="126"/>
    </row>
    <row r="15" spans="2:10" ht="20.100000000000001" customHeight="1" x14ac:dyDescent="0.2">
      <c r="B15" s="132"/>
      <c r="D15"/>
      <c r="E15" s="132"/>
    </row>
    <row r="16" spans="2:10" ht="20.100000000000001" customHeight="1" x14ac:dyDescent="0.2">
      <c r="B16" s="132"/>
      <c r="E16" s="132"/>
    </row>
    <row r="17" spans="2:6" customFormat="1" ht="15" customHeight="1" x14ac:dyDescent="0.2">
      <c r="B17" s="134" t="s">
        <v>249</v>
      </c>
      <c r="C17" s="135"/>
      <c r="D17" s="222" t="s">
        <v>401</v>
      </c>
      <c r="E17" s="137"/>
    </row>
    <row r="18" spans="2:6" customFormat="1" ht="15" customHeight="1" x14ac:dyDescent="0.2">
      <c r="B18" s="134" t="s">
        <v>250</v>
      </c>
      <c r="C18" s="135"/>
      <c r="D18" s="222" t="s">
        <v>402</v>
      </c>
      <c r="E18" s="137"/>
    </row>
    <row r="19" spans="2:6" customFormat="1" ht="15" customHeight="1" x14ac:dyDescent="0.2">
      <c r="B19" s="134" t="s">
        <v>250</v>
      </c>
      <c r="C19" s="135"/>
      <c r="D19" s="222" t="s">
        <v>403</v>
      </c>
      <c r="E19" s="137"/>
    </row>
    <row r="20" spans="2:6" customFormat="1" ht="15" customHeight="1" x14ac:dyDescent="0.2">
      <c r="B20" s="134" t="s">
        <v>251</v>
      </c>
      <c r="C20" s="135"/>
      <c r="D20" s="222" t="s">
        <v>404</v>
      </c>
      <c r="E20" s="137"/>
    </row>
    <row r="21" spans="2:6" customFormat="1" ht="15" customHeight="1" x14ac:dyDescent="0.2">
      <c r="B21" s="134" t="s">
        <v>252</v>
      </c>
      <c r="C21" s="135"/>
      <c r="D21" s="1065" t="s">
        <v>405</v>
      </c>
      <c r="E21" s="1066"/>
      <c r="F21" s="136"/>
    </row>
    <row r="22" spans="2:6" ht="15" customHeight="1" x14ac:dyDescent="0.2">
      <c r="B22" s="134" t="s">
        <v>253</v>
      </c>
      <c r="C22" s="135"/>
      <c r="D22" s="222" t="s">
        <v>406</v>
      </c>
      <c r="E22" s="137"/>
    </row>
    <row r="23" spans="2:6" customFormat="1" ht="15" customHeight="1" x14ac:dyDescent="0.2">
      <c r="B23" s="134" t="s">
        <v>254</v>
      </c>
      <c r="C23" s="135"/>
      <c r="D23" s="222" t="s">
        <v>407</v>
      </c>
      <c r="E23" s="114"/>
    </row>
    <row r="24" spans="2:6" ht="15" customHeight="1" x14ac:dyDescent="0.2">
      <c r="B24" s="134" t="s">
        <v>255</v>
      </c>
      <c r="C24" s="135"/>
      <c r="D24" s="222" t="s">
        <v>408</v>
      </c>
      <c r="E24" s="137"/>
    </row>
    <row r="25" spans="2:6" ht="15" customHeight="1" x14ac:dyDescent="0.2">
      <c r="B25" s="134" t="s">
        <v>256</v>
      </c>
      <c r="C25" s="138"/>
      <c r="D25" s="222" t="s">
        <v>409</v>
      </c>
      <c r="E25" s="137"/>
    </row>
    <row r="26" spans="2:6" ht="15" customHeight="1" x14ac:dyDescent="0.2">
      <c r="B26" s="134" t="s">
        <v>257</v>
      </c>
      <c r="C26" s="138"/>
      <c r="D26" s="222" t="s">
        <v>410</v>
      </c>
      <c r="E26" s="137"/>
    </row>
    <row r="27" spans="2:6" ht="15" customHeight="1" x14ac:dyDescent="0.2">
      <c r="B27" s="134" t="s">
        <v>258</v>
      </c>
      <c r="C27" s="139"/>
      <c r="D27" s="222" t="s">
        <v>411</v>
      </c>
    </row>
    <row r="28" spans="2:6" ht="15" customHeight="1" x14ac:dyDescent="0.2">
      <c r="B28" s="134" t="s">
        <v>259</v>
      </c>
      <c r="C28" s="139"/>
      <c r="D28" s="222" t="s">
        <v>412</v>
      </c>
    </row>
    <row r="29" spans="2:6" ht="15" customHeight="1" x14ac:dyDescent="0.2">
      <c r="B29" s="134" t="s">
        <v>260</v>
      </c>
      <c r="C29" s="139"/>
      <c r="D29" s="222" t="s">
        <v>413</v>
      </c>
    </row>
    <row r="30" spans="2:6" ht="15" customHeight="1" x14ac:dyDescent="0.2">
      <c r="B30" s="223" t="s">
        <v>261</v>
      </c>
      <c r="C30" s="139"/>
      <c r="D30" s="222" t="s">
        <v>394</v>
      </c>
      <c r="E30" s="114"/>
    </row>
    <row r="31" spans="2:6" ht="15" customHeight="1" x14ac:dyDescent="0.2">
      <c r="B31" s="223" t="s">
        <v>0</v>
      </c>
      <c r="C31" s="139"/>
      <c r="D31" s="222" t="s">
        <v>395</v>
      </c>
      <c r="E31" s="114"/>
    </row>
    <row r="32" spans="2:6" ht="15" customHeight="1" x14ac:dyDescent="0.2">
      <c r="B32" s="134" t="s">
        <v>262</v>
      </c>
      <c r="C32" s="139"/>
      <c r="D32" s="222" t="s">
        <v>414</v>
      </c>
      <c r="E32" s="137"/>
    </row>
    <row r="33" spans="2:5" ht="15" customHeight="1" x14ac:dyDescent="0.2">
      <c r="B33" s="223" t="s">
        <v>263</v>
      </c>
      <c r="C33" s="139"/>
      <c r="D33" s="222" t="s">
        <v>334</v>
      </c>
      <c r="E33" s="137"/>
    </row>
    <row r="34" spans="2:5" ht="15" customHeight="1" x14ac:dyDescent="0.2">
      <c r="B34" s="223" t="s">
        <v>335</v>
      </c>
      <c r="C34" s="139"/>
      <c r="D34" s="222" t="s">
        <v>415</v>
      </c>
      <c r="E34" s="137"/>
    </row>
    <row r="35" spans="2:5" ht="12.75" customHeight="1" x14ac:dyDescent="0.2">
      <c r="B35" s="223" t="s">
        <v>336</v>
      </c>
      <c r="C35" s="139"/>
      <c r="D35" s="222" t="s">
        <v>416</v>
      </c>
      <c r="E35" s="137"/>
    </row>
    <row r="36" spans="2:5" ht="15" customHeight="1" x14ac:dyDescent="0.2">
      <c r="B36" s="223" t="s">
        <v>300</v>
      </c>
      <c r="C36" s="139"/>
      <c r="D36" s="222" t="s">
        <v>417</v>
      </c>
      <c r="E36" s="137"/>
    </row>
    <row r="37" spans="2:5" x14ac:dyDescent="0.2">
      <c r="B37" s="132"/>
      <c r="E37" s="132"/>
    </row>
    <row r="38" spans="2:5" x14ac:dyDescent="0.2">
      <c r="B38" s="132"/>
      <c r="E38" s="132"/>
    </row>
    <row r="40" spans="2:5" ht="13.5" x14ac:dyDescent="0.25">
      <c r="B40" s="140"/>
      <c r="E40"/>
    </row>
    <row r="41" spans="2:5" x14ac:dyDescent="0.2">
      <c r="B41" s="132"/>
      <c r="E41" s="132"/>
    </row>
    <row r="42" spans="2:5" x14ac:dyDescent="0.2">
      <c r="B42" s="132"/>
      <c r="E42" s="132"/>
    </row>
    <row r="43" spans="2:5" x14ac:dyDescent="0.2">
      <c r="B43" s="132"/>
      <c r="E43" s="132"/>
    </row>
    <row r="50" spans="3:5" x14ac:dyDescent="0.2">
      <c r="C50" s="141"/>
      <c r="D50" s="142"/>
    </row>
    <row r="57" spans="3:5" customFormat="1" x14ac:dyDescent="0.2"/>
    <row r="60" spans="3:5" x14ac:dyDescent="0.2">
      <c r="C60"/>
      <c r="D60"/>
      <c r="E60"/>
    </row>
  </sheetData>
  <mergeCells count="11">
    <mergeCell ref="D21:E21"/>
    <mergeCell ref="B8:E8"/>
    <mergeCell ref="B7:E7"/>
    <mergeCell ref="B13:E13"/>
    <mergeCell ref="B1:E1"/>
    <mergeCell ref="B2:E2"/>
    <mergeCell ref="B3:E3"/>
    <mergeCell ref="B4:E4"/>
    <mergeCell ref="B14:E14"/>
    <mergeCell ref="B10:E10"/>
    <mergeCell ref="B12:E12"/>
  </mergeCells>
  <phoneticPr fontId="6" type="noConversion"/>
  <printOptions horizontalCentered="1"/>
  <pageMargins left="0.6692913385826772" right="0.27559055118110237" top="0.51181102362204722" bottom="0.27559055118110237" header="0" footer="0"/>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53"/>
  <dimension ref="A1:AB74"/>
  <sheetViews>
    <sheetView zoomScale="85" zoomScaleNormal="85" workbookViewId="0">
      <pane xSplit="5" topLeftCell="F1" activePane="topRight" state="frozen"/>
      <selection pane="topRight" activeCell="AF10" sqref="AF10"/>
    </sheetView>
  </sheetViews>
  <sheetFormatPr defaultRowHeight="12.75" x14ac:dyDescent="0.2"/>
  <cols>
    <col min="1" max="1" width="3.5703125" style="383" customWidth="1"/>
    <col min="2" max="2" width="3.7109375" customWidth="1"/>
    <col min="3" max="3" width="0.85546875" customWidth="1"/>
    <col min="4" max="4" width="20.7109375" customWidth="1"/>
    <col min="5" max="5" width="5" style="676" customWidth="1"/>
    <col min="6" max="6" width="7.28515625" style="1" customWidth="1"/>
    <col min="7" max="15" width="7.28515625" customWidth="1"/>
    <col min="16" max="16" width="7.28515625" style="173" customWidth="1"/>
    <col min="17" max="17" width="7.28515625" customWidth="1"/>
    <col min="18" max="18" width="7.28515625" style="206" customWidth="1"/>
    <col min="19" max="19" width="7.28515625" style="289" customWidth="1"/>
    <col min="20" max="20" width="7.28515625" style="416" customWidth="1"/>
    <col min="21" max="21" width="7.28515625" style="344" customWidth="1"/>
    <col min="22" max="22" width="7.28515625" style="436" customWidth="1"/>
    <col min="23" max="23" width="7.28515625" style="487" customWidth="1"/>
    <col min="24" max="24" width="7.140625" style="661" customWidth="1"/>
    <col min="25" max="25" width="6.42578125" style="750" customWidth="1"/>
    <col min="26" max="26" width="6.42578125" style="805" customWidth="1"/>
    <col min="27" max="27" width="6.42578125" style="891" customWidth="1"/>
    <col min="28" max="28" width="7.28515625" style="193" customWidth="1"/>
  </cols>
  <sheetData>
    <row r="1" spans="2:28" ht="14.25" customHeight="1" x14ac:dyDescent="0.2">
      <c r="B1" s="1"/>
      <c r="C1" s="20"/>
      <c r="D1" s="20"/>
      <c r="E1" s="662"/>
      <c r="J1" s="11"/>
      <c r="K1" s="11"/>
      <c r="L1" s="11"/>
      <c r="M1" s="11"/>
      <c r="N1" s="11"/>
      <c r="O1" s="11"/>
      <c r="P1" s="171"/>
      <c r="Q1" s="11"/>
      <c r="R1" s="204"/>
      <c r="S1" s="286"/>
      <c r="T1" s="414"/>
      <c r="U1" s="340"/>
      <c r="V1" s="432"/>
      <c r="W1" s="481"/>
      <c r="X1" s="658"/>
      <c r="Y1" s="746"/>
      <c r="Z1" s="802"/>
      <c r="AA1" s="874"/>
      <c r="AB1" s="10" t="s">
        <v>256</v>
      </c>
    </row>
    <row r="2" spans="2:28" ht="30" customHeight="1" x14ac:dyDescent="0.2">
      <c r="B2" s="1"/>
      <c r="C2" s="1118" t="s">
        <v>391</v>
      </c>
      <c r="D2" s="1118"/>
      <c r="E2" s="1118"/>
      <c r="F2" s="1118"/>
      <c r="G2" s="1118"/>
      <c r="H2" s="1118"/>
      <c r="I2" s="1118"/>
      <c r="J2" s="1118"/>
      <c r="K2" s="1118"/>
      <c r="L2" s="1118"/>
      <c r="M2" s="1118"/>
      <c r="N2" s="1118"/>
      <c r="O2" s="1118"/>
      <c r="P2" s="1118"/>
      <c r="Q2" s="1118"/>
      <c r="R2" s="1118"/>
      <c r="S2" s="1118"/>
      <c r="T2" s="1118"/>
      <c r="U2" s="1118"/>
      <c r="V2" s="1118"/>
      <c r="W2" s="1118"/>
      <c r="X2" s="659"/>
      <c r="Y2" s="747"/>
      <c r="Z2" s="803"/>
      <c r="AA2" s="880"/>
    </row>
    <row r="3" spans="2:28" ht="15" customHeight="1" x14ac:dyDescent="0.2">
      <c r="B3" s="1"/>
      <c r="C3" s="1131" t="s">
        <v>392</v>
      </c>
      <c r="D3" s="1131"/>
      <c r="E3" s="1131"/>
      <c r="F3" s="1131"/>
      <c r="G3" s="1131"/>
      <c r="H3" s="1131"/>
      <c r="I3" s="1131"/>
      <c r="J3" s="1131"/>
      <c r="K3" s="1131"/>
      <c r="L3" s="1131"/>
      <c r="M3" s="1131"/>
      <c r="N3" s="1131"/>
      <c r="O3" s="1131"/>
      <c r="P3" s="1131"/>
      <c r="Q3" s="1131"/>
      <c r="R3" s="1131"/>
      <c r="S3" s="1131"/>
      <c r="T3" s="1131"/>
      <c r="U3" s="1131"/>
      <c r="V3" s="1131"/>
      <c r="W3" s="1131"/>
      <c r="X3" s="660"/>
      <c r="Y3" s="748"/>
      <c r="Z3" s="804"/>
      <c r="AA3" s="890"/>
    </row>
    <row r="4" spans="2:28" ht="12" customHeight="1" x14ac:dyDescent="0.2">
      <c r="C4" s="1132">
        <v>1000</v>
      </c>
      <c r="D4" s="1132"/>
      <c r="E4" s="1132"/>
      <c r="F4" s="1132"/>
      <c r="G4" s="1132"/>
      <c r="H4" s="1132"/>
      <c r="I4" s="1132"/>
      <c r="J4" s="1132"/>
      <c r="K4" s="1132"/>
      <c r="L4" s="1132"/>
      <c r="M4" s="1132"/>
      <c r="N4" s="1132"/>
      <c r="O4" s="1132"/>
      <c r="P4" s="1132"/>
      <c r="Q4" s="1132"/>
      <c r="R4" s="1132"/>
      <c r="S4" s="1132"/>
      <c r="T4" s="1132"/>
      <c r="U4" s="1132"/>
      <c r="V4" s="1132"/>
      <c r="W4" s="1132"/>
      <c r="X4" s="1132"/>
      <c r="Y4" s="1132"/>
      <c r="Z4" s="1132"/>
      <c r="AA4" s="1132"/>
    </row>
    <row r="5" spans="2:28" s="12" customFormat="1" ht="12" customHeight="1" x14ac:dyDescent="0.2">
      <c r="B5" s="1134" t="s">
        <v>173</v>
      </c>
      <c r="C5" s="49"/>
      <c r="D5" s="1135" t="s">
        <v>46</v>
      </c>
      <c r="E5" s="1136"/>
      <c r="F5" s="288"/>
      <c r="G5" s="62"/>
      <c r="H5" s="62"/>
      <c r="I5" s="62"/>
      <c r="J5" s="56"/>
      <c r="K5" s="56"/>
      <c r="L5" s="56"/>
      <c r="M5" s="56"/>
      <c r="N5" s="56"/>
      <c r="O5" s="56"/>
      <c r="P5" s="56"/>
      <c r="Q5" s="56"/>
      <c r="R5" s="56"/>
      <c r="S5" s="56"/>
      <c r="T5" s="56"/>
      <c r="U5" s="56"/>
      <c r="V5" s="56"/>
      <c r="W5" s="56"/>
      <c r="X5" s="56"/>
      <c r="Y5" s="56"/>
      <c r="Z5" s="56"/>
      <c r="AA5" s="56"/>
      <c r="AB5" s="60" t="s">
        <v>213</v>
      </c>
    </row>
    <row r="6" spans="2:28" s="12" customFormat="1" ht="9.9499999999999993" customHeight="1" x14ac:dyDescent="0.2">
      <c r="B6" s="1134"/>
      <c r="C6" s="50"/>
      <c r="D6" s="1137"/>
      <c r="E6" s="1138"/>
      <c r="F6" s="65">
        <v>2000</v>
      </c>
      <c r="G6" s="65">
        <v>2001</v>
      </c>
      <c r="H6" s="65">
        <v>2002</v>
      </c>
      <c r="I6" s="65">
        <v>2003</v>
      </c>
      <c r="J6" s="54">
        <v>2004</v>
      </c>
      <c r="K6" s="54">
        <v>2005</v>
      </c>
      <c r="L6" s="54">
        <v>2006</v>
      </c>
      <c r="M6" s="54">
        <v>2007</v>
      </c>
      <c r="N6" s="54">
        <v>2008</v>
      </c>
      <c r="O6" s="54">
        <v>2009</v>
      </c>
      <c r="P6" s="172">
        <v>2010</v>
      </c>
      <c r="Q6" s="54">
        <v>2011</v>
      </c>
      <c r="R6" s="205">
        <v>2012</v>
      </c>
      <c r="S6" s="287">
        <v>2013</v>
      </c>
      <c r="T6" s="415">
        <v>2014</v>
      </c>
      <c r="U6" s="342">
        <v>2015</v>
      </c>
      <c r="V6" s="434">
        <v>2016</v>
      </c>
      <c r="W6" s="483">
        <v>2017</v>
      </c>
      <c r="X6" s="663">
        <v>2018</v>
      </c>
      <c r="Y6" s="754">
        <v>2019</v>
      </c>
      <c r="Z6" s="807">
        <v>2020</v>
      </c>
      <c r="AA6" s="899">
        <v>2021</v>
      </c>
      <c r="AB6" s="57" t="s">
        <v>633</v>
      </c>
    </row>
    <row r="7" spans="2:28" s="12" customFormat="1" ht="15.75" customHeight="1" x14ac:dyDescent="0.2">
      <c r="B7" s="1134"/>
      <c r="C7" s="51"/>
      <c r="D7" s="63"/>
      <c r="E7" s="63"/>
      <c r="F7" s="63"/>
      <c r="G7" s="63"/>
      <c r="H7" s="63"/>
      <c r="I7" s="63"/>
      <c r="J7" s="58"/>
      <c r="K7" s="58"/>
      <c r="L7" s="58"/>
      <c r="M7" s="58"/>
      <c r="N7" s="58"/>
      <c r="O7" s="58"/>
      <c r="P7" s="58"/>
      <c r="Q7" s="58"/>
      <c r="R7" s="58"/>
      <c r="S7" s="58"/>
      <c r="T7" s="58"/>
      <c r="U7" s="58"/>
      <c r="V7" s="58"/>
      <c r="W7" s="58"/>
      <c r="X7" s="58"/>
      <c r="Y7" s="58"/>
      <c r="Z7" s="58"/>
      <c r="AA7" s="58"/>
      <c r="AB7" s="566" t="s">
        <v>120</v>
      </c>
    </row>
    <row r="8" spans="2:28" s="7" customFormat="1" ht="12.6" customHeight="1" x14ac:dyDescent="0.2">
      <c r="B8" s="146">
        <v>1</v>
      </c>
      <c r="C8" s="68"/>
      <c r="D8" s="70" t="s">
        <v>49</v>
      </c>
      <c r="E8" s="672" t="s">
        <v>111</v>
      </c>
      <c r="F8" s="267">
        <v>11898</v>
      </c>
      <c r="G8" s="267">
        <v>11612</v>
      </c>
      <c r="H8" s="267">
        <v>10256</v>
      </c>
      <c r="I8" s="267">
        <v>9833</v>
      </c>
      <c r="J8" s="267">
        <v>10128</v>
      </c>
      <c r="K8" s="267">
        <v>9802</v>
      </c>
      <c r="L8" s="267">
        <v>10834</v>
      </c>
      <c r="M8" s="267">
        <v>10603</v>
      </c>
      <c r="N8" s="267">
        <v>10380</v>
      </c>
      <c r="O8" s="267">
        <v>10441</v>
      </c>
      <c r="P8" s="267">
        <v>10765</v>
      </c>
      <c r="Q8" s="267">
        <v>8060</v>
      </c>
      <c r="R8" s="267">
        <v>8126</v>
      </c>
      <c r="S8" s="267">
        <v>7256</v>
      </c>
      <c r="T8" s="267">
        <v>6988</v>
      </c>
      <c r="U8" s="267">
        <v>7021</v>
      </c>
      <c r="V8" s="267">
        <v>6139</v>
      </c>
      <c r="W8" s="267">
        <v>9250</v>
      </c>
      <c r="X8" s="400">
        <v>10604</v>
      </c>
      <c r="Y8" s="400">
        <v>11669</v>
      </c>
      <c r="Z8" s="400">
        <v>7737</v>
      </c>
      <c r="AA8" s="401">
        <v>8251</v>
      </c>
      <c r="AB8" s="613">
        <f>AA8/Z8*100-100</f>
        <v>6.6434018353366895</v>
      </c>
    </row>
    <row r="9" spans="2:28" s="7" customFormat="1" ht="12.6" customHeight="1" x14ac:dyDescent="0.2">
      <c r="B9" s="147">
        <v>2</v>
      </c>
      <c r="C9" s="186"/>
      <c r="D9" s="184" t="s">
        <v>303</v>
      </c>
      <c r="E9" s="673" t="s">
        <v>111</v>
      </c>
      <c r="F9" s="270">
        <v>11839</v>
      </c>
      <c r="G9" s="270">
        <v>11511</v>
      </c>
      <c r="H9" s="270">
        <v>10137</v>
      </c>
      <c r="I9" s="270">
        <v>9698</v>
      </c>
      <c r="J9" s="270">
        <v>9992</v>
      </c>
      <c r="K9" s="270">
        <v>9645</v>
      </c>
      <c r="L9" s="270">
        <v>10669</v>
      </c>
      <c r="M9" s="270">
        <v>10336</v>
      </c>
      <c r="N9" s="270">
        <v>10116</v>
      </c>
      <c r="O9" s="270">
        <v>11047</v>
      </c>
      <c r="P9" s="270">
        <v>9891</v>
      </c>
      <c r="Q9" s="270">
        <v>7704</v>
      </c>
      <c r="R9" s="270">
        <v>7760</v>
      </c>
      <c r="S9" s="270">
        <v>6758</v>
      </c>
      <c r="T9" s="270">
        <v>6187</v>
      </c>
      <c r="U9" s="270">
        <v>6053</v>
      </c>
      <c r="V9" s="270">
        <v>5569</v>
      </c>
      <c r="W9" s="270">
        <v>8602</v>
      </c>
      <c r="X9" s="270">
        <v>9335</v>
      </c>
      <c r="Y9" s="270">
        <v>10884</v>
      </c>
      <c r="Z9" s="270">
        <v>7528</v>
      </c>
      <c r="AA9" s="271">
        <v>8109</v>
      </c>
      <c r="AB9" s="718">
        <f t="shared" ref="AB9:AB57" si="0">AA9/Z9*100-100</f>
        <v>7.7178533475026541</v>
      </c>
    </row>
    <row r="10" spans="2:28" s="7" customFormat="1" ht="12.6" customHeight="1" x14ac:dyDescent="0.2">
      <c r="B10" s="146">
        <v>3</v>
      </c>
      <c r="C10" s="69"/>
      <c r="D10" s="116" t="s">
        <v>302</v>
      </c>
      <c r="E10" s="674" t="s">
        <v>103</v>
      </c>
      <c r="F10" s="267">
        <v>7289</v>
      </c>
      <c r="G10" s="267">
        <v>8237</v>
      </c>
      <c r="H10" s="267">
        <v>8639</v>
      </c>
      <c r="I10" s="267">
        <v>9315</v>
      </c>
      <c r="J10" s="267">
        <v>10713</v>
      </c>
      <c r="K10" s="267">
        <v>11076</v>
      </c>
      <c r="L10" s="267">
        <v>11539</v>
      </c>
      <c r="M10" s="267">
        <v>11063</v>
      </c>
      <c r="N10" s="267">
        <v>11079</v>
      </c>
      <c r="O10" s="267">
        <v>10444</v>
      </c>
      <c r="P10" s="267">
        <v>10944</v>
      </c>
      <c r="Q10" s="267">
        <v>9182</v>
      </c>
      <c r="R10" s="267">
        <v>7918</v>
      </c>
      <c r="S10" s="267">
        <v>7704</v>
      </c>
      <c r="T10" s="267">
        <v>8136</v>
      </c>
      <c r="U10" s="267">
        <v>8169</v>
      </c>
      <c r="V10" s="267">
        <v>8038</v>
      </c>
      <c r="W10" s="267">
        <v>8591</v>
      </c>
      <c r="X10" s="267">
        <v>8927</v>
      </c>
      <c r="Y10" s="267">
        <v>9331</v>
      </c>
      <c r="Z10" s="267">
        <v>4370</v>
      </c>
      <c r="AA10" s="268">
        <v>5972</v>
      </c>
      <c r="AB10" s="617">
        <f t="shared" si="0"/>
        <v>36.659038901601832</v>
      </c>
    </row>
    <row r="11" spans="2:28" s="7" customFormat="1" ht="12.6" customHeight="1" x14ac:dyDescent="0.2">
      <c r="B11" s="147">
        <v>4</v>
      </c>
      <c r="C11" s="186"/>
      <c r="D11" s="184" t="s">
        <v>13</v>
      </c>
      <c r="E11" s="673" t="s">
        <v>103</v>
      </c>
      <c r="F11" s="270"/>
      <c r="G11" s="270">
        <v>3624</v>
      </c>
      <c r="H11" s="270">
        <v>12133</v>
      </c>
      <c r="I11" s="270">
        <v>12541</v>
      </c>
      <c r="J11" s="270">
        <v>11568</v>
      </c>
      <c r="K11" s="270">
        <v>11663</v>
      </c>
      <c r="L11" s="270">
        <v>11981</v>
      </c>
      <c r="M11" s="270">
        <v>13066</v>
      </c>
      <c r="N11" s="270">
        <v>13063</v>
      </c>
      <c r="O11" s="270">
        <v>12821</v>
      </c>
      <c r="P11" s="270">
        <v>12705</v>
      </c>
      <c r="Q11" s="270">
        <v>11662</v>
      </c>
      <c r="R11" s="270">
        <v>11430</v>
      </c>
      <c r="S11" s="270">
        <v>10724</v>
      </c>
      <c r="T11" s="270">
        <v>7016</v>
      </c>
      <c r="U11" s="270">
        <v>7050</v>
      </c>
      <c r="V11" s="270">
        <v>6639</v>
      </c>
      <c r="W11" s="270">
        <v>6881</v>
      </c>
      <c r="X11" s="270">
        <v>6746</v>
      </c>
      <c r="Y11" s="270">
        <v>6939</v>
      </c>
      <c r="Z11" s="270">
        <v>5730</v>
      </c>
      <c r="AA11" s="271">
        <v>5964</v>
      </c>
      <c r="AB11" s="718">
        <f t="shared" si="0"/>
        <v>4.0837696335078562</v>
      </c>
    </row>
    <row r="12" spans="2:28" s="7" customFormat="1" ht="12.6" customHeight="1" x14ac:dyDescent="0.2">
      <c r="B12" s="146">
        <v>5</v>
      </c>
      <c r="C12" s="69"/>
      <c r="D12" s="116" t="s">
        <v>14</v>
      </c>
      <c r="E12" s="674" t="s">
        <v>103</v>
      </c>
      <c r="F12" s="267"/>
      <c r="G12" s="267">
        <v>3624</v>
      </c>
      <c r="H12" s="267">
        <v>12133</v>
      </c>
      <c r="I12" s="267">
        <v>12541</v>
      </c>
      <c r="J12" s="267">
        <v>11568</v>
      </c>
      <c r="K12" s="267">
        <v>11663</v>
      </c>
      <c r="L12" s="267">
        <v>11981</v>
      </c>
      <c r="M12" s="267">
        <v>13066</v>
      </c>
      <c r="N12" s="267">
        <v>13063</v>
      </c>
      <c r="O12" s="267">
        <v>12821</v>
      </c>
      <c r="P12" s="267">
        <v>12705</v>
      </c>
      <c r="Q12" s="267">
        <v>11662</v>
      </c>
      <c r="R12" s="267">
        <v>11430</v>
      </c>
      <c r="S12" s="267">
        <v>10724</v>
      </c>
      <c r="T12" s="267">
        <v>7016</v>
      </c>
      <c r="U12" s="267">
        <v>7050</v>
      </c>
      <c r="V12" s="267">
        <v>6639</v>
      </c>
      <c r="W12" s="267">
        <v>6881</v>
      </c>
      <c r="X12" s="267">
        <v>6746</v>
      </c>
      <c r="Y12" s="267">
        <v>6939</v>
      </c>
      <c r="Z12" s="267">
        <v>5730</v>
      </c>
      <c r="AA12" s="268">
        <v>5964</v>
      </c>
      <c r="AB12" s="617">
        <f t="shared" si="0"/>
        <v>4.0837696335078562</v>
      </c>
    </row>
    <row r="13" spans="2:28" s="7" customFormat="1" ht="12.6" customHeight="1" x14ac:dyDescent="0.2">
      <c r="B13" s="147">
        <v>6</v>
      </c>
      <c r="C13" s="186"/>
      <c r="D13" s="184" t="s">
        <v>234</v>
      </c>
      <c r="E13" s="673" t="s">
        <v>108</v>
      </c>
      <c r="F13" s="270">
        <v>1864</v>
      </c>
      <c r="G13" s="270">
        <v>1873</v>
      </c>
      <c r="H13" s="270">
        <v>2286</v>
      </c>
      <c r="I13" s="270">
        <v>2537</v>
      </c>
      <c r="J13" s="270">
        <v>3742</v>
      </c>
      <c r="K13" s="270">
        <v>4817</v>
      </c>
      <c r="L13" s="270">
        <v>4942</v>
      </c>
      <c r="M13" s="270">
        <v>5275</v>
      </c>
      <c r="N13" s="270">
        <v>5048</v>
      </c>
      <c r="O13" s="270">
        <v>4692</v>
      </c>
      <c r="P13" s="270">
        <v>4496</v>
      </c>
      <c r="Q13" s="270">
        <v>4610</v>
      </c>
      <c r="R13" s="270">
        <v>4292</v>
      </c>
      <c r="S13" s="270">
        <v>4756</v>
      </c>
      <c r="T13" s="270">
        <v>4939</v>
      </c>
      <c r="U13" s="270">
        <v>5496</v>
      </c>
      <c r="V13" s="270">
        <v>6431</v>
      </c>
      <c r="W13" s="270">
        <v>6862</v>
      </c>
      <c r="X13" s="270">
        <v>7330</v>
      </c>
      <c r="Y13" s="270">
        <v>7848</v>
      </c>
      <c r="Z13" s="270">
        <v>3726</v>
      </c>
      <c r="AA13" s="271">
        <v>5816</v>
      </c>
      <c r="AB13" s="718">
        <f t="shared" si="0"/>
        <v>56.092324208266234</v>
      </c>
    </row>
    <row r="14" spans="2:28" s="7" customFormat="1" ht="12.6" customHeight="1" x14ac:dyDescent="0.2">
      <c r="B14" s="146">
        <v>7</v>
      </c>
      <c r="C14" s="69"/>
      <c r="D14" s="116" t="s">
        <v>50</v>
      </c>
      <c r="E14" s="674" t="s">
        <v>111</v>
      </c>
      <c r="F14" s="267">
        <v>6748</v>
      </c>
      <c r="G14" s="267">
        <v>7056</v>
      </c>
      <c r="H14" s="267">
        <v>6708</v>
      </c>
      <c r="I14" s="267">
        <v>6811</v>
      </c>
      <c r="J14" s="267">
        <v>6801</v>
      </c>
      <c r="K14" s="267">
        <v>6084</v>
      </c>
      <c r="L14" s="267">
        <v>6804</v>
      </c>
      <c r="M14" s="267">
        <v>6598</v>
      </c>
      <c r="N14" s="267">
        <v>6185</v>
      </c>
      <c r="O14" s="267">
        <v>6932</v>
      </c>
      <c r="P14" s="267">
        <v>8356</v>
      </c>
      <c r="Q14" s="267">
        <v>7859</v>
      </c>
      <c r="R14" s="267">
        <v>7964</v>
      </c>
      <c r="S14" s="267">
        <v>7360</v>
      </c>
      <c r="T14" s="267">
        <v>7652</v>
      </c>
      <c r="U14" s="267">
        <v>6484</v>
      </c>
      <c r="V14" s="267">
        <v>5993</v>
      </c>
      <c r="W14" s="267">
        <v>6159</v>
      </c>
      <c r="X14" s="267">
        <v>7066</v>
      </c>
      <c r="Y14" s="267">
        <v>9257</v>
      </c>
      <c r="Z14" s="267">
        <v>5318</v>
      </c>
      <c r="AA14" s="268">
        <v>4628</v>
      </c>
      <c r="AB14" s="617">
        <f t="shared" si="0"/>
        <v>-12.974802557352376</v>
      </c>
    </row>
    <row r="15" spans="2:28" s="7" customFormat="1" ht="12.6" customHeight="1" x14ac:dyDescent="0.2">
      <c r="B15" s="147">
        <v>8</v>
      </c>
      <c r="C15" s="186"/>
      <c r="D15" s="185" t="s">
        <v>16</v>
      </c>
      <c r="E15" s="673" t="s">
        <v>96</v>
      </c>
      <c r="F15" s="270" t="s">
        <v>285</v>
      </c>
      <c r="G15" s="270" t="s">
        <v>285</v>
      </c>
      <c r="H15" s="270">
        <v>3320</v>
      </c>
      <c r="I15" s="270">
        <v>3388</v>
      </c>
      <c r="J15" s="270">
        <v>3512</v>
      </c>
      <c r="K15" s="270">
        <v>3463</v>
      </c>
      <c r="L15" s="270">
        <v>3555</v>
      </c>
      <c r="M15" s="270">
        <v>3795</v>
      </c>
      <c r="N15" s="270">
        <v>3942</v>
      </c>
      <c r="O15" s="270">
        <v>3792</v>
      </c>
      <c r="P15" s="270">
        <v>4031</v>
      </c>
      <c r="Q15" s="270">
        <v>4125</v>
      </c>
      <c r="R15" s="270">
        <v>4093</v>
      </c>
      <c r="S15" s="270">
        <v>4395</v>
      </c>
      <c r="T15" s="270">
        <v>4643</v>
      </c>
      <c r="U15" s="270">
        <v>4740</v>
      </c>
      <c r="V15" s="270">
        <v>5133</v>
      </c>
      <c r="W15" s="270">
        <v>5384</v>
      </c>
      <c r="X15" s="270">
        <v>5758</v>
      </c>
      <c r="Y15" s="270">
        <v>5918</v>
      </c>
      <c r="Z15" s="270">
        <v>3774</v>
      </c>
      <c r="AA15" s="271">
        <v>4452</v>
      </c>
      <c r="AB15" s="718">
        <f t="shared" si="0"/>
        <v>17.965023847376798</v>
      </c>
    </row>
    <row r="16" spans="2:28" s="7" customFormat="1" ht="12.6" customHeight="1" x14ac:dyDescent="0.2">
      <c r="B16" s="146">
        <v>9</v>
      </c>
      <c r="C16" s="69"/>
      <c r="D16" s="116" t="s">
        <v>464</v>
      </c>
      <c r="E16" s="674" t="s">
        <v>116</v>
      </c>
      <c r="F16" s="267">
        <v>7746</v>
      </c>
      <c r="G16" s="267">
        <v>7001</v>
      </c>
      <c r="H16" s="267">
        <v>6826</v>
      </c>
      <c r="I16" s="267">
        <v>7294</v>
      </c>
      <c r="J16" s="267">
        <v>7823</v>
      </c>
      <c r="K16" s="267">
        <v>8211</v>
      </c>
      <c r="L16" s="267">
        <v>8054</v>
      </c>
      <c r="M16" s="267">
        <v>8127</v>
      </c>
      <c r="N16" s="267">
        <v>8677</v>
      </c>
      <c r="O16" s="267">
        <v>9089</v>
      </c>
      <c r="P16" s="267">
        <v>9147</v>
      </c>
      <c r="Q16" s="267">
        <v>9184</v>
      </c>
      <c r="R16" s="267">
        <v>9108</v>
      </c>
      <c r="S16" s="267">
        <v>8889</v>
      </c>
      <c r="T16" s="267">
        <v>9933</v>
      </c>
      <c r="U16" s="267">
        <v>9887</v>
      </c>
      <c r="V16" s="267">
        <v>9980</v>
      </c>
      <c r="W16" s="267">
        <v>8631</v>
      </c>
      <c r="X16" s="267">
        <v>8534</v>
      </c>
      <c r="Y16" s="267">
        <v>8349</v>
      </c>
      <c r="Z16" s="267">
        <v>1906</v>
      </c>
      <c r="AA16" s="268">
        <v>4433</v>
      </c>
      <c r="AB16" s="617">
        <f t="shared" si="0"/>
        <v>132.58132214060859</v>
      </c>
    </row>
    <row r="17" spans="2:28" s="7" customFormat="1" ht="12.6" customHeight="1" x14ac:dyDescent="0.2">
      <c r="B17" s="147">
        <v>10</v>
      </c>
      <c r="C17" s="186"/>
      <c r="D17" s="184" t="s">
        <v>243</v>
      </c>
      <c r="E17" s="673" t="s">
        <v>108</v>
      </c>
      <c r="F17" s="270">
        <v>4927</v>
      </c>
      <c r="G17" s="270">
        <v>4910</v>
      </c>
      <c r="H17" s="270">
        <v>4861</v>
      </c>
      <c r="I17" s="270">
        <v>5011</v>
      </c>
      <c r="J17" s="270">
        <v>4941</v>
      </c>
      <c r="K17" s="270">
        <v>4249</v>
      </c>
      <c r="L17" s="270">
        <v>4343</v>
      </c>
      <c r="M17" s="270">
        <v>4592</v>
      </c>
      <c r="N17" s="270">
        <v>4191</v>
      </c>
      <c r="O17" s="270">
        <v>3887</v>
      </c>
      <c r="P17" s="270">
        <v>4110</v>
      </c>
      <c r="Q17" s="270">
        <v>4305</v>
      </c>
      <c r="R17" s="270">
        <v>3923</v>
      </c>
      <c r="S17" s="270">
        <v>4546</v>
      </c>
      <c r="T17" s="270">
        <v>4245</v>
      </c>
      <c r="U17" s="270">
        <v>4320</v>
      </c>
      <c r="V17" s="270">
        <v>4521</v>
      </c>
      <c r="W17" s="270">
        <v>5058</v>
      </c>
      <c r="X17" s="270">
        <v>5226</v>
      </c>
      <c r="Y17" s="270">
        <v>5448</v>
      </c>
      <c r="Z17" s="270">
        <v>2964</v>
      </c>
      <c r="AA17" s="271">
        <v>4281</v>
      </c>
      <c r="AB17" s="718">
        <f t="shared" si="0"/>
        <v>44.433198380566807</v>
      </c>
    </row>
    <row r="18" spans="2:28" s="7" customFormat="1" ht="12.6" customHeight="1" x14ac:dyDescent="0.2">
      <c r="B18" s="146">
        <v>11</v>
      </c>
      <c r="C18" s="69"/>
      <c r="D18" s="116" t="s">
        <v>15</v>
      </c>
      <c r="E18" s="674" t="s">
        <v>96</v>
      </c>
      <c r="F18" s="267" t="s">
        <v>285</v>
      </c>
      <c r="G18" s="267" t="s">
        <v>285</v>
      </c>
      <c r="H18" s="267">
        <v>3320</v>
      </c>
      <c r="I18" s="267">
        <v>3388</v>
      </c>
      <c r="J18" s="267">
        <v>3512</v>
      </c>
      <c r="K18" s="267">
        <v>3463</v>
      </c>
      <c r="L18" s="267">
        <v>3555</v>
      </c>
      <c r="M18" s="267">
        <v>3795</v>
      </c>
      <c r="N18" s="267">
        <v>3942</v>
      </c>
      <c r="O18" s="267">
        <v>3792</v>
      </c>
      <c r="P18" s="267">
        <v>4031</v>
      </c>
      <c r="Q18" s="267">
        <v>4125</v>
      </c>
      <c r="R18" s="267">
        <v>4093</v>
      </c>
      <c r="S18" s="267">
        <v>4395</v>
      </c>
      <c r="T18" s="267">
        <v>4643</v>
      </c>
      <c r="U18" s="267">
        <v>4740</v>
      </c>
      <c r="V18" s="267">
        <v>5133</v>
      </c>
      <c r="W18" s="267">
        <v>5384</v>
      </c>
      <c r="X18" s="267">
        <v>5758</v>
      </c>
      <c r="Y18" s="267">
        <v>5918</v>
      </c>
      <c r="Z18" s="267">
        <v>3774</v>
      </c>
      <c r="AA18" s="268">
        <v>4087</v>
      </c>
      <c r="AB18" s="617">
        <f t="shared" si="0"/>
        <v>8.2935877053523939</v>
      </c>
    </row>
    <row r="19" spans="2:28" s="7" customFormat="1" ht="12.6" customHeight="1" x14ac:dyDescent="0.2">
      <c r="B19" s="147">
        <v>12</v>
      </c>
      <c r="C19" s="186"/>
      <c r="D19" s="184" t="s">
        <v>48</v>
      </c>
      <c r="E19" s="673" t="s">
        <v>116</v>
      </c>
      <c r="F19" s="270">
        <v>13525</v>
      </c>
      <c r="G19" s="270">
        <v>11771</v>
      </c>
      <c r="H19" s="270">
        <v>11666</v>
      </c>
      <c r="I19" s="270">
        <v>11693</v>
      </c>
      <c r="J19" s="270">
        <v>11808</v>
      </c>
      <c r="K19" s="270">
        <v>11102</v>
      </c>
      <c r="L19" s="270">
        <v>10776</v>
      </c>
      <c r="M19" s="270">
        <v>10966</v>
      </c>
      <c r="N19" s="270">
        <v>10911</v>
      </c>
      <c r="O19" s="270">
        <v>9415</v>
      </c>
      <c r="P19" s="270">
        <v>8540</v>
      </c>
      <c r="Q19" s="270">
        <v>8339</v>
      </c>
      <c r="R19" s="270">
        <v>7841</v>
      </c>
      <c r="S19" s="270">
        <v>7763</v>
      </c>
      <c r="T19" s="270">
        <v>7656</v>
      </c>
      <c r="U19" s="270">
        <v>7670</v>
      </c>
      <c r="V19" s="270">
        <v>7514</v>
      </c>
      <c r="W19" s="270">
        <v>7319</v>
      </c>
      <c r="X19" s="270">
        <v>7136</v>
      </c>
      <c r="Y19" s="270">
        <v>7153</v>
      </c>
      <c r="Z19" s="270">
        <v>3562</v>
      </c>
      <c r="AA19" s="271">
        <v>4009</v>
      </c>
      <c r="AB19" s="718">
        <f t="shared" si="0"/>
        <v>12.549129702414376</v>
      </c>
    </row>
    <row r="20" spans="2:28" s="7" customFormat="1" ht="12.6" customHeight="1" x14ac:dyDescent="0.2">
      <c r="B20" s="146">
        <v>13</v>
      </c>
      <c r="C20" s="69"/>
      <c r="D20" s="116" t="s">
        <v>280</v>
      </c>
      <c r="E20" s="674" t="s">
        <v>102</v>
      </c>
      <c r="F20" s="267">
        <v>13322</v>
      </c>
      <c r="G20" s="267">
        <v>11513</v>
      </c>
      <c r="H20" s="267">
        <v>11609</v>
      </c>
      <c r="I20" s="267">
        <v>11646</v>
      </c>
      <c r="J20" s="267">
        <v>11612</v>
      </c>
      <c r="K20" s="267">
        <v>11023</v>
      </c>
      <c r="L20" s="267">
        <v>10721</v>
      </c>
      <c r="M20" s="267">
        <v>10966</v>
      </c>
      <c r="N20" s="267">
        <v>10912</v>
      </c>
      <c r="O20" s="267">
        <v>9415</v>
      </c>
      <c r="P20" s="267">
        <v>8534</v>
      </c>
      <c r="Q20" s="267">
        <v>8324</v>
      </c>
      <c r="R20" s="267">
        <v>7822</v>
      </c>
      <c r="S20" s="267">
        <v>7721</v>
      </c>
      <c r="T20" s="267">
        <v>7634</v>
      </c>
      <c r="U20" s="267">
        <v>7644</v>
      </c>
      <c r="V20" s="267">
        <v>7526</v>
      </c>
      <c r="W20" s="267">
        <v>7310</v>
      </c>
      <c r="X20" s="267">
        <v>7152</v>
      </c>
      <c r="Y20" s="267">
        <v>7105</v>
      </c>
      <c r="Z20" s="267">
        <v>3548</v>
      </c>
      <c r="AA20" s="268">
        <v>3985</v>
      </c>
      <c r="AB20" s="617">
        <f t="shared" si="0"/>
        <v>12.316798196166843</v>
      </c>
    </row>
    <row r="21" spans="2:28" s="7" customFormat="1" ht="12.6" customHeight="1" x14ac:dyDescent="0.2">
      <c r="B21" s="147">
        <v>14</v>
      </c>
      <c r="C21" s="186"/>
      <c r="D21" s="184" t="s">
        <v>291</v>
      </c>
      <c r="E21" s="673" t="s">
        <v>126</v>
      </c>
      <c r="F21" s="270">
        <v>1952</v>
      </c>
      <c r="G21" s="270">
        <v>2135</v>
      </c>
      <c r="H21" s="270">
        <v>2456</v>
      </c>
      <c r="I21" s="270">
        <v>2788</v>
      </c>
      <c r="J21" s="270">
        <v>2902</v>
      </c>
      <c r="K21" s="270">
        <v>3267</v>
      </c>
      <c r="L21" s="270">
        <v>3476</v>
      </c>
      <c r="M21" s="270">
        <v>3726</v>
      </c>
      <c r="N21" s="270">
        <v>3733</v>
      </c>
      <c r="O21" s="270">
        <v>3558</v>
      </c>
      <c r="P21" s="270">
        <v>3523</v>
      </c>
      <c r="Q21" s="270">
        <v>3698</v>
      </c>
      <c r="R21" s="270">
        <v>3769</v>
      </c>
      <c r="S21" s="270">
        <v>3807</v>
      </c>
      <c r="T21" s="270">
        <v>3506</v>
      </c>
      <c r="U21" s="270">
        <v>3992</v>
      </c>
      <c r="V21" s="270">
        <v>4258</v>
      </c>
      <c r="W21" s="270">
        <v>4385</v>
      </c>
      <c r="X21" s="270">
        <v>4760</v>
      </c>
      <c r="Y21" s="270">
        <v>4958</v>
      </c>
      <c r="Z21" s="270">
        <v>2523</v>
      </c>
      <c r="AA21" s="271">
        <v>3745</v>
      </c>
      <c r="AB21" s="718">
        <f t="shared" si="0"/>
        <v>48.434403487911226</v>
      </c>
    </row>
    <row r="22" spans="2:28" s="7" customFormat="1" ht="12.6" customHeight="1" x14ac:dyDescent="0.2">
      <c r="B22" s="146">
        <v>15</v>
      </c>
      <c r="C22" s="69"/>
      <c r="D22" s="116" t="s">
        <v>217</v>
      </c>
      <c r="E22" s="674" t="s">
        <v>115</v>
      </c>
      <c r="F22" s="267">
        <v>9251</v>
      </c>
      <c r="G22" s="267">
        <v>9010</v>
      </c>
      <c r="H22" s="267">
        <v>8871</v>
      </c>
      <c r="I22" s="267">
        <v>8549</v>
      </c>
      <c r="J22" s="267">
        <v>8747</v>
      </c>
      <c r="K22" s="267">
        <v>8854</v>
      </c>
      <c r="L22" s="267">
        <v>8548</v>
      </c>
      <c r="M22" s="267">
        <v>8561</v>
      </c>
      <c r="N22" s="267">
        <v>8976</v>
      </c>
      <c r="O22" s="267">
        <v>9085</v>
      </c>
      <c r="P22" s="267">
        <v>9849</v>
      </c>
      <c r="Q22" s="267">
        <v>10326</v>
      </c>
      <c r="R22" s="267">
        <v>10637</v>
      </c>
      <c r="S22" s="267">
        <v>10756</v>
      </c>
      <c r="T22" s="267">
        <v>10942</v>
      </c>
      <c r="U22" s="267">
        <v>11214</v>
      </c>
      <c r="V22" s="267">
        <v>11565</v>
      </c>
      <c r="W22" s="267">
        <v>11782</v>
      </c>
      <c r="X22" s="267">
        <v>11569</v>
      </c>
      <c r="Y22" s="267">
        <v>11619</v>
      </c>
      <c r="Z22" s="267">
        <v>4754</v>
      </c>
      <c r="AA22" s="268">
        <v>3737</v>
      </c>
      <c r="AB22" s="617">
        <f t="shared" si="0"/>
        <v>-21.392511569204871</v>
      </c>
    </row>
    <row r="23" spans="2:28" s="7" customFormat="1" ht="12.6" customHeight="1" x14ac:dyDescent="0.2">
      <c r="B23" s="147">
        <v>16</v>
      </c>
      <c r="C23" s="186"/>
      <c r="D23" s="184" t="s">
        <v>220</v>
      </c>
      <c r="E23" s="673" t="s">
        <v>92</v>
      </c>
      <c r="F23" s="270" t="s">
        <v>285</v>
      </c>
      <c r="G23" s="270">
        <v>5740</v>
      </c>
      <c r="H23" s="270">
        <v>5136</v>
      </c>
      <c r="I23" s="270">
        <v>5172</v>
      </c>
      <c r="J23" s="270">
        <v>6452</v>
      </c>
      <c r="K23" s="270">
        <v>6701</v>
      </c>
      <c r="L23" s="270">
        <v>6447</v>
      </c>
      <c r="M23" s="270">
        <v>6220</v>
      </c>
      <c r="N23" s="270">
        <v>6870</v>
      </c>
      <c r="O23" s="270">
        <v>6841</v>
      </c>
      <c r="P23" s="270">
        <v>7523</v>
      </c>
      <c r="Q23" s="270">
        <v>8043</v>
      </c>
      <c r="R23" s="270">
        <v>8417</v>
      </c>
      <c r="S23" s="270">
        <v>8727</v>
      </c>
      <c r="T23" s="270">
        <v>9098</v>
      </c>
      <c r="U23" s="270">
        <v>9299</v>
      </c>
      <c r="V23" s="270">
        <v>9676</v>
      </c>
      <c r="W23" s="270">
        <v>9969</v>
      </c>
      <c r="X23" s="270">
        <v>9967</v>
      </c>
      <c r="Y23" s="270">
        <v>9961</v>
      </c>
      <c r="Z23" s="270">
        <v>4331</v>
      </c>
      <c r="AA23" s="271">
        <v>3475</v>
      </c>
      <c r="AB23" s="718">
        <f t="shared" si="0"/>
        <v>-19.764488570768876</v>
      </c>
    </row>
    <row r="24" spans="2:28" s="7" customFormat="1" ht="12.6" customHeight="1" x14ac:dyDescent="0.2">
      <c r="B24" s="146">
        <v>17</v>
      </c>
      <c r="C24" s="69"/>
      <c r="D24" s="70" t="s">
        <v>18</v>
      </c>
      <c r="E24" s="674" t="s">
        <v>102</v>
      </c>
      <c r="F24" s="267">
        <v>2283</v>
      </c>
      <c r="G24" s="267">
        <v>2211</v>
      </c>
      <c r="H24" s="267">
        <v>2191</v>
      </c>
      <c r="I24" s="267">
        <v>2294</v>
      </c>
      <c r="J24" s="267">
        <v>2381</v>
      </c>
      <c r="K24" s="267">
        <v>2310</v>
      </c>
      <c r="L24" s="267">
        <v>2270</v>
      </c>
      <c r="M24" s="267">
        <v>2233</v>
      </c>
      <c r="N24" s="267">
        <v>1911</v>
      </c>
      <c r="O24" s="267">
        <v>1782</v>
      </c>
      <c r="P24" s="267">
        <v>1777</v>
      </c>
      <c r="Q24" s="267">
        <v>1903</v>
      </c>
      <c r="R24" s="267">
        <v>2038</v>
      </c>
      <c r="S24" s="267">
        <v>2463</v>
      </c>
      <c r="T24" s="267">
        <v>2525</v>
      </c>
      <c r="U24" s="267">
        <v>2690</v>
      </c>
      <c r="V24" s="267">
        <v>2780</v>
      </c>
      <c r="W24" s="267">
        <v>2950</v>
      </c>
      <c r="X24" s="267">
        <v>3226</v>
      </c>
      <c r="Y24" s="267">
        <v>3493</v>
      </c>
      <c r="Z24" s="267">
        <v>2506</v>
      </c>
      <c r="AA24" s="268">
        <v>3081</v>
      </c>
      <c r="AB24" s="617">
        <f t="shared" si="0"/>
        <v>22.944932162809266</v>
      </c>
    </row>
    <row r="25" spans="2:28" s="7" customFormat="1" ht="12.6" customHeight="1" x14ac:dyDescent="0.2">
      <c r="B25" s="147">
        <v>18</v>
      </c>
      <c r="C25" s="186"/>
      <c r="D25" s="184" t="s">
        <v>277</v>
      </c>
      <c r="E25" s="673" t="s">
        <v>102</v>
      </c>
      <c r="F25" s="270">
        <v>1143</v>
      </c>
      <c r="G25" s="270">
        <v>1250</v>
      </c>
      <c r="H25" s="270">
        <v>1376</v>
      </c>
      <c r="I25" s="270">
        <v>1572</v>
      </c>
      <c r="J25" s="270">
        <v>1763</v>
      </c>
      <c r="K25" s="270">
        <v>1710</v>
      </c>
      <c r="L25" s="270">
        <v>1686</v>
      </c>
      <c r="M25" s="270">
        <v>1583</v>
      </c>
      <c r="N25" s="270">
        <v>1443</v>
      </c>
      <c r="O25" s="270">
        <v>1277</v>
      </c>
      <c r="P25" s="270">
        <v>1284</v>
      </c>
      <c r="Q25" s="270">
        <v>1345</v>
      </c>
      <c r="R25" s="270">
        <v>1509</v>
      </c>
      <c r="S25" s="270">
        <v>2182</v>
      </c>
      <c r="T25" s="270">
        <v>2350</v>
      </c>
      <c r="U25" s="270">
        <v>2532</v>
      </c>
      <c r="V25" s="270">
        <v>2629</v>
      </c>
      <c r="W25" s="270">
        <v>2871</v>
      </c>
      <c r="X25" s="270">
        <v>3145</v>
      </c>
      <c r="Y25" s="270">
        <v>3385</v>
      </c>
      <c r="Z25" s="270">
        <v>2436</v>
      </c>
      <c r="AA25" s="271">
        <v>3007</v>
      </c>
      <c r="AB25" s="718">
        <f t="shared" si="0"/>
        <v>23.440065681444992</v>
      </c>
    </row>
    <row r="26" spans="2:28" s="7" customFormat="1" ht="12.6" customHeight="1" x14ac:dyDescent="0.2">
      <c r="B26" s="146">
        <v>19</v>
      </c>
      <c r="C26" s="69"/>
      <c r="D26" s="116" t="s">
        <v>60</v>
      </c>
      <c r="E26" s="674" t="s">
        <v>111</v>
      </c>
      <c r="F26" s="267">
        <v>3161</v>
      </c>
      <c r="G26" s="267">
        <v>3501</v>
      </c>
      <c r="H26" s="267">
        <v>3675</v>
      </c>
      <c r="I26" s="267">
        <v>3716</v>
      </c>
      <c r="J26" s="267">
        <v>3702</v>
      </c>
      <c r="K26" s="267">
        <v>3277</v>
      </c>
      <c r="L26" s="267">
        <v>3948</v>
      </c>
      <c r="M26" s="267">
        <v>3982</v>
      </c>
      <c r="N26" s="267">
        <v>5036</v>
      </c>
      <c r="O26" s="267">
        <v>4987</v>
      </c>
      <c r="P26" s="267">
        <v>3477</v>
      </c>
      <c r="Q26" s="267">
        <v>3972</v>
      </c>
      <c r="R26" s="267">
        <v>3618</v>
      </c>
      <c r="S26" s="267">
        <v>3532</v>
      </c>
      <c r="T26" s="267">
        <v>3386</v>
      </c>
      <c r="U26" s="267">
        <v>3517</v>
      </c>
      <c r="V26" s="267">
        <v>3703</v>
      </c>
      <c r="W26" s="267">
        <v>3354</v>
      </c>
      <c r="X26" s="267">
        <v>3662</v>
      </c>
      <c r="Y26" s="267">
        <v>2827</v>
      </c>
      <c r="Z26" s="267">
        <v>2594</v>
      </c>
      <c r="AA26" s="268">
        <v>2870</v>
      </c>
      <c r="AB26" s="617">
        <f t="shared" si="0"/>
        <v>10.639938319198137</v>
      </c>
    </row>
    <row r="27" spans="2:28" s="7" customFormat="1" ht="12.6" customHeight="1" x14ac:dyDescent="0.2">
      <c r="B27" s="147">
        <v>20</v>
      </c>
      <c r="C27" s="186"/>
      <c r="D27" s="185" t="s">
        <v>630</v>
      </c>
      <c r="E27" s="673" t="s">
        <v>111</v>
      </c>
      <c r="F27" s="270">
        <v>2641</v>
      </c>
      <c r="G27" s="270">
        <v>3036</v>
      </c>
      <c r="H27" s="270">
        <v>3176</v>
      </c>
      <c r="I27" s="270">
        <v>3120</v>
      </c>
      <c r="J27" s="270">
        <v>3195</v>
      </c>
      <c r="K27" s="270">
        <v>2829</v>
      </c>
      <c r="L27" s="270">
        <v>3198</v>
      </c>
      <c r="M27" s="270">
        <v>3155</v>
      </c>
      <c r="N27" s="270">
        <v>3927</v>
      </c>
      <c r="O27" s="270">
        <v>3971</v>
      </c>
      <c r="P27" s="270">
        <v>2769</v>
      </c>
      <c r="Q27" s="270">
        <v>2899</v>
      </c>
      <c r="R27" s="270">
        <v>2981</v>
      </c>
      <c r="S27" s="270">
        <v>2839</v>
      </c>
      <c r="T27" s="270">
        <v>2872</v>
      </c>
      <c r="U27" s="270">
        <v>2945</v>
      </c>
      <c r="V27" s="270">
        <v>3218</v>
      </c>
      <c r="W27" s="270">
        <v>2768</v>
      </c>
      <c r="X27" s="270">
        <v>2941</v>
      </c>
      <c r="Y27" s="815">
        <v>2641</v>
      </c>
      <c r="Z27" s="270">
        <v>2384</v>
      </c>
      <c r="AA27" s="271">
        <v>2712</v>
      </c>
      <c r="AB27" s="718">
        <f t="shared" si="0"/>
        <v>13.758389261744981</v>
      </c>
    </row>
    <row r="28" spans="2:28" s="7" customFormat="1" ht="12.6" customHeight="1" x14ac:dyDescent="0.2">
      <c r="B28" s="146">
        <v>21</v>
      </c>
      <c r="C28" s="69"/>
      <c r="D28" s="116" t="s">
        <v>61</v>
      </c>
      <c r="E28" s="674" t="s">
        <v>111</v>
      </c>
      <c r="F28" s="267">
        <v>2359</v>
      </c>
      <c r="G28" s="267">
        <v>2458</v>
      </c>
      <c r="H28" s="267">
        <v>2683</v>
      </c>
      <c r="I28" s="267">
        <v>2764</v>
      </c>
      <c r="J28" s="267">
        <v>2908</v>
      </c>
      <c r="K28" s="267">
        <v>3253</v>
      </c>
      <c r="L28" s="267">
        <v>3665</v>
      </c>
      <c r="M28" s="267">
        <v>3487</v>
      </c>
      <c r="N28" s="267">
        <v>3567</v>
      </c>
      <c r="O28" s="267">
        <v>3785</v>
      </c>
      <c r="P28" s="267">
        <v>3863</v>
      </c>
      <c r="Q28" s="267">
        <v>3703</v>
      </c>
      <c r="R28" s="267">
        <v>2514</v>
      </c>
      <c r="S28" s="267">
        <v>2458</v>
      </c>
      <c r="T28" s="267">
        <v>2502</v>
      </c>
      <c r="U28" s="267">
        <v>2598</v>
      </c>
      <c r="V28" s="267">
        <v>2747</v>
      </c>
      <c r="W28" s="267">
        <v>2784</v>
      </c>
      <c r="X28" s="267">
        <v>3092</v>
      </c>
      <c r="Y28" s="267">
        <v>3200</v>
      </c>
      <c r="Z28" s="267">
        <v>2087</v>
      </c>
      <c r="AA28" s="268">
        <v>2697</v>
      </c>
      <c r="AB28" s="617">
        <f t="shared" si="0"/>
        <v>29.228557738380459</v>
      </c>
    </row>
    <row r="29" spans="2:28" s="7" customFormat="1" ht="12.6" customHeight="1" x14ac:dyDescent="0.2">
      <c r="B29" s="147">
        <v>22</v>
      </c>
      <c r="C29" s="69"/>
      <c r="D29" s="185" t="s">
        <v>51</v>
      </c>
      <c r="E29" s="673" t="s">
        <v>107</v>
      </c>
      <c r="F29" s="270">
        <v>5430</v>
      </c>
      <c r="G29" s="270">
        <v>5984</v>
      </c>
      <c r="H29" s="270">
        <v>6592</v>
      </c>
      <c r="I29" s="270">
        <v>6422</v>
      </c>
      <c r="J29" s="270">
        <v>6741</v>
      </c>
      <c r="K29" s="270">
        <v>6760</v>
      </c>
      <c r="L29" s="270">
        <v>6789</v>
      </c>
      <c r="M29" s="270">
        <v>7069</v>
      </c>
      <c r="N29" s="270">
        <v>6768</v>
      </c>
      <c r="O29" s="270">
        <v>6305</v>
      </c>
      <c r="P29" s="270">
        <v>6261</v>
      </c>
      <c r="Q29" s="270">
        <v>6028</v>
      </c>
      <c r="R29" s="270">
        <v>5963</v>
      </c>
      <c r="S29" s="270">
        <v>5944</v>
      </c>
      <c r="T29" s="270">
        <v>6002</v>
      </c>
      <c r="U29" s="270">
        <v>6141</v>
      </c>
      <c r="V29" s="270">
        <v>6024</v>
      </c>
      <c r="W29" s="270">
        <v>5870</v>
      </c>
      <c r="X29" s="270">
        <v>5580</v>
      </c>
      <c r="Y29" s="270">
        <v>6007</v>
      </c>
      <c r="Z29" s="270">
        <v>2329</v>
      </c>
      <c r="AA29" s="271">
        <v>2696</v>
      </c>
      <c r="AB29" s="718">
        <f t="shared" si="0"/>
        <v>15.757835981107775</v>
      </c>
    </row>
    <row r="30" spans="2:28" s="7" customFormat="1" ht="12.6" customHeight="1" x14ac:dyDescent="0.2">
      <c r="B30" s="146">
        <v>23</v>
      </c>
      <c r="C30" s="186"/>
      <c r="D30" s="116" t="s">
        <v>17</v>
      </c>
      <c r="E30" s="674" t="s">
        <v>102</v>
      </c>
      <c r="F30" s="267">
        <v>5430</v>
      </c>
      <c r="G30" s="267">
        <v>6028</v>
      </c>
      <c r="H30" s="267">
        <v>6508</v>
      </c>
      <c r="I30" s="267">
        <v>6421</v>
      </c>
      <c r="J30" s="267">
        <v>6744</v>
      </c>
      <c r="K30" s="267">
        <v>6761</v>
      </c>
      <c r="L30" s="267">
        <v>6789</v>
      </c>
      <c r="M30" s="267">
        <v>7058</v>
      </c>
      <c r="N30" s="267">
        <v>6756</v>
      </c>
      <c r="O30" s="267">
        <v>6305</v>
      </c>
      <c r="P30" s="267">
        <v>6261</v>
      </c>
      <c r="Q30" s="267">
        <v>6028</v>
      </c>
      <c r="R30" s="267">
        <v>6000</v>
      </c>
      <c r="S30" s="267">
        <v>5944</v>
      </c>
      <c r="T30" s="267">
        <v>6003</v>
      </c>
      <c r="U30" s="267">
        <v>6139</v>
      </c>
      <c r="V30" s="267">
        <v>6016</v>
      </c>
      <c r="W30" s="267">
        <v>5869</v>
      </c>
      <c r="X30" s="267">
        <v>5625</v>
      </c>
      <c r="Y30" s="267">
        <v>5483</v>
      </c>
      <c r="Z30" s="267">
        <v>2331</v>
      </c>
      <c r="AA30" s="268">
        <v>2686</v>
      </c>
      <c r="AB30" s="617">
        <f t="shared" si="0"/>
        <v>15.229515229515229</v>
      </c>
    </row>
    <row r="31" spans="2:28" s="7" customFormat="1" ht="12.6" customHeight="1" x14ac:dyDescent="0.2">
      <c r="B31" s="147">
        <v>24</v>
      </c>
      <c r="C31" s="69"/>
      <c r="D31" s="184" t="s">
        <v>128</v>
      </c>
      <c r="E31" s="673" t="s">
        <v>111</v>
      </c>
      <c r="F31" s="270">
        <v>1886</v>
      </c>
      <c r="G31" s="270">
        <v>1706</v>
      </c>
      <c r="H31" s="270">
        <v>1792</v>
      </c>
      <c r="I31" s="270">
        <v>1907</v>
      </c>
      <c r="J31" s="270">
        <v>2013</v>
      </c>
      <c r="K31" s="270">
        <v>2103</v>
      </c>
      <c r="L31" s="270">
        <v>2166</v>
      </c>
      <c r="M31" s="270">
        <v>2789</v>
      </c>
      <c r="N31" s="270">
        <v>3251</v>
      </c>
      <c r="O31" s="270">
        <v>3273</v>
      </c>
      <c r="P31" s="270">
        <v>2782</v>
      </c>
      <c r="Q31" s="270">
        <v>2637</v>
      </c>
      <c r="R31" s="270">
        <v>1923</v>
      </c>
      <c r="S31" s="270">
        <v>1923</v>
      </c>
      <c r="T31" s="270">
        <v>1898</v>
      </c>
      <c r="U31" s="270">
        <v>2001</v>
      </c>
      <c r="V31" s="270">
        <v>2034</v>
      </c>
      <c r="W31" s="270">
        <v>2006</v>
      </c>
      <c r="X31" s="270">
        <v>2433</v>
      </c>
      <c r="Y31" s="270">
        <v>2941</v>
      </c>
      <c r="Z31" s="270">
        <v>1743</v>
      </c>
      <c r="AA31" s="271">
        <v>2426</v>
      </c>
      <c r="AB31" s="718">
        <f t="shared" si="0"/>
        <v>39.185312679288586</v>
      </c>
    </row>
    <row r="32" spans="2:28" s="7" customFormat="1" ht="12.6" customHeight="1" x14ac:dyDescent="0.2">
      <c r="B32" s="146">
        <v>25</v>
      </c>
      <c r="C32" s="186"/>
      <c r="D32" s="116" t="s">
        <v>47</v>
      </c>
      <c r="E32" s="674" t="s">
        <v>109</v>
      </c>
      <c r="F32" s="267">
        <v>15066</v>
      </c>
      <c r="G32" s="267">
        <v>14370</v>
      </c>
      <c r="H32" s="267">
        <v>14991</v>
      </c>
      <c r="I32" s="267">
        <v>13729</v>
      </c>
      <c r="J32" s="267">
        <v>13259</v>
      </c>
      <c r="K32" s="267">
        <v>11695</v>
      </c>
      <c r="L32" s="267">
        <v>11460</v>
      </c>
      <c r="M32" s="267">
        <v>11519</v>
      </c>
      <c r="N32" s="267">
        <v>11002</v>
      </c>
      <c r="O32" s="267">
        <v>10158</v>
      </c>
      <c r="P32" s="267">
        <v>10237</v>
      </c>
      <c r="Q32" s="267">
        <v>10063</v>
      </c>
      <c r="R32" s="267">
        <v>9345</v>
      </c>
      <c r="S32" s="267">
        <v>10372</v>
      </c>
      <c r="T32" s="267">
        <v>10703</v>
      </c>
      <c r="U32" s="267">
        <v>9757</v>
      </c>
      <c r="V32" s="267">
        <v>9090</v>
      </c>
      <c r="W32" s="267">
        <v>8990</v>
      </c>
      <c r="X32" s="267">
        <v>9118</v>
      </c>
      <c r="Y32" s="267">
        <v>8478</v>
      </c>
      <c r="Z32" s="267">
        <v>3269</v>
      </c>
      <c r="AA32" s="268">
        <v>2388</v>
      </c>
      <c r="AB32" s="617">
        <f t="shared" si="0"/>
        <v>-26.95013765677578</v>
      </c>
    </row>
    <row r="33" spans="2:28" s="7" customFormat="1" ht="12.6" customHeight="1" x14ac:dyDescent="0.2">
      <c r="B33" s="147">
        <v>26</v>
      </c>
      <c r="C33" s="69"/>
      <c r="D33" s="184" t="s">
        <v>235</v>
      </c>
      <c r="E33" s="673" t="s">
        <v>116</v>
      </c>
      <c r="F33" s="270">
        <v>1136</v>
      </c>
      <c r="G33" s="270">
        <v>1285</v>
      </c>
      <c r="H33" s="270">
        <v>1436</v>
      </c>
      <c r="I33" s="270">
        <v>1472</v>
      </c>
      <c r="J33" s="270">
        <v>1612</v>
      </c>
      <c r="K33" s="270">
        <v>1815</v>
      </c>
      <c r="L33" s="270">
        <v>1937</v>
      </c>
      <c r="M33" s="270">
        <v>1878</v>
      </c>
      <c r="N33" s="270">
        <v>1857</v>
      </c>
      <c r="O33" s="270">
        <v>1823</v>
      </c>
      <c r="P33" s="270">
        <v>1770</v>
      </c>
      <c r="Q33" s="270">
        <v>1913</v>
      </c>
      <c r="R33" s="270">
        <v>1962</v>
      </c>
      <c r="S33" s="270">
        <v>1934</v>
      </c>
      <c r="T33" s="270">
        <v>1953</v>
      </c>
      <c r="U33" s="270">
        <v>1983</v>
      </c>
      <c r="V33" s="270">
        <v>2087</v>
      </c>
      <c r="W33" s="270">
        <v>2157</v>
      </c>
      <c r="X33" s="270">
        <v>2210</v>
      </c>
      <c r="Y33" s="270">
        <v>2335</v>
      </c>
      <c r="Z33" s="270">
        <v>2018</v>
      </c>
      <c r="AA33" s="271">
        <v>2373</v>
      </c>
      <c r="AB33" s="718">
        <f t="shared" si="0"/>
        <v>17.591674925668983</v>
      </c>
    </row>
    <row r="34" spans="2:28" s="7" customFormat="1" ht="12.6" customHeight="1" x14ac:dyDescent="0.2">
      <c r="B34" s="146">
        <v>27</v>
      </c>
      <c r="C34" s="186"/>
      <c r="D34" s="116" t="s">
        <v>52</v>
      </c>
      <c r="E34" s="674" t="s">
        <v>111</v>
      </c>
      <c r="F34" s="267">
        <v>5404</v>
      </c>
      <c r="G34" s="267">
        <v>5546</v>
      </c>
      <c r="H34" s="267">
        <v>5028</v>
      </c>
      <c r="I34" s="267">
        <v>4749</v>
      </c>
      <c r="J34" s="267">
        <v>4771</v>
      </c>
      <c r="K34" s="267">
        <v>3860</v>
      </c>
      <c r="L34" s="267">
        <v>4940</v>
      </c>
      <c r="M34" s="267">
        <v>5421</v>
      </c>
      <c r="N34" s="267">
        <v>7169</v>
      </c>
      <c r="O34" s="267">
        <v>6944</v>
      </c>
      <c r="P34" s="267">
        <v>6517</v>
      </c>
      <c r="Q34" s="267">
        <v>6576</v>
      </c>
      <c r="R34" s="267">
        <v>6744</v>
      </c>
      <c r="S34" s="267">
        <v>6488</v>
      </c>
      <c r="T34" s="267">
        <v>6054</v>
      </c>
      <c r="U34" s="267">
        <v>4355</v>
      </c>
      <c r="V34" s="267">
        <v>3859</v>
      </c>
      <c r="W34" s="267">
        <v>4253</v>
      </c>
      <c r="X34" s="267">
        <v>4785</v>
      </c>
      <c r="Y34" s="267">
        <v>4796</v>
      </c>
      <c r="Z34" s="267">
        <v>2714</v>
      </c>
      <c r="AA34" s="268">
        <v>2089</v>
      </c>
      <c r="AB34" s="617">
        <f t="shared" si="0"/>
        <v>-23.02873986735446</v>
      </c>
    </row>
    <row r="35" spans="2:28" s="7" customFormat="1" ht="12.6" customHeight="1" x14ac:dyDescent="0.2">
      <c r="B35" s="147">
        <v>28</v>
      </c>
      <c r="C35" s="69"/>
      <c r="D35" s="184" t="s">
        <v>304</v>
      </c>
      <c r="E35" s="673" t="s">
        <v>126</v>
      </c>
      <c r="F35" s="270">
        <v>1376</v>
      </c>
      <c r="G35" s="270">
        <v>1421</v>
      </c>
      <c r="H35" s="270">
        <v>1621</v>
      </c>
      <c r="I35" s="270">
        <v>1629</v>
      </c>
      <c r="J35" s="270">
        <v>1742</v>
      </c>
      <c r="K35" s="270">
        <v>1924</v>
      </c>
      <c r="L35" s="270">
        <v>1989</v>
      </c>
      <c r="M35" s="270">
        <v>2098</v>
      </c>
      <c r="N35" s="270">
        <v>2228</v>
      </c>
      <c r="O35" s="270">
        <v>2230</v>
      </c>
      <c r="P35" s="270">
        <v>2145</v>
      </c>
      <c r="Q35" s="270">
        <v>2247</v>
      </c>
      <c r="R35" s="270">
        <v>2144</v>
      </c>
      <c r="S35" s="270">
        <v>2136</v>
      </c>
      <c r="T35" s="270">
        <v>1792</v>
      </c>
      <c r="U35" s="270">
        <v>1873</v>
      </c>
      <c r="V35" s="270">
        <v>2111</v>
      </c>
      <c r="W35" s="270">
        <v>2234</v>
      </c>
      <c r="X35" s="270">
        <v>2242</v>
      </c>
      <c r="Y35" s="270">
        <v>2319</v>
      </c>
      <c r="Z35" s="270">
        <v>1609</v>
      </c>
      <c r="AA35" s="271">
        <v>2081</v>
      </c>
      <c r="AB35" s="718">
        <f t="shared" si="0"/>
        <v>29.334990677439407</v>
      </c>
    </row>
    <row r="36" spans="2:28" s="7" customFormat="1" ht="12.6" customHeight="1" x14ac:dyDescent="0.2">
      <c r="B36" s="146">
        <v>29</v>
      </c>
      <c r="C36" s="186"/>
      <c r="D36" s="70" t="s">
        <v>629</v>
      </c>
      <c r="E36" s="674" t="s">
        <v>111</v>
      </c>
      <c r="F36" s="267">
        <v>3686</v>
      </c>
      <c r="G36" s="267">
        <v>3844</v>
      </c>
      <c r="H36" s="267">
        <v>3576</v>
      </c>
      <c r="I36" s="267">
        <v>3494</v>
      </c>
      <c r="J36" s="267">
        <v>3535</v>
      </c>
      <c r="K36" s="267">
        <v>3169</v>
      </c>
      <c r="L36" s="267">
        <v>3443</v>
      </c>
      <c r="M36" s="267">
        <v>2812</v>
      </c>
      <c r="N36" s="267">
        <v>2342</v>
      </c>
      <c r="O36" s="267">
        <v>2364</v>
      </c>
      <c r="P36" s="267">
        <v>2589</v>
      </c>
      <c r="Q36" s="267">
        <v>2605</v>
      </c>
      <c r="R36" s="267">
        <v>1964</v>
      </c>
      <c r="S36" s="267">
        <v>2089</v>
      </c>
      <c r="T36" s="267">
        <v>2597</v>
      </c>
      <c r="U36" s="267">
        <v>2769</v>
      </c>
      <c r="V36" s="267">
        <v>2893</v>
      </c>
      <c r="W36" s="267">
        <v>2942</v>
      </c>
      <c r="X36" s="978">
        <v>3849</v>
      </c>
      <c r="Y36" s="267">
        <v>4788</v>
      </c>
      <c r="Z36" s="267">
        <v>2645</v>
      </c>
      <c r="AA36" s="268">
        <v>2048</v>
      </c>
      <c r="AB36" s="617">
        <f t="shared" si="0"/>
        <v>-22.570888468809073</v>
      </c>
    </row>
    <row r="37" spans="2:28" s="7" customFormat="1" ht="12.6" customHeight="1" x14ac:dyDescent="0.2">
      <c r="B37" s="147">
        <v>30</v>
      </c>
      <c r="C37" s="69"/>
      <c r="D37" s="184" t="s">
        <v>520</v>
      </c>
      <c r="E37" s="673" t="s">
        <v>102</v>
      </c>
      <c r="F37" s="270">
        <v>1896</v>
      </c>
      <c r="G37" s="270">
        <v>1860</v>
      </c>
      <c r="H37" s="270">
        <v>1841</v>
      </c>
      <c r="I37" s="270">
        <v>1829</v>
      </c>
      <c r="J37" s="270">
        <v>1824</v>
      </c>
      <c r="K37" s="270">
        <v>1796</v>
      </c>
      <c r="L37" s="270">
        <v>1805</v>
      </c>
      <c r="M37" s="270">
        <v>1827</v>
      </c>
      <c r="N37" s="270">
        <v>1796</v>
      </c>
      <c r="O37" s="270">
        <v>1809</v>
      </c>
      <c r="P37" s="270">
        <v>1790</v>
      </c>
      <c r="Q37" s="270">
        <v>1775</v>
      </c>
      <c r="R37" s="270">
        <v>1723</v>
      </c>
      <c r="S37" s="270">
        <v>1685</v>
      </c>
      <c r="T37" s="270">
        <v>1710</v>
      </c>
      <c r="U37" s="270">
        <v>1631</v>
      </c>
      <c r="V37" s="270">
        <v>1667</v>
      </c>
      <c r="W37" s="270">
        <v>1754</v>
      </c>
      <c r="X37" s="270">
        <v>1826</v>
      </c>
      <c r="Y37" s="270">
        <v>1824</v>
      </c>
      <c r="Z37" s="270">
        <v>1810</v>
      </c>
      <c r="AA37" s="271">
        <v>1921</v>
      </c>
      <c r="AB37" s="718">
        <f t="shared" si="0"/>
        <v>6.1325966850828877</v>
      </c>
    </row>
    <row r="38" spans="2:28" s="7" customFormat="1" ht="12.6" customHeight="1" x14ac:dyDescent="0.2">
      <c r="B38" s="146">
        <v>31</v>
      </c>
      <c r="C38" s="186"/>
      <c r="D38" s="116" t="s">
        <v>521</v>
      </c>
      <c r="E38" s="674" t="s">
        <v>102</v>
      </c>
      <c r="F38" s="267">
        <v>1734</v>
      </c>
      <c r="G38" s="267">
        <v>1706</v>
      </c>
      <c r="H38" s="267">
        <v>1712</v>
      </c>
      <c r="I38" s="267">
        <v>1744</v>
      </c>
      <c r="J38" s="267">
        <v>1730</v>
      </c>
      <c r="K38" s="267">
        <v>1709</v>
      </c>
      <c r="L38" s="267">
        <v>1723</v>
      </c>
      <c r="M38" s="267">
        <v>1738</v>
      </c>
      <c r="N38" s="267">
        <v>1709</v>
      </c>
      <c r="O38" s="267">
        <v>1686</v>
      </c>
      <c r="P38" s="267">
        <v>1667</v>
      </c>
      <c r="Q38" s="267">
        <v>1690</v>
      </c>
      <c r="R38" s="267">
        <v>1636</v>
      </c>
      <c r="S38" s="267">
        <v>1606</v>
      </c>
      <c r="T38" s="267">
        <v>1636</v>
      </c>
      <c r="U38" s="267">
        <v>1631</v>
      </c>
      <c r="V38" s="267">
        <v>1667</v>
      </c>
      <c r="W38" s="267">
        <v>1754</v>
      </c>
      <c r="X38" s="267">
        <v>1826</v>
      </c>
      <c r="Y38" s="267">
        <v>1824</v>
      </c>
      <c r="Z38" s="267">
        <v>1810</v>
      </c>
      <c r="AA38" s="268">
        <v>1921</v>
      </c>
      <c r="AB38" s="617">
        <f t="shared" si="0"/>
        <v>6.1325966850828877</v>
      </c>
    </row>
    <row r="39" spans="2:28" s="7" customFormat="1" ht="12.6" customHeight="1" x14ac:dyDescent="0.2">
      <c r="B39" s="147">
        <v>32</v>
      </c>
      <c r="C39" s="69"/>
      <c r="D39" s="184" t="s">
        <v>169</v>
      </c>
      <c r="E39" s="673" t="s">
        <v>103</v>
      </c>
      <c r="F39" s="270">
        <v>933</v>
      </c>
      <c r="G39" s="270">
        <v>958</v>
      </c>
      <c r="H39" s="270">
        <v>2202</v>
      </c>
      <c r="I39" s="270">
        <v>2467</v>
      </c>
      <c r="J39" s="270">
        <v>2221</v>
      </c>
      <c r="K39" s="270">
        <v>2338</v>
      </c>
      <c r="L39" s="270">
        <v>2531</v>
      </c>
      <c r="M39" s="270">
        <v>2683</v>
      </c>
      <c r="N39" s="270">
        <v>2631</v>
      </c>
      <c r="O39" s="270">
        <v>2741</v>
      </c>
      <c r="P39" s="270">
        <v>2726</v>
      </c>
      <c r="Q39" s="270">
        <v>2567</v>
      </c>
      <c r="R39" s="270">
        <v>2262</v>
      </c>
      <c r="S39" s="270">
        <v>2471</v>
      </c>
      <c r="T39" s="270">
        <v>2544</v>
      </c>
      <c r="U39" s="270">
        <v>2532</v>
      </c>
      <c r="V39" s="270">
        <v>2452</v>
      </c>
      <c r="W39" s="270">
        <v>2696</v>
      </c>
      <c r="X39" s="270">
        <v>2835</v>
      </c>
      <c r="Y39" s="270">
        <v>2717</v>
      </c>
      <c r="Z39" s="270">
        <v>1235</v>
      </c>
      <c r="AA39" s="271">
        <v>1874</v>
      </c>
      <c r="AB39" s="718">
        <f t="shared" si="0"/>
        <v>51.7408906882591</v>
      </c>
    </row>
    <row r="40" spans="2:28" s="7" customFormat="1" ht="12.6" customHeight="1" x14ac:dyDescent="0.2">
      <c r="B40" s="146">
        <v>33</v>
      </c>
      <c r="C40" s="186"/>
      <c r="D40" s="116" t="s">
        <v>465</v>
      </c>
      <c r="E40" s="674" t="s">
        <v>107</v>
      </c>
      <c r="F40" s="267">
        <v>2253</v>
      </c>
      <c r="G40" s="267">
        <v>2281</v>
      </c>
      <c r="H40" s="267">
        <v>2285</v>
      </c>
      <c r="I40" s="267">
        <v>2332</v>
      </c>
      <c r="J40" s="267">
        <v>2267</v>
      </c>
      <c r="K40" s="267">
        <v>2257</v>
      </c>
      <c r="L40" s="267">
        <v>2322</v>
      </c>
      <c r="M40" s="267">
        <v>2312</v>
      </c>
      <c r="N40" s="267">
        <v>2267</v>
      </c>
      <c r="O40" s="267">
        <v>2394</v>
      </c>
      <c r="P40" s="267">
        <v>2287</v>
      </c>
      <c r="Q40" s="267">
        <v>2439</v>
      </c>
      <c r="R40" s="267">
        <v>2437</v>
      </c>
      <c r="S40" s="267">
        <v>2410</v>
      </c>
      <c r="T40" s="267">
        <v>2526</v>
      </c>
      <c r="U40" s="267">
        <v>2497</v>
      </c>
      <c r="V40" s="267">
        <v>2561</v>
      </c>
      <c r="W40" s="267">
        <v>2580</v>
      </c>
      <c r="X40" s="267">
        <v>2636</v>
      </c>
      <c r="Y40" s="267">
        <v>2648</v>
      </c>
      <c r="Z40" s="267">
        <v>1688</v>
      </c>
      <c r="AA40" s="268">
        <v>1828</v>
      </c>
      <c r="AB40" s="617">
        <f t="shared" si="0"/>
        <v>8.2938388625592268</v>
      </c>
    </row>
    <row r="41" spans="2:28" s="7" customFormat="1" ht="12.6" customHeight="1" x14ac:dyDescent="0.2">
      <c r="B41" s="147">
        <v>34</v>
      </c>
      <c r="C41" s="69"/>
      <c r="D41" s="184" t="s">
        <v>211</v>
      </c>
      <c r="E41" s="673" t="s">
        <v>107</v>
      </c>
      <c r="F41" s="270">
        <v>1767</v>
      </c>
      <c r="G41" s="270">
        <v>1962</v>
      </c>
      <c r="H41" s="270">
        <v>2099</v>
      </c>
      <c r="I41" s="270">
        <v>2332</v>
      </c>
      <c r="J41" s="270">
        <v>2253</v>
      </c>
      <c r="K41" s="270">
        <v>2417</v>
      </c>
      <c r="L41" s="270">
        <v>2557</v>
      </c>
      <c r="M41" s="270">
        <v>2585</v>
      </c>
      <c r="N41" s="270">
        <v>2713</v>
      </c>
      <c r="O41" s="270">
        <v>2431</v>
      </c>
      <c r="P41" s="270">
        <v>2195</v>
      </c>
      <c r="Q41" s="270">
        <v>2249</v>
      </c>
      <c r="R41" s="270">
        <v>2344</v>
      </c>
      <c r="S41" s="270">
        <v>2300</v>
      </c>
      <c r="T41" s="270">
        <v>2477</v>
      </c>
      <c r="U41" s="270">
        <v>2863</v>
      </c>
      <c r="V41" s="270">
        <v>2833</v>
      </c>
      <c r="W41" s="270">
        <v>3186</v>
      </c>
      <c r="X41" s="270">
        <v>3288</v>
      </c>
      <c r="Y41" s="270">
        <v>3394</v>
      </c>
      <c r="Z41" s="270">
        <v>1364</v>
      </c>
      <c r="AA41" s="271">
        <v>1821</v>
      </c>
      <c r="AB41" s="718">
        <f t="shared" si="0"/>
        <v>33.504398826979468</v>
      </c>
    </row>
    <row r="42" spans="2:28" s="7" customFormat="1" ht="12.6" customHeight="1" x14ac:dyDescent="0.2">
      <c r="B42" s="146">
        <v>35</v>
      </c>
      <c r="C42" s="186"/>
      <c r="D42" s="116" t="s">
        <v>524</v>
      </c>
      <c r="E42" s="674" t="s">
        <v>126</v>
      </c>
      <c r="F42" s="267">
        <v>939</v>
      </c>
      <c r="G42" s="267">
        <v>965</v>
      </c>
      <c r="H42" s="267">
        <v>1106</v>
      </c>
      <c r="I42" s="267">
        <v>1107</v>
      </c>
      <c r="J42" s="267">
        <v>1180</v>
      </c>
      <c r="K42" s="267">
        <v>1266</v>
      </c>
      <c r="L42" s="267">
        <v>1290</v>
      </c>
      <c r="M42" s="267">
        <v>1478</v>
      </c>
      <c r="N42" s="267">
        <v>1606</v>
      </c>
      <c r="O42" s="267">
        <v>1563</v>
      </c>
      <c r="P42" s="267">
        <v>1495</v>
      </c>
      <c r="Q42" s="267">
        <v>1581</v>
      </c>
      <c r="R42" s="267">
        <v>1479</v>
      </c>
      <c r="S42" s="267">
        <v>1448</v>
      </c>
      <c r="T42" s="267">
        <v>1293</v>
      </c>
      <c r="U42" s="267">
        <v>1617</v>
      </c>
      <c r="V42" s="267">
        <v>1804</v>
      </c>
      <c r="W42" s="267">
        <v>1878</v>
      </c>
      <c r="X42" s="267">
        <v>1873</v>
      </c>
      <c r="Y42" s="267">
        <v>1921</v>
      </c>
      <c r="Z42" s="267">
        <v>1418</v>
      </c>
      <c r="AA42" s="268">
        <v>1782</v>
      </c>
      <c r="AB42" s="617">
        <f t="shared" si="0"/>
        <v>25.669957686882938</v>
      </c>
    </row>
    <row r="43" spans="2:28" s="7" customFormat="1" ht="12.6" customHeight="1" x14ac:dyDescent="0.2">
      <c r="B43" s="147">
        <v>36</v>
      </c>
      <c r="C43" s="186"/>
      <c r="D43" s="185" t="s">
        <v>522</v>
      </c>
      <c r="E43" s="673" t="s">
        <v>102</v>
      </c>
      <c r="F43" s="270">
        <v>1304</v>
      </c>
      <c r="G43" s="270">
        <v>1423</v>
      </c>
      <c r="H43" s="270">
        <v>1500</v>
      </c>
      <c r="I43" s="270">
        <v>1513</v>
      </c>
      <c r="J43" s="270">
        <v>1538</v>
      </c>
      <c r="K43" s="270">
        <v>1464</v>
      </c>
      <c r="L43" s="270">
        <v>1508</v>
      </c>
      <c r="M43" s="270">
        <v>1522</v>
      </c>
      <c r="N43" s="270">
        <v>1517</v>
      </c>
      <c r="O43" s="270">
        <v>1477</v>
      </c>
      <c r="P43" s="270">
        <v>1385</v>
      </c>
      <c r="Q43" s="270">
        <v>1421</v>
      </c>
      <c r="R43" s="270">
        <v>1468</v>
      </c>
      <c r="S43" s="270">
        <v>1440</v>
      </c>
      <c r="T43" s="270">
        <v>1469</v>
      </c>
      <c r="U43" s="270">
        <v>1490</v>
      </c>
      <c r="V43" s="270">
        <v>1551</v>
      </c>
      <c r="W43" s="270">
        <v>1626</v>
      </c>
      <c r="X43" s="270">
        <v>1671</v>
      </c>
      <c r="Y43" s="270">
        <v>1860</v>
      </c>
      <c r="Z43" s="270">
        <v>1616</v>
      </c>
      <c r="AA43" s="271">
        <v>1756</v>
      </c>
      <c r="AB43" s="718">
        <f t="shared" si="0"/>
        <v>8.6633663366336719</v>
      </c>
    </row>
    <row r="44" spans="2:28" s="7" customFormat="1" ht="12.6" customHeight="1" x14ac:dyDescent="0.2">
      <c r="B44" s="146">
        <v>37</v>
      </c>
      <c r="C44" s="69"/>
      <c r="D44" s="116" t="s">
        <v>62</v>
      </c>
      <c r="E44" s="674" t="s">
        <v>111</v>
      </c>
      <c r="F44" s="267">
        <v>2444</v>
      </c>
      <c r="G44" s="267">
        <v>2390</v>
      </c>
      <c r="H44" s="267">
        <v>2820</v>
      </c>
      <c r="I44" s="267">
        <v>2961</v>
      </c>
      <c r="J44" s="267">
        <v>2507</v>
      </c>
      <c r="K44" s="267">
        <v>2406</v>
      </c>
      <c r="L44" s="267">
        <v>2320</v>
      </c>
      <c r="M44" s="267">
        <v>2639</v>
      </c>
      <c r="N44" s="267">
        <v>2510</v>
      </c>
      <c r="O44" s="267">
        <v>3454</v>
      </c>
      <c r="P44" s="267">
        <v>2991</v>
      </c>
      <c r="Q44" s="267">
        <v>2573</v>
      </c>
      <c r="R44" s="267">
        <v>2501</v>
      </c>
      <c r="S44" s="267">
        <v>2358</v>
      </c>
      <c r="T44" s="267">
        <v>2196</v>
      </c>
      <c r="U44" s="267">
        <v>2344</v>
      </c>
      <c r="V44" s="267">
        <v>2328</v>
      </c>
      <c r="W44" s="267">
        <v>2117</v>
      </c>
      <c r="X44" s="267">
        <v>2609</v>
      </c>
      <c r="Y44" s="267">
        <v>2881</v>
      </c>
      <c r="Z44" s="267">
        <v>1410</v>
      </c>
      <c r="AA44" s="268">
        <v>1746</v>
      </c>
      <c r="AB44" s="617">
        <f t="shared" si="0"/>
        <v>23.829787234042541</v>
      </c>
    </row>
    <row r="45" spans="2:28" s="7" customFormat="1" ht="12" customHeight="1" x14ac:dyDescent="0.2">
      <c r="B45" s="147">
        <v>38</v>
      </c>
      <c r="C45" s="186"/>
      <c r="D45" s="185" t="s">
        <v>680</v>
      </c>
      <c r="E45" s="673" t="s">
        <v>116</v>
      </c>
      <c r="F45" s="270">
        <v>1291</v>
      </c>
      <c r="G45" s="270">
        <v>1294</v>
      </c>
      <c r="H45" s="270">
        <v>1377</v>
      </c>
      <c r="I45" s="270">
        <v>1422</v>
      </c>
      <c r="J45" s="270">
        <v>1456</v>
      </c>
      <c r="K45" s="270">
        <v>1460</v>
      </c>
      <c r="L45" s="270">
        <v>1472</v>
      </c>
      <c r="M45" s="270">
        <v>1565</v>
      </c>
      <c r="N45" s="270">
        <v>1583</v>
      </c>
      <c r="O45" s="270">
        <v>1629</v>
      </c>
      <c r="P45" s="270">
        <v>1653</v>
      </c>
      <c r="Q45" s="270">
        <v>1598</v>
      </c>
      <c r="R45" s="270">
        <v>1590</v>
      </c>
      <c r="S45" s="270">
        <v>1583</v>
      </c>
      <c r="T45" s="270">
        <v>1630</v>
      </c>
      <c r="U45" s="270">
        <v>1653</v>
      </c>
      <c r="V45" s="270">
        <v>1772</v>
      </c>
      <c r="W45" s="270">
        <v>1750</v>
      </c>
      <c r="X45" s="270">
        <v>1766</v>
      </c>
      <c r="Y45" s="270">
        <v>1822</v>
      </c>
      <c r="Z45" s="270">
        <v>1235</v>
      </c>
      <c r="AA45" s="1042">
        <v>1727</v>
      </c>
      <c r="AB45" s="718">
        <f t="shared" si="0"/>
        <v>39.838056680161941</v>
      </c>
    </row>
    <row r="46" spans="2:28" s="7" customFormat="1" ht="12.6" customHeight="1" x14ac:dyDescent="0.2">
      <c r="B46" s="146">
        <v>39</v>
      </c>
      <c r="C46" s="68"/>
      <c r="D46" s="116" t="s">
        <v>624</v>
      </c>
      <c r="E46" s="674" t="s">
        <v>126</v>
      </c>
      <c r="F46" s="267">
        <v>453</v>
      </c>
      <c r="G46" s="267">
        <v>526</v>
      </c>
      <c r="H46" s="267">
        <v>648</v>
      </c>
      <c r="I46" s="267">
        <v>653</v>
      </c>
      <c r="J46" s="267">
        <v>1137</v>
      </c>
      <c r="K46" s="267">
        <v>1133</v>
      </c>
      <c r="L46" s="267">
        <v>922</v>
      </c>
      <c r="M46" s="267">
        <v>986</v>
      </c>
      <c r="N46" s="267">
        <v>1618</v>
      </c>
      <c r="O46" s="267">
        <v>1583</v>
      </c>
      <c r="P46" s="267">
        <v>1474</v>
      </c>
      <c r="Q46" s="267">
        <v>1386</v>
      </c>
      <c r="R46" s="267">
        <v>1467</v>
      </c>
      <c r="S46" s="267">
        <v>1620</v>
      </c>
      <c r="T46" s="267">
        <v>1680</v>
      </c>
      <c r="U46" s="267">
        <v>1672</v>
      </c>
      <c r="V46" s="267">
        <v>1798</v>
      </c>
      <c r="W46" s="267">
        <v>1979</v>
      </c>
      <c r="X46" s="267">
        <v>2052</v>
      </c>
      <c r="Y46" s="267">
        <v>2121</v>
      </c>
      <c r="Z46" s="267">
        <v>1122</v>
      </c>
      <c r="AA46" s="268">
        <v>1679</v>
      </c>
      <c r="AB46" s="620">
        <f t="shared" si="0"/>
        <v>49.643493761140803</v>
      </c>
    </row>
    <row r="47" spans="2:28" s="7" customFormat="1" ht="12.6" customHeight="1" x14ac:dyDescent="0.2">
      <c r="B47" s="147">
        <v>40</v>
      </c>
      <c r="C47" s="186"/>
      <c r="D47" s="670" t="s">
        <v>466</v>
      </c>
      <c r="E47" s="675" t="s">
        <v>107</v>
      </c>
      <c r="F47" s="274">
        <v>2015</v>
      </c>
      <c r="G47" s="274">
        <v>2038</v>
      </c>
      <c r="H47" s="274">
        <v>2017</v>
      </c>
      <c r="I47" s="274">
        <v>2055</v>
      </c>
      <c r="J47" s="274">
        <v>2016</v>
      </c>
      <c r="K47" s="274">
        <v>1990</v>
      </c>
      <c r="L47" s="274">
        <v>2056</v>
      </c>
      <c r="M47" s="274">
        <v>2023</v>
      </c>
      <c r="N47" s="274">
        <v>1971</v>
      </c>
      <c r="O47" s="274">
        <v>2056</v>
      </c>
      <c r="P47" s="274">
        <v>2093</v>
      </c>
      <c r="Q47" s="274">
        <v>2182</v>
      </c>
      <c r="R47" s="274">
        <v>2309</v>
      </c>
      <c r="S47" s="274">
        <v>2408</v>
      </c>
      <c r="T47" s="274">
        <v>2550</v>
      </c>
      <c r="U47" s="274">
        <v>2162</v>
      </c>
      <c r="V47" s="274">
        <v>2227</v>
      </c>
      <c r="W47" s="274">
        <v>2260</v>
      </c>
      <c r="X47" s="274">
        <v>2321</v>
      </c>
      <c r="Y47" s="274">
        <v>2326</v>
      </c>
      <c r="Z47" s="274">
        <v>1460</v>
      </c>
      <c r="AA47" s="285">
        <v>1613</v>
      </c>
      <c r="AB47" s="1041">
        <f t="shared" si="0"/>
        <v>10.479452054794521</v>
      </c>
    </row>
    <row r="48" spans="2:28" s="7" customFormat="1" ht="12.6" customHeight="1" x14ac:dyDescent="0.2">
      <c r="B48" s="146">
        <v>41</v>
      </c>
      <c r="C48" s="69"/>
      <c r="D48" s="116" t="s">
        <v>527</v>
      </c>
      <c r="E48" s="674" t="s">
        <v>126</v>
      </c>
      <c r="F48" s="267">
        <v>794</v>
      </c>
      <c r="G48" s="267">
        <v>813</v>
      </c>
      <c r="H48" s="267">
        <v>921</v>
      </c>
      <c r="I48" s="267">
        <v>1048</v>
      </c>
      <c r="J48" s="267">
        <v>1144</v>
      </c>
      <c r="K48" s="267">
        <v>1303</v>
      </c>
      <c r="L48" s="267">
        <v>1417</v>
      </c>
      <c r="M48" s="267">
        <v>1509</v>
      </c>
      <c r="N48" s="267">
        <v>1509</v>
      </c>
      <c r="O48" s="267">
        <v>1532</v>
      </c>
      <c r="P48" s="267">
        <v>1383</v>
      </c>
      <c r="Q48" s="267">
        <v>1470</v>
      </c>
      <c r="R48" s="267">
        <v>1558</v>
      </c>
      <c r="S48" s="267">
        <v>1611</v>
      </c>
      <c r="T48" s="267">
        <v>1552</v>
      </c>
      <c r="U48" s="267">
        <v>1688</v>
      </c>
      <c r="V48" s="267">
        <v>1887</v>
      </c>
      <c r="W48" s="267">
        <v>1949</v>
      </c>
      <c r="X48" s="267">
        <v>1931</v>
      </c>
      <c r="Y48" s="267">
        <v>1966</v>
      </c>
      <c r="Z48" s="267">
        <v>1168</v>
      </c>
      <c r="AA48" s="268">
        <v>1597</v>
      </c>
      <c r="AB48" s="617">
        <f t="shared" si="0"/>
        <v>36.729452054794507</v>
      </c>
    </row>
    <row r="49" spans="1:28" s="7" customFormat="1" ht="12.6" customHeight="1" x14ac:dyDescent="0.2">
      <c r="B49" s="147">
        <v>42</v>
      </c>
      <c r="C49" s="186"/>
      <c r="D49" s="184" t="s">
        <v>625</v>
      </c>
      <c r="E49" s="673" t="s">
        <v>103</v>
      </c>
      <c r="F49" s="270">
        <v>898</v>
      </c>
      <c r="G49" s="270">
        <v>1006</v>
      </c>
      <c r="H49" s="270">
        <v>912</v>
      </c>
      <c r="I49" s="270">
        <v>854</v>
      </c>
      <c r="J49" s="270">
        <v>1221</v>
      </c>
      <c r="K49" s="270">
        <v>1186</v>
      </c>
      <c r="L49" s="270">
        <v>1437</v>
      </c>
      <c r="M49" s="270">
        <v>1344</v>
      </c>
      <c r="N49" s="270">
        <v>1460</v>
      </c>
      <c r="O49" s="270">
        <v>1517</v>
      </c>
      <c r="P49" s="270">
        <v>1485</v>
      </c>
      <c r="Q49" s="270">
        <v>1154</v>
      </c>
      <c r="R49" s="270">
        <v>1143</v>
      </c>
      <c r="S49" s="270">
        <v>1263</v>
      </c>
      <c r="T49" s="270">
        <v>1400</v>
      </c>
      <c r="U49" s="270">
        <v>1409</v>
      </c>
      <c r="V49" s="270">
        <v>1438</v>
      </c>
      <c r="W49" s="270">
        <v>1649</v>
      </c>
      <c r="X49" s="270">
        <v>1832</v>
      </c>
      <c r="Y49" s="270">
        <v>1959</v>
      </c>
      <c r="Z49" s="270">
        <v>881</v>
      </c>
      <c r="AA49" s="271">
        <v>1594</v>
      </c>
      <c r="AB49" s="718">
        <f t="shared" si="0"/>
        <v>80.930760499432466</v>
      </c>
    </row>
    <row r="50" spans="1:28" s="7" customFormat="1" ht="12.6" customHeight="1" x14ac:dyDescent="0.2">
      <c r="B50" s="146">
        <v>43</v>
      </c>
      <c r="C50" s="69"/>
      <c r="D50" s="116" t="s">
        <v>523</v>
      </c>
      <c r="E50" s="674" t="s">
        <v>111</v>
      </c>
      <c r="F50" s="267">
        <v>1123</v>
      </c>
      <c r="G50" s="267">
        <v>986</v>
      </c>
      <c r="H50" s="267">
        <v>880</v>
      </c>
      <c r="I50" s="267">
        <v>1014</v>
      </c>
      <c r="J50" s="267">
        <v>1108</v>
      </c>
      <c r="K50" s="267">
        <v>865</v>
      </c>
      <c r="L50" s="267">
        <v>881</v>
      </c>
      <c r="M50" s="267">
        <v>854</v>
      </c>
      <c r="N50" s="267">
        <v>1053</v>
      </c>
      <c r="O50" s="267">
        <v>1053</v>
      </c>
      <c r="P50" s="267">
        <v>871</v>
      </c>
      <c r="Q50" s="267">
        <v>1072</v>
      </c>
      <c r="R50" s="267">
        <v>786</v>
      </c>
      <c r="S50" s="267">
        <v>1048</v>
      </c>
      <c r="T50" s="267">
        <v>1071</v>
      </c>
      <c r="U50" s="267">
        <v>1221</v>
      </c>
      <c r="V50" s="267">
        <v>1244</v>
      </c>
      <c r="W50" s="267">
        <v>950</v>
      </c>
      <c r="X50" s="267">
        <v>1407</v>
      </c>
      <c r="Y50" s="267">
        <v>1249</v>
      </c>
      <c r="Z50" s="267">
        <v>1559</v>
      </c>
      <c r="AA50" s="268">
        <v>1594</v>
      </c>
      <c r="AB50" s="617">
        <f t="shared" si="0"/>
        <v>2.245028864656831</v>
      </c>
    </row>
    <row r="51" spans="1:28" s="7" customFormat="1" ht="12.6" customHeight="1" x14ac:dyDescent="0.2">
      <c r="B51" s="147">
        <v>44</v>
      </c>
      <c r="C51" s="186"/>
      <c r="D51" s="184" t="s">
        <v>626</v>
      </c>
      <c r="E51" s="673" t="s">
        <v>126</v>
      </c>
      <c r="F51" s="270">
        <v>1036</v>
      </c>
      <c r="G51" s="270">
        <v>1265</v>
      </c>
      <c r="H51" s="270">
        <v>1284</v>
      </c>
      <c r="I51" s="270">
        <v>1352</v>
      </c>
      <c r="J51" s="270">
        <v>1481</v>
      </c>
      <c r="K51" s="270">
        <v>1401</v>
      </c>
      <c r="L51" s="270">
        <v>1426</v>
      </c>
      <c r="M51" s="270">
        <v>1511</v>
      </c>
      <c r="N51" s="270">
        <v>1349</v>
      </c>
      <c r="O51" s="270">
        <v>1539</v>
      </c>
      <c r="P51" s="270">
        <v>1402</v>
      </c>
      <c r="Q51" s="270">
        <v>1467</v>
      </c>
      <c r="R51" s="270">
        <v>1452</v>
      </c>
      <c r="S51" s="270">
        <v>1541</v>
      </c>
      <c r="T51" s="270">
        <v>1013</v>
      </c>
      <c r="U51" s="270">
        <v>1617</v>
      </c>
      <c r="V51" s="270">
        <v>1595</v>
      </c>
      <c r="W51" s="270">
        <v>1730</v>
      </c>
      <c r="X51" s="270">
        <v>1780</v>
      </c>
      <c r="Y51" s="270">
        <v>1817</v>
      </c>
      <c r="Z51" s="270">
        <v>1073</v>
      </c>
      <c r="AA51" s="271">
        <v>1573</v>
      </c>
      <c r="AB51" s="718">
        <f t="shared" si="0"/>
        <v>46.598322460391415</v>
      </c>
    </row>
    <row r="52" spans="1:28" s="7" customFormat="1" ht="12.6" customHeight="1" x14ac:dyDescent="0.2">
      <c r="B52" s="146">
        <v>45</v>
      </c>
      <c r="C52" s="69"/>
      <c r="D52" s="116" t="s">
        <v>525</v>
      </c>
      <c r="E52" s="674" t="s">
        <v>92</v>
      </c>
      <c r="F52" s="267"/>
      <c r="G52" s="267"/>
      <c r="H52" s="267"/>
      <c r="I52" s="267"/>
      <c r="J52" s="267"/>
      <c r="K52" s="267"/>
      <c r="L52" s="267"/>
      <c r="M52" s="267"/>
      <c r="N52" s="267"/>
      <c r="O52" s="267"/>
      <c r="P52" s="267">
        <v>1299</v>
      </c>
      <c r="Q52" s="267">
        <v>1296</v>
      </c>
      <c r="R52" s="267">
        <v>1376</v>
      </c>
      <c r="S52" s="267">
        <v>1452</v>
      </c>
      <c r="T52" s="267">
        <v>1500</v>
      </c>
      <c r="U52" s="267">
        <v>1535</v>
      </c>
      <c r="V52" s="267">
        <v>1544</v>
      </c>
      <c r="W52" s="267">
        <v>1660</v>
      </c>
      <c r="X52" s="267">
        <v>1703</v>
      </c>
      <c r="Y52" s="267">
        <v>1774</v>
      </c>
      <c r="Z52" s="267">
        <v>1409</v>
      </c>
      <c r="AA52" s="268">
        <v>1556</v>
      </c>
      <c r="AB52" s="617">
        <f t="shared" si="0"/>
        <v>10.432931156848824</v>
      </c>
    </row>
    <row r="53" spans="1:28" s="7" customFormat="1" ht="12.6" customHeight="1" x14ac:dyDescent="0.2">
      <c r="B53" s="147">
        <v>46</v>
      </c>
      <c r="C53" s="186"/>
      <c r="D53" s="184" t="s">
        <v>526</v>
      </c>
      <c r="E53" s="673" t="s">
        <v>92</v>
      </c>
      <c r="F53" s="270"/>
      <c r="G53" s="270"/>
      <c r="H53" s="270"/>
      <c r="I53" s="270"/>
      <c r="J53" s="270"/>
      <c r="K53" s="270"/>
      <c r="L53" s="270"/>
      <c r="M53" s="270"/>
      <c r="N53" s="270"/>
      <c r="O53" s="270"/>
      <c r="P53" s="270">
        <v>1299</v>
      </c>
      <c r="Q53" s="270">
        <v>1296</v>
      </c>
      <c r="R53" s="270">
        <v>1376</v>
      </c>
      <c r="S53" s="270">
        <v>1452</v>
      </c>
      <c r="T53" s="270">
        <v>1500</v>
      </c>
      <c r="U53" s="270">
        <v>1535</v>
      </c>
      <c r="V53" s="270">
        <v>1544</v>
      </c>
      <c r="W53" s="270">
        <v>1660</v>
      </c>
      <c r="X53" s="270">
        <v>1703</v>
      </c>
      <c r="Y53" s="270">
        <v>1774</v>
      </c>
      <c r="Z53" s="270">
        <v>1409</v>
      </c>
      <c r="AA53" s="271">
        <v>1556</v>
      </c>
      <c r="AB53" s="718">
        <f t="shared" si="0"/>
        <v>10.432931156848824</v>
      </c>
    </row>
    <row r="54" spans="1:28" s="7" customFormat="1" ht="12.6" customHeight="1" x14ac:dyDescent="0.2">
      <c r="B54" s="146">
        <v>47</v>
      </c>
      <c r="C54" s="69"/>
      <c r="D54" s="116" t="s">
        <v>168</v>
      </c>
      <c r="E54" s="674" t="s">
        <v>111</v>
      </c>
      <c r="F54" s="267">
        <v>2241</v>
      </c>
      <c r="G54" s="267">
        <v>2136</v>
      </c>
      <c r="H54" s="267">
        <v>1975</v>
      </c>
      <c r="I54" s="267">
        <v>1932</v>
      </c>
      <c r="J54" s="267">
        <v>2145</v>
      </c>
      <c r="K54" s="267">
        <v>2099</v>
      </c>
      <c r="L54" s="267">
        <v>2500</v>
      </c>
      <c r="M54" s="267">
        <v>2285</v>
      </c>
      <c r="N54" s="267">
        <v>2677</v>
      </c>
      <c r="O54" s="267">
        <v>2837</v>
      </c>
      <c r="P54" s="267">
        <v>2440</v>
      </c>
      <c r="Q54" s="267">
        <v>2474</v>
      </c>
      <c r="R54" s="267">
        <v>2376</v>
      </c>
      <c r="S54" s="267">
        <v>2524</v>
      </c>
      <c r="T54" s="267">
        <v>2099</v>
      </c>
      <c r="U54" s="267">
        <v>2236</v>
      </c>
      <c r="V54" s="267">
        <v>2033</v>
      </c>
      <c r="W54" s="267">
        <v>2284</v>
      </c>
      <c r="X54" s="267">
        <v>2997</v>
      </c>
      <c r="Y54" s="267">
        <v>2886</v>
      </c>
      <c r="Z54" s="267">
        <v>1159</v>
      </c>
      <c r="AA54" s="268">
        <v>1534</v>
      </c>
      <c r="AB54" s="617">
        <f t="shared" si="0"/>
        <v>32.355478861087136</v>
      </c>
    </row>
    <row r="55" spans="1:28" s="7" customFormat="1" ht="12.6" customHeight="1" x14ac:dyDescent="0.2">
      <c r="B55" s="147">
        <v>48</v>
      </c>
      <c r="C55" s="186"/>
      <c r="D55" s="184" t="s">
        <v>627</v>
      </c>
      <c r="E55" s="673" t="s">
        <v>109</v>
      </c>
      <c r="F55" s="270">
        <v>167</v>
      </c>
      <c r="G55" s="270">
        <v>430</v>
      </c>
      <c r="H55" s="270">
        <v>486</v>
      </c>
      <c r="I55" s="270">
        <v>499</v>
      </c>
      <c r="J55" s="270">
        <v>643</v>
      </c>
      <c r="K55" s="270">
        <v>844</v>
      </c>
      <c r="L55" s="270">
        <v>875</v>
      </c>
      <c r="M55" s="270">
        <v>1063</v>
      </c>
      <c r="N55" s="270">
        <v>1097</v>
      </c>
      <c r="O55" s="270">
        <v>92</v>
      </c>
      <c r="P55" s="270">
        <v>1204</v>
      </c>
      <c r="Q55" s="270">
        <v>1222</v>
      </c>
      <c r="R55" s="270">
        <v>1266</v>
      </c>
      <c r="S55" s="270">
        <v>1268</v>
      </c>
      <c r="T55" s="270">
        <v>1405</v>
      </c>
      <c r="U55" s="270">
        <v>1413</v>
      </c>
      <c r="V55" s="270">
        <v>1450</v>
      </c>
      <c r="W55" s="270">
        <v>1549</v>
      </c>
      <c r="X55" s="270">
        <v>1585</v>
      </c>
      <c r="Y55" s="270">
        <v>1749</v>
      </c>
      <c r="Z55" s="270">
        <v>1127</v>
      </c>
      <c r="AA55" s="271">
        <v>1528</v>
      </c>
      <c r="AB55" s="718">
        <f t="shared" si="0"/>
        <v>35.581188997338074</v>
      </c>
    </row>
    <row r="56" spans="1:28" s="7" customFormat="1" ht="12.6" customHeight="1" x14ac:dyDescent="0.2">
      <c r="B56" s="779">
        <v>49</v>
      </c>
      <c r="C56" s="756"/>
      <c r="D56" s="70" t="s">
        <v>681</v>
      </c>
      <c r="E56" s="674" t="s">
        <v>111</v>
      </c>
      <c r="F56" s="267">
        <v>782</v>
      </c>
      <c r="G56" s="267">
        <v>676</v>
      </c>
      <c r="H56" s="267">
        <v>617</v>
      </c>
      <c r="I56" s="267">
        <v>749</v>
      </c>
      <c r="J56" s="267">
        <v>779</v>
      </c>
      <c r="K56" s="267">
        <v>655</v>
      </c>
      <c r="L56" s="267">
        <v>680</v>
      </c>
      <c r="M56" s="267">
        <v>678</v>
      </c>
      <c r="N56" s="267">
        <v>771</v>
      </c>
      <c r="O56" s="267">
        <v>758</v>
      </c>
      <c r="P56" s="267">
        <v>900</v>
      </c>
      <c r="Q56" s="267">
        <v>780</v>
      </c>
      <c r="R56" s="267">
        <v>750</v>
      </c>
      <c r="S56" s="267">
        <v>862</v>
      </c>
      <c r="T56" s="267">
        <v>937</v>
      </c>
      <c r="U56" s="267">
        <v>1040</v>
      </c>
      <c r="V56" s="267">
        <v>1171</v>
      </c>
      <c r="W56" s="267">
        <v>756</v>
      </c>
      <c r="X56" s="267">
        <v>979</v>
      </c>
      <c r="Y56" s="814">
        <v>1099</v>
      </c>
      <c r="Z56" s="267">
        <v>1467</v>
      </c>
      <c r="AA56" s="268">
        <v>1524</v>
      </c>
      <c r="AB56" s="617">
        <f t="shared" si="0"/>
        <v>3.885480572597146</v>
      </c>
    </row>
    <row r="57" spans="1:28" s="7" customFormat="1" ht="12.6" customHeight="1" x14ac:dyDescent="0.2">
      <c r="B57" s="327">
        <v>50</v>
      </c>
      <c r="C57" s="454"/>
      <c r="D57" s="670" t="s">
        <v>628</v>
      </c>
      <c r="E57" s="675" t="s">
        <v>126</v>
      </c>
      <c r="F57" s="274">
        <v>1375</v>
      </c>
      <c r="G57" s="274">
        <v>1509</v>
      </c>
      <c r="H57" s="274">
        <v>1618</v>
      </c>
      <c r="I57" s="274">
        <v>1551</v>
      </c>
      <c r="J57" s="274">
        <v>1569</v>
      </c>
      <c r="K57" s="274">
        <v>1368</v>
      </c>
      <c r="L57" s="274">
        <v>1422</v>
      </c>
      <c r="M57" s="274">
        <v>1451</v>
      </c>
      <c r="N57" s="274">
        <v>1465</v>
      </c>
      <c r="O57" s="274">
        <v>1559</v>
      </c>
      <c r="P57" s="274">
        <v>1416</v>
      </c>
      <c r="Q57" s="274">
        <v>1547</v>
      </c>
      <c r="R57" s="274">
        <v>1524</v>
      </c>
      <c r="S57" s="274">
        <v>1577</v>
      </c>
      <c r="T57" s="274">
        <v>1348</v>
      </c>
      <c r="U57" s="274">
        <v>1611</v>
      </c>
      <c r="V57" s="274">
        <v>1676</v>
      </c>
      <c r="W57" s="274">
        <v>1731</v>
      </c>
      <c r="X57" s="274">
        <v>1808</v>
      </c>
      <c r="Y57" s="274">
        <v>1840</v>
      </c>
      <c r="Z57" s="274">
        <v>1038</v>
      </c>
      <c r="AA57" s="285">
        <v>1480</v>
      </c>
      <c r="AB57" s="1041">
        <f t="shared" si="0"/>
        <v>42.581888246628154</v>
      </c>
    </row>
    <row r="58" spans="1:28" s="7" customFormat="1" ht="12.6" customHeight="1" x14ac:dyDescent="0.2">
      <c r="B58" s="147"/>
      <c r="C58" s="756"/>
      <c r="D58" s="717" t="s">
        <v>423</v>
      </c>
      <c r="E58" s="114"/>
      <c r="F58" s="146"/>
      <c r="G58" s="146"/>
      <c r="H58" s="146"/>
      <c r="I58" s="146"/>
      <c r="J58" s="399"/>
      <c r="K58" s="399"/>
      <c r="L58" s="399"/>
      <c r="M58" s="399"/>
      <c r="N58" s="399"/>
      <c r="O58" s="399"/>
      <c r="P58" s="399"/>
      <c r="Q58" s="399"/>
      <c r="R58" s="399"/>
      <c r="S58" s="399"/>
      <c r="T58" s="1"/>
      <c r="U58" s="399"/>
      <c r="V58" s="436"/>
      <c r="W58" s="487"/>
      <c r="X58" s="661"/>
      <c r="Y58" s="750"/>
      <c r="Z58" s="805"/>
      <c r="AA58" s="891"/>
      <c r="AB58" s="193"/>
    </row>
    <row r="59" spans="1:28" s="7" customFormat="1" ht="12.6" customHeight="1" x14ac:dyDescent="0.2">
      <c r="B59" s="399"/>
      <c r="C59" s="399"/>
      <c r="D59" s="832" t="s">
        <v>687</v>
      </c>
      <c r="E59" s="832"/>
      <c r="F59" s="146"/>
      <c r="G59" s="146"/>
      <c r="H59" s="146"/>
      <c r="I59" s="146"/>
      <c r="J59" s="820"/>
      <c r="K59" s="820"/>
      <c r="L59" s="820"/>
      <c r="M59" s="820"/>
      <c r="N59" s="820"/>
      <c r="O59" s="820"/>
      <c r="P59" s="820"/>
      <c r="Q59" s="820"/>
      <c r="R59" s="820"/>
      <c r="S59" s="820"/>
      <c r="T59" s="820"/>
      <c r="U59" s="820"/>
      <c r="V59" s="820"/>
      <c r="W59" s="820"/>
      <c r="X59" s="820"/>
      <c r="Y59" s="820"/>
      <c r="Z59" s="820"/>
      <c r="AA59" s="891"/>
      <c r="AB59" s="193"/>
    </row>
    <row r="60" spans="1:28" ht="15" customHeight="1" x14ac:dyDescent="0.2">
      <c r="B60" s="902"/>
      <c r="C60" s="902"/>
      <c r="D60" s="1133" t="s">
        <v>632</v>
      </c>
      <c r="E60" s="1133"/>
      <c r="F60" s="1133"/>
      <c r="G60" s="1133"/>
      <c r="H60" s="1133"/>
      <c r="I60" s="1133"/>
      <c r="J60" s="1133"/>
      <c r="K60" s="1133"/>
      <c r="L60" s="1133"/>
      <c r="M60" s="1133"/>
      <c r="N60" s="1133"/>
      <c r="O60" s="1133"/>
      <c r="P60" s="1133"/>
      <c r="Q60" s="1133"/>
      <c r="R60" s="1133"/>
      <c r="S60" s="1133"/>
      <c r="T60" s="1133"/>
      <c r="U60" s="1133"/>
      <c r="V60" s="1133"/>
      <c r="W60" s="1133"/>
      <c r="X60" s="1133"/>
      <c r="Y60" s="1133"/>
      <c r="Z60" s="1133"/>
      <c r="AA60" s="1133"/>
      <c r="AB60" s="1133"/>
    </row>
    <row r="61" spans="1:28" x14ac:dyDescent="0.2">
      <c r="B61" s="902"/>
      <c r="C61" s="902"/>
      <c r="D61" s="3" t="s">
        <v>631</v>
      </c>
      <c r="E61" s="3"/>
      <c r="F61" s="3"/>
      <c r="G61" s="3"/>
      <c r="H61" s="3"/>
      <c r="I61" s="146"/>
      <c r="J61" s="146"/>
      <c r="K61" s="146"/>
      <c r="L61" s="146"/>
      <c r="M61" s="146"/>
      <c r="N61" s="146"/>
      <c r="O61" s="146"/>
      <c r="P61" s="146"/>
      <c r="Q61" s="146"/>
      <c r="R61" s="146"/>
      <c r="S61" s="146"/>
      <c r="T61" s="146"/>
      <c r="U61" s="146"/>
      <c r="V61" s="146"/>
      <c r="W61" s="146"/>
      <c r="X61" s="146"/>
      <c r="Y61" s="146"/>
      <c r="Z61" s="146"/>
      <c r="AA61" s="146"/>
      <c r="AB61" s="146"/>
    </row>
    <row r="62" spans="1:28" x14ac:dyDescent="0.2">
      <c r="A62" s="891"/>
      <c r="B62" s="902"/>
      <c r="C62" s="902"/>
      <c r="D62" s="3" t="s">
        <v>683</v>
      </c>
      <c r="E62" s="3"/>
      <c r="F62" s="3"/>
      <c r="G62" s="3"/>
      <c r="H62" s="3"/>
      <c r="I62" s="146"/>
      <c r="J62" s="146"/>
      <c r="K62" s="146"/>
      <c r="L62" s="146"/>
      <c r="M62" s="146"/>
      <c r="N62" s="146"/>
      <c r="O62" s="146"/>
      <c r="P62" s="146"/>
      <c r="Q62" s="146"/>
      <c r="R62" s="146"/>
      <c r="S62" s="146"/>
      <c r="T62" s="146"/>
      <c r="U62" s="146"/>
      <c r="V62" s="146"/>
      <c r="W62" s="146"/>
      <c r="X62" s="146"/>
      <c r="Y62" s="146"/>
      <c r="Z62" s="146"/>
      <c r="AA62" s="146"/>
      <c r="AB62" s="146"/>
    </row>
    <row r="63" spans="1:28" s="383" customFormat="1" x14ac:dyDescent="0.2">
      <c r="A63" s="891"/>
      <c r="B63" s="902"/>
      <c r="C63" s="902"/>
      <c r="D63" s="1060" t="s">
        <v>682</v>
      </c>
      <c r="E63" s="3"/>
      <c r="F63" s="3"/>
      <c r="G63" s="3"/>
      <c r="H63" s="3"/>
      <c r="I63" s="296"/>
      <c r="J63" s="296"/>
      <c r="K63" s="296"/>
      <c r="L63" s="296"/>
      <c r="M63" s="296"/>
      <c r="N63" s="296"/>
      <c r="O63" s="296"/>
      <c r="P63" s="296"/>
      <c r="Q63" s="509"/>
      <c r="R63" s="509"/>
      <c r="S63" s="296"/>
      <c r="T63" s="296"/>
      <c r="U63" s="296"/>
      <c r="V63" s="296"/>
      <c r="W63" s="296"/>
      <c r="X63" s="296"/>
      <c r="Y63" s="296"/>
      <c r="Z63" s="296"/>
      <c r="AA63" s="296"/>
      <c r="AB63" s="296"/>
    </row>
    <row r="64" spans="1:28" x14ac:dyDescent="0.2">
      <c r="B64" s="902"/>
      <c r="C64" s="902"/>
      <c r="D64" s="902"/>
      <c r="E64" s="902"/>
      <c r="F64" s="902"/>
      <c r="G64" s="902"/>
      <c r="H64" s="902"/>
      <c r="I64" s="267"/>
      <c r="J64" s="267"/>
      <c r="K64" s="267"/>
      <c r="L64" s="267"/>
      <c r="M64" s="267"/>
      <c r="N64" s="267"/>
      <c r="O64" s="267"/>
      <c r="P64" s="267"/>
      <c r="Q64" s="267"/>
      <c r="R64" s="267"/>
      <c r="S64" s="267"/>
      <c r="T64" s="267"/>
      <c r="U64" s="267"/>
      <c r="V64" s="267"/>
      <c r="W64" s="267"/>
      <c r="X64" s="267"/>
      <c r="Y64" s="267"/>
      <c r="Z64" s="267"/>
      <c r="AA64" s="267"/>
      <c r="AB64" s="671"/>
    </row>
    <row r="65" spans="1:28" x14ac:dyDescent="0.2">
      <c r="B65" s="902"/>
      <c r="C65" s="902"/>
      <c r="D65" s="902"/>
      <c r="E65" s="902"/>
      <c r="F65" s="902"/>
      <c r="G65" s="902"/>
      <c r="H65" s="902"/>
      <c r="I65" s="206"/>
      <c r="J65" s="206"/>
      <c r="K65" s="206"/>
      <c r="L65" s="206"/>
      <c r="M65" s="206"/>
      <c r="N65" s="206"/>
      <c r="O65" s="206"/>
      <c r="P65" s="206"/>
      <c r="Q65" s="267"/>
      <c r="R65" s="267"/>
    </row>
    <row r="66" spans="1:28" x14ac:dyDescent="0.2">
      <c r="B66" s="902"/>
      <c r="C66" s="902"/>
      <c r="D66" s="902"/>
      <c r="E66" s="902"/>
      <c r="F66" s="902"/>
      <c r="G66" s="902"/>
      <c r="H66" s="902"/>
      <c r="I66" s="206"/>
      <c r="J66" s="206"/>
      <c r="K66" s="206"/>
      <c r="L66" s="206"/>
      <c r="M66" s="206"/>
      <c r="N66" s="206"/>
      <c r="O66" s="206"/>
      <c r="P66" s="206"/>
      <c r="Q66" s="267"/>
      <c r="R66" s="267"/>
    </row>
    <row r="67" spans="1:28" x14ac:dyDescent="0.2">
      <c r="B67" s="147"/>
      <c r="C67" s="206"/>
      <c r="D67" s="206"/>
      <c r="E67" s="889"/>
      <c r="F67" s="889"/>
      <c r="G67" s="889"/>
      <c r="H67" s="206"/>
      <c r="I67" s="206"/>
      <c r="J67" s="206"/>
      <c r="K67" s="206"/>
      <c r="L67" s="206"/>
      <c r="M67" s="206"/>
      <c r="N67" s="206"/>
      <c r="O67" s="206"/>
      <c r="P67" s="206"/>
      <c r="Q67" s="267"/>
      <c r="R67" s="267"/>
    </row>
    <row r="68" spans="1:28" ht="12.75" customHeight="1" x14ac:dyDescent="0.2">
      <c r="A68" s="399"/>
      <c r="B68" s="147"/>
      <c r="D68" s="2"/>
    </row>
    <row r="69" spans="1:28" x14ac:dyDescent="0.2">
      <c r="A69" s="399"/>
    </row>
    <row r="70" spans="1:28" x14ac:dyDescent="0.2">
      <c r="D70" s="4"/>
    </row>
    <row r="72" spans="1:28" x14ac:dyDescent="0.2">
      <c r="D72" s="805"/>
      <c r="E72" s="813"/>
      <c r="F72" s="813"/>
      <c r="G72" s="813"/>
      <c r="H72" s="769"/>
      <c r="I72" s="769"/>
      <c r="J72" s="769"/>
      <c r="K72" s="769"/>
      <c r="L72" s="769"/>
      <c r="M72" s="769"/>
      <c r="N72" s="769"/>
      <c r="O72" s="769"/>
      <c r="P72" s="769"/>
      <c r="Q72" s="769"/>
      <c r="R72" s="769"/>
      <c r="S72" s="769"/>
      <c r="T72" s="769"/>
      <c r="U72" s="769"/>
      <c r="V72" s="769"/>
      <c r="W72" s="769"/>
      <c r="X72" s="769"/>
      <c r="Y72" s="769"/>
      <c r="Z72" s="769"/>
      <c r="AA72" s="769"/>
      <c r="AB72" s="805"/>
    </row>
    <row r="73" spans="1:28" x14ac:dyDescent="0.2">
      <c r="D73" s="805"/>
      <c r="E73" s="769"/>
      <c r="F73" s="769"/>
      <c r="G73" s="769"/>
      <c r="H73" s="813"/>
      <c r="I73" s="813"/>
      <c r="J73" s="813"/>
      <c r="K73" s="813"/>
      <c r="L73" s="813"/>
      <c r="M73" s="813"/>
      <c r="N73" s="813"/>
      <c r="O73" s="813"/>
      <c r="P73" s="813"/>
      <c r="Q73" s="813"/>
      <c r="R73" s="813"/>
      <c r="S73" s="813"/>
      <c r="T73" s="813"/>
      <c r="U73" s="813"/>
      <c r="V73" s="813"/>
      <c r="W73" s="813"/>
      <c r="X73" s="813"/>
      <c r="Y73" s="813"/>
      <c r="Z73" s="813"/>
      <c r="AA73" s="813"/>
      <c r="AB73" s="805"/>
    </row>
    <row r="74" spans="1:28" x14ac:dyDescent="0.2">
      <c r="D74" s="805"/>
      <c r="H74" s="769"/>
      <c r="I74" s="769"/>
      <c r="J74" s="769"/>
      <c r="K74" s="769"/>
      <c r="L74" s="769"/>
      <c r="M74" s="769"/>
      <c r="N74" s="769"/>
      <c r="O74" s="769"/>
      <c r="P74" s="769"/>
      <c r="Q74" s="769"/>
      <c r="R74" s="769"/>
      <c r="S74" s="769"/>
      <c r="T74" s="769"/>
      <c r="U74" s="769"/>
      <c r="V74" s="769"/>
      <c r="W74" s="769"/>
      <c r="X74" s="769"/>
      <c r="Y74" s="769"/>
      <c r="Z74" s="769"/>
      <c r="AA74" s="769"/>
      <c r="AB74" s="805"/>
    </row>
  </sheetData>
  <sortState xmlns:xlrd2="http://schemas.microsoft.com/office/spreadsheetml/2017/richdata2" ref="D7:Y61">
    <sortCondition descending="1" ref="V8"/>
  </sortState>
  <mergeCells count="6">
    <mergeCell ref="C2:W2"/>
    <mergeCell ref="C3:W3"/>
    <mergeCell ref="C4:AA4"/>
    <mergeCell ref="D60:AB60"/>
    <mergeCell ref="B5:B7"/>
    <mergeCell ref="D5:E6"/>
  </mergeCells>
  <phoneticPr fontId="6" type="noConversion"/>
  <hyperlinks>
    <hyperlink ref="D58" r:id="rId1" xr:uid="{00000000-0004-0000-0900-000000000000}"/>
  </hyperlinks>
  <printOptions horizontalCentered="1"/>
  <pageMargins left="0.6692913385826772" right="0.6692913385826772" top="0.51181102362204722" bottom="0.27559055118110237" header="0" footer="0"/>
  <pageSetup paperSize="9" scale="80" orientation="portrait" r:id="rId2"/>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7"/>
  <dimension ref="A1:AD89"/>
  <sheetViews>
    <sheetView zoomScale="85" zoomScaleNormal="85" workbookViewId="0">
      <selection activeCell="AF52" sqref="AF52"/>
    </sheetView>
  </sheetViews>
  <sheetFormatPr defaultRowHeight="12.75" x14ac:dyDescent="0.2"/>
  <cols>
    <col min="1" max="1" width="3.7109375" style="383" customWidth="1"/>
    <col min="2" max="2" width="3.7109375" style="891" customWidth="1"/>
    <col min="3" max="3" width="3.7109375" customWidth="1"/>
    <col min="4" max="4" width="0.85546875" style="750" customWidth="1"/>
    <col min="5" max="5" width="20.7109375" style="750" customWidth="1"/>
    <col min="6" max="6" width="3.140625" style="750" customWidth="1"/>
    <col min="7" max="21" width="8.7109375" style="750" customWidth="1"/>
    <col min="22" max="23" width="8.42578125" style="750" customWidth="1"/>
    <col min="24" max="24" width="8.42578125" style="419" customWidth="1"/>
    <col min="25" max="28" width="6.7109375" style="419" customWidth="1"/>
    <col min="29" max="29" width="6.140625" style="547" customWidth="1"/>
    <col min="30" max="30" width="6.140625" style="487" customWidth="1"/>
  </cols>
  <sheetData>
    <row r="1" spans="1:30" ht="14.25" customHeight="1" x14ac:dyDescent="0.2">
      <c r="C1" s="1"/>
      <c r="D1" s="20"/>
      <c r="E1" s="752"/>
      <c r="F1" s="752"/>
      <c r="G1" s="746"/>
      <c r="H1" s="746"/>
      <c r="I1" s="746"/>
      <c r="J1" s="746"/>
      <c r="K1" s="746"/>
      <c r="L1" s="746"/>
      <c r="M1" s="746"/>
      <c r="N1" s="746"/>
      <c r="O1" s="746"/>
      <c r="P1" s="746"/>
      <c r="Q1" s="746"/>
      <c r="R1" s="746"/>
      <c r="S1" s="746"/>
      <c r="T1" s="746"/>
      <c r="U1" s="746"/>
      <c r="X1" s="553"/>
      <c r="Y1" s="553"/>
      <c r="Z1" s="553"/>
      <c r="AA1" s="553"/>
      <c r="AB1" s="553"/>
      <c r="AC1" s="10" t="s">
        <v>257</v>
      </c>
    </row>
    <row r="2" spans="1:30" ht="30" customHeight="1" x14ac:dyDescent="0.2">
      <c r="E2" s="1142" t="s">
        <v>393</v>
      </c>
      <c r="F2" s="1142"/>
      <c r="G2" s="1142"/>
      <c r="H2" s="1142"/>
      <c r="I2" s="1142"/>
      <c r="J2" s="1142"/>
      <c r="K2" s="1142"/>
      <c r="L2" s="1142"/>
      <c r="M2" s="1142"/>
      <c r="N2" s="1142"/>
      <c r="O2" s="1142"/>
      <c r="P2" s="1142"/>
      <c r="Q2" s="1142"/>
      <c r="R2" s="1142"/>
      <c r="S2" s="1142"/>
      <c r="T2" s="1142"/>
      <c r="U2" s="1142"/>
      <c r="V2" s="1142"/>
      <c r="W2" s="1142"/>
      <c r="X2" s="1142"/>
      <c r="Y2" s="1142"/>
      <c r="Z2" s="1142"/>
      <c r="AA2" s="1142"/>
      <c r="AB2" s="1142"/>
      <c r="AC2" s="1142"/>
    </row>
    <row r="3" spans="1:30" ht="23.25" customHeight="1" x14ac:dyDescent="0.2">
      <c r="A3" s="891"/>
      <c r="C3" s="1"/>
      <c r="D3" s="881"/>
      <c r="E3" s="1143" t="s">
        <v>229</v>
      </c>
      <c r="F3" s="1143"/>
      <c r="G3" s="1143"/>
      <c r="H3" s="1143"/>
      <c r="I3" s="1143"/>
      <c r="J3" s="1143"/>
      <c r="K3" s="1143"/>
      <c r="L3" s="1143"/>
      <c r="M3" s="1143"/>
      <c r="N3" s="1143"/>
      <c r="O3" s="1143"/>
      <c r="P3" s="1143"/>
      <c r="Q3" s="1143"/>
      <c r="R3" s="1143"/>
      <c r="S3" s="1143"/>
      <c r="T3" s="1143"/>
      <c r="U3" s="1143"/>
      <c r="V3" s="1143"/>
      <c r="W3" s="1143"/>
      <c r="X3" s="1143"/>
      <c r="Y3" s="1143"/>
      <c r="Z3" s="1143"/>
      <c r="AA3" s="1143"/>
      <c r="AB3" s="1143"/>
      <c r="AC3" s="678"/>
      <c r="AD3" s="1"/>
    </row>
    <row r="4" spans="1:30" ht="12" customHeight="1" x14ac:dyDescent="0.2">
      <c r="D4" s="753"/>
      <c r="E4" s="1144" t="s">
        <v>124</v>
      </c>
      <c r="F4" s="1144"/>
      <c r="G4" s="1144"/>
      <c r="H4" s="1144"/>
      <c r="I4" s="1144"/>
      <c r="J4" s="1144"/>
      <c r="K4" s="1144"/>
      <c r="L4" s="1144"/>
      <c r="M4" s="1144"/>
      <c r="N4" s="1144"/>
      <c r="O4" s="1144"/>
      <c r="P4" s="1144"/>
      <c r="Q4" s="1144"/>
      <c r="R4" s="1144"/>
      <c r="S4" s="1144"/>
      <c r="T4" s="1144"/>
      <c r="U4" s="1144"/>
      <c r="V4" s="1144"/>
      <c r="W4" s="1144"/>
      <c r="X4" s="1144"/>
      <c r="Y4" s="1144"/>
      <c r="Z4" s="1144"/>
      <c r="AA4" s="1144"/>
      <c r="AB4" s="1144"/>
    </row>
    <row r="5" spans="1:30" s="12" customFormat="1" ht="12.75" customHeight="1" x14ac:dyDescent="0.2">
      <c r="C5" s="1134" t="s">
        <v>173</v>
      </c>
      <c r="D5" s="49"/>
      <c r="E5" s="1135" t="s">
        <v>46</v>
      </c>
      <c r="F5" s="1139"/>
      <c r="G5" s="55"/>
      <c r="H5" s="55"/>
      <c r="I5" s="55"/>
      <c r="J5" s="55"/>
      <c r="K5" s="766"/>
      <c r="L5" s="766"/>
      <c r="M5" s="766"/>
      <c r="N5" s="766"/>
      <c r="O5" s="766"/>
      <c r="P5" s="766"/>
      <c r="Q5" s="766"/>
      <c r="R5" s="766"/>
      <c r="S5" s="766"/>
      <c r="T5" s="766"/>
      <c r="U5" s="766"/>
      <c r="V5" s="766"/>
      <c r="W5" s="766"/>
      <c r="X5" s="767"/>
      <c r="Y5" s="767"/>
      <c r="Z5" s="554"/>
      <c r="AA5" s="554"/>
      <c r="AB5" s="554"/>
      <c r="AC5" s="60" t="s">
        <v>213</v>
      </c>
      <c r="AD5" s="487"/>
    </row>
    <row r="6" spans="1:30" s="12" customFormat="1" ht="12.75" customHeight="1" x14ac:dyDescent="0.2">
      <c r="C6" s="1134"/>
      <c r="D6" s="50"/>
      <c r="E6" s="1140"/>
      <c r="F6" s="1141"/>
      <c r="G6" s="754">
        <v>2000</v>
      </c>
      <c r="H6" s="754">
        <v>2001</v>
      </c>
      <c r="I6" s="754">
        <v>2002</v>
      </c>
      <c r="J6" s="754">
        <v>2003</v>
      </c>
      <c r="K6" s="754">
        <v>2004</v>
      </c>
      <c r="L6" s="754">
        <v>2005</v>
      </c>
      <c r="M6" s="754">
        <v>2006</v>
      </c>
      <c r="N6" s="754">
        <v>2007</v>
      </c>
      <c r="O6" s="754">
        <v>2008</v>
      </c>
      <c r="P6" s="754">
        <v>2009</v>
      </c>
      <c r="Q6" s="754">
        <v>2010</v>
      </c>
      <c r="R6" s="754">
        <v>2011</v>
      </c>
      <c r="S6" s="754">
        <v>2012</v>
      </c>
      <c r="T6" s="754">
        <v>2013</v>
      </c>
      <c r="U6" s="754">
        <v>2014</v>
      </c>
      <c r="V6" s="754">
        <v>2015</v>
      </c>
      <c r="W6" s="754">
        <v>2016</v>
      </c>
      <c r="X6" s="558">
        <v>2017</v>
      </c>
      <c r="Y6" s="558">
        <v>2018</v>
      </c>
      <c r="Z6" s="558">
        <v>2019</v>
      </c>
      <c r="AA6" s="558">
        <v>2020</v>
      </c>
      <c r="AB6" s="558">
        <v>2021</v>
      </c>
      <c r="AC6" s="57" t="s">
        <v>637</v>
      </c>
      <c r="AD6" s="487"/>
    </row>
    <row r="7" spans="1:30" s="12" customFormat="1" ht="12" customHeight="1" x14ac:dyDescent="0.2">
      <c r="C7" s="1134"/>
      <c r="D7" s="51"/>
      <c r="E7" s="63"/>
      <c r="F7" s="64"/>
      <c r="G7" s="58"/>
      <c r="H7" s="58"/>
      <c r="I7" s="58"/>
      <c r="J7" s="58"/>
      <c r="K7" s="58"/>
      <c r="L7" s="58"/>
      <c r="M7" s="58"/>
      <c r="N7" s="58"/>
      <c r="O7" s="58"/>
      <c r="P7" s="58"/>
      <c r="Q7" s="58"/>
      <c r="R7" s="58"/>
      <c r="S7" s="58"/>
      <c r="T7" s="58"/>
      <c r="U7" s="58"/>
      <c r="V7" s="58"/>
      <c r="W7" s="58"/>
      <c r="X7" s="677"/>
      <c r="Y7" s="677"/>
      <c r="Z7" s="677"/>
      <c r="AA7" s="677"/>
      <c r="AB7" s="555"/>
      <c r="AC7" s="559" t="s">
        <v>120</v>
      </c>
      <c r="AD7" s="487"/>
    </row>
    <row r="8" spans="1:30" ht="12.75" customHeight="1" x14ac:dyDescent="0.2">
      <c r="A8" s="33"/>
      <c r="B8" s="33"/>
      <c r="C8" s="145">
        <v>1</v>
      </c>
      <c r="D8" s="392"/>
      <c r="E8" s="211" t="s">
        <v>56</v>
      </c>
      <c r="F8" s="390" t="s">
        <v>104</v>
      </c>
      <c r="G8" s="512">
        <v>302.54500000000002</v>
      </c>
      <c r="H8" s="512">
        <v>296.62</v>
      </c>
      <c r="I8" s="512">
        <v>302.74400000000003</v>
      </c>
      <c r="J8" s="512">
        <v>307.35300000000001</v>
      </c>
      <c r="K8" s="512">
        <v>330.86500000000001</v>
      </c>
      <c r="L8" s="512">
        <v>345.81900000000002</v>
      </c>
      <c r="M8" s="512">
        <v>353.57600000000002</v>
      </c>
      <c r="N8" s="512">
        <v>374.15199999999999</v>
      </c>
      <c r="O8" s="512">
        <v>384.21</v>
      </c>
      <c r="P8" s="512">
        <v>353.87099999999998</v>
      </c>
      <c r="Q8" s="512">
        <v>395.76299999999998</v>
      </c>
      <c r="R8" s="512">
        <v>404.447</v>
      </c>
      <c r="S8" s="512">
        <v>409.78500000000003</v>
      </c>
      <c r="T8" s="512">
        <v>411.85500000000002</v>
      </c>
      <c r="U8" s="512">
        <v>418.61099999999999</v>
      </c>
      <c r="V8" s="512">
        <v>436.94200000000001</v>
      </c>
      <c r="W8" s="519">
        <v>431.94400000000002</v>
      </c>
      <c r="X8" s="512">
        <v>433.29300000000001</v>
      </c>
      <c r="Y8" s="512">
        <v>441.47399999999999</v>
      </c>
      <c r="Z8" s="512">
        <v>439.63299999999998</v>
      </c>
      <c r="AA8" s="512">
        <v>409.23599999999999</v>
      </c>
      <c r="AB8" s="518">
        <v>434.846</v>
      </c>
      <c r="AC8" s="718">
        <f>AB8/AA8*100-100</f>
        <v>6.2580027172585204</v>
      </c>
    </row>
    <row r="9" spans="1:30" ht="12.75" customHeight="1" x14ac:dyDescent="0.2">
      <c r="A9" s="18"/>
      <c r="B9" s="18"/>
      <c r="C9" s="145">
        <v>2</v>
      </c>
      <c r="D9" s="388"/>
      <c r="E9" s="175" t="s">
        <v>11</v>
      </c>
      <c r="F9" s="389" t="s">
        <v>106</v>
      </c>
      <c r="G9" s="513">
        <v>116.003</v>
      </c>
      <c r="H9" s="513">
        <v>114.813</v>
      </c>
      <c r="I9" s="513">
        <v>113.944</v>
      </c>
      <c r="J9" s="513">
        <v>126.128</v>
      </c>
      <c r="K9" s="513">
        <v>135.511</v>
      </c>
      <c r="L9" s="513">
        <v>145.83500000000001</v>
      </c>
      <c r="M9" s="513">
        <v>151.70500000000001</v>
      </c>
      <c r="N9" s="513">
        <v>165.512</v>
      </c>
      <c r="O9" s="513">
        <v>171.23699999999999</v>
      </c>
      <c r="P9" s="513">
        <v>142.11600000000001</v>
      </c>
      <c r="Q9" s="513">
        <v>160.012</v>
      </c>
      <c r="R9" s="513">
        <v>168.547</v>
      </c>
      <c r="S9" s="513">
        <v>164.547</v>
      </c>
      <c r="T9" s="513">
        <v>171.98400000000001</v>
      </c>
      <c r="U9" s="513">
        <v>180.40100000000001</v>
      </c>
      <c r="V9" s="513">
        <v>190.107</v>
      </c>
      <c r="W9" s="513">
        <v>198.691</v>
      </c>
      <c r="X9" s="513">
        <v>201.202</v>
      </c>
      <c r="Y9" s="513">
        <v>212.01</v>
      </c>
      <c r="Z9" s="513">
        <v>214.03</v>
      </c>
      <c r="AA9" s="513">
        <v>206.31899999999999</v>
      </c>
      <c r="AB9" s="514">
        <v>215.852</v>
      </c>
      <c r="AC9" s="617">
        <f t="shared" ref="AC9:AC57" si="0">AB9/AA9*100-100</f>
        <v>4.620514833825311</v>
      </c>
    </row>
    <row r="10" spans="1:30" ht="12.75" customHeight="1" x14ac:dyDescent="0.2">
      <c r="A10" s="18"/>
      <c r="B10" s="18"/>
      <c r="C10" s="145">
        <v>3</v>
      </c>
      <c r="D10" s="393"/>
      <c r="E10" s="211" t="s">
        <v>218</v>
      </c>
      <c r="F10" s="391" t="s">
        <v>107</v>
      </c>
      <c r="G10" s="512">
        <v>76.95</v>
      </c>
      <c r="H10" s="512">
        <v>82.947999999999993</v>
      </c>
      <c r="I10" s="512">
        <v>86.724000000000004</v>
      </c>
      <c r="J10" s="512">
        <v>93.561999999999998</v>
      </c>
      <c r="K10" s="512">
        <v>99.528999999999996</v>
      </c>
      <c r="L10" s="512">
        <v>108.253</v>
      </c>
      <c r="M10" s="512">
        <v>115.529</v>
      </c>
      <c r="N10" s="512">
        <v>118.19</v>
      </c>
      <c r="O10" s="512">
        <v>118.91500000000001</v>
      </c>
      <c r="P10" s="512">
        <v>94.762</v>
      </c>
      <c r="Q10" s="512">
        <v>104.52</v>
      </c>
      <c r="R10" s="512">
        <v>114.36799999999999</v>
      </c>
      <c r="S10" s="512">
        <v>113.53100000000001</v>
      </c>
      <c r="T10" s="512">
        <v>120.568</v>
      </c>
      <c r="U10" s="515">
        <v>126.004</v>
      </c>
      <c r="V10" s="515">
        <v>120.173</v>
      </c>
      <c r="W10" s="515">
        <v>120.32299999999999</v>
      </c>
      <c r="X10" s="515">
        <v>118.761</v>
      </c>
      <c r="Y10" s="515">
        <v>117.621</v>
      </c>
      <c r="Z10" s="515">
        <v>117.152</v>
      </c>
      <c r="AA10" s="515">
        <v>109.175</v>
      </c>
      <c r="AB10" s="516">
        <v>111.15600000000001</v>
      </c>
      <c r="AC10" s="811">
        <f t="shared" si="0"/>
        <v>1.8145179757270427</v>
      </c>
    </row>
    <row r="11" spans="1:30" ht="12.75" customHeight="1" x14ac:dyDescent="0.2">
      <c r="A11" s="18"/>
      <c r="B11" s="18"/>
      <c r="C11" s="145">
        <v>4</v>
      </c>
      <c r="D11" s="388"/>
      <c r="E11" s="175" t="s">
        <v>214</v>
      </c>
      <c r="F11" s="389" t="s">
        <v>104</v>
      </c>
      <c r="G11" s="513">
        <v>61.308999999999997</v>
      </c>
      <c r="H11" s="513">
        <v>66.983999999999995</v>
      </c>
      <c r="I11" s="513">
        <v>67.885000000000005</v>
      </c>
      <c r="J11" s="513">
        <v>59.024000000000001</v>
      </c>
      <c r="K11" s="513">
        <v>67.941000000000003</v>
      </c>
      <c r="L11" s="513">
        <v>69.304000000000002</v>
      </c>
      <c r="M11" s="513">
        <v>77.730999999999995</v>
      </c>
      <c r="N11" s="513">
        <v>83.938999999999993</v>
      </c>
      <c r="O11" s="513">
        <v>97.674999999999997</v>
      </c>
      <c r="P11" s="513">
        <v>85.603999999999999</v>
      </c>
      <c r="Q11" s="513">
        <v>89.899000000000001</v>
      </c>
      <c r="R11" s="513">
        <v>88.421000000000006</v>
      </c>
      <c r="S11" s="513">
        <v>91.659000000000006</v>
      </c>
      <c r="T11" s="513">
        <v>92.347999999999999</v>
      </c>
      <c r="U11" s="424">
        <v>96.289000000000001</v>
      </c>
      <c r="V11" s="424">
        <v>98.775999999999996</v>
      </c>
      <c r="W11" s="424">
        <v>96.343000000000004</v>
      </c>
      <c r="X11" s="424">
        <v>98.516999999999996</v>
      </c>
      <c r="Y11" s="424">
        <v>99.503</v>
      </c>
      <c r="Z11" s="424">
        <v>103.913</v>
      </c>
      <c r="AA11" s="424">
        <v>89.474000000000004</v>
      </c>
      <c r="AB11" s="517">
        <v>87.995999999999995</v>
      </c>
      <c r="AC11" s="617">
        <f t="shared" si="0"/>
        <v>-1.6518765227887542</v>
      </c>
      <c r="AD11" s="502"/>
    </row>
    <row r="12" spans="1:30" ht="12.75" customHeight="1" x14ac:dyDescent="0.2">
      <c r="A12" s="18"/>
      <c r="B12" s="18"/>
      <c r="C12" s="145">
        <v>5</v>
      </c>
      <c r="D12" s="393"/>
      <c r="E12" s="211" t="s">
        <v>53</v>
      </c>
      <c r="F12" s="391" t="s">
        <v>108</v>
      </c>
      <c r="G12" s="512">
        <v>38.334000000000003</v>
      </c>
      <c r="H12" s="512">
        <v>41.134</v>
      </c>
      <c r="I12" s="512">
        <v>42.241999999999997</v>
      </c>
      <c r="J12" s="512">
        <v>48.264000000000003</v>
      </c>
      <c r="K12" s="512">
        <v>53.329000000000001</v>
      </c>
      <c r="L12" s="512">
        <v>55.186</v>
      </c>
      <c r="M12" s="512">
        <v>60.023000000000003</v>
      </c>
      <c r="N12" s="512">
        <v>62.128</v>
      </c>
      <c r="O12" s="512">
        <v>61.869</v>
      </c>
      <c r="P12" s="512">
        <v>55.84</v>
      </c>
      <c r="Q12" s="512">
        <v>58.564999999999998</v>
      </c>
      <c r="R12" s="512">
        <v>68.912999999999997</v>
      </c>
      <c r="S12" s="512">
        <v>72.343999999999994</v>
      </c>
      <c r="T12" s="512">
        <v>67.617999999999995</v>
      </c>
      <c r="U12" s="512">
        <v>75.650000000000006</v>
      </c>
      <c r="V12" s="512">
        <v>79.373999999999995</v>
      </c>
      <c r="W12" s="512">
        <v>83.421999999999997</v>
      </c>
      <c r="X12" s="512">
        <v>83.465000000000003</v>
      </c>
      <c r="Y12" s="512">
        <v>88.644999999999996</v>
      </c>
      <c r="Z12" s="512">
        <v>89.905000000000001</v>
      </c>
      <c r="AA12" s="512">
        <v>88.497</v>
      </c>
      <c r="AB12" s="518">
        <v>83.051000000000002</v>
      </c>
      <c r="AC12" s="718">
        <f t="shared" si="0"/>
        <v>-6.1538809225171462</v>
      </c>
    </row>
    <row r="13" spans="1:30" ht="12.75" customHeight="1" x14ac:dyDescent="0.2">
      <c r="A13" s="18"/>
      <c r="B13" s="18"/>
      <c r="C13" s="145">
        <v>6</v>
      </c>
      <c r="D13" s="388"/>
      <c r="E13" s="175" t="s">
        <v>3</v>
      </c>
      <c r="F13" s="389" t="s">
        <v>109</v>
      </c>
      <c r="G13" s="513">
        <v>91.278999999999996</v>
      </c>
      <c r="H13" s="513">
        <v>89.518000000000001</v>
      </c>
      <c r="I13" s="513">
        <v>89.244</v>
      </c>
      <c r="J13" s="513">
        <v>92.418000000000006</v>
      </c>
      <c r="K13" s="513">
        <v>90.81</v>
      </c>
      <c r="L13" s="513">
        <v>93.308000000000007</v>
      </c>
      <c r="M13" s="513">
        <v>96.527000000000001</v>
      </c>
      <c r="N13" s="513">
        <v>92.561000000000007</v>
      </c>
      <c r="O13" s="513">
        <v>92.522999999999996</v>
      </c>
      <c r="P13" s="513">
        <v>79.846000000000004</v>
      </c>
      <c r="Q13" s="513">
        <v>82.427000000000007</v>
      </c>
      <c r="R13" s="513">
        <v>84.460999999999999</v>
      </c>
      <c r="S13" s="513">
        <v>81.846000000000004</v>
      </c>
      <c r="T13" s="513">
        <v>76.248000000000005</v>
      </c>
      <c r="U13" s="513">
        <v>74.426000000000002</v>
      </c>
      <c r="V13" s="513">
        <v>77.478999999999999</v>
      </c>
      <c r="W13" s="513">
        <v>76.427000000000007</v>
      </c>
      <c r="X13" s="513">
        <v>75.617000000000004</v>
      </c>
      <c r="Y13" s="513">
        <v>75.671999999999997</v>
      </c>
      <c r="Z13" s="513">
        <v>74.051000000000002</v>
      </c>
      <c r="AA13" s="513">
        <v>71.59</v>
      </c>
      <c r="AB13" s="514">
        <v>70.088999999999999</v>
      </c>
      <c r="AC13" s="617">
        <f t="shared" si="0"/>
        <v>-2.096661544908514</v>
      </c>
    </row>
    <row r="14" spans="1:30" ht="12.75" customHeight="1" x14ac:dyDescent="0.2">
      <c r="A14" s="18"/>
      <c r="B14" s="18"/>
      <c r="C14" s="145">
        <v>7</v>
      </c>
      <c r="D14" s="393"/>
      <c r="E14" s="211" t="s">
        <v>63</v>
      </c>
      <c r="F14" s="391" t="s">
        <v>108</v>
      </c>
      <c r="G14" s="512">
        <v>21.957999999999998</v>
      </c>
      <c r="H14" s="512">
        <v>24.768000000000001</v>
      </c>
      <c r="I14" s="512">
        <v>28.481000000000002</v>
      </c>
      <c r="J14" s="512">
        <v>30.385000000000002</v>
      </c>
      <c r="K14" s="512">
        <v>32.304000000000002</v>
      </c>
      <c r="L14" s="512">
        <v>34.99</v>
      </c>
      <c r="M14" s="512">
        <v>40.741999999999997</v>
      </c>
      <c r="N14" s="512">
        <v>45.935000000000002</v>
      </c>
      <c r="O14" s="512">
        <v>50.182000000000002</v>
      </c>
      <c r="P14" s="512">
        <v>48.343000000000004</v>
      </c>
      <c r="Q14" s="512">
        <v>53.075000000000003</v>
      </c>
      <c r="R14" s="512">
        <v>54.213000000000001</v>
      </c>
      <c r="S14" s="512">
        <v>54.216999999999999</v>
      </c>
      <c r="T14" s="512">
        <v>53.47</v>
      </c>
      <c r="U14" s="512">
        <v>55.046999999999997</v>
      </c>
      <c r="V14" s="512">
        <v>57.557000000000002</v>
      </c>
      <c r="W14" s="512">
        <v>58.320999999999998</v>
      </c>
      <c r="X14" s="512">
        <v>60.116</v>
      </c>
      <c r="Y14" s="512">
        <v>61.972000000000001</v>
      </c>
      <c r="Z14" s="512">
        <v>65.308000000000007</v>
      </c>
      <c r="AA14" s="512">
        <v>65.628</v>
      </c>
      <c r="AB14" s="518">
        <v>69.132000000000005</v>
      </c>
      <c r="AC14" s="718">
        <f t="shared" si="0"/>
        <v>5.3391844944231224</v>
      </c>
    </row>
    <row r="15" spans="1:30" ht="12.75" customHeight="1" x14ac:dyDescent="0.2">
      <c r="A15" s="18"/>
      <c r="B15" s="18"/>
      <c r="C15" s="145">
        <v>8</v>
      </c>
      <c r="D15" s="388"/>
      <c r="E15" s="175" t="s">
        <v>58</v>
      </c>
      <c r="F15" s="389" t="s">
        <v>111</v>
      </c>
      <c r="G15" s="513">
        <v>44.015000000000001</v>
      </c>
      <c r="H15" s="513">
        <v>44.712000000000003</v>
      </c>
      <c r="I15" s="513">
        <v>43.716999999999999</v>
      </c>
      <c r="J15" s="513">
        <v>41.566000000000003</v>
      </c>
      <c r="K15" s="513">
        <v>41.515999999999998</v>
      </c>
      <c r="L15" s="513">
        <v>43.354999999999997</v>
      </c>
      <c r="M15" s="513">
        <v>44.643999999999998</v>
      </c>
      <c r="N15" s="513">
        <v>39.832999999999998</v>
      </c>
      <c r="O15" s="513">
        <v>37.195</v>
      </c>
      <c r="P15" s="513">
        <v>40.985999999999997</v>
      </c>
      <c r="Q15" s="513">
        <v>40.557000000000002</v>
      </c>
      <c r="R15" s="513">
        <v>41.802999999999997</v>
      </c>
      <c r="S15" s="513">
        <v>42.143999999999998</v>
      </c>
      <c r="T15" s="513">
        <v>45.985999999999997</v>
      </c>
      <c r="U15" s="513">
        <v>47.265000000000001</v>
      </c>
      <c r="V15" s="513">
        <v>49.137</v>
      </c>
      <c r="W15" s="513">
        <v>49.311</v>
      </c>
      <c r="X15" s="513">
        <v>55.164999999999999</v>
      </c>
      <c r="Y15" s="513">
        <v>57.38</v>
      </c>
      <c r="Z15" s="513">
        <v>60.332999999999998</v>
      </c>
      <c r="AA15" s="513">
        <v>57.837000000000003</v>
      </c>
      <c r="AB15" s="514">
        <v>60.674999999999997</v>
      </c>
      <c r="AC15" s="617">
        <f t="shared" si="0"/>
        <v>4.9068935110742018</v>
      </c>
    </row>
    <row r="16" spans="1:30" ht="12.75" customHeight="1" x14ac:dyDescent="0.2">
      <c r="A16" s="18"/>
      <c r="B16" s="18"/>
      <c r="C16" s="145">
        <v>9</v>
      </c>
      <c r="D16" s="393"/>
      <c r="E16" s="211" t="s">
        <v>57</v>
      </c>
      <c r="F16" s="391" t="s">
        <v>109</v>
      </c>
      <c r="G16" s="512">
        <v>63.884999999999998</v>
      </c>
      <c r="H16" s="512">
        <v>65.355999999999995</v>
      </c>
      <c r="I16" s="512">
        <v>63.753999999999998</v>
      </c>
      <c r="J16" s="512">
        <v>67.382000000000005</v>
      </c>
      <c r="K16" s="512">
        <v>71.878</v>
      </c>
      <c r="L16" s="512">
        <v>70.801000000000002</v>
      </c>
      <c r="M16" s="512">
        <v>69.972999999999999</v>
      </c>
      <c r="N16" s="512">
        <v>73.897000000000006</v>
      </c>
      <c r="O16" s="512">
        <v>75.635999999999996</v>
      </c>
      <c r="P16" s="512">
        <v>69.227999999999994</v>
      </c>
      <c r="Q16" s="512">
        <v>65.771000000000001</v>
      </c>
      <c r="R16" s="512">
        <v>63.383000000000003</v>
      </c>
      <c r="S16" s="512">
        <v>59.246000000000002</v>
      </c>
      <c r="T16" s="512">
        <v>64.394999999999996</v>
      </c>
      <c r="U16" s="512">
        <v>61.436</v>
      </c>
      <c r="V16" s="512">
        <v>62.945999999999998</v>
      </c>
      <c r="W16" s="512">
        <v>60.033000000000001</v>
      </c>
      <c r="X16" s="512">
        <v>66.103999999999999</v>
      </c>
      <c r="Y16" s="512">
        <v>64.902000000000001</v>
      </c>
      <c r="Z16" s="512">
        <v>60.171999999999997</v>
      </c>
      <c r="AA16" s="512">
        <v>49.021999999999998</v>
      </c>
      <c r="AB16" s="518">
        <v>57.088999999999999</v>
      </c>
      <c r="AC16" s="718">
        <f t="shared" si="0"/>
        <v>16.455876953204694</v>
      </c>
    </row>
    <row r="17" spans="1:29" ht="12.75" customHeight="1" x14ac:dyDescent="0.2">
      <c r="A17" s="18"/>
      <c r="B17" s="18"/>
      <c r="C17" s="145">
        <v>10</v>
      </c>
      <c r="D17" s="388"/>
      <c r="E17" s="175" t="s">
        <v>215</v>
      </c>
      <c r="F17" s="389" t="s">
        <v>108</v>
      </c>
      <c r="G17" s="513">
        <v>25.786999999999999</v>
      </c>
      <c r="H17" s="513">
        <v>27.327000000000002</v>
      </c>
      <c r="I17" s="513">
        <v>25.042000000000002</v>
      </c>
      <c r="J17" s="513">
        <v>29.933</v>
      </c>
      <c r="K17" s="513">
        <v>36.320999999999998</v>
      </c>
      <c r="L17" s="513">
        <v>37.063000000000002</v>
      </c>
      <c r="M17" s="513">
        <v>38.267000000000003</v>
      </c>
      <c r="N17" s="513">
        <v>41.04</v>
      </c>
      <c r="O17" s="513">
        <v>41.511000000000003</v>
      </c>
      <c r="P17" s="513">
        <v>35.911000000000001</v>
      </c>
      <c r="Q17" s="513">
        <v>35.326000000000001</v>
      </c>
      <c r="R17" s="513">
        <v>35.222000000000001</v>
      </c>
      <c r="S17" s="513">
        <v>34.341999999999999</v>
      </c>
      <c r="T17" s="513">
        <v>34.372</v>
      </c>
      <c r="U17" s="513">
        <v>41.182000000000002</v>
      </c>
      <c r="V17" s="513">
        <v>38.046999999999997</v>
      </c>
      <c r="W17" s="513">
        <v>39.142000000000003</v>
      </c>
      <c r="X17" s="513">
        <v>49.825000000000003</v>
      </c>
      <c r="Y17" s="513">
        <v>54.56</v>
      </c>
      <c r="Z17" s="513">
        <v>54.709000000000003</v>
      </c>
      <c r="AA17" s="513">
        <v>48.783000000000001</v>
      </c>
      <c r="AB17" s="514">
        <v>53.642000000000003</v>
      </c>
      <c r="AC17" s="617">
        <f t="shared" si="0"/>
        <v>9.9604370374925679</v>
      </c>
    </row>
    <row r="18" spans="1:29" ht="12.75" customHeight="1" x14ac:dyDescent="0.2">
      <c r="A18" s="18"/>
      <c r="B18" s="18"/>
      <c r="C18" s="145">
        <v>11</v>
      </c>
      <c r="D18" s="393"/>
      <c r="E18" s="211" t="s">
        <v>281</v>
      </c>
      <c r="F18" s="391" t="s">
        <v>98</v>
      </c>
      <c r="G18" s="512"/>
      <c r="H18" s="512">
        <v>25.119</v>
      </c>
      <c r="I18" s="512">
        <v>28.478000000000002</v>
      </c>
      <c r="J18" s="512">
        <v>32.162999999999997</v>
      </c>
      <c r="K18" s="512">
        <v>37.652000000000001</v>
      </c>
      <c r="L18" s="512">
        <v>44.377000000000002</v>
      </c>
      <c r="M18" s="512">
        <v>42.887999999999998</v>
      </c>
      <c r="N18" s="512">
        <v>44.915999999999997</v>
      </c>
      <c r="O18" s="512">
        <v>45.75</v>
      </c>
      <c r="P18" s="512">
        <v>29.181000000000001</v>
      </c>
      <c r="Q18" s="512">
        <v>30.396000000000001</v>
      </c>
      <c r="R18" s="512">
        <v>30.978000000000002</v>
      </c>
      <c r="S18" s="512">
        <v>31.937999999999999</v>
      </c>
      <c r="T18" s="512">
        <v>35.65</v>
      </c>
      <c r="U18" s="512">
        <v>34.789000000000001</v>
      </c>
      <c r="V18" s="512">
        <v>36.277000000000001</v>
      </c>
      <c r="W18" s="512">
        <v>37.521000000000001</v>
      </c>
      <c r="X18" s="512">
        <v>37.298000000000002</v>
      </c>
      <c r="Y18" s="512">
        <v>39.53</v>
      </c>
      <c r="Z18" s="512">
        <v>42.195</v>
      </c>
      <c r="AA18" s="512">
        <v>39.444000000000003</v>
      </c>
      <c r="AB18" s="518">
        <v>49.860999999999997</v>
      </c>
      <c r="AC18" s="718">
        <f t="shared" si="0"/>
        <v>26.409593347530659</v>
      </c>
    </row>
    <row r="19" spans="1:29" ht="12.75" customHeight="1" x14ac:dyDescent="0.2">
      <c r="A19" s="18"/>
      <c r="B19" s="18"/>
      <c r="C19" s="145">
        <v>12</v>
      </c>
      <c r="D19" s="388"/>
      <c r="E19" s="175" t="s">
        <v>62</v>
      </c>
      <c r="F19" s="389" t="s">
        <v>111</v>
      </c>
      <c r="G19" s="513">
        <v>43.796999999999997</v>
      </c>
      <c r="H19" s="513">
        <v>43.134</v>
      </c>
      <c r="I19" s="513">
        <v>44.408000000000001</v>
      </c>
      <c r="J19" s="513">
        <v>46.948999999999998</v>
      </c>
      <c r="K19" s="513">
        <v>45.88</v>
      </c>
      <c r="L19" s="513">
        <v>42.64</v>
      </c>
      <c r="M19" s="513">
        <v>44.424999999999997</v>
      </c>
      <c r="N19" s="513">
        <v>48.357999999999997</v>
      </c>
      <c r="O19" s="513">
        <v>46.469000000000001</v>
      </c>
      <c r="P19" s="513">
        <v>42.707999999999998</v>
      </c>
      <c r="Q19" s="513">
        <v>41.427999999999997</v>
      </c>
      <c r="R19" s="513">
        <v>42.374000000000002</v>
      </c>
      <c r="S19" s="513">
        <v>42.453000000000003</v>
      </c>
      <c r="T19" s="513">
        <v>40.83</v>
      </c>
      <c r="U19" s="513">
        <v>43.393999999999998</v>
      </c>
      <c r="V19" s="513">
        <v>43.426000000000002</v>
      </c>
      <c r="W19" s="513">
        <v>45.048999999999999</v>
      </c>
      <c r="X19" s="513">
        <v>50.661999999999999</v>
      </c>
      <c r="Y19" s="513">
        <v>51.57</v>
      </c>
      <c r="Z19" s="513">
        <v>49.695</v>
      </c>
      <c r="AA19" s="513">
        <v>44.156999999999996</v>
      </c>
      <c r="AB19" s="514">
        <v>48.212000000000003</v>
      </c>
      <c r="AC19" s="617">
        <f t="shared" si="0"/>
        <v>9.1831419706955018</v>
      </c>
    </row>
    <row r="20" spans="1:29" ht="12.75" customHeight="1" x14ac:dyDescent="0.2">
      <c r="A20" s="18"/>
      <c r="B20" s="18"/>
      <c r="C20" s="145">
        <v>13</v>
      </c>
      <c r="D20" s="393"/>
      <c r="E20" s="211" t="s">
        <v>302</v>
      </c>
      <c r="F20" s="391" t="s">
        <v>103</v>
      </c>
      <c r="G20" s="512">
        <v>16.513000000000002</v>
      </c>
      <c r="H20" s="512">
        <v>16.891999999999999</v>
      </c>
      <c r="I20" s="512">
        <v>19.145</v>
      </c>
      <c r="J20" s="512">
        <v>21.291</v>
      </c>
      <c r="K20" s="512">
        <v>20.318000000000001</v>
      </c>
      <c r="L20" s="512">
        <v>18.687999999999999</v>
      </c>
      <c r="M20" s="512">
        <v>19.954000000000001</v>
      </c>
      <c r="N20" s="512">
        <v>18.93</v>
      </c>
      <c r="O20" s="512">
        <v>8.8059999999999992</v>
      </c>
      <c r="P20" s="512">
        <v>10.061999999999999</v>
      </c>
      <c r="Q20" s="512">
        <v>13.058</v>
      </c>
      <c r="R20" s="512">
        <v>23.492000000000001</v>
      </c>
      <c r="S20" s="512">
        <v>35.189</v>
      </c>
      <c r="T20" s="512">
        <v>40.192</v>
      </c>
      <c r="U20" s="512">
        <v>41.441000000000003</v>
      </c>
      <c r="V20" s="512">
        <v>38.322000000000003</v>
      </c>
      <c r="W20" s="512">
        <v>41.021000000000001</v>
      </c>
      <c r="X20" s="512">
        <v>45.201999999999998</v>
      </c>
      <c r="Y20" s="512">
        <v>50.924999999999997</v>
      </c>
      <c r="Z20" s="512">
        <v>56.825000000000003</v>
      </c>
      <c r="AA20" s="512">
        <v>52.420999999999999</v>
      </c>
      <c r="AB20" s="518">
        <v>46.951000000000001</v>
      </c>
      <c r="AC20" s="718">
        <f t="shared" si="0"/>
        <v>-10.43474943247935</v>
      </c>
    </row>
    <row r="21" spans="1:29" ht="12.75" customHeight="1" x14ac:dyDescent="0.2">
      <c r="A21" s="18"/>
      <c r="B21" s="18"/>
      <c r="C21" s="145">
        <v>14</v>
      </c>
      <c r="D21" s="388"/>
      <c r="E21" s="175" t="s">
        <v>163</v>
      </c>
      <c r="F21" s="389" t="s">
        <v>107</v>
      </c>
      <c r="G21" s="513">
        <v>24.835000000000001</v>
      </c>
      <c r="H21" s="513">
        <v>26.512</v>
      </c>
      <c r="I21" s="513">
        <v>27.404</v>
      </c>
      <c r="J21" s="513">
        <v>28.82</v>
      </c>
      <c r="K21" s="513">
        <v>31.757000000000001</v>
      </c>
      <c r="L21" s="513">
        <v>33.728000000000002</v>
      </c>
      <c r="M21" s="513">
        <v>40.35</v>
      </c>
      <c r="N21" s="513">
        <v>43.618000000000002</v>
      </c>
      <c r="O21" s="513">
        <v>48.956000000000003</v>
      </c>
      <c r="P21" s="513">
        <v>42.701000000000001</v>
      </c>
      <c r="Q21" s="513">
        <v>45.942999999999998</v>
      </c>
      <c r="R21" s="513">
        <v>55.854999999999997</v>
      </c>
      <c r="S21" s="513">
        <v>58.25</v>
      </c>
      <c r="T21" s="513">
        <v>54.506</v>
      </c>
      <c r="U21" s="513">
        <v>53.643000000000001</v>
      </c>
      <c r="V21" s="513">
        <v>49.753</v>
      </c>
      <c r="W21" s="513">
        <v>52.293999999999997</v>
      </c>
      <c r="X21" s="513">
        <v>49.292000000000002</v>
      </c>
      <c r="Y21" s="513">
        <v>51.16</v>
      </c>
      <c r="Z21" s="513">
        <v>47.585999999999999</v>
      </c>
      <c r="AA21" s="513">
        <v>46.582999999999998</v>
      </c>
      <c r="AB21" s="514">
        <v>46.814999999999998</v>
      </c>
      <c r="AC21" s="617">
        <f t="shared" si="0"/>
        <v>0.49803576411994754</v>
      </c>
    </row>
    <row r="22" spans="1:29" ht="12.75" customHeight="1" x14ac:dyDescent="0.2">
      <c r="A22" s="33"/>
      <c r="B22" s="33"/>
      <c r="C22" s="145">
        <v>15</v>
      </c>
      <c r="D22" s="393"/>
      <c r="E22" s="211" t="s">
        <v>236</v>
      </c>
      <c r="F22" s="391" t="s">
        <v>97</v>
      </c>
      <c r="G22" s="512"/>
      <c r="H22" s="512">
        <v>16.971</v>
      </c>
      <c r="I22" s="512">
        <v>17.166</v>
      </c>
      <c r="J22" s="512">
        <v>21.323</v>
      </c>
      <c r="K22" s="512">
        <v>22.238</v>
      </c>
      <c r="L22" s="512">
        <v>22.478000000000002</v>
      </c>
      <c r="M22" s="512">
        <v>22.033999999999999</v>
      </c>
      <c r="N22" s="512">
        <v>19.943999999999999</v>
      </c>
      <c r="O22" s="512">
        <v>17.071999999999999</v>
      </c>
      <c r="P22" s="512">
        <v>18.757999999999999</v>
      </c>
      <c r="Q22" s="512">
        <v>26.420999999999999</v>
      </c>
      <c r="R22" s="512">
        <v>23.513000000000002</v>
      </c>
      <c r="S22" s="512">
        <v>24.379000000000001</v>
      </c>
      <c r="T22" s="512">
        <v>27.335000000000001</v>
      </c>
      <c r="U22" s="512">
        <v>28.771000000000001</v>
      </c>
      <c r="V22" s="512">
        <v>31.684999999999999</v>
      </c>
      <c r="W22" s="512">
        <v>31.565999999999999</v>
      </c>
      <c r="X22" s="512">
        <v>33.94</v>
      </c>
      <c r="Y22" s="512">
        <v>42.438000000000002</v>
      </c>
      <c r="Z22" s="512">
        <v>45.521999999999998</v>
      </c>
      <c r="AA22" s="512">
        <v>40.575000000000003</v>
      </c>
      <c r="AB22" s="518">
        <v>45.02</v>
      </c>
      <c r="AC22" s="718">
        <f t="shared" si="0"/>
        <v>10.955021565003079</v>
      </c>
    </row>
    <row r="23" spans="1:29" ht="12.75" customHeight="1" x14ac:dyDescent="0.2">
      <c r="A23" s="18"/>
      <c r="B23" s="18"/>
      <c r="C23" s="145">
        <v>16</v>
      </c>
      <c r="D23" s="388"/>
      <c r="E23" s="175" t="s">
        <v>165</v>
      </c>
      <c r="F23" s="389" t="s">
        <v>114</v>
      </c>
      <c r="G23" s="513">
        <v>19.957000000000001</v>
      </c>
      <c r="H23" s="513">
        <v>19.603999999999999</v>
      </c>
      <c r="I23" s="513">
        <v>19.634</v>
      </c>
      <c r="J23" s="513">
        <v>20.863</v>
      </c>
      <c r="K23" s="513">
        <v>22.434000000000001</v>
      </c>
      <c r="L23" s="513">
        <v>24.928999999999998</v>
      </c>
      <c r="M23" s="513">
        <v>26.934000000000001</v>
      </c>
      <c r="N23" s="513">
        <v>25.97</v>
      </c>
      <c r="O23" s="513">
        <v>24.669</v>
      </c>
      <c r="P23" s="513">
        <v>23.856999999999999</v>
      </c>
      <c r="Q23" s="513">
        <v>24.728000000000002</v>
      </c>
      <c r="R23" s="513">
        <v>24.87</v>
      </c>
      <c r="S23" s="513">
        <v>27.422999999999998</v>
      </c>
      <c r="T23" s="513">
        <v>34.6</v>
      </c>
      <c r="U23" s="513">
        <v>35.054000000000002</v>
      </c>
      <c r="V23" s="513">
        <v>41.218000000000004</v>
      </c>
      <c r="W23" s="513">
        <v>48.055999999999997</v>
      </c>
      <c r="X23" s="513">
        <v>46.472999999999999</v>
      </c>
      <c r="Y23" s="513">
        <v>44.31</v>
      </c>
      <c r="Z23" s="513">
        <v>38.906999999999996</v>
      </c>
      <c r="AA23" s="513">
        <v>38.884999999999998</v>
      </c>
      <c r="AB23" s="514">
        <v>42.905000000000001</v>
      </c>
      <c r="AC23" s="617">
        <f t="shared" si="0"/>
        <v>10.338176674810342</v>
      </c>
    </row>
    <row r="24" spans="1:29" ht="12.75" customHeight="1" x14ac:dyDescent="0.2">
      <c r="A24" s="18"/>
      <c r="B24" s="18"/>
      <c r="C24" s="145">
        <v>17</v>
      </c>
      <c r="D24" s="393"/>
      <c r="E24" s="211" t="s">
        <v>69</v>
      </c>
      <c r="F24" s="391" t="s">
        <v>95</v>
      </c>
      <c r="G24" s="512"/>
      <c r="H24" s="512">
        <v>20.952999999999999</v>
      </c>
      <c r="I24" s="512">
        <v>24.405000000000001</v>
      </c>
      <c r="J24" s="512">
        <v>30.242000000000001</v>
      </c>
      <c r="K24" s="512">
        <v>25.841999999999999</v>
      </c>
      <c r="L24" s="512">
        <v>20.018999999999998</v>
      </c>
      <c r="M24" s="512">
        <v>21.347000000000001</v>
      </c>
      <c r="N24" s="512">
        <v>24.675999999999998</v>
      </c>
      <c r="O24" s="512">
        <v>27.311</v>
      </c>
      <c r="P24" s="512">
        <v>25.954999999999998</v>
      </c>
      <c r="Q24" s="512">
        <v>28.850999999999999</v>
      </c>
      <c r="R24" s="512">
        <v>33.728000000000002</v>
      </c>
      <c r="S24" s="512">
        <v>32.514000000000003</v>
      </c>
      <c r="T24" s="512">
        <v>30.79</v>
      </c>
      <c r="U24" s="512">
        <v>33.773000000000003</v>
      </c>
      <c r="V24" s="512">
        <v>34.448999999999998</v>
      </c>
      <c r="W24" s="512">
        <v>36.920999999999999</v>
      </c>
      <c r="X24" s="512">
        <v>40.027000000000001</v>
      </c>
      <c r="Y24" s="512">
        <v>42.801000000000002</v>
      </c>
      <c r="Z24" s="512">
        <v>42.703000000000003</v>
      </c>
      <c r="AA24" s="512">
        <v>43.677999999999997</v>
      </c>
      <c r="AB24" s="518">
        <v>41.395000000000003</v>
      </c>
      <c r="AC24" s="718">
        <f t="shared" si="0"/>
        <v>-5.2268876780072162</v>
      </c>
    </row>
    <row r="25" spans="1:29" ht="12.75" customHeight="1" x14ac:dyDescent="0.2">
      <c r="A25" s="18"/>
      <c r="B25" s="18"/>
      <c r="C25" s="145">
        <v>18</v>
      </c>
      <c r="D25" s="388"/>
      <c r="E25" s="175" t="s">
        <v>64</v>
      </c>
      <c r="F25" s="389" t="s">
        <v>106</v>
      </c>
      <c r="G25" s="513">
        <v>32.659999999999997</v>
      </c>
      <c r="H25" s="513">
        <v>28.920999999999999</v>
      </c>
      <c r="I25" s="513">
        <v>29.419</v>
      </c>
      <c r="J25" s="513">
        <v>25.050999999999998</v>
      </c>
      <c r="K25" s="513">
        <v>24.893000000000001</v>
      </c>
      <c r="L25" s="513">
        <v>28.442</v>
      </c>
      <c r="M25" s="513">
        <v>32.762999999999998</v>
      </c>
      <c r="N25" s="513">
        <v>34.843000000000004</v>
      </c>
      <c r="O25" s="513">
        <v>34.768000000000001</v>
      </c>
      <c r="P25" s="513">
        <v>33.942999999999998</v>
      </c>
      <c r="Q25" s="513">
        <v>33.878</v>
      </c>
      <c r="R25" s="513">
        <v>31.5</v>
      </c>
      <c r="S25" s="513">
        <v>28.908000000000001</v>
      </c>
      <c r="T25" s="513">
        <v>27.355</v>
      </c>
      <c r="U25" s="513">
        <v>26.946999999999999</v>
      </c>
      <c r="V25" s="513">
        <v>23.815000000000001</v>
      </c>
      <c r="W25" s="513">
        <v>23.091999999999999</v>
      </c>
      <c r="X25" s="513">
        <v>21.684999999999999</v>
      </c>
      <c r="Y25" s="513">
        <v>23.885999999999999</v>
      </c>
      <c r="Z25" s="513">
        <v>28.994</v>
      </c>
      <c r="AA25" s="513">
        <v>31.722999999999999</v>
      </c>
      <c r="AB25" s="514">
        <v>40.130000000000003</v>
      </c>
      <c r="AC25" s="617">
        <f t="shared" si="0"/>
        <v>26.501276676228613</v>
      </c>
    </row>
    <row r="26" spans="1:29" ht="12.75" customHeight="1" x14ac:dyDescent="0.2">
      <c r="A26" s="18"/>
      <c r="B26" s="18"/>
      <c r="C26" s="145">
        <v>19</v>
      </c>
      <c r="D26" s="393"/>
      <c r="E26" s="211" t="s">
        <v>129</v>
      </c>
      <c r="F26" s="391" t="s">
        <v>109</v>
      </c>
      <c r="G26" s="512">
        <v>44.317999999999998</v>
      </c>
      <c r="H26" s="512">
        <v>41.914000000000001</v>
      </c>
      <c r="I26" s="512">
        <v>44.301000000000002</v>
      </c>
      <c r="J26" s="512">
        <v>45.790999999999997</v>
      </c>
      <c r="K26" s="512">
        <v>46.448</v>
      </c>
      <c r="L26" s="512">
        <v>48.503</v>
      </c>
      <c r="M26" s="512">
        <v>50.386000000000003</v>
      </c>
      <c r="N26" s="512">
        <v>50.244</v>
      </c>
      <c r="O26" s="512">
        <v>50.463999999999999</v>
      </c>
      <c r="P26" s="512">
        <v>37.921999999999997</v>
      </c>
      <c r="Q26" s="512">
        <v>36.308999999999997</v>
      </c>
      <c r="R26" s="512">
        <v>40.843000000000004</v>
      </c>
      <c r="S26" s="512">
        <v>40.363</v>
      </c>
      <c r="T26" s="512">
        <v>36.634</v>
      </c>
      <c r="U26" s="512">
        <v>38.918999999999997</v>
      </c>
      <c r="V26" s="512">
        <v>36.905999999999999</v>
      </c>
      <c r="W26" s="512">
        <v>36.863999999999997</v>
      </c>
      <c r="X26" s="512">
        <v>39.085000000000001</v>
      </c>
      <c r="Y26" s="512">
        <v>41.082999999999998</v>
      </c>
      <c r="Z26" s="512">
        <v>42.558</v>
      </c>
      <c r="AA26" s="512">
        <v>35.085000000000001</v>
      </c>
      <c r="AB26" s="518">
        <v>38.829000000000001</v>
      </c>
      <c r="AC26" s="718">
        <f t="shared" si="0"/>
        <v>10.671227020094065</v>
      </c>
    </row>
    <row r="27" spans="1:29" ht="12.75" customHeight="1" x14ac:dyDescent="0.2">
      <c r="A27" s="18"/>
      <c r="B27" s="18"/>
      <c r="C27" s="145">
        <v>20</v>
      </c>
      <c r="D27" s="388"/>
      <c r="E27" s="175" t="s">
        <v>468</v>
      </c>
      <c r="F27" s="389" t="s">
        <v>104</v>
      </c>
      <c r="G27" s="513"/>
      <c r="H27" s="513"/>
      <c r="I27" s="513"/>
      <c r="J27" s="513"/>
      <c r="K27" s="513"/>
      <c r="L27" s="513"/>
      <c r="M27" s="513"/>
      <c r="N27" s="513"/>
      <c r="O27" s="513"/>
      <c r="P27" s="513"/>
      <c r="Q27" s="513"/>
      <c r="R27" s="513">
        <v>33.694000000000003</v>
      </c>
      <c r="S27" s="513">
        <v>32.475999999999999</v>
      </c>
      <c r="T27" s="513">
        <v>32.061999999999998</v>
      </c>
      <c r="U27" s="513">
        <v>34.212000000000003</v>
      </c>
      <c r="V27" s="513">
        <v>33.642000000000003</v>
      </c>
      <c r="W27" s="513">
        <v>33.261000000000003</v>
      </c>
      <c r="X27" s="513">
        <v>34.146999999999998</v>
      </c>
      <c r="Y27" s="513">
        <v>36.715000000000003</v>
      </c>
      <c r="Z27" s="513">
        <v>38.911000000000001</v>
      </c>
      <c r="AA27" s="513">
        <v>34.332999999999998</v>
      </c>
      <c r="AB27" s="514">
        <v>38.045999999999999</v>
      </c>
      <c r="AC27" s="617">
        <f t="shared" si="0"/>
        <v>10.814668103573837</v>
      </c>
    </row>
    <row r="28" spans="1:29" ht="12.75" customHeight="1" x14ac:dyDescent="0.2">
      <c r="A28" s="18"/>
      <c r="B28" s="18"/>
      <c r="C28" s="145">
        <v>21</v>
      </c>
      <c r="D28" s="393"/>
      <c r="E28" s="211" t="s">
        <v>12</v>
      </c>
      <c r="F28" s="391" t="s">
        <v>116</v>
      </c>
      <c r="G28" s="512">
        <v>33.261000000000003</v>
      </c>
      <c r="H28" s="512">
        <v>32.965000000000003</v>
      </c>
      <c r="I28" s="512">
        <v>32.293999999999997</v>
      </c>
      <c r="J28" s="512">
        <v>32.356000000000002</v>
      </c>
      <c r="K28" s="512">
        <v>36.404000000000003</v>
      </c>
      <c r="L28" s="512">
        <v>36.478999999999999</v>
      </c>
      <c r="M28" s="512">
        <v>39.911999999999999</v>
      </c>
      <c r="N28" s="512">
        <v>40.353000000000002</v>
      </c>
      <c r="O28" s="512">
        <v>42.331000000000003</v>
      </c>
      <c r="P28" s="512">
        <v>38.933999999999997</v>
      </c>
      <c r="Q28" s="512">
        <v>42.938000000000002</v>
      </c>
      <c r="R28" s="512">
        <v>41.311</v>
      </c>
      <c r="S28" s="512">
        <v>41.148000000000003</v>
      </c>
      <c r="T28" s="512">
        <v>38.380000000000003</v>
      </c>
      <c r="U28" s="512">
        <v>36.832000000000001</v>
      </c>
      <c r="V28" s="512">
        <v>37.814999999999998</v>
      </c>
      <c r="W28" s="512">
        <v>40.973999999999997</v>
      </c>
      <c r="X28" s="512">
        <v>40.518000000000001</v>
      </c>
      <c r="Y28" s="512">
        <v>40.634999999999998</v>
      </c>
      <c r="Z28" s="512">
        <v>38.890999999999998</v>
      </c>
      <c r="AA28" s="512">
        <v>38.456000000000003</v>
      </c>
      <c r="AB28" s="518">
        <v>36.835999999999999</v>
      </c>
      <c r="AC28" s="718">
        <f t="shared" si="0"/>
        <v>-4.2126066153526267</v>
      </c>
    </row>
    <row r="29" spans="1:29" ht="12.75" customHeight="1" x14ac:dyDescent="0.2">
      <c r="A29" s="18"/>
      <c r="B29" s="18"/>
      <c r="C29" s="145">
        <v>22</v>
      </c>
      <c r="D29" s="388"/>
      <c r="E29" s="175" t="s">
        <v>128</v>
      </c>
      <c r="F29" s="389" t="s">
        <v>111</v>
      </c>
      <c r="G29" s="513">
        <v>19.785</v>
      </c>
      <c r="H29" s="513">
        <v>20.818000000000001</v>
      </c>
      <c r="I29" s="513">
        <v>22.373999999999999</v>
      </c>
      <c r="J29" s="513">
        <v>22.436</v>
      </c>
      <c r="K29" s="513">
        <v>21.24</v>
      </c>
      <c r="L29" s="513">
        <v>24.047999999999998</v>
      </c>
      <c r="M29" s="513">
        <v>24.55</v>
      </c>
      <c r="N29" s="513">
        <v>29.797999999999998</v>
      </c>
      <c r="O29" s="513">
        <v>28.667000000000002</v>
      </c>
      <c r="P29" s="513">
        <v>22.175999999999998</v>
      </c>
      <c r="Q29" s="513">
        <v>22.661999999999999</v>
      </c>
      <c r="R29" s="513">
        <v>21.268000000000001</v>
      </c>
      <c r="S29" s="513">
        <v>20.515000000000001</v>
      </c>
      <c r="T29" s="513">
        <v>23.876999999999999</v>
      </c>
      <c r="U29" s="513">
        <v>24.475999999999999</v>
      </c>
      <c r="V29" s="513">
        <v>29.303000000000001</v>
      </c>
      <c r="W29" s="513">
        <v>27.007999999999999</v>
      </c>
      <c r="X29" s="513">
        <v>28.213000000000001</v>
      </c>
      <c r="Y29" s="513">
        <v>30.265000000000001</v>
      </c>
      <c r="Z29" s="513">
        <v>36.262999999999998</v>
      </c>
      <c r="AA29" s="513">
        <v>30.806000000000001</v>
      </c>
      <c r="AB29" s="514">
        <v>34.33</v>
      </c>
      <c r="AC29" s="617">
        <f t="shared" si="0"/>
        <v>11.439330000649207</v>
      </c>
    </row>
    <row r="30" spans="1:29" ht="12.75" customHeight="1" x14ac:dyDescent="0.2">
      <c r="A30" s="18"/>
      <c r="B30" s="18"/>
      <c r="C30" s="145">
        <v>23</v>
      </c>
      <c r="D30" s="393"/>
      <c r="E30" s="211" t="s">
        <v>282</v>
      </c>
      <c r="F30" s="391" t="s">
        <v>106</v>
      </c>
      <c r="G30" s="512">
        <v>24.716999999999999</v>
      </c>
      <c r="H30" s="512">
        <v>23.863</v>
      </c>
      <c r="I30" s="512">
        <v>23.556000000000001</v>
      </c>
      <c r="J30" s="512">
        <v>22.568999999999999</v>
      </c>
      <c r="K30" s="512">
        <v>20.302</v>
      </c>
      <c r="L30" s="512">
        <v>22.132999999999999</v>
      </c>
      <c r="M30" s="512">
        <v>24.106999999999999</v>
      </c>
      <c r="N30" s="512">
        <v>24.988</v>
      </c>
      <c r="O30" s="512">
        <v>26.911999999999999</v>
      </c>
      <c r="P30" s="512">
        <v>20.579000000000001</v>
      </c>
      <c r="Q30" s="512">
        <v>27.571999999999999</v>
      </c>
      <c r="R30" s="512">
        <v>27.343</v>
      </c>
      <c r="S30" s="512">
        <v>25.972000000000001</v>
      </c>
      <c r="T30" s="512">
        <v>25.923999999999999</v>
      </c>
      <c r="U30" s="512">
        <v>28.788</v>
      </c>
      <c r="V30" s="512">
        <v>26.143000000000001</v>
      </c>
      <c r="W30" s="512">
        <v>29.963000000000001</v>
      </c>
      <c r="X30" s="512">
        <v>33.710999999999999</v>
      </c>
      <c r="Y30" s="512">
        <v>33.67</v>
      </c>
      <c r="Z30" s="512">
        <v>33.335999999999999</v>
      </c>
      <c r="AA30" s="512">
        <v>29.427</v>
      </c>
      <c r="AB30" s="518">
        <v>31.690999999999999</v>
      </c>
      <c r="AC30" s="718">
        <f t="shared" si="0"/>
        <v>7.6936147075814745</v>
      </c>
    </row>
    <row r="31" spans="1:29" ht="12.75" customHeight="1" x14ac:dyDescent="0.2">
      <c r="A31" s="18"/>
      <c r="B31" s="18"/>
      <c r="C31" s="145">
        <v>24</v>
      </c>
      <c r="D31" s="388"/>
      <c r="E31" s="175" t="s">
        <v>67</v>
      </c>
      <c r="F31" s="389" t="s">
        <v>111</v>
      </c>
      <c r="G31" s="513">
        <v>22.492000000000001</v>
      </c>
      <c r="H31" s="513">
        <v>22.876000000000001</v>
      </c>
      <c r="I31" s="513">
        <v>23.658999999999999</v>
      </c>
      <c r="J31" s="513">
        <v>24.838999999999999</v>
      </c>
      <c r="K31" s="513">
        <v>25.405999999999999</v>
      </c>
      <c r="L31" s="513">
        <v>24.253</v>
      </c>
      <c r="M31" s="513">
        <v>27.638999999999999</v>
      </c>
      <c r="N31" s="513">
        <v>27.007999999999999</v>
      </c>
      <c r="O31" s="513">
        <v>30.074999999999999</v>
      </c>
      <c r="P31" s="513">
        <v>23.847999999999999</v>
      </c>
      <c r="Q31" s="513">
        <v>22.186</v>
      </c>
      <c r="R31" s="513">
        <v>22.280999999999999</v>
      </c>
      <c r="S31" s="513">
        <v>22.402000000000001</v>
      </c>
      <c r="T31" s="513">
        <v>22.521999999999998</v>
      </c>
      <c r="U31" s="513">
        <v>24.183</v>
      </c>
      <c r="V31" s="513">
        <v>25.288</v>
      </c>
      <c r="W31" s="513">
        <v>27.503</v>
      </c>
      <c r="X31" s="513">
        <v>29.166</v>
      </c>
      <c r="Y31" s="513">
        <v>31.224</v>
      </c>
      <c r="Z31" s="513">
        <v>31.347999999999999</v>
      </c>
      <c r="AA31" s="513">
        <v>27.103999999999999</v>
      </c>
      <c r="AB31" s="514">
        <v>31.105</v>
      </c>
      <c r="AC31" s="617">
        <f t="shared" si="0"/>
        <v>14.76165879574971</v>
      </c>
    </row>
    <row r="32" spans="1:29" ht="12.75" customHeight="1" x14ac:dyDescent="0.2">
      <c r="A32" s="18"/>
      <c r="B32" s="18"/>
      <c r="C32" s="145">
        <v>25</v>
      </c>
      <c r="D32" s="393"/>
      <c r="E32" s="211" t="s">
        <v>127</v>
      </c>
      <c r="F32" s="391" t="s">
        <v>108</v>
      </c>
      <c r="G32" s="512">
        <v>17.157</v>
      </c>
      <c r="H32" s="512">
        <v>20.192</v>
      </c>
      <c r="I32" s="512">
        <v>21.891999999999999</v>
      </c>
      <c r="J32" s="512">
        <v>21.186</v>
      </c>
      <c r="K32" s="512">
        <v>23.236999999999998</v>
      </c>
      <c r="L32" s="512">
        <v>26.716000000000001</v>
      </c>
      <c r="M32" s="512">
        <v>25.442</v>
      </c>
      <c r="N32" s="512">
        <v>23.843</v>
      </c>
      <c r="O32" s="512">
        <v>25.547000000000001</v>
      </c>
      <c r="P32" s="512">
        <v>20.393000000000001</v>
      </c>
      <c r="Q32" s="512">
        <v>19.044</v>
      </c>
      <c r="R32" s="512">
        <v>22.510999999999999</v>
      </c>
      <c r="S32" s="512">
        <v>29.969000000000001</v>
      </c>
      <c r="T32" s="512">
        <v>29.210999999999999</v>
      </c>
      <c r="U32" s="512">
        <v>32.274999999999999</v>
      </c>
      <c r="V32" s="512">
        <v>32.384</v>
      </c>
      <c r="W32" s="512">
        <v>31.544</v>
      </c>
      <c r="X32" s="512">
        <v>34.445</v>
      </c>
      <c r="Y32" s="512">
        <v>33.533000000000001</v>
      </c>
      <c r="Z32" s="512">
        <v>33.933</v>
      </c>
      <c r="AA32" s="512">
        <v>32.590000000000003</v>
      </c>
      <c r="AB32" s="518">
        <v>30.931000000000001</v>
      </c>
      <c r="AC32" s="718">
        <f t="shared" si="0"/>
        <v>-5.090518563976687</v>
      </c>
    </row>
    <row r="33" spans="1:30" ht="12.75" customHeight="1" x14ac:dyDescent="0.2">
      <c r="A33" s="18"/>
      <c r="B33" s="18"/>
      <c r="C33" s="145">
        <v>26</v>
      </c>
      <c r="D33" s="388"/>
      <c r="E33" s="513" t="s">
        <v>65</v>
      </c>
      <c r="F33" s="514" t="s">
        <v>108</v>
      </c>
      <c r="G33" s="513">
        <v>27.175000000000001</v>
      </c>
      <c r="H33" s="513">
        <v>26.495000000000001</v>
      </c>
      <c r="I33" s="513">
        <v>29.231999999999999</v>
      </c>
      <c r="J33" s="513">
        <v>28.641999999999999</v>
      </c>
      <c r="K33" s="513">
        <v>29.61</v>
      </c>
      <c r="L33" s="513">
        <v>30.663</v>
      </c>
      <c r="M33" s="513">
        <v>31.189</v>
      </c>
      <c r="N33" s="513">
        <v>35.802</v>
      </c>
      <c r="O33" s="513">
        <v>32.835000000000001</v>
      </c>
      <c r="P33" s="513">
        <v>33.429000000000002</v>
      </c>
      <c r="Q33" s="513">
        <v>32.070999999999998</v>
      </c>
      <c r="R33" s="513">
        <v>31.306999999999999</v>
      </c>
      <c r="S33" s="513">
        <v>32.694000000000003</v>
      </c>
      <c r="T33" s="513">
        <v>27.643999999999998</v>
      </c>
      <c r="U33" s="513">
        <v>31.501999999999999</v>
      </c>
      <c r="V33" s="513">
        <v>32.771999999999998</v>
      </c>
      <c r="W33" s="513">
        <v>31.151</v>
      </c>
      <c r="X33" s="513">
        <v>33.371000000000002</v>
      </c>
      <c r="Y33" s="513">
        <v>31.792000000000002</v>
      </c>
      <c r="Z33" s="513">
        <v>32.585999999999999</v>
      </c>
      <c r="AA33" s="513">
        <v>26.222000000000001</v>
      </c>
      <c r="AB33" s="514">
        <v>30.911000000000001</v>
      </c>
      <c r="AC33" s="617">
        <f t="shared" si="0"/>
        <v>17.881931202806811</v>
      </c>
    </row>
    <row r="34" spans="1:30" ht="12.75" customHeight="1" x14ac:dyDescent="0.2">
      <c r="A34" s="18"/>
      <c r="B34" s="18"/>
      <c r="C34" s="145">
        <v>27</v>
      </c>
      <c r="D34" s="388"/>
      <c r="E34" s="512" t="s">
        <v>59</v>
      </c>
      <c r="F34" s="518" t="s">
        <v>107</v>
      </c>
      <c r="G34" s="512">
        <v>43.402000000000001</v>
      </c>
      <c r="H34" s="512">
        <v>40.85</v>
      </c>
      <c r="I34" s="512">
        <v>38.798000000000002</v>
      </c>
      <c r="J34" s="512">
        <v>39.427</v>
      </c>
      <c r="K34" s="512">
        <v>44.956000000000003</v>
      </c>
      <c r="L34" s="512">
        <v>45.976999999999997</v>
      </c>
      <c r="M34" s="512">
        <v>43.106000000000002</v>
      </c>
      <c r="N34" s="512">
        <v>42.643000000000001</v>
      </c>
      <c r="O34" s="512">
        <v>40.555999999999997</v>
      </c>
      <c r="P34" s="512">
        <v>34.195999999999998</v>
      </c>
      <c r="Q34" s="512">
        <v>24.728000000000002</v>
      </c>
      <c r="R34" s="512">
        <v>24.388000000000002</v>
      </c>
      <c r="S34" s="512">
        <v>26.242000000000001</v>
      </c>
      <c r="T34" s="512">
        <v>24.693999999999999</v>
      </c>
      <c r="U34" s="512">
        <v>24.099</v>
      </c>
      <c r="V34" s="512">
        <v>27.395</v>
      </c>
      <c r="W34" s="512">
        <v>24.474</v>
      </c>
      <c r="X34" s="512">
        <v>28.21</v>
      </c>
      <c r="Y34" s="512">
        <v>28.295999999999999</v>
      </c>
      <c r="Z34" s="512">
        <v>28.867000000000001</v>
      </c>
      <c r="AA34" s="512">
        <v>27.797000000000001</v>
      </c>
      <c r="AB34" s="518">
        <v>30.442</v>
      </c>
      <c r="AC34" s="718">
        <f t="shared" si="0"/>
        <v>9.5154153325898392</v>
      </c>
    </row>
    <row r="35" spans="1:30" ht="12.75" customHeight="1" x14ac:dyDescent="0.2">
      <c r="A35" s="18"/>
      <c r="B35" s="18"/>
      <c r="C35" s="145">
        <v>28</v>
      </c>
      <c r="D35" s="393"/>
      <c r="E35" s="513" t="s">
        <v>167</v>
      </c>
      <c r="F35" s="514" t="s">
        <v>108</v>
      </c>
      <c r="G35" s="513">
        <v>17.224</v>
      </c>
      <c r="H35" s="513">
        <v>18.553000000000001</v>
      </c>
      <c r="I35" s="513">
        <v>18.181000000000001</v>
      </c>
      <c r="J35" s="513">
        <v>18.132000000000001</v>
      </c>
      <c r="K35" s="513">
        <v>18.202999999999999</v>
      </c>
      <c r="L35" s="513">
        <v>20.931000000000001</v>
      </c>
      <c r="M35" s="513">
        <v>21.53</v>
      </c>
      <c r="N35" s="513">
        <v>21.792000000000002</v>
      </c>
      <c r="O35" s="513">
        <v>20.643000000000001</v>
      </c>
      <c r="P35" s="513">
        <v>17.635999999999999</v>
      </c>
      <c r="Q35" s="513">
        <v>22.122</v>
      </c>
      <c r="R35" s="513">
        <v>26.57</v>
      </c>
      <c r="S35" s="513">
        <v>28.451000000000001</v>
      </c>
      <c r="T35" s="513">
        <v>26.314</v>
      </c>
      <c r="U35" s="513">
        <v>27.271000000000001</v>
      </c>
      <c r="V35" s="513">
        <v>27.216999999999999</v>
      </c>
      <c r="W35" s="513">
        <v>30.381</v>
      </c>
      <c r="X35" s="513">
        <v>32.094999999999999</v>
      </c>
      <c r="Y35" s="513">
        <v>32.533000000000001</v>
      </c>
      <c r="Z35" s="513">
        <v>33.258000000000003</v>
      </c>
      <c r="AA35" s="513">
        <v>29.312999999999999</v>
      </c>
      <c r="AB35" s="514">
        <v>30.061</v>
      </c>
      <c r="AC35" s="617">
        <f t="shared" si="0"/>
        <v>2.5517688397639375</v>
      </c>
    </row>
    <row r="36" spans="1:30" ht="12.75" customHeight="1" x14ac:dyDescent="0.2">
      <c r="A36" s="18"/>
      <c r="B36" s="18"/>
      <c r="C36" s="145">
        <v>29</v>
      </c>
      <c r="D36" s="388"/>
      <c r="E36" s="512" t="s">
        <v>66</v>
      </c>
      <c r="F36" s="518" t="s">
        <v>108</v>
      </c>
      <c r="G36" s="512">
        <v>26.623000000000001</v>
      </c>
      <c r="H36" s="512">
        <v>25.721</v>
      </c>
      <c r="I36" s="512">
        <v>24.696000000000002</v>
      </c>
      <c r="J36" s="512">
        <v>27.475000000000001</v>
      </c>
      <c r="K36" s="512">
        <v>31.635000000000002</v>
      </c>
      <c r="L36" s="512">
        <v>32.182000000000002</v>
      </c>
      <c r="M36" s="512">
        <v>36.118000000000002</v>
      </c>
      <c r="N36" s="512">
        <v>37.313000000000002</v>
      </c>
      <c r="O36" s="512">
        <v>36.813000000000002</v>
      </c>
      <c r="P36" s="512">
        <v>30.606000000000002</v>
      </c>
      <c r="Q36" s="512">
        <v>32.44</v>
      </c>
      <c r="R36" s="512">
        <v>30.280999999999999</v>
      </c>
      <c r="S36" s="512">
        <v>27.405999999999999</v>
      </c>
      <c r="T36" s="512">
        <v>28.062999999999999</v>
      </c>
      <c r="U36" s="512">
        <v>29.280999999999999</v>
      </c>
      <c r="V36" s="512">
        <v>30.975000000000001</v>
      </c>
      <c r="W36" s="512">
        <v>30.425000000000001</v>
      </c>
      <c r="X36" s="512">
        <v>32.566000000000003</v>
      </c>
      <c r="Y36" s="512">
        <v>33.869</v>
      </c>
      <c r="Z36" s="512">
        <v>33.881</v>
      </c>
      <c r="AA36" s="512">
        <v>28.344000000000001</v>
      </c>
      <c r="AB36" s="518">
        <v>29.792000000000002</v>
      </c>
      <c r="AC36" s="718">
        <f t="shared" si="0"/>
        <v>5.1086649731865634</v>
      </c>
    </row>
    <row r="37" spans="1:30" ht="12.75" customHeight="1" x14ac:dyDescent="0.2">
      <c r="A37" s="18"/>
      <c r="B37" s="18"/>
      <c r="C37" s="145">
        <v>30</v>
      </c>
      <c r="D37" s="393"/>
      <c r="E37" s="513" t="s">
        <v>86</v>
      </c>
      <c r="F37" s="514" t="s">
        <v>111</v>
      </c>
      <c r="G37" s="513">
        <v>26.292999999999999</v>
      </c>
      <c r="H37" s="513">
        <v>25.974</v>
      </c>
      <c r="I37" s="513">
        <v>27.248000000000001</v>
      </c>
      <c r="J37" s="513">
        <v>28.22</v>
      </c>
      <c r="K37" s="513">
        <v>28.882999999999999</v>
      </c>
      <c r="L37" s="513">
        <v>30.547000000000001</v>
      </c>
      <c r="M37" s="513">
        <v>32.01</v>
      </c>
      <c r="N37" s="513">
        <v>32.042000000000002</v>
      </c>
      <c r="O37" s="513">
        <v>29.92</v>
      </c>
      <c r="P37" s="513">
        <v>26.64</v>
      </c>
      <c r="Q37" s="513">
        <v>26.212</v>
      </c>
      <c r="R37" s="513">
        <v>25.457000000000001</v>
      </c>
      <c r="S37" s="513">
        <v>24.597999999999999</v>
      </c>
      <c r="T37" s="513">
        <v>23.152000000000001</v>
      </c>
      <c r="U37" s="513">
        <v>20.18</v>
      </c>
      <c r="V37" s="513">
        <v>25.141999999999999</v>
      </c>
      <c r="W37" s="513">
        <v>25.221</v>
      </c>
      <c r="X37" s="513">
        <v>25.120999999999999</v>
      </c>
      <c r="Y37" s="513">
        <v>26.539000000000001</v>
      </c>
      <c r="Z37" s="513">
        <v>27.934999999999999</v>
      </c>
      <c r="AA37" s="513">
        <v>24.257000000000001</v>
      </c>
      <c r="AB37" s="514">
        <v>26.323</v>
      </c>
      <c r="AC37" s="617">
        <f t="shared" si="0"/>
        <v>8.5171290761429645</v>
      </c>
    </row>
    <row r="38" spans="1:30" ht="12.75" customHeight="1" x14ac:dyDescent="0.2">
      <c r="A38" s="33"/>
      <c r="B38" s="33"/>
      <c r="C38" s="145">
        <v>31</v>
      </c>
      <c r="D38" s="388"/>
      <c r="E38" s="512" t="s">
        <v>305</v>
      </c>
      <c r="F38" s="518" t="s">
        <v>103</v>
      </c>
      <c r="G38" s="512">
        <v>11.209</v>
      </c>
      <c r="H38" s="512">
        <v>11.031000000000001</v>
      </c>
      <c r="I38" s="512">
        <v>11.824999999999999</v>
      </c>
      <c r="J38" s="512">
        <v>11.917999999999999</v>
      </c>
      <c r="K38" s="512">
        <v>12.29</v>
      </c>
      <c r="L38" s="512">
        <v>12.994999999999999</v>
      </c>
      <c r="M38" s="512">
        <v>14.904</v>
      </c>
      <c r="N38" s="512">
        <v>14.164999999999999</v>
      </c>
      <c r="O38" s="512">
        <v>14.696999999999999</v>
      </c>
      <c r="P38" s="512">
        <v>16.425999999999998</v>
      </c>
      <c r="Q38" s="512">
        <v>17.381</v>
      </c>
      <c r="R38" s="512">
        <v>19.222000000000001</v>
      </c>
      <c r="S38" s="512">
        <v>21.22</v>
      </c>
      <c r="T38" s="512">
        <v>21.585999999999999</v>
      </c>
      <c r="U38" s="512">
        <v>22.998000000000001</v>
      </c>
      <c r="V38" s="512">
        <v>23.440999999999999</v>
      </c>
      <c r="W38" s="512">
        <v>23.8</v>
      </c>
      <c r="X38" s="512">
        <v>24.765999999999998</v>
      </c>
      <c r="Y38" s="512">
        <v>26.088999999999999</v>
      </c>
      <c r="Z38" s="512">
        <v>25.416</v>
      </c>
      <c r="AA38" s="512">
        <v>23.053000000000001</v>
      </c>
      <c r="AB38" s="518">
        <v>26.119</v>
      </c>
      <c r="AC38" s="718">
        <f t="shared" si="0"/>
        <v>13.299787446319343</v>
      </c>
    </row>
    <row r="39" spans="1:30" ht="12.75" customHeight="1" x14ac:dyDescent="0.2">
      <c r="A39" s="18"/>
      <c r="B39" s="18"/>
      <c r="C39" s="145">
        <v>32</v>
      </c>
      <c r="D39" s="393"/>
      <c r="E39" s="513" t="s">
        <v>72</v>
      </c>
      <c r="F39" s="514" t="s">
        <v>111</v>
      </c>
      <c r="G39" s="513">
        <v>21.638000000000002</v>
      </c>
      <c r="H39" s="513">
        <v>21.204000000000001</v>
      </c>
      <c r="I39" s="513">
        <v>25.538</v>
      </c>
      <c r="J39" s="513">
        <v>25.283999999999999</v>
      </c>
      <c r="K39" s="513">
        <v>29.402999999999999</v>
      </c>
      <c r="L39" s="513">
        <v>29.634</v>
      </c>
      <c r="M39" s="513">
        <v>28.684999999999999</v>
      </c>
      <c r="N39" s="513">
        <v>30.638999999999999</v>
      </c>
      <c r="O39" s="513">
        <v>31.527000000000001</v>
      </c>
      <c r="P39" s="513">
        <v>34.393999999999998</v>
      </c>
      <c r="Q39" s="513">
        <v>35.371000000000002</v>
      </c>
      <c r="R39" s="513">
        <v>28.013999999999999</v>
      </c>
      <c r="S39" s="513">
        <v>27.399000000000001</v>
      </c>
      <c r="T39" s="513">
        <v>27.446999999999999</v>
      </c>
      <c r="U39" s="513">
        <v>27.271999999999998</v>
      </c>
      <c r="V39" s="513">
        <v>26.137</v>
      </c>
      <c r="W39" s="513">
        <v>26.966000000000001</v>
      </c>
      <c r="X39" s="513">
        <v>23.334</v>
      </c>
      <c r="Y39" s="513">
        <v>28.356999999999999</v>
      </c>
      <c r="Z39" s="513">
        <v>22.693000000000001</v>
      </c>
      <c r="AA39" s="513">
        <v>24.173999999999999</v>
      </c>
      <c r="AB39" s="514">
        <v>25.721</v>
      </c>
      <c r="AC39" s="617">
        <f t="shared" si="0"/>
        <v>6.3994374120956365</v>
      </c>
    </row>
    <row r="40" spans="1:30" ht="12.75" customHeight="1" x14ac:dyDescent="0.2">
      <c r="A40" s="18"/>
      <c r="B40" s="18"/>
      <c r="C40" s="145">
        <v>33</v>
      </c>
      <c r="D40" s="388"/>
      <c r="E40" s="512" t="s">
        <v>216</v>
      </c>
      <c r="F40" s="518" t="s">
        <v>110</v>
      </c>
      <c r="G40" s="512">
        <v>15.891999999999999</v>
      </c>
      <c r="H40" s="512">
        <v>15.782</v>
      </c>
      <c r="I40" s="512">
        <v>15.557</v>
      </c>
      <c r="J40" s="512">
        <v>16.681999999999999</v>
      </c>
      <c r="K40" s="512">
        <v>17.93</v>
      </c>
      <c r="L40" s="512">
        <v>19.227</v>
      </c>
      <c r="M40" s="512">
        <v>20.795000000000002</v>
      </c>
      <c r="N40" s="512">
        <v>21.800999999999998</v>
      </c>
      <c r="O40" s="512">
        <v>21.126999999999999</v>
      </c>
      <c r="P40" s="512">
        <v>18.606000000000002</v>
      </c>
      <c r="Q40" s="512">
        <v>19.547999999999998</v>
      </c>
      <c r="R40" s="512">
        <v>19.466999999999999</v>
      </c>
      <c r="S40" s="512">
        <v>19.898</v>
      </c>
      <c r="T40" s="512">
        <v>19.864999999999998</v>
      </c>
      <c r="U40" s="512">
        <v>21.077999999999999</v>
      </c>
      <c r="V40" s="512">
        <v>22.204999999999998</v>
      </c>
      <c r="W40" s="512">
        <v>23.849</v>
      </c>
      <c r="X40" s="512">
        <v>24.995999999999999</v>
      </c>
      <c r="Y40" s="512">
        <v>26.332000000000001</v>
      </c>
      <c r="Z40" s="512">
        <v>26.334</v>
      </c>
      <c r="AA40" s="512">
        <v>25.209</v>
      </c>
      <c r="AB40" s="518">
        <v>24.484999999999999</v>
      </c>
      <c r="AC40" s="718">
        <f t="shared" si="0"/>
        <v>-2.8719901622436481</v>
      </c>
    </row>
    <row r="41" spans="1:30" ht="12.75" customHeight="1" x14ac:dyDescent="0.2">
      <c r="A41" s="18"/>
      <c r="B41" s="18"/>
      <c r="C41" s="145">
        <v>34</v>
      </c>
      <c r="D41" s="393"/>
      <c r="E41" s="513" t="s">
        <v>166</v>
      </c>
      <c r="F41" s="514" t="s">
        <v>111</v>
      </c>
      <c r="G41" s="513">
        <v>23.751000000000001</v>
      </c>
      <c r="H41" s="513">
        <v>21.521000000000001</v>
      </c>
      <c r="I41" s="513">
        <v>24.202999999999999</v>
      </c>
      <c r="J41" s="513">
        <v>26.106000000000002</v>
      </c>
      <c r="K41" s="513">
        <v>25.212</v>
      </c>
      <c r="L41" s="513">
        <v>22.76</v>
      </c>
      <c r="M41" s="513">
        <v>27.111000000000001</v>
      </c>
      <c r="N41" s="513">
        <v>26.744</v>
      </c>
      <c r="O41" s="513">
        <v>26.407</v>
      </c>
      <c r="P41" s="513">
        <v>23.597000000000001</v>
      </c>
      <c r="Q41" s="513">
        <v>23.934999999999999</v>
      </c>
      <c r="R41" s="513">
        <v>25.297000000000001</v>
      </c>
      <c r="S41" s="513">
        <v>24.635000000000002</v>
      </c>
      <c r="T41" s="513">
        <v>24.797000000000001</v>
      </c>
      <c r="U41" s="513">
        <v>20.805</v>
      </c>
      <c r="V41" s="513">
        <v>24.643999999999998</v>
      </c>
      <c r="W41" s="513">
        <v>24.672000000000001</v>
      </c>
      <c r="X41" s="513">
        <v>24.629000000000001</v>
      </c>
      <c r="Y41" s="513">
        <v>24.876000000000001</v>
      </c>
      <c r="Z41" s="513">
        <v>26.817</v>
      </c>
      <c r="AA41" s="513">
        <v>21.687000000000001</v>
      </c>
      <c r="AB41" s="514">
        <v>23.587</v>
      </c>
      <c r="AC41" s="617">
        <f t="shared" si="0"/>
        <v>8.7610088993406237</v>
      </c>
    </row>
    <row r="42" spans="1:30" ht="12.75" customHeight="1" x14ac:dyDescent="0.2">
      <c r="A42" s="18"/>
      <c r="B42" s="18"/>
      <c r="C42" s="145">
        <v>35</v>
      </c>
      <c r="D42" s="388"/>
      <c r="E42" s="512" t="s">
        <v>164</v>
      </c>
      <c r="F42" s="518" t="s">
        <v>111</v>
      </c>
      <c r="G42" s="512">
        <v>29.937999999999999</v>
      </c>
      <c r="H42" s="512">
        <v>29.071999999999999</v>
      </c>
      <c r="I42" s="512">
        <v>29.904</v>
      </c>
      <c r="J42" s="512">
        <v>31.803000000000001</v>
      </c>
      <c r="K42" s="512">
        <v>31.699000000000002</v>
      </c>
      <c r="L42" s="512">
        <v>33.040999999999997</v>
      </c>
      <c r="M42" s="512">
        <v>30.978999999999999</v>
      </c>
      <c r="N42" s="512">
        <v>30.238</v>
      </c>
      <c r="O42" s="512">
        <v>26.849</v>
      </c>
      <c r="P42" s="512">
        <v>24.068999999999999</v>
      </c>
      <c r="Q42" s="512">
        <v>25.812999999999999</v>
      </c>
      <c r="R42" s="512">
        <v>24.716000000000001</v>
      </c>
      <c r="S42" s="512">
        <v>24.882999999999999</v>
      </c>
      <c r="T42" s="512">
        <v>24.308</v>
      </c>
      <c r="U42" s="512">
        <v>23.321000000000002</v>
      </c>
      <c r="V42" s="512">
        <v>19.943000000000001</v>
      </c>
      <c r="W42" s="512">
        <v>19.876000000000001</v>
      </c>
      <c r="X42" s="512">
        <v>21.094999999999999</v>
      </c>
      <c r="Y42" s="512">
        <v>22.004999999999999</v>
      </c>
      <c r="Z42" s="512">
        <v>21.468</v>
      </c>
      <c r="AA42" s="512">
        <v>22.343</v>
      </c>
      <c r="AB42" s="518">
        <v>23.099</v>
      </c>
      <c r="AC42" s="718">
        <f t="shared" si="0"/>
        <v>3.3836100792194372</v>
      </c>
    </row>
    <row r="43" spans="1:30" ht="12.75" customHeight="1" x14ac:dyDescent="0.2">
      <c r="A43" s="18"/>
      <c r="B43" s="18"/>
      <c r="C43" s="145">
        <v>36</v>
      </c>
      <c r="D43" s="393"/>
      <c r="E43" s="513" t="s">
        <v>278</v>
      </c>
      <c r="F43" s="514" t="s">
        <v>97</v>
      </c>
      <c r="G43" s="513"/>
      <c r="H43" s="513">
        <v>8.3480000000000008</v>
      </c>
      <c r="I43" s="513">
        <v>9.2739999999999991</v>
      </c>
      <c r="J43" s="513">
        <v>9.7330000000000005</v>
      </c>
      <c r="K43" s="513">
        <v>9.5990000000000002</v>
      </c>
      <c r="L43" s="513">
        <v>11.038</v>
      </c>
      <c r="M43" s="513">
        <v>12.218</v>
      </c>
      <c r="N43" s="513">
        <v>14.849</v>
      </c>
      <c r="O43" s="513">
        <v>12.86</v>
      </c>
      <c r="P43" s="513">
        <v>11.361000000000001</v>
      </c>
      <c r="Q43" s="513">
        <v>12.346</v>
      </c>
      <c r="R43" s="513">
        <v>12.992000000000001</v>
      </c>
      <c r="S43" s="513">
        <v>13.186999999999999</v>
      </c>
      <c r="T43" s="513">
        <v>15.051</v>
      </c>
      <c r="U43" s="513">
        <v>16.960999999999999</v>
      </c>
      <c r="V43" s="513">
        <v>15.391</v>
      </c>
      <c r="W43" s="513">
        <v>17.751000000000001</v>
      </c>
      <c r="X43" s="513">
        <v>18.378</v>
      </c>
      <c r="Y43" s="513">
        <v>20.974</v>
      </c>
      <c r="Z43" s="513">
        <v>20.547999999999998</v>
      </c>
      <c r="AA43" s="513">
        <v>21.22</v>
      </c>
      <c r="AB43" s="514">
        <v>22.745000000000001</v>
      </c>
      <c r="AC43" s="617">
        <f t="shared" si="0"/>
        <v>7.1866163996230199</v>
      </c>
    </row>
    <row r="44" spans="1:30" ht="12.75" customHeight="1" x14ac:dyDescent="0.2">
      <c r="A44" s="18"/>
      <c r="B44" s="18"/>
      <c r="C44" s="145">
        <v>37</v>
      </c>
      <c r="D44" s="388"/>
      <c r="E44" s="512" t="s">
        <v>211</v>
      </c>
      <c r="F44" s="518" t="s">
        <v>107</v>
      </c>
      <c r="G44" s="512">
        <v>18.634</v>
      </c>
      <c r="H44" s="512">
        <v>17.065000000000001</v>
      </c>
      <c r="I44" s="512">
        <v>17.347000000000001</v>
      </c>
      <c r="J44" s="512">
        <v>16.712</v>
      </c>
      <c r="K44" s="512">
        <v>16.367000000000001</v>
      </c>
      <c r="L44" s="512">
        <v>17.146999999999998</v>
      </c>
      <c r="M44" s="512">
        <v>19.058</v>
      </c>
      <c r="N44" s="512">
        <v>19.585000000000001</v>
      </c>
      <c r="O44" s="512">
        <v>21.277999999999999</v>
      </c>
      <c r="P44" s="512">
        <v>17.384</v>
      </c>
      <c r="Q44" s="512">
        <v>19.489000000000001</v>
      </c>
      <c r="R44" s="512">
        <v>18.085000000000001</v>
      </c>
      <c r="S44" s="512">
        <v>16.87</v>
      </c>
      <c r="T44" s="512">
        <v>17.785</v>
      </c>
      <c r="U44" s="512">
        <v>19.474</v>
      </c>
      <c r="V44" s="512">
        <v>20.327999999999999</v>
      </c>
      <c r="W44" s="512">
        <v>20.963999999999999</v>
      </c>
      <c r="X44" s="512">
        <v>20.427</v>
      </c>
      <c r="Y44" s="512">
        <v>19.635000000000002</v>
      </c>
      <c r="Z44" s="512">
        <v>19.928000000000001</v>
      </c>
      <c r="AA44" s="512">
        <v>20.074999999999999</v>
      </c>
      <c r="AB44" s="518">
        <v>22.341000000000001</v>
      </c>
      <c r="AC44" s="718">
        <f t="shared" si="0"/>
        <v>11.287671232876733</v>
      </c>
    </row>
    <row r="45" spans="1:30" ht="12.75" customHeight="1" x14ac:dyDescent="0.2">
      <c r="A45" s="18"/>
      <c r="B45" s="18"/>
      <c r="C45" s="145">
        <v>38</v>
      </c>
      <c r="D45" s="393"/>
      <c r="E45" s="513" t="s">
        <v>220</v>
      </c>
      <c r="F45" s="514" t="s">
        <v>92</v>
      </c>
      <c r="G45" s="513"/>
      <c r="H45" s="513">
        <v>32.063000000000002</v>
      </c>
      <c r="I45" s="513">
        <v>36.479999999999997</v>
      </c>
      <c r="J45" s="513">
        <v>36.984000000000002</v>
      </c>
      <c r="K45" s="513">
        <v>37.116</v>
      </c>
      <c r="L45" s="513">
        <v>38.816000000000003</v>
      </c>
      <c r="M45" s="513">
        <v>41.243000000000002</v>
      </c>
      <c r="N45" s="513">
        <v>35.865000000000002</v>
      </c>
      <c r="O45" s="513">
        <v>28.966000000000001</v>
      </c>
      <c r="P45" s="513">
        <v>31.384</v>
      </c>
      <c r="Q45" s="513">
        <v>36.264000000000003</v>
      </c>
      <c r="R45" s="513">
        <v>35.966999999999999</v>
      </c>
      <c r="S45" s="513">
        <v>29.151</v>
      </c>
      <c r="T45" s="513">
        <v>28.012</v>
      </c>
      <c r="U45" s="513">
        <v>28.135000000000002</v>
      </c>
      <c r="V45" s="513">
        <v>22.254999999999999</v>
      </c>
      <c r="W45" s="513">
        <v>19.937000000000001</v>
      </c>
      <c r="X45" s="513">
        <v>18.943999999999999</v>
      </c>
      <c r="Y45" s="513">
        <v>20.369</v>
      </c>
      <c r="Z45" s="513">
        <v>19.635000000000002</v>
      </c>
      <c r="AA45" s="513">
        <v>21.227</v>
      </c>
      <c r="AB45" s="514">
        <v>22.324000000000002</v>
      </c>
      <c r="AC45" s="617">
        <f t="shared" si="0"/>
        <v>5.1679464832524786</v>
      </c>
    </row>
    <row r="46" spans="1:30" ht="12.75" customHeight="1" x14ac:dyDescent="0.2">
      <c r="A46" s="18"/>
      <c r="B46" s="18"/>
      <c r="C46" s="145">
        <v>39</v>
      </c>
      <c r="D46" s="388"/>
      <c r="E46" s="512" t="s">
        <v>68</v>
      </c>
      <c r="F46" s="518" t="s">
        <v>109</v>
      </c>
      <c r="G46" s="512">
        <v>22.645</v>
      </c>
      <c r="H46" s="512">
        <v>20.553999999999998</v>
      </c>
      <c r="I46" s="512">
        <v>19.407</v>
      </c>
      <c r="J46" s="512">
        <v>21.687999999999999</v>
      </c>
      <c r="K46" s="512">
        <v>19.882999999999999</v>
      </c>
      <c r="L46" s="512">
        <v>21.646000000000001</v>
      </c>
      <c r="M46" s="512">
        <v>23.065999999999999</v>
      </c>
      <c r="N46" s="512">
        <v>22.027000000000001</v>
      </c>
      <c r="O46" s="512">
        <v>22.498000000000001</v>
      </c>
      <c r="P46" s="512">
        <v>23.148</v>
      </c>
      <c r="Q46" s="512">
        <v>26.521999999999998</v>
      </c>
      <c r="R46" s="512">
        <v>25.234999999999999</v>
      </c>
      <c r="S46" s="512">
        <v>21.004000000000001</v>
      </c>
      <c r="T46" s="512">
        <v>22.263999999999999</v>
      </c>
      <c r="U46" s="512">
        <v>21.469000000000001</v>
      </c>
      <c r="V46" s="512">
        <v>22.29</v>
      </c>
      <c r="W46" s="512">
        <v>20.835000000000001</v>
      </c>
      <c r="X46" s="512">
        <v>19.879000000000001</v>
      </c>
      <c r="Y46" s="512">
        <v>22.899000000000001</v>
      </c>
      <c r="Z46" s="512">
        <v>23.315000000000001</v>
      </c>
      <c r="AA46" s="512">
        <v>23.353000000000002</v>
      </c>
      <c r="AB46" s="518">
        <v>21.116</v>
      </c>
      <c r="AC46" s="718">
        <f t="shared" si="0"/>
        <v>-9.5790690703549899</v>
      </c>
    </row>
    <row r="47" spans="1:30" ht="12.75" customHeight="1" x14ac:dyDescent="0.2">
      <c r="A47" s="18"/>
      <c r="B47" s="18"/>
      <c r="C47" s="145">
        <v>40</v>
      </c>
      <c r="D47" s="393"/>
      <c r="E47" s="520" t="s">
        <v>276</v>
      </c>
      <c r="F47" s="521" t="s">
        <v>108</v>
      </c>
      <c r="G47" s="520">
        <v>12.404</v>
      </c>
      <c r="H47" s="520">
        <v>13.364000000000001</v>
      </c>
      <c r="I47" s="520">
        <v>13.242000000000001</v>
      </c>
      <c r="J47" s="520">
        <v>16.23</v>
      </c>
      <c r="K47" s="520">
        <v>17.773</v>
      </c>
      <c r="L47" s="520">
        <v>19.137</v>
      </c>
      <c r="M47" s="520">
        <v>19.382999999999999</v>
      </c>
      <c r="N47" s="520">
        <v>20.702000000000002</v>
      </c>
      <c r="O47" s="520">
        <v>19.896000000000001</v>
      </c>
      <c r="P47" s="520">
        <v>16.045999999999999</v>
      </c>
      <c r="Q47" s="520">
        <v>17.187000000000001</v>
      </c>
      <c r="R47" s="520">
        <v>19.120999999999999</v>
      </c>
      <c r="S47" s="520">
        <v>18.731999999999999</v>
      </c>
      <c r="T47" s="520">
        <v>16.081</v>
      </c>
      <c r="U47" s="520">
        <v>16.565999999999999</v>
      </c>
      <c r="V47" s="520">
        <v>17.821000000000002</v>
      </c>
      <c r="W47" s="520">
        <v>16.658999999999999</v>
      </c>
      <c r="X47" s="520">
        <v>20.173999999999999</v>
      </c>
      <c r="Y47" s="520">
        <v>20.016999999999999</v>
      </c>
      <c r="Z47" s="520">
        <v>19.850000000000001</v>
      </c>
      <c r="AA47" s="520">
        <v>19.048999999999999</v>
      </c>
      <c r="AB47" s="521">
        <v>20.943000000000001</v>
      </c>
      <c r="AC47" s="812">
        <f t="shared" si="0"/>
        <v>9.9427791485117325</v>
      </c>
      <c r="AD47" s="502"/>
    </row>
    <row r="48" spans="1:30" ht="12.75" customHeight="1" x14ac:dyDescent="0.2">
      <c r="A48" s="18"/>
      <c r="B48" s="18"/>
      <c r="C48" s="145">
        <v>41</v>
      </c>
      <c r="D48" s="388"/>
      <c r="E48" s="512" t="s">
        <v>289</v>
      </c>
      <c r="F48" s="518" t="s">
        <v>108</v>
      </c>
      <c r="G48" s="512"/>
      <c r="H48" s="512">
        <v>10.27</v>
      </c>
      <c r="I48" s="512">
        <v>10.334</v>
      </c>
      <c r="J48" s="512">
        <v>9.9320000000000004</v>
      </c>
      <c r="K48" s="512">
        <v>11.398999999999999</v>
      </c>
      <c r="L48" s="512">
        <v>13.372999999999999</v>
      </c>
      <c r="M48" s="512">
        <v>13.114000000000001</v>
      </c>
      <c r="N48" s="512">
        <v>12.881</v>
      </c>
      <c r="O48" s="512">
        <v>13.351000000000001</v>
      </c>
      <c r="P48" s="512">
        <v>10.936</v>
      </c>
      <c r="Q48" s="512">
        <v>12.234999999999999</v>
      </c>
      <c r="R48" s="512">
        <v>12.81</v>
      </c>
      <c r="S48" s="512">
        <v>12.573</v>
      </c>
      <c r="T48" s="512">
        <v>13.476000000000001</v>
      </c>
      <c r="U48" s="512">
        <v>15.159000000000001</v>
      </c>
      <c r="V48" s="512">
        <v>16.445</v>
      </c>
      <c r="W48" s="512">
        <v>17.087</v>
      </c>
      <c r="X48" s="512">
        <v>17.585000000000001</v>
      </c>
      <c r="Y48" s="512">
        <v>20.617000000000001</v>
      </c>
      <c r="Z48" s="519">
        <v>20.263999999999999</v>
      </c>
      <c r="AA48" s="512">
        <v>18.231999999999999</v>
      </c>
      <c r="AB48" s="518">
        <v>20.928999999999998</v>
      </c>
      <c r="AC48" s="718">
        <f t="shared" si="0"/>
        <v>14.792672224659938</v>
      </c>
    </row>
    <row r="49" spans="1:29" ht="12.75" customHeight="1" x14ac:dyDescent="0.2">
      <c r="A49" s="18"/>
      <c r="B49" s="18"/>
      <c r="C49" s="145">
        <v>42</v>
      </c>
      <c r="D49" s="393"/>
      <c r="E49" s="513" t="s">
        <v>219</v>
      </c>
      <c r="F49" s="514" t="s">
        <v>94</v>
      </c>
      <c r="G49" s="513"/>
      <c r="H49" s="513">
        <v>14.82</v>
      </c>
      <c r="I49" s="513">
        <v>17.956</v>
      </c>
      <c r="J49" s="513">
        <v>21.645</v>
      </c>
      <c r="K49" s="513">
        <v>22.062999999999999</v>
      </c>
      <c r="L49" s="513">
        <v>24.420999999999999</v>
      </c>
      <c r="M49" s="513">
        <v>23.757999999999999</v>
      </c>
      <c r="N49" s="513">
        <v>25.216000000000001</v>
      </c>
      <c r="O49" s="513">
        <v>28.567</v>
      </c>
      <c r="P49" s="513">
        <v>29.225000000000001</v>
      </c>
      <c r="Q49" s="513">
        <v>29.056999999999999</v>
      </c>
      <c r="R49" s="513">
        <v>32.920999999999999</v>
      </c>
      <c r="S49" s="513">
        <v>34.847999999999999</v>
      </c>
      <c r="T49" s="513">
        <v>34.04</v>
      </c>
      <c r="U49" s="513">
        <v>39.808</v>
      </c>
      <c r="V49" s="513">
        <v>39.362000000000002</v>
      </c>
      <c r="W49" s="513">
        <v>35.822000000000003</v>
      </c>
      <c r="X49" s="513">
        <v>32.106000000000002</v>
      </c>
      <c r="Y49" s="513">
        <v>34.392000000000003</v>
      </c>
      <c r="Z49" s="513">
        <v>30.625</v>
      </c>
      <c r="AA49" s="513">
        <v>22.085000000000001</v>
      </c>
      <c r="AB49" s="514">
        <v>20.786999999999999</v>
      </c>
      <c r="AC49" s="617">
        <f t="shared" si="0"/>
        <v>-5.8772922798279552</v>
      </c>
    </row>
    <row r="50" spans="1:29" ht="12.75" customHeight="1" x14ac:dyDescent="0.2">
      <c r="A50" s="18"/>
      <c r="B50" s="18"/>
      <c r="C50" s="145">
        <v>43</v>
      </c>
      <c r="D50" s="388"/>
      <c r="E50" s="512" t="s">
        <v>70</v>
      </c>
      <c r="F50" s="518" t="s">
        <v>100</v>
      </c>
      <c r="G50" s="512"/>
      <c r="H50" s="512">
        <v>9.11</v>
      </c>
      <c r="I50" s="512">
        <v>9.2460000000000004</v>
      </c>
      <c r="J50" s="512">
        <v>10.72</v>
      </c>
      <c r="K50" s="512">
        <v>11.986000000000001</v>
      </c>
      <c r="L50" s="512">
        <v>12.54</v>
      </c>
      <c r="M50" s="512">
        <v>15.391</v>
      </c>
      <c r="N50" s="512">
        <v>15.805</v>
      </c>
      <c r="O50" s="512">
        <v>16.498999999999999</v>
      </c>
      <c r="P50" s="512">
        <v>13.321999999999999</v>
      </c>
      <c r="Q50" s="512">
        <v>14.590999999999999</v>
      </c>
      <c r="R50" s="512">
        <v>16.198</v>
      </c>
      <c r="S50" s="512">
        <v>16.907</v>
      </c>
      <c r="T50" s="512">
        <v>17.184000000000001</v>
      </c>
      <c r="U50" s="512">
        <v>18.012</v>
      </c>
      <c r="V50" s="512">
        <v>19.931000000000001</v>
      </c>
      <c r="W50" s="512">
        <v>21.170999999999999</v>
      </c>
      <c r="X50" s="512">
        <v>22.311</v>
      </c>
      <c r="Y50" s="512">
        <v>23.126999999999999</v>
      </c>
      <c r="Z50" s="512">
        <v>22.114000000000001</v>
      </c>
      <c r="AA50" s="512">
        <v>18.314</v>
      </c>
      <c r="AB50" s="518">
        <v>20.059999999999999</v>
      </c>
      <c r="AC50" s="718">
        <f t="shared" si="0"/>
        <v>9.5336900731680601</v>
      </c>
    </row>
    <row r="51" spans="1:29" ht="12.75" customHeight="1" x14ac:dyDescent="0.2">
      <c r="A51" s="18"/>
      <c r="B51" s="18"/>
      <c r="C51" s="145">
        <v>44</v>
      </c>
      <c r="D51" s="393"/>
      <c r="E51" s="513" t="s">
        <v>47</v>
      </c>
      <c r="F51" s="514" t="s">
        <v>109</v>
      </c>
      <c r="G51" s="513">
        <v>14.871</v>
      </c>
      <c r="H51" s="513">
        <v>15.146000000000001</v>
      </c>
      <c r="I51" s="513">
        <v>15.715999999999999</v>
      </c>
      <c r="J51" s="513">
        <v>15.582000000000001</v>
      </c>
      <c r="K51" s="513">
        <v>17.099</v>
      </c>
      <c r="L51" s="513">
        <v>17.658999999999999</v>
      </c>
      <c r="M51" s="513">
        <v>19.317</v>
      </c>
      <c r="N51" s="513">
        <v>18.954000000000001</v>
      </c>
      <c r="O51" s="513">
        <v>18.681000000000001</v>
      </c>
      <c r="P51" s="513">
        <v>18.914000000000001</v>
      </c>
      <c r="Q51" s="513">
        <v>17.960999999999999</v>
      </c>
      <c r="R51" s="513">
        <v>18.71</v>
      </c>
      <c r="S51" s="513">
        <v>16.548999999999999</v>
      </c>
      <c r="T51" s="513">
        <v>19.509</v>
      </c>
      <c r="U51" s="513">
        <v>20.69</v>
      </c>
      <c r="V51" s="513">
        <v>19.698</v>
      </c>
      <c r="W51" s="513">
        <v>20.556000000000001</v>
      </c>
      <c r="X51" s="513">
        <v>21.146000000000001</v>
      </c>
      <c r="Y51" s="513">
        <v>18.91</v>
      </c>
      <c r="Z51" s="513">
        <v>18.099</v>
      </c>
      <c r="AA51" s="513">
        <v>16.417999999999999</v>
      </c>
      <c r="AB51" s="514">
        <v>20.010999999999999</v>
      </c>
      <c r="AC51" s="617">
        <f t="shared" si="0"/>
        <v>21.884516993543684</v>
      </c>
    </row>
    <row r="52" spans="1:29" ht="12.75" customHeight="1" x14ac:dyDescent="0.2">
      <c r="A52" s="18"/>
      <c r="B52" s="18"/>
      <c r="C52" s="145">
        <v>45</v>
      </c>
      <c r="D52" s="388"/>
      <c r="E52" s="512" t="s">
        <v>162</v>
      </c>
      <c r="F52" s="518" t="s">
        <v>109</v>
      </c>
      <c r="G52" s="512">
        <v>31.263000000000002</v>
      </c>
      <c r="H52" s="512">
        <v>29.774999999999999</v>
      </c>
      <c r="I52" s="512">
        <v>31.105</v>
      </c>
      <c r="J52" s="512">
        <v>30.297999999999998</v>
      </c>
      <c r="K52" s="512">
        <v>32.008000000000003</v>
      </c>
      <c r="L52" s="512">
        <v>34.042999999999999</v>
      </c>
      <c r="M52" s="512">
        <v>33.869999999999997</v>
      </c>
      <c r="N52" s="512">
        <v>33.298999999999999</v>
      </c>
      <c r="O52" s="512">
        <v>32.917999999999999</v>
      </c>
      <c r="P52" s="512">
        <v>29.297000000000001</v>
      </c>
      <c r="Q52" s="512">
        <v>30.582000000000001</v>
      </c>
      <c r="R52" s="512">
        <v>30.001999999999999</v>
      </c>
      <c r="S52" s="512">
        <v>29.228000000000002</v>
      </c>
      <c r="T52" s="512">
        <v>27.561</v>
      </c>
      <c r="U52" s="512">
        <v>25.875</v>
      </c>
      <c r="V52" s="512">
        <v>24.878</v>
      </c>
      <c r="W52" s="512">
        <v>24.841999999999999</v>
      </c>
      <c r="X52" s="512">
        <v>29.306999999999999</v>
      </c>
      <c r="Y52" s="512">
        <v>31.937000000000001</v>
      </c>
      <c r="Z52" s="512">
        <v>30.155000000000001</v>
      </c>
      <c r="AA52" s="512">
        <v>27.591000000000001</v>
      </c>
      <c r="AB52" s="518">
        <v>19.297000000000001</v>
      </c>
      <c r="AC52" s="718">
        <f t="shared" si="0"/>
        <v>-30.060526983436631</v>
      </c>
    </row>
    <row r="53" spans="1:29" x14ac:dyDescent="0.2">
      <c r="A53" s="18"/>
      <c r="B53" s="18"/>
      <c r="C53" s="145">
        <v>46</v>
      </c>
      <c r="D53" s="393"/>
      <c r="E53" s="513" t="s">
        <v>283</v>
      </c>
      <c r="F53" s="514" t="s">
        <v>115</v>
      </c>
      <c r="G53" s="513">
        <v>12.8</v>
      </c>
      <c r="H53" s="513">
        <v>16.523</v>
      </c>
      <c r="I53" s="513">
        <v>17.581</v>
      </c>
      <c r="J53" s="513">
        <v>17.452999999999999</v>
      </c>
      <c r="K53" s="513">
        <v>19.248000000000001</v>
      </c>
      <c r="L53" s="513">
        <v>17.361999999999998</v>
      </c>
      <c r="M53" s="513">
        <v>19.739000000000001</v>
      </c>
      <c r="N53" s="513">
        <v>19.760000000000002</v>
      </c>
      <c r="O53" s="513">
        <v>21.55</v>
      </c>
      <c r="P53" s="513">
        <v>20.786999999999999</v>
      </c>
      <c r="Q53" s="513">
        <v>20.545000000000002</v>
      </c>
      <c r="R53" s="513">
        <v>22.155000000000001</v>
      </c>
      <c r="S53" s="513">
        <v>23.207000000000001</v>
      </c>
      <c r="T53" s="513">
        <v>23.120999999999999</v>
      </c>
      <c r="U53" s="513">
        <v>22.465</v>
      </c>
      <c r="V53" s="513">
        <v>20.637</v>
      </c>
      <c r="W53" s="513">
        <v>24.835999999999999</v>
      </c>
      <c r="X53" s="513">
        <v>24.774000000000001</v>
      </c>
      <c r="Y53" s="513">
        <v>24.661000000000001</v>
      </c>
      <c r="Z53" s="513">
        <v>25.199000000000002</v>
      </c>
      <c r="AA53" s="513">
        <v>23.343</v>
      </c>
      <c r="AB53" s="514">
        <v>19.256</v>
      </c>
      <c r="AC53" s="617">
        <f t="shared" si="0"/>
        <v>-17.508460780533781</v>
      </c>
    </row>
    <row r="54" spans="1:29" ht="12.75" customHeight="1" x14ac:dyDescent="0.2">
      <c r="A54" s="33"/>
      <c r="B54" s="33"/>
      <c r="C54" s="145">
        <v>47</v>
      </c>
      <c r="D54" s="388"/>
      <c r="E54" s="512" t="s">
        <v>634</v>
      </c>
      <c r="F54" s="518" t="s">
        <v>111</v>
      </c>
      <c r="G54" s="512">
        <v>33.116999999999997</v>
      </c>
      <c r="H54" s="512">
        <v>33.625</v>
      </c>
      <c r="I54" s="512">
        <v>32.462000000000003</v>
      </c>
      <c r="J54" s="512">
        <v>35.305</v>
      </c>
      <c r="K54" s="512">
        <v>39.368000000000002</v>
      </c>
      <c r="L54" s="512">
        <v>47.869</v>
      </c>
      <c r="M54" s="512">
        <v>50.871000000000002</v>
      </c>
      <c r="N54" s="512">
        <v>49.24</v>
      </c>
      <c r="O54" s="512">
        <v>49.521999999999998</v>
      </c>
      <c r="P54" s="512">
        <v>38.079000000000001</v>
      </c>
      <c r="Q54" s="512">
        <v>34.209000000000003</v>
      </c>
      <c r="R54" s="512">
        <v>41.228999999999999</v>
      </c>
      <c r="S54" s="512">
        <v>35.21</v>
      </c>
      <c r="T54" s="512">
        <v>24.495999999999999</v>
      </c>
      <c r="U54" s="512">
        <v>23.280999999999999</v>
      </c>
      <c r="V54" s="512">
        <v>18.484000000000002</v>
      </c>
      <c r="W54" s="512">
        <v>20.981999999999999</v>
      </c>
      <c r="X54" s="512">
        <v>20.149000000000001</v>
      </c>
      <c r="Y54" s="512">
        <v>20.381</v>
      </c>
      <c r="Z54" s="512">
        <v>17.609000000000002</v>
      </c>
      <c r="AA54" s="512">
        <v>14.807</v>
      </c>
      <c r="AB54" s="518">
        <v>17.699000000000002</v>
      </c>
      <c r="AC54" s="718">
        <f t="shared" si="0"/>
        <v>19.531302762207076</v>
      </c>
    </row>
    <row r="55" spans="1:29" x14ac:dyDescent="0.2">
      <c r="A55" s="18"/>
      <c r="B55" s="18"/>
      <c r="C55" s="145">
        <v>48</v>
      </c>
      <c r="D55" s="393"/>
      <c r="E55" s="513" t="s">
        <v>635</v>
      </c>
      <c r="F55" s="514" t="s">
        <v>107</v>
      </c>
      <c r="G55" s="513">
        <v>17.954000000000001</v>
      </c>
      <c r="H55" s="513">
        <v>17.044</v>
      </c>
      <c r="I55" s="513">
        <v>17.02</v>
      </c>
      <c r="J55" s="513">
        <v>17.786000000000001</v>
      </c>
      <c r="K55" s="513">
        <v>19.167999999999999</v>
      </c>
      <c r="L55" s="513">
        <v>18.847999999999999</v>
      </c>
      <c r="M55" s="513">
        <v>21.056000000000001</v>
      </c>
      <c r="N55" s="513">
        <v>22.175000000000001</v>
      </c>
      <c r="O55" s="513">
        <v>21.334</v>
      </c>
      <c r="P55" s="513">
        <v>17.488</v>
      </c>
      <c r="Q55" s="513">
        <v>17.853999999999999</v>
      </c>
      <c r="R55" s="513">
        <v>17.664999999999999</v>
      </c>
      <c r="S55" s="513">
        <v>17.170000000000002</v>
      </c>
      <c r="T55" s="513">
        <v>17.001999999999999</v>
      </c>
      <c r="U55" s="513">
        <v>17.236999999999998</v>
      </c>
      <c r="V55" s="513">
        <v>16.303999999999998</v>
      </c>
      <c r="W55" s="513">
        <v>15.51</v>
      </c>
      <c r="X55" s="513">
        <v>16.202000000000002</v>
      </c>
      <c r="Y55" s="513">
        <v>16.475999999999999</v>
      </c>
      <c r="Z55" s="513">
        <v>16.026</v>
      </c>
      <c r="AA55" s="513">
        <v>15.291</v>
      </c>
      <c r="AB55" s="514">
        <v>17.55</v>
      </c>
      <c r="AC55" s="617">
        <f t="shared" si="0"/>
        <v>14.773396115361976</v>
      </c>
    </row>
    <row r="56" spans="1:29" s="529" customFormat="1" x14ac:dyDescent="0.2">
      <c r="A56" s="18"/>
      <c r="B56" s="18"/>
      <c r="C56" s="145">
        <v>49</v>
      </c>
      <c r="D56" s="393"/>
      <c r="E56" s="512" t="s">
        <v>636</v>
      </c>
      <c r="F56" s="518" t="s">
        <v>97</v>
      </c>
      <c r="G56" s="512"/>
      <c r="H56" s="512">
        <v>8.798</v>
      </c>
      <c r="I56" s="512">
        <v>10.041</v>
      </c>
      <c r="J56" s="512">
        <v>8.9969999999999999</v>
      </c>
      <c r="K56" s="512">
        <v>9.4420000000000002</v>
      </c>
      <c r="L56" s="512">
        <v>10.372999999999999</v>
      </c>
      <c r="M56" s="512">
        <v>8.3930000000000007</v>
      </c>
      <c r="N56" s="512">
        <v>7.3849999999999998</v>
      </c>
      <c r="O56" s="512">
        <v>8.843</v>
      </c>
      <c r="P56" s="512">
        <v>7.0380000000000003</v>
      </c>
      <c r="Q56" s="512">
        <v>10.683</v>
      </c>
      <c r="R56" s="512">
        <v>10.68</v>
      </c>
      <c r="S56" s="512">
        <v>11.28</v>
      </c>
      <c r="T56" s="512">
        <v>12.023999999999999</v>
      </c>
      <c r="U56" s="512">
        <v>12.468</v>
      </c>
      <c r="V56" s="512">
        <v>11.759</v>
      </c>
      <c r="W56" s="512">
        <v>12.571999999999999</v>
      </c>
      <c r="X56" s="512">
        <v>14.709</v>
      </c>
      <c r="Y56" s="512">
        <v>16.806999999999999</v>
      </c>
      <c r="Z56" s="512">
        <v>15.936</v>
      </c>
      <c r="AA56" s="512">
        <v>15.097</v>
      </c>
      <c r="AB56" s="518">
        <v>17.167000000000002</v>
      </c>
      <c r="AC56" s="718">
        <f t="shared" si="0"/>
        <v>13.711333377492238</v>
      </c>
    </row>
    <row r="57" spans="1:29" ht="12.75" customHeight="1" x14ac:dyDescent="0.2">
      <c r="A57" s="303"/>
      <c r="B57" s="303"/>
      <c r="C57" s="145">
        <v>50</v>
      </c>
      <c r="D57" s="403"/>
      <c r="E57" s="520" t="s">
        <v>284</v>
      </c>
      <c r="F57" s="521" t="s">
        <v>108</v>
      </c>
      <c r="G57" s="520"/>
      <c r="H57" s="520">
        <v>18.216000000000001</v>
      </c>
      <c r="I57" s="520">
        <v>20.302</v>
      </c>
      <c r="J57" s="520">
        <v>18.948</v>
      </c>
      <c r="K57" s="520">
        <v>19.856000000000002</v>
      </c>
      <c r="L57" s="520">
        <v>21.57</v>
      </c>
      <c r="M57" s="520">
        <v>20.260999999999999</v>
      </c>
      <c r="N57" s="520">
        <v>20.513000000000002</v>
      </c>
      <c r="O57" s="520">
        <v>19.198</v>
      </c>
      <c r="P57" s="520">
        <v>14.456</v>
      </c>
      <c r="Q57" s="520">
        <v>15.477</v>
      </c>
      <c r="R57" s="520">
        <v>14.382</v>
      </c>
      <c r="S57" s="520">
        <v>16.436</v>
      </c>
      <c r="T57" s="520">
        <v>16.984999999999999</v>
      </c>
      <c r="U57" s="520">
        <v>18.312000000000001</v>
      </c>
      <c r="V57" s="520">
        <v>21.06</v>
      </c>
      <c r="W57" s="520">
        <v>18.196000000000002</v>
      </c>
      <c r="X57" s="520">
        <v>21.576000000000001</v>
      </c>
      <c r="Y57" s="520">
        <v>19.516999999999999</v>
      </c>
      <c r="Z57" s="520">
        <v>17.219000000000001</v>
      </c>
      <c r="AA57" s="520">
        <v>15.927</v>
      </c>
      <c r="AB57" s="521">
        <v>16.495999999999999</v>
      </c>
      <c r="AC57" s="812">
        <f t="shared" si="0"/>
        <v>3.5725497582721033</v>
      </c>
    </row>
    <row r="58" spans="1:29" s="750" customFormat="1" ht="12.75" customHeight="1" x14ac:dyDescent="0.2">
      <c r="A58" s="303"/>
      <c r="B58" s="303"/>
      <c r="C58" s="145"/>
      <c r="D58" s="175"/>
      <c r="E58" s="513" t="s">
        <v>378</v>
      </c>
      <c r="F58" s="513"/>
      <c r="G58" s="513"/>
      <c r="H58" s="513"/>
      <c r="I58" s="513"/>
      <c r="J58" s="513"/>
      <c r="K58" s="513"/>
      <c r="L58" s="513"/>
      <c r="M58" s="513"/>
      <c r="N58" s="513"/>
      <c r="O58" s="513"/>
      <c r="P58" s="513"/>
      <c r="Q58" s="513"/>
      <c r="R58" s="513"/>
      <c r="S58" s="513"/>
      <c r="T58" s="513"/>
      <c r="U58" s="513"/>
      <c r="V58" s="513"/>
      <c r="W58" s="513"/>
      <c r="X58" s="513"/>
      <c r="Y58" s="513"/>
      <c r="Z58" s="513"/>
      <c r="AA58" s="513"/>
      <c r="AB58" s="513"/>
      <c r="AC58" s="768"/>
    </row>
    <row r="59" spans="1:29" x14ac:dyDescent="0.2">
      <c r="A59" s="303"/>
      <c r="B59" s="18"/>
      <c r="C59" s="289"/>
      <c r="E59" s="902"/>
    </row>
    <row r="60" spans="1:29" ht="12.75" customHeight="1" x14ac:dyDescent="0.2">
      <c r="A60" s="303"/>
      <c r="B60" s="18"/>
      <c r="C60" s="289"/>
      <c r="E60" s="749"/>
      <c r="F60" s="749"/>
      <c r="G60" s="749"/>
      <c r="H60" s="749"/>
      <c r="I60" s="749"/>
      <c r="J60" s="749"/>
      <c r="K60" s="749"/>
      <c r="L60" s="749"/>
      <c r="M60" s="749"/>
      <c r="N60" s="749"/>
      <c r="O60" s="749"/>
      <c r="P60" s="749"/>
      <c r="Q60" s="749"/>
      <c r="R60" s="749"/>
      <c r="S60" s="749"/>
      <c r="T60" s="749"/>
      <c r="U60" s="749"/>
      <c r="V60" s="749"/>
      <c r="W60" s="749"/>
      <c r="X60" s="556"/>
      <c r="Y60" s="556"/>
      <c r="Z60" s="556"/>
      <c r="AA60" s="556"/>
      <c r="AB60" s="556"/>
    </row>
    <row r="61" spans="1:29" ht="12.75" customHeight="1" x14ac:dyDescent="0.2">
      <c r="A61" s="18"/>
      <c r="B61" s="18"/>
      <c r="C61" s="209"/>
    </row>
    <row r="62" spans="1:29" x14ac:dyDescent="0.2">
      <c r="A62" s="18"/>
      <c r="B62" s="18"/>
      <c r="C62" s="209"/>
      <c r="J62" s="1"/>
    </row>
    <row r="63" spans="1:29" x14ac:dyDescent="0.2">
      <c r="A63" s="18"/>
      <c r="B63" s="18"/>
      <c r="C63" s="209"/>
      <c r="J63" s="1"/>
    </row>
    <row r="64" spans="1:29" x14ac:dyDescent="0.2">
      <c r="A64" s="18"/>
      <c r="B64" s="18"/>
      <c r="C64" s="209"/>
      <c r="I64" s="1"/>
    </row>
    <row r="65" spans="1:28" x14ac:dyDescent="0.2">
      <c r="A65" s="18"/>
      <c r="B65" s="18"/>
      <c r="C65" s="209"/>
    </row>
    <row r="66" spans="1:28" x14ac:dyDescent="0.2">
      <c r="A66" s="18"/>
      <c r="B66" s="18"/>
      <c r="C66" s="209"/>
    </row>
    <row r="67" spans="1:28" x14ac:dyDescent="0.2">
      <c r="A67" s="18"/>
      <c r="B67" s="18"/>
      <c r="C67" s="209"/>
      <c r="V67" s="5"/>
      <c r="W67" s="5"/>
      <c r="X67" s="557"/>
      <c r="Y67" s="557"/>
      <c r="Z67" s="557"/>
      <c r="AA67" s="557"/>
      <c r="AB67" s="557"/>
    </row>
    <row r="68" spans="1:28" x14ac:dyDescent="0.2">
      <c r="A68" s="18"/>
      <c r="B68" s="18"/>
      <c r="C68" s="173"/>
    </row>
    <row r="69" spans="1:28" x14ac:dyDescent="0.2">
      <c r="A69" s="18"/>
      <c r="B69" s="18"/>
      <c r="C69" s="173"/>
    </row>
    <row r="70" spans="1:28" x14ac:dyDescent="0.2">
      <c r="C70" s="173"/>
    </row>
    <row r="71" spans="1:28" x14ac:dyDescent="0.2">
      <c r="C71" s="173"/>
    </row>
    <row r="72" spans="1:28" x14ac:dyDescent="0.2">
      <c r="C72" s="173"/>
    </row>
    <row r="73" spans="1:28" x14ac:dyDescent="0.2">
      <c r="C73" s="173"/>
    </row>
    <row r="74" spans="1:28" x14ac:dyDescent="0.2">
      <c r="C74" s="173"/>
    </row>
    <row r="75" spans="1:28" x14ac:dyDescent="0.2">
      <c r="C75" s="173"/>
    </row>
    <row r="76" spans="1:28" x14ac:dyDescent="0.2">
      <c r="C76" s="173"/>
    </row>
    <row r="77" spans="1:28" x14ac:dyDescent="0.2">
      <c r="C77" s="173"/>
    </row>
    <row r="78" spans="1:28" ht="15" customHeight="1" x14ac:dyDescent="0.2">
      <c r="C78" s="173"/>
    </row>
    <row r="79" spans="1:28" x14ac:dyDescent="0.2">
      <c r="C79" s="173"/>
    </row>
    <row r="80" spans="1:28" x14ac:dyDescent="0.2">
      <c r="C80" s="173"/>
    </row>
    <row r="81" spans="3:3" x14ac:dyDescent="0.2">
      <c r="C81" s="173"/>
    </row>
    <row r="82" spans="3:3" x14ac:dyDescent="0.2">
      <c r="C82" s="173"/>
    </row>
    <row r="83" spans="3:3" x14ac:dyDescent="0.2">
      <c r="C83" s="173"/>
    </row>
    <row r="84" spans="3:3" x14ac:dyDescent="0.2">
      <c r="C84" s="173"/>
    </row>
    <row r="85" spans="3:3" x14ac:dyDescent="0.2">
      <c r="C85" s="173"/>
    </row>
    <row r="86" spans="3:3" x14ac:dyDescent="0.2">
      <c r="C86" s="173"/>
    </row>
    <row r="87" spans="3:3" x14ac:dyDescent="0.2">
      <c r="C87" s="173"/>
    </row>
    <row r="88" spans="3:3" x14ac:dyDescent="0.2">
      <c r="C88" s="173"/>
    </row>
    <row r="89" spans="3:3" x14ac:dyDescent="0.2">
      <c r="C89" s="173"/>
    </row>
  </sheetData>
  <sortState xmlns:xlrd2="http://schemas.microsoft.com/office/spreadsheetml/2017/richdata2" ref="D8:X67">
    <sortCondition descending="1" ref="W8:W67"/>
  </sortState>
  <mergeCells count="5">
    <mergeCell ref="C5:C7"/>
    <mergeCell ref="E5:F6"/>
    <mergeCell ref="E2:AC2"/>
    <mergeCell ref="E3:AB3"/>
    <mergeCell ref="E4:AB4"/>
  </mergeCells>
  <phoneticPr fontId="6"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dimension ref="A1:N100"/>
  <sheetViews>
    <sheetView zoomScaleNormal="100" workbookViewId="0">
      <selection activeCell="N8" sqref="N8"/>
    </sheetView>
  </sheetViews>
  <sheetFormatPr defaultColWidth="9.140625" defaultRowHeight="12.75" x14ac:dyDescent="0.2"/>
  <cols>
    <col min="1" max="1" width="2.7109375" customWidth="1"/>
    <col min="2" max="2" width="4" customWidth="1"/>
    <col min="3" max="4" width="9.7109375" customWidth="1"/>
    <col min="5" max="5" width="7.28515625" customWidth="1"/>
    <col min="6" max="7" width="9.7109375" customWidth="1"/>
    <col min="8" max="8" width="7.28515625" customWidth="1"/>
    <col min="9" max="9" width="8.85546875" customWidth="1"/>
    <col min="10" max="10" width="8.7109375" customWidth="1"/>
    <col min="11" max="11" width="7.28515625" customWidth="1"/>
    <col min="12" max="12" width="4" customWidth="1"/>
    <col min="13" max="13" width="9.140625" customWidth="1"/>
  </cols>
  <sheetData>
    <row r="1" spans="1:14" ht="15.75" x14ac:dyDescent="0.2">
      <c r="L1" s="30" t="s">
        <v>258</v>
      </c>
    </row>
    <row r="2" spans="1:14" ht="30" customHeight="1" x14ac:dyDescent="0.2">
      <c r="B2" s="1079" t="s">
        <v>171</v>
      </c>
      <c r="C2" s="1079"/>
      <c r="D2" s="1079"/>
      <c r="E2" s="1079"/>
      <c r="F2" s="1079"/>
      <c r="G2" s="1079"/>
      <c r="H2" s="1079"/>
      <c r="I2" s="1079"/>
      <c r="J2" s="1079"/>
      <c r="K2" s="1079"/>
      <c r="L2" s="1079"/>
    </row>
    <row r="3" spans="1:14" ht="15" customHeight="1" x14ac:dyDescent="0.2">
      <c r="B3" s="1073" t="s">
        <v>10</v>
      </c>
      <c r="C3" s="1073"/>
      <c r="D3" s="1073"/>
      <c r="E3" s="1073"/>
      <c r="F3" s="1073"/>
      <c r="G3" s="1073"/>
      <c r="H3" s="1073"/>
      <c r="I3" s="1073"/>
      <c r="J3" s="1073"/>
      <c r="K3" s="1073"/>
      <c r="L3" s="1073"/>
      <c r="N3" s="750"/>
    </row>
    <row r="4" spans="1:14" ht="15" customHeight="1" x14ac:dyDescent="0.2">
      <c r="B4" s="1103">
        <v>2021</v>
      </c>
      <c r="C4" s="1103"/>
      <c r="D4" s="1103"/>
      <c r="E4" s="1103"/>
      <c r="F4" s="1103"/>
      <c r="G4" s="1103"/>
      <c r="H4" s="1103"/>
      <c r="I4" s="1103"/>
      <c r="J4" s="1103"/>
      <c r="K4" s="1103"/>
      <c r="L4" s="1103"/>
      <c r="N4" s="750"/>
    </row>
    <row r="5" spans="1:14" ht="24.95" customHeight="1" x14ac:dyDescent="0.2">
      <c r="C5" s="1149" t="s">
        <v>180</v>
      </c>
      <c r="D5" s="1150"/>
      <c r="E5" s="1151"/>
      <c r="F5" s="1149" t="s">
        <v>181</v>
      </c>
      <c r="G5" s="1150"/>
      <c r="H5" s="1151"/>
      <c r="I5" s="1149" t="s">
        <v>179</v>
      </c>
      <c r="J5" s="1150"/>
      <c r="K5" s="1151"/>
      <c r="N5" s="750"/>
    </row>
    <row r="6" spans="1:14" ht="43.5" customHeight="1" x14ac:dyDescent="0.2">
      <c r="C6" s="96" t="s">
        <v>6</v>
      </c>
      <c r="D6" s="104" t="s">
        <v>174</v>
      </c>
      <c r="E6" s="102" t="s">
        <v>176</v>
      </c>
      <c r="F6" s="103" t="s">
        <v>9</v>
      </c>
      <c r="G6" s="104" t="s">
        <v>175</v>
      </c>
      <c r="H6" s="102" t="s">
        <v>176</v>
      </c>
      <c r="I6" s="103" t="s">
        <v>7</v>
      </c>
      <c r="J6" s="104" t="s">
        <v>8</v>
      </c>
      <c r="K6" s="102" t="s">
        <v>176</v>
      </c>
      <c r="N6" s="750"/>
    </row>
    <row r="7" spans="1:14" ht="20.100000000000001" customHeight="1" x14ac:dyDescent="0.2">
      <c r="C7" s="1152" t="s">
        <v>77</v>
      </c>
      <c r="D7" s="1153"/>
      <c r="E7" s="101" t="s">
        <v>172</v>
      </c>
      <c r="F7" s="1152" t="s">
        <v>77</v>
      </c>
      <c r="G7" s="1153"/>
      <c r="H7" s="101" t="s">
        <v>172</v>
      </c>
      <c r="I7" s="1152" t="s">
        <v>77</v>
      </c>
      <c r="J7" s="1153"/>
      <c r="K7" s="101" t="s">
        <v>172</v>
      </c>
      <c r="N7" s="750"/>
    </row>
    <row r="8" spans="1:14" ht="12.75" customHeight="1" x14ac:dyDescent="0.2">
      <c r="A8" s="18"/>
      <c r="B8" s="215" t="s">
        <v>106</v>
      </c>
      <c r="C8" s="522">
        <v>152.506</v>
      </c>
      <c r="D8" s="523">
        <v>39.100999999999999</v>
      </c>
      <c r="E8" s="216">
        <f>D8/C8</f>
        <v>0.25638991252803167</v>
      </c>
      <c r="F8" s="522">
        <v>136.322</v>
      </c>
      <c r="G8" s="523">
        <v>32.992999999999995</v>
      </c>
      <c r="H8" s="216">
        <f>G8/F8</f>
        <v>0.24202256422294269</v>
      </c>
      <c r="I8" s="522">
        <v>288.20800000000003</v>
      </c>
      <c r="J8" s="523">
        <v>71.473000000000013</v>
      </c>
      <c r="K8" s="216">
        <f>J8/I8</f>
        <v>0.24799103425303951</v>
      </c>
      <c r="L8" s="215" t="s">
        <v>106</v>
      </c>
      <c r="N8" s="750"/>
    </row>
    <row r="9" spans="1:14" ht="12.75" customHeight="1" x14ac:dyDescent="0.2">
      <c r="A9" s="18"/>
      <c r="B9" s="212" t="s">
        <v>89</v>
      </c>
      <c r="C9" s="524">
        <v>12.074</v>
      </c>
      <c r="D9" s="525">
        <v>1.7989999999999999</v>
      </c>
      <c r="E9" s="213">
        <f t="shared" ref="E9:E29" si="0">D9/C9</f>
        <v>0.14899784661255591</v>
      </c>
      <c r="F9" s="524">
        <v>13.503</v>
      </c>
      <c r="G9" s="525">
        <v>3.9009999999999998</v>
      </c>
      <c r="H9" s="213">
        <f t="shared" ref="H9:H29" si="1">G9/F9</f>
        <v>0.28889876323779901</v>
      </c>
      <c r="I9" s="524">
        <v>25.576000000000001</v>
      </c>
      <c r="J9" s="525">
        <v>5.6990000000000007</v>
      </c>
      <c r="K9" s="213">
        <f t="shared" ref="K9:K29" si="2">J9/I9</f>
        <v>0.22282608695652176</v>
      </c>
      <c r="L9" s="212" t="s">
        <v>89</v>
      </c>
      <c r="N9" s="750"/>
    </row>
    <row r="10" spans="1:14" ht="12.75" customHeight="1" x14ac:dyDescent="0.2">
      <c r="A10" s="18"/>
      <c r="B10" s="217" t="s">
        <v>102</v>
      </c>
      <c r="C10" s="526">
        <v>49.447000000000003</v>
      </c>
      <c r="D10" s="527">
        <v>30.843</v>
      </c>
      <c r="E10" s="218">
        <f t="shared" si="0"/>
        <v>0.62375877201852481</v>
      </c>
      <c r="F10" s="526">
        <v>34.260999999999996</v>
      </c>
      <c r="G10" s="527">
        <v>23.518000000000001</v>
      </c>
      <c r="H10" s="218">
        <f t="shared" si="1"/>
        <v>0.68643647295759036</v>
      </c>
      <c r="I10" s="526">
        <v>81.930999999999997</v>
      </c>
      <c r="J10" s="527">
        <v>52.585000000000001</v>
      </c>
      <c r="K10" s="218">
        <f t="shared" si="2"/>
        <v>0.64182055632178303</v>
      </c>
      <c r="L10" s="217" t="s">
        <v>102</v>
      </c>
      <c r="N10" s="750"/>
    </row>
    <row r="11" spans="1:14" ht="12.75" customHeight="1" x14ac:dyDescent="0.2">
      <c r="A11" s="18"/>
      <c r="B11" s="212" t="s">
        <v>107</v>
      </c>
      <c r="C11" s="524">
        <v>170.09799999999998</v>
      </c>
      <c r="D11" s="525">
        <v>56.662999999999997</v>
      </c>
      <c r="E11" s="213">
        <f t="shared" si="0"/>
        <v>0.33311973097861236</v>
      </c>
      <c r="F11" s="524">
        <v>119.033</v>
      </c>
      <c r="G11" s="525">
        <v>51.024999999999999</v>
      </c>
      <c r="H11" s="213">
        <f t="shared" si="1"/>
        <v>0.42866263977216401</v>
      </c>
      <c r="I11" s="524">
        <v>285.89999999999998</v>
      </c>
      <c r="J11" s="525">
        <v>104.459</v>
      </c>
      <c r="K11" s="213">
        <f t="shared" si="2"/>
        <v>0.36536901014340684</v>
      </c>
      <c r="L11" s="212" t="s">
        <v>107</v>
      </c>
      <c r="N11" s="750"/>
    </row>
    <row r="12" spans="1:14" ht="12.75" customHeight="1" x14ac:dyDescent="0.2">
      <c r="A12" s="18"/>
      <c r="B12" s="217" t="s">
        <v>92</v>
      </c>
      <c r="C12" s="526">
        <v>12.510000000000002</v>
      </c>
      <c r="D12" s="527">
        <v>7.3449999999999998</v>
      </c>
      <c r="E12" s="218">
        <f t="shared" si="0"/>
        <v>0.58713029576338915</v>
      </c>
      <c r="F12" s="526">
        <v>25.021000000000001</v>
      </c>
      <c r="G12" s="527">
        <v>14.696000000000002</v>
      </c>
      <c r="H12" s="218">
        <f t="shared" si="1"/>
        <v>0.58734662883178135</v>
      </c>
      <c r="I12" s="526">
        <v>37.462000000000003</v>
      </c>
      <c r="J12" s="527">
        <v>21.971</v>
      </c>
      <c r="K12" s="218">
        <f t="shared" si="2"/>
        <v>0.58648764080935345</v>
      </c>
      <c r="L12" s="217" t="s">
        <v>92</v>
      </c>
      <c r="N12" s="750"/>
    </row>
    <row r="13" spans="1:14" ht="12.75" customHeight="1" x14ac:dyDescent="0.2">
      <c r="A13" s="18"/>
      <c r="B13" s="212" t="s">
        <v>110</v>
      </c>
      <c r="C13" s="524">
        <v>34.457999999999998</v>
      </c>
      <c r="D13" s="525">
        <v>14.305</v>
      </c>
      <c r="E13" s="213">
        <f t="shared" si="0"/>
        <v>0.41514307272621742</v>
      </c>
      <c r="F13" s="524">
        <v>16.991</v>
      </c>
      <c r="G13" s="525">
        <v>9.1359999999999992</v>
      </c>
      <c r="H13" s="213">
        <f t="shared" si="1"/>
        <v>0.53769642752045199</v>
      </c>
      <c r="I13" s="524">
        <v>50.998000000000005</v>
      </c>
      <c r="J13" s="525">
        <v>22.991</v>
      </c>
      <c r="K13" s="213">
        <f t="shared" si="2"/>
        <v>0.450821600847092</v>
      </c>
      <c r="L13" s="212" t="s">
        <v>110</v>
      </c>
      <c r="N13" s="750"/>
    </row>
    <row r="14" spans="1:14" ht="12.75" customHeight="1" x14ac:dyDescent="0.2">
      <c r="A14" s="18"/>
      <c r="B14" s="217" t="s">
        <v>103</v>
      </c>
      <c r="C14" s="526">
        <v>88.059999999999988</v>
      </c>
      <c r="D14" s="527">
        <v>34.942</v>
      </c>
      <c r="E14" s="218">
        <f t="shared" si="0"/>
        <v>0.39679763797410861</v>
      </c>
      <c r="F14" s="526">
        <v>77.613</v>
      </c>
      <c r="G14" s="527">
        <v>42.697000000000003</v>
      </c>
      <c r="H14" s="218">
        <f t="shared" si="1"/>
        <v>0.55012691172870531</v>
      </c>
      <c r="I14" s="526">
        <v>145.38800000000001</v>
      </c>
      <c r="J14" s="527">
        <v>57.352999999999994</v>
      </c>
      <c r="K14" s="218">
        <f t="shared" si="2"/>
        <v>0.39448235067543397</v>
      </c>
      <c r="L14" s="217" t="s">
        <v>103</v>
      </c>
      <c r="N14" s="750"/>
    </row>
    <row r="15" spans="1:14" ht="12.75" customHeight="1" x14ac:dyDescent="0.2">
      <c r="A15" s="18"/>
      <c r="B15" s="212" t="s">
        <v>108</v>
      </c>
      <c r="C15" s="524">
        <v>280.72500000000002</v>
      </c>
      <c r="D15" s="525">
        <v>84.503999999999991</v>
      </c>
      <c r="E15" s="213">
        <f t="shared" si="0"/>
        <v>0.30102057173390323</v>
      </c>
      <c r="F15" s="524">
        <v>196.29599999999999</v>
      </c>
      <c r="G15" s="525">
        <v>80.100000000000009</v>
      </c>
      <c r="H15" s="213">
        <f t="shared" si="1"/>
        <v>0.40805721970901093</v>
      </c>
      <c r="I15" s="524">
        <v>444.09499999999997</v>
      </c>
      <c r="J15" s="525">
        <v>131.67699999999999</v>
      </c>
      <c r="K15" s="213">
        <f t="shared" si="2"/>
        <v>0.29650637813981245</v>
      </c>
      <c r="L15" s="212" t="s">
        <v>108</v>
      </c>
      <c r="N15" s="750"/>
    </row>
    <row r="16" spans="1:14" ht="12" customHeight="1" x14ac:dyDescent="0.2">
      <c r="A16" s="18"/>
      <c r="B16" s="217" t="s">
        <v>109</v>
      </c>
      <c r="C16" s="526">
        <v>183.45</v>
      </c>
      <c r="D16" s="527">
        <v>47.367000000000004</v>
      </c>
      <c r="E16" s="218">
        <f t="shared" si="0"/>
        <v>0.25820114472608346</v>
      </c>
      <c r="F16" s="526">
        <v>87.64</v>
      </c>
      <c r="G16" s="527">
        <v>27.266999999999996</v>
      </c>
      <c r="H16" s="218">
        <f t="shared" si="1"/>
        <v>0.31112505705157456</v>
      </c>
      <c r="I16" s="526">
        <v>267.721</v>
      </c>
      <c r="J16" s="527">
        <v>71.265000000000015</v>
      </c>
      <c r="K16" s="218">
        <f t="shared" si="2"/>
        <v>0.26619129616279641</v>
      </c>
      <c r="L16" s="217" t="s">
        <v>109</v>
      </c>
      <c r="N16" s="750"/>
    </row>
    <row r="17" spans="1:14" s="209" customFormat="1" ht="12" customHeight="1" x14ac:dyDescent="0.2">
      <c r="A17" s="18"/>
      <c r="B17" s="214" t="s">
        <v>126</v>
      </c>
      <c r="C17" s="524">
        <v>14.231</v>
      </c>
      <c r="D17" s="525">
        <v>3.3640000000000003</v>
      </c>
      <c r="E17" s="213">
        <f t="shared" si="0"/>
        <v>0.23638535591314738</v>
      </c>
      <c r="F17" s="524">
        <v>5.7650000000000006</v>
      </c>
      <c r="G17" s="525">
        <v>3.5940000000000003</v>
      </c>
      <c r="H17" s="213">
        <f t="shared" si="1"/>
        <v>0.62341717259323504</v>
      </c>
      <c r="I17" s="524">
        <v>19.378</v>
      </c>
      <c r="J17" s="525">
        <v>6.3369999999999997</v>
      </c>
      <c r="K17" s="213">
        <f t="shared" si="2"/>
        <v>0.32702033233563832</v>
      </c>
      <c r="L17" s="214" t="s">
        <v>126</v>
      </c>
      <c r="N17" s="750"/>
    </row>
    <row r="18" spans="1:14" ht="12.75" customHeight="1" x14ac:dyDescent="0.2">
      <c r="A18" s="18"/>
      <c r="B18" s="217" t="s">
        <v>111</v>
      </c>
      <c r="C18" s="527">
        <v>316.82499999999999</v>
      </c>
      <c r="D18" s="527">
        <v>128.733</v>
      </c>
      <c r="E18" s="218">
        <f t="shared" si="0"/>
        <v>0.40632210210684133</v>
      </c>
      <c r="F18" s="526">
        <v>176.101</v>
      </c>
      <c r="G18" s="527">
        <v>127.869</v>
      </c>
      <c r="H18" s="218">
        <f t="shared" si="1"/>
        <v>0.7261117199788758</v>
      </c>
      <c r="I18" s="526">
        <v>406.01299999999998</v>
      </c>
      <c r="J18" s="527">
        <v>169.68700000000001</v>
      </c>
      <c r="K18" s="218">
        <f t="shared" si="2"/>
        <v>0.41793489371029996</v>
      </c>
      <c r="L18" s="217" t="s">
        <v>111</v>
      </c>
      <c r="N18" s="750"/>
    </row>
    <row r="19" spans="1:14" ht="12.75" customHeight="1" x14ac:dyDescent="0.2">
      <c r="A19" s="18"/>
      <c r="B19" s="212" t="s">
        <v>237</v>
      </c>
      <c r="C19" s="524">
        <v>5.17</v>
      </c>
      <c r="D19" s="525">
        <v>3.8310000000000004</v>
      </c>
      <c r="E19" s="213">
        <f t="shared" si="0"/>
        <v>0.74100580270793048</v>
      </c>
      <c r="F19" s="524">
        <v>1.8149999999999999</v>
      </c>
      <c r="G19" s="525">
        <v>0.26500000000000001</v>
      </c>
      <c r="H19" s="213">
        <f t="shared" si="1"/>
        <v>0.14600550964187328</v>
      </c>
      <c r="I19" s="524">
        <v>6.9849999999999994</v>
      </c>
      <c r="J19" s="525">
        <v>4.0949999999999998</v>
      </c>
      <c r="K19" s="213">
        <f t="shared" si="2"/>
        <v>0.58625626342161774</v>
      </c>
      <c r="L19" s="212" t="s">
        <v>90</v>
      </c>
      <c r="N19" s="750"/>
    </row>
    <row r="20" spans="1:14" ht="12.75" customHeight="1" x14ac:dyDescent="0.2">
      <c r="A20" s="18"/>
      <c r="B20" s="217" t="s">
        <v>94</v>
      </c>
      <c r="C20" s="526">
        <v>8.777000000000001</v>
      </c>
      <c r="D20" s="527">
        <v>4.3210000000000006</v>
      </c>
      <c r="E20" s="218">
        <f t="shared" si="0"/>
        <v>0.49230944514070868</v>
      </c>
      <c r="F20" s="526">
        <v>28.863</v>
      </c>
      <c r="G20" s="527">
        <v>14.886000000000001</v>
      </c>
      <c r="H20" s="218">
        <f t="shared" si="1"/>
        <v>0.51574680386654204</v>
      </c>
      <c r="I20" s="526">
        <v>37.61</v>
      </c>
      <c r="J20" s="527">
        <v>19.179000000000002</v>
      </c>
      <c r="K20" s="218">
        <f t="shared" si="2"/>
        <v>0.50994416378622709</v>
      </c>
      <c r="L20" s="217" t="s">
        <v>94</v>
      </c>
      <c r="N20" s="750"/>
    </row>
    <row r="21" spans="1:14" ht="12.75" customHeight="1" x14ac:dyDescent="0.2">
      <c r="A21" s="18"/>
      <c r="B21" s="212" t="s">
        <v>95</v>
      </c>
      <c r="C21" s="524">
        <v>18.761000000000003</v>
      </c>
      <c r="D21" s="525">
        <v>6.1110000000000007</v>
      </c>
      <c r="E21" s="213">
        <f t="shared" si="0"/>
        <v>0.32572890570865093</v>
      </c>
      <c r="F21" s="524">
        <v>30.625</v>
      </c>
      <c r="G21" s="525">
        <v>13.509</v>
      </c>
      <c r="H21" s="213">
        <f t="shared" si="1"/>
        <v>0.44111020408163265</v>
      </c>
      <c r="I21" s="524">
        <v>49.384999999999998</v>
      </c>
      <c r="J21" s="525">
        <v>19.62</v>
      </c>
      <c r="K21" s="213">
        <f t="shared" si="2"/>
        <v>0.39728662549357097</v>
      </c>
      <c r="L21" s="212" t="s">
        <v>95</v>
      </c>
      <c r="N21" s="750"/>
    </row>
    <row r="22" spans="1:14" ht="12.75" customHeight="1" x14ac:dyDescent="0.2">
      <c r="A22" s="18"/>
      <c r="B22" s="217" t="s">
        <v>96</v>
      </c>
      <c r="C22" s="526">
        <v>2.9699999999999998</v>
      </c>
      <c r="D22" s="527">
        <v>2.35</v>
      </c>
      <c r="E22" s="218">
        <f t="shared" si="0"/>
        <v>0.79124579124579131</v>
      </c>
      <c r="F22" s="526">
        <v>0.4</v>
      </c>
      <c r="G22" s="527">
        <v>0.20799999999999999</v>
      </c>
      <c r="H22" s="218">
        <f t="shared" si="1"/>
        <v>0.51999999999999991</v>
      </c>
      <c r="I22" s="526">
        <v>3.3699999999999997</v>
      </c>
      <c r="J22" s="527">
        <v>2.5579999999999998</v>
      </c>
      <c r="K22" s="218">
        <f t="shared" si="2"/>
        <v>0.75905044510385755</v>
      </c>
      <c r="L22" s="217" t="s">
        <v>96</v>
      </c>
      <c r="N22" s="750"/>
    </row>
    <row r="23" spans="1:14" ht="12.75" customHeight="1" x14ac:dyDescent="0.2">
      <c r="A23" s="18"/>
      <c r="B23" s="212" t="s">
        <v>104</v>
      </c>
      <c r="C23" s="524">
        <v>392.88</v>
      </c>
      <c r="D23" s="525">
        <v>58.574999999999996</v>
      </c>
      <c r="E23" s="213">
        <f t="shared" si="0"/>
        <v>0.1490913255956017</v>
      </c>
      <c r="F23" s="524">
        <v>196.827</v>
      </c>
      <c r="G23" s="525">
        <v>35.046999999999997</v>
      </c>
      <c r="H23" s="213">
        <f t="shared" si="1"/>
        <v>0.17805992064096895</v>
      </c>
      <c r="I23" s="524">
        <v>589.67899999999997</v>
      </c>
      <c r="J23" s="525">
        <v>93.594999999999999</v>
      </c>
      <c r="K23" s="213">
        <f t="shared" si="2"/>
        <v>0.15872194872125342</v>
      </c>
      <c r="L23" s="212" t="s">
        <v>104</v>
      </c>
      <c r="N23" s="750"/>
    </row>
    <row r="24" spans="1:14" ht="12.75" customHeight="1" x14ac:dyDescent="0.2">
      <c r="A24" s="18"/>
      <c r="B24" s="217" t="s">
        <v>97</v>
      </c>
      <c r="C24" s="526">
        <v>62.102999999999994</v>
      </c>
      <c r="D24" s="527">
        <v>20.661000000000001</v>
      </c>
      <c r="E24" s="218">
        <f t="shared" si="0"/>
        <v>0.33268924206560074</v>
      </c>
      <c r="F24" s="526">
        <v>34.109000000000002</v>
      </c>
      <c r="G24" s="527">
        <v>21.689</v>
      </c>
      <c r="H24" s="218">
        <f t="shared" si="1"/>
        <v>0.63587322993931217</v>
      </c>
      <c r="I24" s="526">
        <v>94.703000000000003</v>
      </c>
      <c r="J24" s="527">
        <v>40.844000000000001</v>
      </c>
      <c r="K24" s="218">
        <f t="shared" si="2"/>
        <v>0.43128517576000758</v>
      </c>
      <c r="L24" s="217" t="s">
        <v>97</v>
      </c>
      <c r="N24" s="750"/>
    </row>
    <row r="25" spans="1:14" ht="12.75" customHeight="1" x14ac:dyDescent="0.2">
      <c r="A25" s="18"/>
      <c r="B25" s="212" t="s">
        <v>114</v>
      </c>
      <c r="C25" s="524">
        <v>49.992999999999995</v>
      </c>
      <c r="D25" s="525">
        <v>20.199000000000002</v>
      </c>
      <c r="E25" s="213">
        <f t="shared" si="0"/>
        <v>0.40403656511911673</v>
      </c>
      <c r="F25" s="524">
        <v>33.088000000000001</v>
      </c>
      <c r="G25" s="525">
        <v>16.105</v>
      </c>
      <c r="H25" s="213">
        <f t="shared" si="1"/>
        <v>0.48673235009671179</v>
      </c>
      <c r="I25" s="524">
        <v>77.430999999999997</v>
      </c>
      <c r="J25" s="525">
        <v>30.654</v>
      </c>
      <c r="K25" s="213">
        <f t="shared" si="2"/>
        <v>0.39588795185390863</v>
      </c>
      <c r="L25" s="212" t="s">
        <v>114</v>
      </c>
      <c r="N25" s="750"/>
    </row>
    <row r="26" spans="1:14" ht="12.75" customHeight="1" x14ac:dyDescent="0.2">
      <c r="A26" s="18"/>
      <c r="B26" s="217" t="s">
        <v>238</v>
      </c>
      <c r="C26" s="526">
        <v>25.160000000000004</v>
      </c>
      <c r="D26" s="527">
        <v>1.925</v>
      </c>
      <c r="E26" s="218">
        <f t="shared" si="0"/>
        <v>7.6510333863275035E-2</v>
      </c>
      <c r="F26" s="526">
        <v>27.199000000000002</v>
      </c>
      <c r="G26" s="527">
        <v>7.3180000000000005</v>
      </c>
      <c r="H26" s="218">
        <f t="shared" si="1"/>
        <v>0.26905400933857865</v>
      </c>
      <c r="I26" s="526">
        <v>52.357999999999997</v>
      </c>
      <c r="J26" s="527">
        <v>9.2439999999999998</v>
      </c>
      <c r="K26" s="218">
        <f t="shared" si="2"/>
        <v>0.17655372626914703</v>
      </c>
      <c r="L26" s="217" t="s">
        <v>98</v>
      </c>
      <c r="N26" s="750"/>
    </row>
    <row r="27" spans="1:14" ht="12.75" customHeight="1" x14ac:dyDescent="0.2">
      <c r="A27" s="18"/>
      <c r="B27" s="212" t="s">
        <v>100</v>
      </c>
      <c r="C27" s="524">
        <v>14.536000000000001</v>
      </c>
      <c r="D27" s="525">
        <v>2.8739999999999997</v>
      </c>
      <c r="E27" s="213">
        <f t="shared" si="0"/>
        <v>0.19771601541001646</v>
      </c>
      <c r="F27" s="524">
        <v>5.5250000000000004</v>
      </c>
      <c r="G27" s="525">
        <v>1.3329999999999997</v>
      </c>
      <c r="H27" s="213">
        <f t="shared" si="1"/>
        <v>0.24126696832579178</v>
      </c>
      <c r="I27" s="524">
        <v>20.060000000000002</v>
      </c>
      <c r="J27" s="525">
        <v>4.2059999999999995</v>
      </c>
      <c r="K27" s="213">
        <f t="shared" si="2"/>
        <v>0.20967098703888329</v>
      </c>
      <c r="L27" s="212" t="s">
        <v>100</v>
      </c>
      <c r="N27" s="750"/>
    </row>
    <row r="28" spans="1:14" ht="12.75" customHeight="1" x14ac:dyDescent="0.2">
      <c r="A28" s="18"/>
      <c r="B28" s="217" t="s">
        <v>115</v>
      </c>
      <c r="C28" s="526">
        <v>46.58</v>
      </c>
      <c r="D28" s="527">
        <v>32.082000000000001</v>
      </c>
      <c r="E28" s="218">
        <f t="shared" si="0"/>
        <v>0.68875053671103481</v>
      </c>
      <c r="F28" s="526">
        <v>53.721000000000004</v>
      </c>
      <c r="G28" s="527">
        <v>40.850999999999999</v>
      </c>
      <c r="H28" s="218">
        <f t="shared" si="1"/>
        <v>0.76042888255989272</v>
      </c>
      <c r="I28" s="526">
        <v>96.884000000000015</v>
      </c>
      <c r="J28" s="527">
        <v>69.515999999999991</v>
      </c>
      <c r="K28" s="218">
        <f t="shared" si="2"/>
        <v>0.71751785640559829</v>
      </c>
      <c r="L28" s="217" t="s">
        <v>115</v>
      </c>
      <c r="N28" s="750"/>
    </row>
    <row r="29" spans="1:14" ht="12.75" customHeight="1" x14ac:dyDescent="0.2">
      <c r="A29" s="18"/>
      <c r="B29" s="564" t="s">
        <v>116</v>
      </c>
      <c r="C29" s="679">
        <v>90.810999999999993</v>
      </c>
      <c r="D29" s="680">
        <v>61.106999999999999</v>
      </c>
      <c r="E29" s="681">
        <f t="shared" si="0"/>
        <v>0.67290306240433428</v>
      </c>
      <c r="F29" s="679">
        <v>79.807000000000002</v>
      </c>
      <c r="G29" s="680">
        <v>61.930999999999997</v>
      </c>
      <c r="H29" s="681">
        <f t="shared" si="1"/>
        <v>0.77600962321600853</v>
      </c>
      <c r="I29" s="679">
        <v>169.06700000000001</v>
      </c>
      <c r="J29" s="680">
        <v>121.48700000000001</v>
      </c>
      <c r="K29" s="681">
        <f t="shared" si="2"/>
        <v>0.71857311006878932</v>
      </c>
      <c r="L29" s="564" t="s">
        <v>116</v>
      </c>
      <c r="N29" s="750"/>
    </row>
    <row r="30" spans="1:14" ht="12.75" customHeight="1" x14ac:dyDescent="0.2">
      <c r="A30" s="18"/>
      <c r="B30" s="19" t="s">
        <v>382</v>
      </c>
      <c r="C30" s="778"/>
      <c r="D30" s="778"/>
      <c r="E30" s="778"/>
      <c r="F30" s="778"/>
      <c r="G30" s="778"/>
      <c r="H30" s="778"/>
      <c r="I30" s="778"/>
      <c r="J30" s="778"/>
      <c r="K30" s="778"/>
      <c r="L30" s="778"/>
      <c r="N30" s="750"/>
    </row>
    <row r="31" spans="1:14" s="195" customFormat="1" ht="12.75" customHeight="1" x14ac:dyDescent="0.2">
      <c r="A31" s="18"/>
      <c r="B31" s="1148" t="s">
        <v>425</v>
      </c>
      <c r="C31" s="1148"/>
      <c r="D31" s="1148"/>
      <c r="E31" s="1148"/>
      <c r="F31" s="1148"/>
      <c r="G31" s="1148"/>
      <c r="H31" s="1148"/>
      <c r="I31" s="1148"/>
      <c r="J31" s="1148"/>
      <c r="K31" s="1148"/>
      <c r="L31" s="1148"/>
      <c r="N31" s="750"/>
    </row>
    <row r="32" spans="1:14" s="195" customFormat="1" ht="12.75" customHeight="1" x14ac:dyDescent="0.2">
      <c r="A32" s="18"/>
      <c r="B32" s="1146" t="s">
        <v>383</v>
      </c>
      <c r="C32" s="1146"/>
      <c r="D32" s="1146"/>
      <c r="E32" s="1146"/>
      <c r="F32" s="1146"/>
      <c r="G32" s="1146"/>
      <c r="H32" s="1146"/>
      <c r="I32" s="1146"/>
      <c r="J32" s="1146"/>
      <c r="K32" s="1146"/>
      <c r="L32" s="1146"/>
      <c r="N32" s="750"/>
    </row>
    <row r="33" spans="1:14" ht="24" customHeight="1" x14ac:dyDescent="0.2">
      <c r="A33" s="18"/>
      <c r="B33" s="1147" t="s">
        <v>184</v>
      </c>
      <c r="C33" s="1147"/>
      <c r="D33" s="1147"/>
      <c r="E33" s="1147"/>
      <c r="F33" s="1147"/>
      <c r="G33" s="1147"/>
      <c r="H33" s="1147"/>
      <c r="I33" s="1147"/>
      <c r="J33" s="1147"/>
      <c r="K33" s="1147"/>
      <c r="L33" s="1147"/>
      <c r="N33" s="750"/>
    </row>
    <row r="34" spans="1:14" ht="22.5" customHeight="1" x14ac:dyDescent="0.2">
      <c r="A34" s="18"/>
      <c r="B34" s="1145" t="s">
        <v>239</v>
      </c>
      <c r="C34" s="1145"/>
      <c r="D34" s="1145"/>
      <c r="E34" s="1145"/>
      <c r="F34" s="1145"/>
      <c r="G34" s="1145"/>
      <c r="H34" s="1145"/>
      <c r="I34" s="1145"/>
      <c r="J34" s="1145"/>
      <c r="K34" s="1145"/>
      <c r="L34" s="1145"/>
      <c r="N34" s="750"/>
    </row>
    <row r="35" spans="1:14" ht="12.75" customHeight="1" x14ac:dyDescent="0.2">
      <c r="A35" s="18"/>
      <c r="N35" s="750"/>
    </row>
    <row r="36" spans="1:14" ht="23.25" customHeight="1" x14ac:dyDescent="0.2">
      <c r="A36" s="18"/>
      <c r="N36" s="750"/>
    </row>
    <row r="37" spans="1:14" ht="23.25" customHeight="1" x14ac:dyDescent="0.2">
      <c r="A37" s="18"/>
      <c r="N37" s="750"/>
    </row>
    <row r="38" spans="1:14" x14ac:dyDescent="0.2">
      <c r="N38" s="750"/>
    </row>
    <row r="39" spans="1:14" x14ac:dyDescent="0.2">
      <c r="N39" s="750"/>
    </row>
    <row r="40" spans="1:14" x14ac:dyDescent="0.2">
      <c r="N40" s="750"/>
    </row>
    <row r="41" spans="1:14" x14ac:dyDescent="0.2">
      <c r="N41" s="750"/>
    </row>
    <row r="42" spans="1:14" x14ac:dyDescent="0.2">
      <c r="N42" s="750"/>
    </row>
    <row r="43" spans="1:14" x14ac:dyDescent="0.2">
      <c r="N43" s="750"/>
    </row>
    <row r="44" spans="1:14" x14ac:dyDescent="0.2">
      <c r="N44" s="750"/>
    </row>
    <row r="45" spans="1:14" x14ac:dyDescent="0.2">
      <c r="N45" s="750"/>
    </row>
    <row r="46" spans="1:14" x14ac:dyDescent="0.2">
      <c r="N46" s="750"/>
    </row>
    <row r="47" spans="1:14" x14ac:dyDescent="0.2">
      <c r="N47" s="750"/>
    </row>
    <row r="48" spans="1:14" x14ac:dyDescent="0.2">
      <c r="N48" s="750"/>
    </row>
    <row r="49" spans="14:14" x14ac:dyDescent="0.2">
      <c r="N49" s="750"/>
    </row>
    <row r="50" spans="14:14" x14ac:dyDescent="0.2">
      <c r="N50" s="750"/>
    </row>
    <row r="51" spans="14:14" x14ac:dyDescent="0.2">
      <c r="N51" s="750"/>
    </row>
    <row r="52" spans="14:14" x14ac:dyDescent="0.2">
      <c r="N52" s="750"/>
    </row>
    <row r="53" spans="14:14" x14ac:dyDescent="0.2">
      <c r="N53" s="750"/>
    </row>
    <row r="54" spans="14:14" x14ac:dyDescent="0.2">
      <c r="N54" s="750"/>
    </row>
    <row r="55" spans="14:14" x14ac:dyDescent="0.2">
      <c r="N55" s="750"/>
    </row>
    <row r="56" spans="14:14" x14ac:dyDescent="0.2">
      <c r="N56" s="750"/>
    </row>
    <row r="57" spans="14:14" x14ac:dyDescent="0.2">
      <c r="N57" s="750"/>
    </row>
    <row r="58" spans="14:14" x14ac:dyDescent="0.2">
      <c r="N58" s="750"/>
    </row>
    <row r="59" spans="14:14" x14ac:dyDescent="0.2">
      <c r="N59" s="750"/>
    </row>
    <row r="60" spans="14:14" x14ac:dyDescent="0.2">
      <c r="N60" s="750"/>
    </row>
    <row r="61" spans="14:14" x14ac:dyDescent="0.2">
      <c r="N61" s="750"/>
    </row>
    <row r="62" spans="14:14" x14ac:dyDescent="0.2">
      <c r="N62" s="750"/>
    </row>
    <row r="63" spans="14:14" x14ac:dyDescent="0.2">
      <c r="N63" s="750"/>
    </row>
    <row r="64" spans="14:14" x14ac:dyDescent="0.2">
      <c r="N64" s="750"/>
    </row>
    <row r="65" spans="14:14" x14ac:dyDescent="0.2">
      <c r="N65" s="750"/>
    </row>
    <row r="66" spans="14:14" x14ac:dyDescent="0.2">
      <c r="N66" s="750"/>
    </row>
    <row r="67" spans="14:14" x14ac:dyDescent="0.2">
      <c r="N67" s="750"/>
    </row>
    <row r="68" spans="14:14" x14ac:dyDescent="0.2">
      <c r="N68" s="750"/>
    </row>
    <row r="69" spans="14:14" x14ac:dyDescent="0.2">
      <c r="N69" s="750"/>
    </row>
    <row r="70" spans="14:14" x14ac:dyDescent="0.2">
      <c r="N70" s="750"/>
    </row>
    <row r="71" spans="14:14" x14ac:dyDescent="0.2">
      <c r="N71" s="750"/>
    </row>
    <row r="72" spans="14:14" x14ac:dyDescent="0.2">
      <c r="N72" s="750"/>
    </row>
    <row r="73" spans="14:14" x14ac:dyDescent="0.2">
      <c r="N73" s="750"/>
    </row>
    <row r="74" spans="14:14" x14ac:dyDescent="0.2">
      <c r="N74" s="750"/>
    </row>
    <row r="75" spans="14:14" x14ac:dyDescent="0.2">
      <c r="N75" s="750"/>
    </row>
    <row r="76" spans="14:14" x14ac:dyDescent="0.2">
      <c r="N76" s="750"/>
    </row>
    <row r="77" spans="14:14" x14ac:dyDescent="0.2">
      <c r="N77" s="750"/>
    </row>
    <row r="78" spans="14:14" x14ac:dyDescent="0.2">
      <c r="N78" s="750"/>
    </row>
    <row r="79" spans="14:14" x14ac:dyDescent="0.2">
      <c r="N79" s="750"/>
    </row>
    <row r="80" spans="14:14" x14ac:dyDescent="0.2">
      <c r="N80" s="750"/>
    </row>
    <row r="81" spans="14:14" x14ac:dyDescent="0.2">
      <c r="N81" s="750"/>
    </row>
    <row r="82" spans="14:14" x14ac:dyDescent="0.2">
      <c r="N82" s="750"/>
    </row>
    <row r="83" spans="14:14" x14ac:dyDescent="0.2">
      <c r="N83" s="750"/>
    </row>
    <row r="84" spans="14:14" x14ac:dyDescent="0.2">
      <c r="N84" s="750"/>
    </row>
    <row r="85" spans="14:14" x14ac:dyDescent="0.2">
      <c r="N85" s="750"/>
    </row>
    <row r="86" spans="14:14" x14ac:dyDescent="0.2">
      <c r="N86" s="750"/>
    </row>
    <row r="87" spans="14:14" x14ac:dyDescent="0.2">
      <c r="N87" s="750"/>
    </row>
    <row r="88" spans="14:14" x14ac:dyDescent="0.2">
      <c r="N88" s="750"/>
    </row>
    <row r="89" spans="14:14" x14ac:dyDescent="0.2">
      <c r="N89" s="750"/>
    </row>
    <row r="90" spans="14:14" x14ac:dyDescent="0.2">
      <c r="N90" s="750"/>
    </row>
    <row r="91" spans="14:14" x14ac:dyDescent="0.2">
      <c r="N91" s="750"/>
    </row>
    <row r="92" spans="14:14" x14ac:dyDescent="0.2">
      <c r="N92" s="750"/>
    </row>
    <row r="93" spans="14:14" x14ac:dyDescent="0.2">
      <c r="N93" s="750"/>
    </row>
    <row r="94" spans="14:14" x14ac:dyDescent="0.2">
      <c r="N94" s="750"/>
    </row>
    <row r="95" spans="14:14" x14ac:dyDescent="0.2">
      <c r="N95" s="750"/>
    </row>
    <row r="96" spans="14:14" x14ac:dyDescent="0.2">
      <c r="N96" s="750"/>
    </row>
    <row r="97" spans="14:14" x14ac:dyDescent="0.2">
      <c r="N97" s="750"/>
    </row>
    <row r="98" spans="14:14" x14ac:dyDescent="0.2">
      <c r="N98" s="750"/>
    </row>
    <row r="99" spans="14:14" x14ac:dyDescent="0.2">
      <c r="N99" s="750"/>
    </row>
    <row r="100" spans="14:14" x14ac:dyDescent="0.2">
      <c r="N100" s="750"/>
    </row>
  </sheetData>
  <mergeCells count="13">
    <mergeCell ref="B34:L34"/>
    <mergeCell ref="B32:L32"/>
    <mergeCell ref="B33:L33"/>
    <mergeCell ref="B2:L2"/>
    <mergeCell ref="B3:L3"/>
    <mergeCell ref="B4:L4"/>
    <mergeCell ref="B31:L31"/>
    <mergeCell ref="C5:E5"/>
    <mergeCell ref="F5:H5"/>
    <mergeCell ref="I5:K5"/>
    <mergeCell ref="C7:D7"/>
    <mergeCell ref="F7:G7"/>
    <mergeCell ref="I7:J7"/>
  </mergeCells>
  <phoneticPr fontId="6" type="noConversion"/>
  <pageMargins left="0.6692913385826772" right="0.47244094488188981" top="0.51181102362204722" bottom="0.27559055118110237" header="0" footer="0"/>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6">
    <pageSetUpPr fitToPage="1"/>
  </sheetPr>
  <dimension ref="B1:G61"/>
  <sheetViews>
    <sheetView workbookViewId="0">
      <selection activeCell="V53" sqref="V53"/>
    </sheetView>
  </sheetViews>
  <sheetFormatPr defaultRowHeight="12.75" x14ac:dyDescent="0.2"/>
  <cols>
    <col min="1" max="1" width="7.28515625" style="891" customWidth="1"/>
    <col min="2" max="2" width="3.7109375" style="3" customWidth="1"/>
    <col min="3" max="3" width="1.7109375" style="891" customWidth="1"/>
    <col min="4" max="4" width="16.7109375" style="122" customWidth="1"/>
    <col min="5" max="5" width="1" style="891" customWidth="1"/>
    <col min="6" max="6" width="16.7109375" style="122" customWidth="1"/>
    <col min="7" max="7" width="17.7109375" style="891" customWidth="1"/>
    <col min="8" max="16384" width="9.140625" style="891"/>
  </cols>
  <sheetData>
    <row r="1" spans="2:7" ht="15.75" x14ac:dyDescent="0.2">
      <c r="G1" s="916" t="s">
        <v>259</v>
      </c>
    </row>
    <row r="2" spans="2:7" ht="15" customHeight="1" x14ac:dyDescent="0.25">
      <c r="B2" s="1154" t="s">
        <v>517</v>
      </c>
      <c r="C2" s="1154"/>
      <c r="D2" s="1154"/>
      <c r="E2" s="1154"/>
      <c r="F2" s="1154"/>
      <c r="G2" s="1154"/>
    </row>
    <row r="3" spans="2:7" ht="15" customHeight="1" x14ac:dyDescent="0.2">
      <c r="B3" s="153"/>
      <c r="C3" s="885"/>
      <c r="D3" s="123"/>
      <c r="E3" s="885"/>
      <c r="F3" s="123"/>
      <c r="G3" s="885"/>
    </row>
    <row r="4" spans="2:7" ht="15" customHeight="1" x14ac:dyDescent="0.2">
      <c r="B4" s="1155">
        <v>2021</v>
      </c>
      <c r="C4" s="1155"/>
      <c r="D4" s="1155"/>
      <c r="E4" s="1155"/>
      <c r="F4" s="1155"/>
      <c r="G4" s="1155"/>
    </row>
    <row r="5" spans="2:7" ht="24" customHeight="1" x14ac:dyDescent="0.2">
      <c r="B5" s="154" t="s">
        <v>173</v>
      </c>
      <c r="C5" s="1119" t="s">
        <v>177</v>
      </c>
      <c r="D5" s="1156"/>
      <c r="E5" s="1157" t="s">
        <v>178</v>
      </c>
      <c r="F5" s="1156"/>
      <c r="G5" s="298" t="s">
        <v>200</v>
      </c>
    </row>
    <row r="6" spans="2:7" ht="8.25" customHeight="1" x14ac:dyDescent="0.2">
      <c r="B6" s="154"/>
      <c r="C6" s="299"/>
      <c r="D6" s="300"/>
      <c r="E6" s="301"/>
      <c r="F6" s="300"/>
      <c r="G6" s="302"/>
    </row>
    <row r="7" spans="2:7" ht="12.75" customHeight="1" x14ac:dyDescent="0.2">
      <c r="B7" s="149">
        <v>1</v>
      </c>
      <c r="C7" s="917"/>
      <c r="D7" s="918" t="s">
        <v>187</v>
      </c>
      <c r="E7" s="8"/>
      <c r="F7" s="918" t="s">
        <v>187</v>
      </c>
      <c r="G7" s="919">
        <v>91.263690999999994</v>
      </c>
    </row>
    <row r="8" spans="2:7" ht="12.75" customHeight="1" x14ac:dyDescent="0.2">
      <c r="B8" s="149">
        <v>2</v>
      </c>
      <c r="C8" s="304"/>
      <c r="D8" s="305" t="s">
        <v>188</v>
      </c>
      <c r="E8" s="920"/>
      <c r="F8" s="305" t="s">
        <v>188</v>
      </c>
      <c r="G8" s="306">
        <v>38.238132999999998</v>
      </c>
    </row>
    <row r="9" spans="2:7" ht="12.75" customHeight="1" x14ac:dyDescent="0.2">
      <c r="B9" s="149">
        <v>3</v>
      </c>
      <c r="C9" s="917"/>
      <c r="D9" s="918" t="s">
        <v>191</v>
      </c>
      <c r="E9" s="8"/>
      <c r="F9" s="918" t="s">
        <v>191</v>
      </c>
      <c r="G9" s="919">
        <v>26.124776000000001</v>
      </c>
    </row>
    <row r="10" spans="2:7" ht="12.75" customHeight="1" x14ac:dyDescent="0.2">
      <c r="B10" s="149">
        <v>4</v>
      </c>
      <c r="C10" s="304"/>
      <c r="D10" s="305" t="s">
        <v>193</v>
      </c>
      <c r="E10" s="920"/>
      <c r="F10" s="305" t="s">
        <v>193</v>
      </c>
      <c r="G10" s="306">
        <v>23.461691999999999</v>
      </c>
    </row>
    <row r="11" spans="2:7" ht="12.75" customHeight="1" x14ac:dyDescent="0.2">
      <c r="B11" s="149">
        <v>5</v>
      </c>
      <c r="C11" s="917"/>
      <c r="D11" s="918" t="s">
        <v>193</v>
      </c>
      <c r="E11" s="8"/>
      <c r="F11" s="918" t="s">
        <v>192</v>
      </c>
      <c r="G11" s="919">
        <v>18.130822999999999</v>
      </c>
    </row>
    <row r="12" spans="2:7" ht="12.75" customHeight="1" x14ac:dyDescent="0.2">
      <c r="B12" s="149">
        <v>6</v>
      </c>
      <c r="C12" s="304"/>
      <c r="D12" s="305" t="s">
        <v>190</v>
      </c>
      <c r="E12" s="920"/>
      <c r="F12" s="305" t="s">
        <v>190</v>
      </c>
      <c r="G12" s="306">
        <v>17.517274</v>
      </c>
    </row>
    <row r="13" spans="2:7" ht="12.75" customHeight="1" x14ac:dyDescent="0.2">
      <c r="B13" s="149">
        <v>7</v>
      </c>
      <c r="C13" s="917"/>
      <c r="D13" s="918" t="s">
        <v>188</v>
      </c>
      <c r="E13" s="8"/>
      <c r="F13" s="918" t="s">
        <v>187</v>
      </c>
      <c r="G13" s="919">
        <v>15.939189000000001</v>
      </c>
    </row>
    <row r="14" spans="2:7" ht="12.75" customHeight="1" x14ac:dyDescent="0.2">
      <c r="B14" s="149">
        <v>8</v>
      </c>
      <c r="C14" s="307"/>
      <c r="D14" s="196" t="s">
        <v>192</v>
      </c>
      <c r="E14" s="921"/>
      <c r="F14" s="196" t="s">
        <v>193</v>
      </c>
      <c r="G14" s="308">
        <v>15.198312</v>
      </c>
    </row>
    <row r="15" spans="2:7" ht="12.75" customHeight="1" x14ac:dyDescent="0.2">
      <c r="B15" s="149">
        <v>9</v>
      </c>
      <c r="C15" s="917"/>
      <c r="D15" s="918" t="s">
        <v>187</v>
      </c>
      <c r="E15" s="8"/>
      <c r="F15" s="918" t="s">
        <v>188</v>
      </c>
      <c r="G15" s="919">
        <v>14.095109000000001</v>
      </c>
    </row>
    <row r="16" spans="2:7" ht="12.75" customHeight="1" x14ac:dyDescent="0.2">
      <c r="B16" s="149">
        <v>10</v>
      </c>
      <c r="C16" s="307"/>
      <c r="D16" s="196" t="s">
        <v>189</v>
      </c>
      <c r="E16" s="921"/>
      <c r="F16" s="196" t="s">
        <v>190</v>
      </c>
      <c r="G16" s="308">
        <v>14.091124000000001</v>
      </c>
    </row>
    <row r="17" spans="2:7" ht="12.75" customHeight="1" x14ac:dyDescent="0.2">
      <c r="B17" s="149">
        <v>11</v>
      </c>
      <c r="C17" s="917"/>
      <c r="D17" s="918" t="s">
        <v>197</v>
      </c>
      <c r="E17" s="8"/>
      <c r="F17" s="918" t="s">
        <v>192</v>
      </c>
      <c r="G17" s="919">
        <v>13.645593</v>
      </c>
    </row>
    <row r="18" spans="2:7" ht="12.75" customHeight="1" x14ac:dyDescent="0.2">
      <c r="B18" s="149">
        <v>12</v>
      </c>
      <c r="C18" s="307"/>
      <c r="D18" s="196" t="s">
        <v>193</v>
      </c>
      <c r="E18" s="921"/>
      <c r="F18" s="196" t="s">
        <v>197</v>
      </c>
      <c r="G18" s="308">
        <v>11.798531000000001</v>
      </c>
    </row>
    <row r="19" spans="2:7" ht="12.75" customHeight="1" x14ac:dyDescent="0.2">
      <c r="B19" s="149">
        <v>13</v>
      </c>
      <c r="C19" s="917"/>
      <c r="D19" s="918" t="s">
        <v>191</v>
      </c>
      <c r="E19" s="8"/>
      <c r="F19" s="918" t="s">
        <v>187</v>
      </c>
      <c r="G19" s="919">
        <v>11.738130999999999</v>
      </c>
    </row>
    <row r="20" spans="2:7" ht="12.75" customHeight="1" x14ac:dyDescent="0.2">
      <c r="B20" s="149">
        <v>14</v>
      </c>
      <c r="C20" s="307"/>
      <c r="D20" s="196" t="s">
        <v>194</v>
      </c>
      <c r="E20" s="921"/>
      <c r="F20" s="196" t="s">
        <v>194</v>
      </c>
      <c r="G20" s="308">
        <v>10.840458</v>
      </c>
    </row>
    <row r="21" spans="2:7" ht="12.75" customHeight="1" x14ac:dyDescent="0.2">
      <c r="B21" s="149">
        <v>15</v>
      </c>
      <c r="C21" s="917"/>
      <c r="D21" s="918" t="s">
        <v>188</v>
      </c>
      <c r="E21" s="8"/>
      <c r="F21" s="918" t="s">
        <v>189</v>
      </c>
      <c r="G21" s="919">
        <v>9.8796219999999995</v>
      </c>
    </row>
    <row r="22" spans="2:7" ht="12.75" customHeight="1" x14ac:dyDescent="0.2">
      <c r="B22" s="149">
        <v>16</v>
      </c>
      <c r="C22" s="307"/>
      <c r="D22" s="196" t="s">
        <v>194</v>
      </c>
      <c r="E22" s="921"/>
      <c r="F22" s="196" t="s">
        <v>193</v>
      </c>
      <c r="G22" s="308">
        <v>9.3566050000000001</v>
      </c>
    </row>
    <row r="23" spans="2:7" ht="12.75" customHeight="1" x14ac:dyDescent="0.2">
      <c r="B23" s="149">
        <v>17</v>
      </c>
      <c r="C23" s="917"/>
      <c r="D23" s="918" t="s">
        <v>192</v>
      </c>
      <c r="E23" s="8"/>
      <c r="F23" s="918" t="s">
        <v>194</v>
      </c>
      <c r="G23" s="919">
        <v>8.7043560000000006</v>
      </c>
    </row>
    <row r="24" spans="2:7" ht="12.75" customHeight="1" x14ac:dyDescent="0.2">
      <c r="B24" s="149">
        <v>18</v>
      </c>
      <c r="C24" s="307"/>
      <c r="D24" s="196" t="s">
        <v>197</v>
      </c>
      <c r="E24" s="921"/>
      <c r="F24" s="196" t="s">
        <v>193</v>
      </c>
      <c r="G24" s="308">
        <v>8.6973439999999993</v>
      </c>
    </row>
    <row r="25" spans="2:7" ht="12.75" customHeight="1" x14ac:dyDescent="0.2">
      <c r="B25" s="149">
        <v>19</v>
      </c>
      <c r="C25" s="917"/>
      <c r="D25" s="918" t="s">
        <v>189</v>
      </c>
      <c r="E25" s="8"/>
      <c r="F25" s="918" t="s">
        <v>192</v>
      </c>
      <c r="G25" s="919">
        <v>8.6588449999999995</v>
      </c>
    </row>
    <row r="26" spans="2:7" ht="12.75" customHeight="1" x14ac:dyDescent="0.2">
      <c r="B26" s="149">
        <v>20</v>
      </c>
      <c r="C26" s="307"/>
      <c r="D26" s="196" t="s">
        <v>193</v>
      </c>
      <c r="E26" s="921"/>
      <c r="F26" s="196" t="s">
        <v>194</v>
      </c>
      <c r="G26" s="308">
        <v>8.6312479999999994</v>
      </c>
    </row>
    <row r="27" spans="2:7" ht="12.75" customHeight="1" x14ac:dyDescent="0.2">
      <c r="B27" s="149">
        <v>21</v>
      </c>
      <c r="C27" s="917"/>
      <c r="D27" s="918" t="s">
        <v>189</v>
      </c>
      <c r="E27" s="8"/>
      <c r="F27" s="918" t="s">
        <v>188</v>
      </c>
      <c r="G27" s="919">
        <v>8.6299069999999993</v>
      </c>
    </row>
    <row r="28" spans="2:7" ht="12.75" customHeight="1" x14ac:dyDescent="0.2">
      <c r="B28" s="149">
        <v>22</v>
      </c>
      <c r="C28" s="307"/>
      <c r="D28" s="196" t="s">
        <v>188</v>
      </c>
      <c r="E28" s="921"/>
      <c r="F28" s="196" t="s">
        <v>190</v>
      </c>
      <c r="G28" s="308">
        <v>8.4705569999999994</v>
      </c>
    </row>
    <row r="29" spans="2:7" ht="12.75" customHeight="1" x14ac:dyDescent="0.2">
      <c r="B29" s="149">
        <v>23</v>
      </c>
      <c r="C29" s="917"/>
      <c r="D29" s="918" t="s">
        <v>193</v>
      </c>
      <c r="E29" s="8"/>
      <c r="F29" s="918" t="s">
        <v>195</v>
      </c>
      <c r="G29" s="919">
        <v>7.9240659999999998</v>
      </c>
    </row>
    <row r="30" spans="2:7" ht="12.75" customHeight="1" x14ac:dyDescent="0.2">
      <c r="B30" s="149">
        <v>24</v>
      </c>
      <c r="C30" s="307"/>
      <c r="D30" s="196" t="s">
        <v>197</v>
      </c>
      <c r="E30" s="921"/>
      <c r="F30" s="196" t="s">
        <v>189</v>
      </c>
      <c r="G30" s="308">
        <v>7.8992579999999997</v>
      </c>
    </row>
    <row r="31" spans="2:7" ht="12.75" customHeight="1" x14ac:dyDescent="0.2">
      <c r="B31" s="149">
        <v>25</v>
      </c>
      <c r="C31" s="917"/>
      <c r="D31" s="918" t="s">
        <v>193</v>
      </c>
      <c r="E31" s="8"/>
      <c r="F31" s="918" t="s">
        <v>345</v>
      </c>
      <c r="G31" s="919">
        <v>7.6979090000000001</v>
      </c>
    </row>
    <row r="32" spans="2:7" ht="12.75" customHeight="1" x14ac:dyDescent="0.2">
      <c r="B32" s="149">
        <v>26</v>
      </c>
      <c r="C32" s="307"/>
      <c r="D32" s="196" t="s">
        <v>189</v>
      </c>
      <c r="E32" s="921"/>
      <c r="F32" s="196" t="s">
        <v>193</v>
      </c>
      <c r="G32" s="308">
        <v>7.6614620000000002</v>
      </c>
    </row>
    <row r="33" spans="2:7" ht="12.75" customHeight="1" x14ac:dyDescent="0.2">
      <c r="B33" s="149">
        <v>27</v>
      </c>
      <c r="C33" s="917"/>
      <c r="D33" s="918" t="s">
        <v>193</v>
      </c>
      <c r="E33" s="8"/>
      <c r="F33" s="918" t="s">
        <v>189</v>
      </c>
      <c r="G33" s="919">
        <v>7.4579510000000004</v>
      </c>
    </row>
    <row r="34" spans="2:7" ht="12.75" customHeight="1" x14ac:dyDescent="0.2">
      <c r="B34" s="149">
        <v>28</v>
      </c>
      <c r="C34" s="307"/>
      <c r="D34" s="196" t="s">
        <v>187</v>
      </c>
      <c r="E34" s="921"/>
      <c r="F34" s="196" t="s">
        <v>191</v>
      </c>
      <c r="G34" s="308">
        <v>7.1179670000000002</v>
      </c>
    </row>
    <row r="35" spans="2:7" ht="12.75" customHeight="1" x14ac:dyDescent="0.2">
      <c r="B35" s="149">
        <v>29</v>
      </c>
      <c r="C35" s="917"/>
      <c r="D35" s="918" t="s">
        <v>345</v>
      </c>
      <c r="E35" s="8"/>
      <c r="F35" s="918" t="s">
        <v>193</v>
      </c>
      <c r="G35" s="919">
        <v>6.8548119999999999</v>
      </c>
    </row>
    <row r="36" spans="2:7" ht="12.75" customHeight="1" x14ac:dyDescent="0.2">
      <c r="B36" s="149">
        <v>30</v>
      </c>
      <c r="C36" s="307"/>
      <c r="D36" s="196" t="s">
        <v>194</v>
      </c>
      <c r="E36" s="921"/>
      <c r="F36" s="196" t="s">
        <v>192</v>
      </c>
      <c r="G36" s="308">
        <v>6.1297259999999998</v>
      </c>
    </row>
    <row r="37" spans="2:7" ht="12.75" customHeight="1" x14ac:dyDescent="0.2">
      <c r="B37" s="149">
        <v>31</v>
      </c>
      <c r="C37" s="917"/>
      <c r="D37" s="918" t="s">
        <v>192</v>
      </c>
      <c r="E37" s="8"/>
      <c r="F37" s="918" t="s">
        <v>197</v>
      </c>
      <c r="G37" s="919">
        <v>6.0794779999999999</v>
      </c>
    </row>
    <row r="38" spans="2:7" ht="12.75" customHeight="1" x14ac:dyDescent="0.2">
      <c r="B38" s="149">
        <v>32</v>
      </c>
      <c r="C38" s="307"/>
      <c r="D38" s="196" t="s">
        <v>189</v>
      </c>
      <c r="E38" s="921"/>
      <c r="F38" s="196" t="s">
        <v>197</v>
      </c>
      <c r="G38" s="308">
        <v>5.9705310000000003</v>
      </c>
    </row>
    <row r="39" spans="2:7" ht="12.75" customHeight="1" x14ac:dyDescent="0.2">
      <c r="B39" s="149">
        <v>33</v>
      </c>
      <c r="C39" s="917"/>
      <c r="D39" s="918" t="s">
        <v>346</v>
      </c>
      <c r="E39" s="8"/>
      <c r="F39" s="918" t="s">
        <v>197</v>
      </c>
      <c r="G39" s="919">
        <v>5.8811980000000004</v>
      </c>
    </row>
    <row r="40" spans="2:7" ht="12.75" customHeight="1" x14ac:dyDescent="0.2">
      <c r="B40" s="149">
        <v>34</v>
      </c>
      <c r="C40" s="307"/>
      <c r="D40" s="196" t="s">
        <v>199</v>
      </c>
      <c r="E40" s="921"/>
      <c r="F40" s="196" t="s">
        <v>199</v>
      </c>
      <c r="G40" s="308">
        <v>5.848649</v>
      </c>
    </row>
    <row r="41" spans="2:7" ht="12.75" customHeight="1" x14ac:dyDescent="0.2">
      <c r="B41" s="149">
        <v>35</v>
      </c>
      <c r="C41" s="917"/>
      <c r="D41" s="918" t="s">
        <v>190</v>
      </c>
      <c r="E41" s="8"/>
      <c r="F41" s="918" t="s">
        <v>188</v>
      </c>
      <c r="G41" s="919">
        <v>5.7577569999999998</v>
      </c>
    </row>
    <row r="42" spans="2:7" ht="12.75" customHeight="1" x14ac:dyDescent="0.2">
      <c r="B42" s="149">
        <v>36</v>
      </c>
      <c r="C42" s="307"/>
      <c r="D42" s="196" t="s">
        <v>192</v>
      </c>
      <c r="E42" s="921"/>
      <c r="F42" s="196" t="s">
        <v>189</v>
      </c>
      <c r="G42" s="308">
        <v>5.7535730000000003</v>
      </c>
    </row>
    <row r="43" spans="2:7" ht="12.75" customHeight="1" x14ac:dyDescent="0.2">
      <c r="B43" s="149">
        <v>37</v>
      </c>
      <c r="C43" s="917"/>
      <c r="D43" s="918" t="s">
        <v>195</v>
      </c>
      <c r="E43" s="8"/>
      <c r="F43" s="918" t="s">
        <v>190</v>
      </c>
      <c r="G43" s="919">
        <v>5.7400510000000002</v>
      </c>
    </row>
    <row r="44" spans="2:7" ht="12.75" customHeight="1" x14ac:dyDescent="0.2">
      <c r="B44" s="149">
        <v>38</v>
      </c>
      <c r="C44" s="307"/>
      <c r="D44" s="196" t="s">
        <v>189</v>
      </c>
      <c r="E44" s="921"/>
      <c r="F44" s="196" t="s">
        <v>198</v>
      </c>
      <c r="G44" s="308">
        <v>5.5485110000000004</v>
      </c>
    </row>
    <row r="45" spans="2:7" ht="12.75" customHeight="1" x14ac:dyDescent="0.2">
      <c r="B45" s="149">
        <v>39</v>
      </c>
      <c r="C45" s="917"/>
      <c r="D45" s="918" t="s">
        <v>188</v>
      </c>
      <c r="E45" s="8"/>
      <c r="F45" s="918" t="s">
        <v>195</v>
      </c>
      <c r="G45" s="919">
        <v>5.429176</v>
      </c>
    </row>
    <row r="46" spans="2:7" ht="12.75" customHeight="1" x14ac:dyDescent="0.2">
      <c r="B46" s="149">
        <v>40</v>
      </c>
      <c r="C46" s="307"/>
      <c r="D46" s="196" t="s">
        <v>187</v>
      </c>
      <c r="E46" s="921"/>
      <c r="F46" s="196" t="s">
        <v>435</v>
      </c>
      <c r="G46" s="308">
        <v>5.4090170000000004</v>
      </c>
    </row>
    <row r="47" spans="2:7" ht="12.75" customHeight="1" x14ac:dyDescent="0.2">
      <c r="B47" s="149">
        <v>41</v>
      </c>
      <c r="C47" s="917"/>
      <c r="D47" s="918" t="s">
        <v>190</v>
      </c>
      <c r="E47" s="8"/>
      <c r="F47" s="918" t="s">
        <v>189</v>
      </c>
      <c r="G47" s="919">
        <v>5.1806260000000002</v>
      </c>
    </row>
    <row r="48" spans="2:7" ht="12.75" customHeight="1" x14ac:dyDescent="0.2">
      <c r="B48" s="149">
        <v>42</v>
      </c>
      <c r="C48" s="307"/>
      <c r="D48" s="196" t="s">
        <v>199</v>
      </c>
      <c r="E48" s="921"/>
      <c r="F48" s="196" t="s">
        <v>188</v>
      </c>
      <c r="G48" s="308">
        <v>4.9989299999999997</v>
      </c>
    </row>
    <row r="49" spans="2:7" ht="12.75" customHeight="1" x14ac:dyDescent="0.2">
      <c r="B49" s="149">
        <v>43</v>
      </c>
      <c r="C49" s="917"/>
      <c r="D49" s="918" t="s">
        <v>197</v>
      </c>
      <c r="E49" s="8"/>
      <c r="F49" s="918" t="s">
        <v>346</v>
      </c>
      <c r="G49" s="919">
        <v>4.9743250000000003</v>
      </c>
    </row>
    <row r="50" spans="2:7" ht="12.75" customHeight="1" x14ac:dyDescent="0.2">
      <c r="B50" s="149">
        <v>44</v>
      </c>
      <c r="C50" s="307"/>
      <c r="D50" s="196" t="s">
        <v>188</v>
      </c>
      <c r="E50" s="921"/>
      <c r="F50" s="196" t="s">
        <v>199</v>
      </c>
      <c r="G50" s="308">
        <v>4.9336700000000002</v>
      </c>
    </row>
    <row r="51" spans="2:7" ht="12.75" customHeight="1" x14ac:dyDescent="0.2">
      <c r="B51" s="149">
        <v>45</v>
      </c>
      <c r="C51" s="917"/>
      <c r="D51" s="918" t="s">
        <v>195</v>
      </c>
      <c r="E51" s="8"/>
      <c r="F51" s="918" t="s">
        <v>195</v>
      </c>
      <c r="G51" s="919">
        <v>4.7190630000000002</v>
      </c>
    </row>
    <row r="52" spans="2:7" ht="12.75" customHeight="1" x14ac:dyDescent="0.2">
      <c r="B52" s="149">
        <v>46</v>
      </c>
      <c r="C52" s="307"/>
      <c r="D52" s="196" t="s">
        <v>435</v>
      </c>
      <c r="E52" s="921"/>
      <c r="F52" s="196" t="s">
        <v>187</v>
      </c>
      <c r="G52" s="308">
        <v>4.7058720000000003</v>
      </c>
    </row>
    <row r="53" spans="2:7" ht="12.75" customHeight="1" x14ac:dyDescent="0.2">
      <c r="B53" s="149">
        <v>47</v>
      </c>
      <c r="C53" s="917"/>
      <c r="D53" s="918" t="s">
        <v>187</v>
      </c>
      <c r="E53" s="8"/>
      <c r="F53" s="918" t="s">
        <v>190</v>
      </c>
      <c r="G53" s="919">
        <v>4.6635540000000004</v>
      </c>
    </row>
    <row r="54" spans="2:7" ht="12.75" customHeight="1" x14ac:dyDescent="0.2">
      <c r="B54" s="149">
        <v>48</v>
      </c>
      <c r="C54" s="307"/>
      <c r="D54" s="196" t="s">
        <v>192</v>
      </c>
      <c r="E54" s="921"/>
      <c r="F54" s="196" t="s">
        <v>192</v>
      </c>
      <c r="G54" s="308">
        <v>4.6469370000000003</v>
      </c>
    </row>
    <row r="55" spans="2:7" ht="12.75" customHeight="1" x14ac:dyDescent="0.2">
      <c r="B55" s="149">
        <v>49</v>
      </c>
      <c r="C55" s="917"/>
      <c r="D55" s="918" t="s">
        <v>195</v>
      </c>
      <c r="E55" s="8"/>
      <c r="F55" s="918" t="s">
        <v>193</v>
      </c>
      <c r="G55" s="919">
        <v>4.6336570000000004</v>
      </c>
    </row>
    <row r="56" spans="2:7" ht="12.75" customHeight="1" x14ac:dyDescent="0.2">
      <c r="B56" s="149">
        <v>50</v>
      </c>
      <c r="C56" s="307"/>
      <c r="D56" s="196" t="s">
        <v>196</v>
      </c>
      <c r="E56" s="921"/>
      <c r="F56" s="196" t="s">
        <v>193</v>
      </c>
      <c r="G56" s="308">
        <v>4.6290110000000002</v>
      </c>
    </row>
    <row r="57" spans="2:7" ht="12.75" customHeight="1" x14ac:dyDescent="0.2">
      <c r="B57" s="149">
        <v>51</v>
      </c>
      <c r="C57" s="917"/>
      <c r="D57" s="918" t="s">
        <v>197</v>
      </c>
      <c r="E57" s="8"/>
      <c r="F57" s="918" t="s">
        <v>197</v>
      </c>
      <c r="G57" s="919">
        <v>4.6237539999999999</v>
      </c>
    </row>
    <row r="58" spans="2:7" ht="12.75" customHeight="1" x14ac:dyDescent="0.2">
      <c r="B58" s="149">
        <v>52</v>
      </c>
      <c r="C58" s="307"/>
      <c r="D58" s="196" t="s">
        <v>197</v>
      </c>
      <c r="E58" s="921"/>
      <c r="F58" s="196" t="s">
        <v>195</v>
      </c>
      <c r="G58" s="308">
        <v>4.4398</v>
      </c>
    </row>
    <row r="59" spans="2:7" ht="12.75" customHeight="1" x14ac:dyDescent="0.2">
      <c r="B59" s="149">
        <v>53</v>
      </c>
      <c r="C59" s="922"/>
      <c r="D59" s="923" t="s">
        <v>188</v>
      </c>
      <c r="E59" s="924"/>
      <c r="F59" s="923" t="s">
        <v>198</v>
      </c>
      <c r="G59" s="925">
        <v>4.2897290000000003</v>
      </c>
    </row>
    <row r="60" spans="2:7" ht="12.75" customHeight="1" x14ac:dyDescent="0.2">
      <c r="B60" s="8"/>
      <c r="C60" s="19" t="s">
        <v>551</v>
      </c>
      <c r="D60" s="888"/>
      <c r="E60" s="149"/>
      <c r="F60" s="888"/>
      <c r="G60" s="926"/>
    </row>
    <row r="61" spans="2:7" ht="70.5" customHeight="1" x14ac:dyDescent="0.2">
      <c r="B61" s="155"/>
      <c r="C61" s="1158" t="s">
        <v>684</v>
      </c>
      <c r="D61" s="1158"/>
      <c r="E61" s="1158"/>
      <c r="F61" s="1158"/>
      <c r="G61" s="1158"/>
    </row>
  </sheetData>
  <mergeCells count="5">
    <mergeCell ref="B2:G2"/>
    <mergeCell ref="B4:G4"/>
    <mergeCell ref="C5:D5"/>
    <mergeCell ref="E5:F5"/>
    <mergeCell ref="C61:G61"/>
  </mergeCells>
  <printOptions horizontalCentered="1"/>
  <pageMargins left="0.74803149606299213" right="0.74803149606299213" top="0.98425196850393704" bottom="0.98425196850393704" header="0.51181102362204722" footer="0.51181102362204722"/>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31"/>
  <dimension ref="A1:Z58"/>
  <sheetViews>
    <sheetView workbookViewId="0">
      <selection activeCell="Z22" sqref="Z22"/>
    </sheetView>
  </sheetViews>
  <sheetFormatPr defaultRowHeight="12.75" x14ac:dyDescent="0.2"/>
  <cols>
    <col min="1" max="1" width="3.7109375" style="891" customWidth="1"/>
    <col min="2" max="2" width="0.85546875" style="891" customWidth="1"/>
    <col min="3" max="3" width="25.28515625" style="891" customWidth="1"/>
    <col min="4" max="4" width="6" style="891" customWidth="1"/>
    <col min="5" max="21" width="8.7109375" style="891" customWidth="1"/>
    <col min="22" max="22" width="7.42578125" style="876" customWidth="1"/>
    <col min="23" max="16384" width="9.140625" style="891"/>
  </cols>
  <sheetData>
    <row r="1" spans="1:26" ht="15.75" x14ac:dyDescent="0.25">
      <c r="B1" s="1159"/>
      <c r="C1" s="1159"/>
      <c r="D1" s="927"/>
      <c r="E1" s="875"/>
      <c r="F1" s="875"/>
      <c r="G1" s="875"/>
      <c r="H1" s="875"/>
      <c r="I1" s="875"/>
      <c r="J1" s="875"/>
      <c r="K1" s="875"/>
      <c r="L1" s="875"/>
      <c r="M1" s="875"/>
      <c r="N1" s="875"/>
      <c r="O1" s="875"/>
      <c r="P1" s="875"/>
      <c r="Q1" s="875"/>
      <c r="R1" s="875"/>
      <c r="S1" s="875"/>
      <c r="T1" s="875"/>
      <c r="U1" s="875"/>
      <c r="V1" s="771" t="s">
        <v>260</v>
      </c>
    </row>
    <row r="2" spans="1:26" ht="15.75" x14ac:dyDescent="0.2">
      <c r="B2" s="1077" t="s">
        <v>685</v>
      </c>
      <c r="C2" s="1077"/>
      <c r="D2" s="1077"/>
      <c r="E2" s="1077"/>
      <c r="F2" s="1077"/>
      <c r="G2" s="1077"/>
      <c r="H2" s="1077"/>
      <c r="I2" s="1077"/>
      <c r="J2" s="1077"/>
      <c r="K2" s="1077"/>
      <c r="L2" s="1077"/>
      <c r="M2" s="1077"/>
      <c r="N2" s="1077"/>
      <c r="O2" s="1077"/>
      <c r="P2" s="1077"/>
      <c r="Q2" s="1077"/>
      <c r="R2" s="1077"/>
      <c r="S2" s="1077"/>
      <c r="T2" s="1077"/>
      <c r="U2" s="1077"/>
      <c r="V2" s="1077"/>
    </row>
    <row r="3" spans="1:26" x14ac:dyDescent="0.2">
      <c r="C3" s="1081" t="s">
        <v>71</v>
      </c>
      <c r="D3" s="1081"/>
      <c r="E3" s="1081"/>
      <c r="F3" s="1081"/>
      <c r="G3" s="1081"/>
      <c r="H3" s="1081"/>
      <c r="I3" s="1081"/>
      <c r="J3" s="1081"/>
      <c r="K3" s="1081"/>
      <c r="L3" s="1081"/>
      <c r="M3" s="1081"/>
      <c r="N3" s="1081"/>
      <c r="O3" s="1081"/>
      <c r="P3" s="1081"/>
      <c r="Q3" s="1081"/>
      <c r="R3" s="1081"/>
      <c r="S3" s="1081"/>
      <c r="T3" s="1081"/>
      <c r="U3" s="1081"/>
      <c r="V3" s="1081"/>
    </row>
    <row r="4" spans="1:26" ht="12.75" customHeight="1" x14ac:dyDescent="0.2">
      <c r="A4" s="1101" t="s">
        <v>173</v>
      </c>
      <c r="B4" s="159"/>
      <c r="C4" s="1160" t="s">
        <v>46</v>
      </c>
      <c r="D4" s="38"/>
      <c r="E4" s="56"/>
      <c r="F4" s="56"/>
      <c r="G4" s="56"/>
      <c r="H4" s="56"/>
      <c r="I4" s="56"/>
      <c r="J4" s="56"/>
      <c r="K4" s="56"/>
      <c r="L4" s="56"/>
      <c r="M4" s="56"/>
      <c r="N4" s="56"/>
      <c r="O4" s="56"/>
      <c r="P4" s="56"/>
      <c r="Q4" s="56"/>
      <c r="R4" s="56"/>
      <c r="S4" s="56"/>
      <c r="T4" s="56"/>
      <c r="U4" s="56"/>
      <c r="V4" s="565" t="s">
        <v>213</v>
      </c>
    </row>
    <row r="5" spans="1:26" x14ac:dyDescent="0.2">
      <c r="A5" s="1101"/>
      <c r="B5" s="877"/>
      <c r="C5" s="1161"/>
      <c r="D5" s="158"/>
      <c r="E5" s="928">
        <v>2005</v>
      </c>
      <c r="F5" s="928">
        <v>2006</v>
      </c>
      <c r="G5" s="928">
        <v>2007</v>
      </c>
      <c r="H5" s="928">
        <v>2008</v>
      </c>
      <c r="I5" s="928">
        <v>2009</v>
      </c>
      <c r="J5" s="928">
        <v>2010</v>
      </c>
      <c r="K5" s="928">
        <v>2011</v>
      </c>
      <c r="L5" s="928">
        <v>2012</v>
      </c>
      <c r="M5" s="928">
        <v>2013</v>
      </c>
      <c r="N5" s="928">
        <v>2014</v>
      </c>
      <c r="O5" s="928">
        <v>2015</v>
      </c>
      <c r="P5" s="928">
        <v>2016</v>
      </c>
      <c r="Q5" s="928">
        <v>2017</v>
      </c>
      <c r="R5" s="928">
        <v>2018</v>
      </c>
      <c r="S5" s="928">
        <v>2019</v>
      </c>
      <c r="T5" s="928">
        <v>2020</v>
      </c>
      <c r="U5" s="928">
        <v>2021</v>
      </c>
      <c r="V5" s="47" t="s">
        <v>552</v>
      </c>
    </row>
    <row r="6" spans="1:26" x14ac:dyDescent="0.2">
      <c r="A6" s="1101"/>
      <c r="B6" s="45"/>
      <c r="C6" s="42"/>
      <c r="D6" s="48"/>
      <c r="E6" s="58"/>
      <c r="F6" s="58"/>
      <c r="G6" s="58"/>
      <c r="H6" s="58"/>
      <c r="I6" s="58"/>
      <c r="J6" s="58"/>
      <c r="K6" s="58"/>
      <c r="L6" s="58"/>
      <c r="M6" s="58"/>
      <c r="N6" s="58"/>
      <c r="O6" s="58"/>
      <c r="P6" s="58"/>
      <c r="Q6" s="58"/>
      <c r="R6" s="58"/>
      <c r="S6" s="58"/>
      <c r="T6" s="58"/>
      <c r="U6" s="59"/>
      <c r="V6" s="566" t="s">
        <v>120</v>
      </c>
    </row>
    <row r="7" spans="1:26" x14ac:dyDescent="0.2">
      <c r="A7" s="149">
        <v>1</v>
      </c>
      <c r="B7" s="929"/>
      <c r="C7" s="930" t="s">
        <v>56</v>
      </c>
      <c r="D7" s="931" t="s">
        <v>104</v>
      </c>
      <c r="E7" s="932">
        <v>9194.5895</v>
      </c>
      <c r="F7" s="932">
        <v>9575.4087500000005</v>
      </c>
      <c r="G7" s="932">
        <v>10773.4</v>
      </c>
      <c r="H7" s="932">
        <v>10630.96025</v>
      </c>
      <c r="I7" s="932">
        <v>9579.2834999999995</v>
      </c>
      <c r="J7" s="932">
        <v>11017.465749999999</v>
      </c>
      <c r="K7" s="932">
        <v>11339.868</v>
      </c>
      <c r="L7" s="932">
        <v>11418.32375</v>
      </c>
      <c r="M7" s="907">
        <v>11021.2765</v>
      </c>
      <c r="N7" s="907">
        <v>11634.055</v>
      </c>
      <c r="O7" s="907">
        <v>11577.171249999999</v>
      </c>
      <c r="P7" s="907">
        <v>11674.52</v>
      </c>
      <c r="Q7" s="932">
        <v>12891.9375</v>
      </c>
      <c r="R7" s="932">
        <v>13597.928749999999</v>
      </c>
      <c r="S7" s="907">
        <v>13492.7665</v>
      </c>
      <c r="T7" s="907">
        <v>13294.118</v>
      </c>
      <c r="U7" s="907">
        <v>13406.440500000001</v>
      </c>
      <c r="V7" s="933">
        <f>U7/T7*100-100</f>
        <v>0.84490373863089019</v>
      </c>
      <c r="Z7" s="419"/>
    </row>
    <row r="8" spans="1:26" x14ac:dyDescent="0.2">
      <c r="A8" s="149">
        <v>2</v>
      </c>
      <c r="B8" s="186"/>
      <c r="C8" s="934" t="s">
        <v>11</v>
      </c>
      <c r="D8" s="188" t="s">
        <v>106</v>
      </c>
      <c r="E8" s="909">
        <v>6220.9035000000003</v>
      </c>
      <c r="F8" s="909">
        <v>6718.1965</v>
      </c>
      <c r="G8" s="909">
        <v>7878.9192499999999</v>
      </c>
      <c r="H8" s="909">
        <v>8378.85275</v>
      </c>
      <c r="I8" s="909">
        <v>7014.3395</v>
      </c>
      <c r="J8" s="909">
        <v>8144.3694999999998</v>
      </c>
      <c r="K8" s="909">
        <v>8316.7754999999997</v>
      </c>
      <c r="L8" s="909">
        <v>8174.3737499999997</v>
      </c>
      <c r="M8" s="909">
        <v>8255.6022499999999</v>
      </c>
      <c r="N8" s="909">
        <v>8811.67425</v>
      </c>
      <c r="O8" s="909">
        <v>9370.2520000000004</v>
      </c>
      <c r="P8" s="909">
        <v>9890.7019999999993</v>
      </c>
      <c r="Q8" s="909">
        <v>10032.23575</v>
      </c>
      <c r="R8" s="909">
        <v>10829.636</v>
      </c>
      <c r="S8" s="909">
        <v>11676.025</v>
      </c>
      <c r="T8" s="909">
        <v>11970.004999999999</v>
      </c>
      <c r="U8" s="909">
        <v>12007.04775</v>
      </c>
      <c r="V8" s="833">
        <f t="shared" ref="V8:V56" si="0">U8/T8*100-100</f>
        <v>0.30946311217078915</v>
      </c>
    </row>
    <row r="9" spans="1:26" x14ac:dyDescent="0.2">
      <c r="A9" s="149">
        <v>3</v>
      </c>
      <c r="B9" s="502"/>
      <c r="C9" s="3" t="s">
        <v>218</v>
      </c>
      <c r="D9" s="936" t="s">
        <v>107</v>
      </c>
      <c r="E9" s="907">
        <v>8084.3069999999998</v>
      </c>
      <c r="F9" s="907">
        <v>8878.0930000000008</v>
      </c>
      <c r="G9" s="907">
        <v>9913.5305000000008</v>
      </c>
      <c r="H9" s="907">
        <v>9767.2657500000005</v>
      </c>
      <c r="I9" s="907">
        <v>7030.9279999999999</v>
      </c>
      <c r="J9" s="907">
        <v>7905.518</v>
      </c>
      <c r="K9" s="907">
        <v>9035.0910000000003</v>
      </c>
      <c r="L9" s="907">
        <v>8890.7129999999997</v>
      </c>
      <c r="M9" s="907">
        <v>9302.2129999999997</v>
      </c>
      <c r="N9" s="907">
        <v>9775.4375</v>
      </c>
      <c r="O9" s="907">
        <v>8847.9069999999992</v>
      </c>
      <c r="P9" s="907">
        <v>8928.5830000000005</v>
      </c>
      <c r="Q9" s="907">
        <v>8859.9830000000002</v>
      </c>
      <c r="R9" s="907">
        <v>8740.93</v>
      </c>
      <c r="S9" s="907">
        <v>9281.9869999999992</v>
      </c>
      <c r="T9" s="907">
        <v>8577.6470000000008</v>
      </c>
      <c r="U9" s="907">
        <v>8799.1902499999997</v>
      </c>
      <c r="V9" s="935">
        <f t="shared" si="0"/>
        <v>2.5827974734796015</v>
      </c>
    </row>
    <row r="10" spans="1:26" x14ac:dyDescent="0.2">
      <c r="A10" s="149">
        <v>4</v>
      </c>
      <c r="B10" s="186"/>
      <c r="C10" s="934" t="s">
        <v>63</v>
      </c>
      <c r="D10" s="188" t="s">
        <v>108</v>
      </c>
      <c r="E10" s="909">
        <v>2415.1930000000002</v>
      </c>
      <c r="F10" s="909">
        <v>2614.9110000000001</v>
      </c>
      <c r="G10" s="909">
        <v>3048.9027500000002</v>
      </c>
      <c r="H10" s="909">
        <v>3606.3429999999998</v>
      </c>
      <c r="I10" s="909">
        <v>3654.4292500000001</v>
      </c>
      <c r="J10" s="909">
        <v>4211.1755000000003</v>
      </c>
      <c r="K10" s="909">
        <v>4332.0347499999998</v>
      </c>
      <c r="L10" s="909">
        <v>4470.5060000000003</v>
      </c>
      <c r="M10" s="909">
        <v>4328.2757499999998</v>
      </c>
      <c r="N10" s="909">
        <v>4406.6267500000004</v>
      </c>
      <c r="O10" s="909">
        <v>4608.6549999999997</v>
      </c>
      <c r="P10" s="909">
        <v>4719.7365</v>
      </c>
      <c r="Q10" s="909">
        <v>4813.8682500000004</v>
      </c>
      <c r="R10" s="909">
        <v>5168.9025000000001</v>
      </c>
      <c r="S10" s="909">
        <v>5420.7772500000001</v>
      </c>
      <c r="T10" s="909">
        <v>5413.1695</v>
      </c>
      <c r="U10" s="909">
        <v>5586.6842500000002</v>
      </c>
      <c r="V10" s="833">
        <f t="shared" si="0"/>
        <v>3.2054187477410494</v>
      </c>
    </row>
    <row r="11" spans="1:26" x14ac:dyDescent="0.2">
      <c r="A11" s="149">
        <v>5</v>
      </c>
      <c r="B11" s="502"/>
      <c r="C11" s="3" t="s">
        <v>163</v>
      </c>
      <c r="D11" s="936" t="s">
        <v>107</v>
      </c>
      <c r="E11" s="907">
        <v>3696.067</v>
      </c>
      <c r="F11" s="907">
        <v>4479.3187500000004</v>
      </c>
      <c r="G11" s="907">
        <v>4883.9587499999998</v>
      </c>
      <c r="H11" s="907">
        <v>5451.3872499999998</v>
      </c>
      <c r="I11" s="907">
        <v>4552.027</v>
      </c>
      <c r="J11" s="907">
        <v>4858.3275000000003</v>
      </c>
      <c r="K11" s="907">
        <v>5911.2169999999996</v>
      </c>
      <c r="L11" s="907">
        <v>6111.1994999999997</v>
      </c>
      <c r="M11" s="907">
        <v>5822.4139999999998</v>
      </c>
      <c r="N11" s="907">
        <v>5731.4764999999998</v>
      </c>
      <c r="O11" s="907">
        <v>5466.8074999999999</v>
      </c>
      <c r="P11" s="907">
        <v>5510.3689999999997</v>
      </c>
      <c r="Q11" s="907">
        <v>5458.3919999999998</v>
      </c>
      <c r="R11" s="907">
        <v>5442.152</v>
      </c>
      <c r="S11" s="907">
        <v>4849.6724999999997</v>
      </c>
      <c r="T11" s="907">
        <v>4766.7147500000001</v>
      </c>
      <c r="U11" s="907">
        <v>5013.6004999999996</v>
      </c>
      <c r="V11" s="935">
        <f t="shared" si="0"/>
        <v>5.1793690822384377</v>
      </c>
    </row>
    <row r="12" spans="1:26" x14ac:dyDescent="0.2">
      <c r="A12" s="149">
        <v>6</v>
      </c>
      <c r="B12" s="186"/>
      <c r="C12" s="934" t="s">
        <v>53</v>
      </c>
      <c r="D12" s="188" t="s">
        <v>108</v>
      </c>
      <c r="E12" s="909">
        <v>3179.8090000000002</v>
      </c>
      <c r="F12" s="909">
        <v>3257.5529999999999</v>
      </c>
      <c r="G12" s="909">
        <v>3413.1129999999998</v>
      </c>
      <c r="H12" s="909">
        <v>3291.13375</v>
      </c>
      <c r="I12" s="909">
        <v>2947.1192500000002</v>
      </c>
      <c r="J12" s="909">
        <v>2772.7075</v>
      </c>
      <c r="K12" s="909">
        <v>3592.7260000000001</v>
      </c>
      <c r="L12" s="909">
        <v>4113.1120000000001</v>
      </c>
      <c r="M12" s="909">
        <v>3988.1822499999998</v>
      </c>
      <c r="N12" s="909">
        <v>4554.8969999999999</v>
      </c>
      <c r="O12" s="909">
        <v>4515.768</v>
      </c>
      <c r="P12" s="909">
        <v>4761.4440000000004</v>
      </c>
      <c r="Q12" s="909">
        <v>4389.8509999999997</v>
      </c>
      <c r="R12" s="909">
        <v>4773.1580000000004</v>
      </c>
      <c r="S12" s="909">
        <v>5125.3850000000002</v>
      </c>
      <c r="T12" s="909">
        <v>5107.8729999999996</v>
      </c>
      <c r="U12" s="909">
        <v>4799.4970000000003</v>
      </c>
      <c r="V12" s="833">
        <f t="shared" si="0"/>
        <v>-6.0372683502506703</v>
      </c>
    </row>
    <row r="13" spans="1:26" x14ac:dyDescent="0.2">
      <c r="A13" s="149">
        <v>7</v>
      </c>
      <c r="B13" s="502"/>
      <c r="C13" s="3" t="s">
        <v>469</v>
      </c>
      <c r="D13" s="936" t="s">
        <v>103</v>
      </c>
      <c r="E13" s="907">
        <v>1401.0730000000001</v>
      </c>
      <c r="F13" s="907">
        <v>1412.5540000000001</v>
      </c>
      <c r="G13" s="907">
        <v>1383.8309999999999</v>
      </c>
      <c r="H13" s="907">
        <v>437.30099999999999</v>
      </c>
      <c r="I13" s="907">
        <v>667.13499999999999</v>
      </c>
      <c r="J13" s="907">
        <v>850.25474999999994</v>
      </c>
      <c r="K13" s="907">
        <v>1680.8767499999999</v>
      </c>
      <c r="L13" s="907">
        <v>2815.0747500000002</v>
      </c>
      <c r="M13" s="907">
        <v>3199.3472499999998</v>
      </c>
      <c r="N13" s="907">
        <v>3492.7444999999998</v>
      </c>
      <c r="O13" s="907">
        <v>3359.5807500000001</v>
      </c>
      <c r="P13" s="907">
        <v>3735.8035</v>
      </c>
      <c r="Q13" s="907">
        <v>4120.3427499999998</v>
      </c>
      <c r="R13" s="907">
        <v>4886.05</v>
      </c>
      <c r="S13" s="907">
        <v>5646.4587499999998</v>
      </c>
      <c r="T13" s="907">
        <v>5201.9504999999999</v>
      </c>
      <c r="U13" s="907">
        <v>4730.9989999999998</v>
      </c>
      <c r="V13" s="935">
        <f t="shared" si="0"/>
        <v>-9.0533637334688279</v>
      </c>
    </row>
    <row r="14" spans="1:26" x14ac:dyDescent="0.2">
      <c r="A14" s="149">
        <v>8</v>
      </c>
      <c r="B14" s="186"/>
      <c r="C14" s="934" t="s">
        <v>215</v>
      </c>
      <c r="D14" s="188" t="s">
        <v>108</v>
      </c>
      <c r="E14" s="909">
        <v>2071.3742499999998</v>
      </c>
      <c r="F14" s="909">
        <v>2314.5925000000002</v>
      </c>
      <c r="G14" s="909">
        <v>2605.6610000000001</v>
      </c>
      <c r="H14" s="909">
        <v>2566.9962500000001</v>
      </c>
      <c r="I14" s="909">
        <v>1846.2112500000001</v>
      </c>
      <c r="J14" s="909">
        <v>1927.9662499999999</v>
      </c>
      <c r="K14" s="909">
        <v>2005.9829999999999</v>
      </c>
      <c r="L14" s="909">
        <v>1745.4585</v>
      </c>
      <c r="M14" s="909">
        <v>1716.7607499999999</v>
      </c>
      <c r="N14" s="909">
        <v>2055.6662500000002</v>
      </c>
      <c r="O14" s="909">
        <v>1950.0930000000001</v>
      </c>
      <c r="P14" s="909">
        <v>2228.4369999999999</v>
      </c>
      <c r="Q14" s="909">
        <v>2998.8732500000001</v>
      </c>
      <c r="R14" s="909">
        <v>3422.2979999999998</v>
      </c>
      <c r="S14" s="909">
        <v>3313.3209999999999</v>
      </c>
      <c r="T14" s="909">
        <v>2949.8195000000001</v>
      </c>
      <c r="U14" s="909">
        <v>3521.9527499999999</v>
      </c>
      <c r="V14" s="833">
        <f t="shared" si="0"/>
        <v>19.395534201329937</v>
      </c>
    </row>
    <row r="15" spans="1:26" x14ac:dyDescent="0.2">
      <c r="A15" s="149">
        <v>9</v>
      </c>
      <c r="B15" s="502"/>
      <c r="C15" s="3" t="s">
        <v>72</v>
      </c>
      <c r="D15" s="936" t="s">
        <v>111</v>
      </c>
      <c r="E15" s="907">
        <v>3123.24125</v>
      </c>
      <c r="F15" s="907">
        <v>2835.2357499999998</v>
      </c>
      <c r="G15" s="907">
        <v>3464.1785</v>
      </c>
      <c r="H15" s="907">
        <v>3164.7927500000001</v>
      </c>
      <c r="I15" s="907">
        <v>2724.7049999999999</v>
      </c>
      <c r="J15" s="907">
        <v>3896.66525</v>
      </c>
      <c r="K15" s="907">
        <v>3307.00425</v>
      </c>
      <c r="L15" s="907">
        <v>3725.1927500000002</v>
      </c>
      <c r="M15" s="907">
        <v>3651.8367499999999</v>
      </c>
      <c r="N15" s="907">
        <v>3708.1357499999999</v>
      </c>
      <c r="O15" s="907">
        <v>3029.9837499999999</v>
      </c>
      <c r="P15" s="907">
        <v>3796.3077499999999</v>
      </c>
      <c r="Q15" s="907">
        <v>3391.1390000000001</v>
      </c>
      <c r="R15" s="907">
        <v>4005.4572499999999</v>
      </c>
      <c r="S15" s="907">
        <v>2981.8887500000001</v>
      </c>
      <c r="T15" s="907">
        <v>3319.6015000000002</v>
      </c>
      <c r="U15" s="907">
        <v>3385.8717499999998</v>
      </c>
      <c r="V15" s="935">
        <f t="shared" si="0"/>
        <v>1.9963314873788107</v>
      </c>
    </row>
    <row r="16" spans="1:26" x14ac:dyDescent="0.2">
      <c r="A16" s="149">
        <v>10</v>
      </c>
      <c r="B16" s="186"/>
      <c r="C16" s="934" t="s">
        <v>57</v>
      </c>
      <c r="D16" s="188" t="s">
        <v>109</v>
      </c>
      <c r="E16" s="909">
        <v>2144.2897499999999</v>
      </c>
      <c r="F16" s="909">
        <v>2118.8620000000001</v>
      </c>
      <c r="G16" s="909">
        <v>2684.6970000000001</v>
      </c>
      <c r="H16" s="909">
        <v>2511.6120000000001</v>
      </c>
      <c r="I16" s="909">
        <v>2257.2352500000002</v>
      </c>
      <c r="J16" s="909">
        <v>2369.2809999999999</v>
      </c>
      <c r="K16" s="909">
        <v>2221.8494999999998</v>
      </c>
      <c r="L16" s="909">
        <v>1996.9034999999999</v>
      </c>
      <c r="M16" s="909">
        <v>2186.3820000000001</v>
      </c>
      <c r="N16" s="909">
        <v>2432.7150000000001</v>
      </c>
      <c r="O16" s="909">
        <v>2560.1305000000002</v>
      </c>
      <c r="P16" s="909">
        <v>2479.5322500000002</v>
      </c>
      <c r="Q16" s="909">
        <v>2798.5617499999998</v>
      </c>
      <c r="R16" s="909">
        <v>2865.8395</v>
      </c>
      <c r="S16" s="909">
        <v>2762.7325000000001</v>
      </c>
      <c r="T16" s="909">
        <v>2170.2977500000002</v>
      </c>
      <c r="U16" s="909">
        <v>3061.4785000000002</v>
      </c>
      <c r="V16" s="833">
        <f t="shared" si="0"/>
        <v>41.062603046056694</v>
      </c>
    </row>
    <row r="17" spans="1:22" x14ac:dyDescent="0.2">
      <c r="A17" s="149">
        <v>11</v>
      </c>
      <c r="B17" s="502"/>
      <c r="C17" s="3" t="s">
        <v>62</v>
      </c>
      <c r="D17" s="936" t="s">
        <v>111</v>
      </c>
      <c r="E17" s="907">
        <v>1037.5654999999999</v>
      </c>
      <c r="F17" s="907">
        <v>1145.74125</v>
      </c>
      <c r="G17" s="907">
        <v>1229.5864999999999</v>
      </c>
      <c r="H17" s="907">
        <v>1461.9085</v>
      </c>
      <c r="I17" s="907">
        <v>1311.2072499999999</v>
      </c>
      <c r="J17" s="907">
        <v>1020.04875</v>
      </c>
      <c r="K17" s="907">
        <v>1276.9245000000001</v>
      </c>
      <c r="L17" s="907">
        <v>1577.5664999999999</v>
      </c>
      <c r="M17" s="907">
        <v>1545.721</v>
      </c>
      <c r="N17" s="907">
        <v>2013.9369999999999</v>
      </c>
      <c r="O17" s="907">
        <v>2079.1077500000001</v>
      </c>
      <c r="P17" s="907">
        <v>2356.4865</v>
      </c>
      <c r="Q17" s="907">
        <v>2332.4942500000002</v>
      </c>
      <c r="R17" s="907">
        <v>2554.2012500000001</v>
      </c>
      <c r="S17" s="907">
        <v>2175.6147500000002</v>
      </c>
      <c r="T17" s="907">
        <v>2491.2507500000002</v>
      </c>
      <c r="U17" s="907">
        <v>2664.1125000000002</v>
      </c>
      <c r="V17" s="935">
        <f t="shared" si="0"/>
        <v>6.9387535558193036</v>
      </c>
    </row>
    <row r="18" spans="1:22" x14ac:dyDescent="0.2">
      <c r="A18" s="149">
        <v>12</v>
      </c>
      <c r="B18" s="186"/>
      <c r="C18" s="934" t="s">
        <v>236</v>
      </c>
      <c r="D18" s="188" t="s">
        <v>97</v>
      </c>
      <c r="E18" s="909">
        <v>63.307250000000003</v>
      </c>
      <c r="F18" s="909">
        <v>76.471249999999998</v>
      </c>
      <c r="G18" s="909">
        <v>94.723749999999995</v>
      </c>
      <c r="H18" s="909">
        <v>183.20699999999999</v>
      </c>
      <c r="I18" s="909">
        <v>232.88575</v>
      </c>
      <c r="J18" s="909">
        <v>509.88675000000001</v>
      </c>
      <c r="K18" s="909">
        <v>684.71100000000001</v>
      </c>
      <c r="L18" s="909">
        <v>933.42550000000006</v>
      </c>
      <c r="M18" s="909">
        <v>1189.04675</v>
      </c>
      <c r="N18" s="909">
        <v>1232.04</v>
      </c>
      <c r="O18" s="909">
        <v>1041.3462500000001</v>
      </c>
      <c r="P18" s="909">
        <v>1559.1685</v>
      </c>
      <c r="Q18" s="909">
        <v>1472.7494999999999</v>
      </c>
      <c r="R18" s="909">
        <v>1735.521</v>
      </c>
      <c r="S18" s="909">
        <v>1800.2184999999999</v>
      </c>
      <c r="T18" s="909">
        <v>1622.973</v>
      </c>
      <c r="U18" s="275">
        <v>1846.134</v>
      </c>
      <c r="V18" s="833">
        <f t="shared" si="0"/>
        <v>13.75013632389448</v>
      </c>
    </row>
    <row r="19" spans="1:22" x14ac:dyDescent="0.2">
      <c r="A19" s="149">
        <v>13</v>
      </c>
      <c r="B19" s="502"/>
      <c r="C19" s="3" t="s">
        <v>165</v>
      </c>
      <c r="D19" s="936" t="s">
        <v>114</v>
      </c>
      <c r="E19" s="907">
        <v>50.994</v>
      </c>
      <c r="F19" s="907">
        <v>121.95650000000001</v>
      </c>
      <c r="G19" s="907">
        <v>150.03800000000001</v>
      </c>
      <c r="H19" s="907">
        <v>220.47</v>
      </c>
      <c r="I19" s="907">
        <v>253.494</v>
      </c>
      <c r="J19" s="907">
        <v>382.08075000000002</v>
      </c>
      <c r="K19" s="907">
        <v>447.49624999999997</v>
      </c>
      <c r="L19" s="907">
        <v>553.06550000000004</v>
      </c>
      <c r="M19" s="907">
        <v>931.00824999999998</v>
      </c>
      <c r="N19" s="907">
        <v>1227.69875</v>
      </c>
      <c r="O19" s="907">
        <v>1332.1965</v>
      </c>
      <c r="P19" s="907">
        <v>1513.0889999999999</v>
      </c>
      <c r="Q19" s="907">
        <v>1669.0564999999999</v>
      </c>
      <c r="R19" s="907">
        <v>1750.4437499999999</v>
      </c>
      <c r="S19" s="907">
        <v>1423.2114999999999</v>
      </c>
      <c r="T19" s="907">
        <v>1611.9617499999999</v>
      </c>
      <c r="U19" s="1044">
        <v>1823.76675</v>
      </c>
      <c r="V19" s="935">
        <f t="shared" si="0"/>
        <v>13.139579769805337</v>
      </c>
    </row>
    <row r="20" spans="1:22" x14ac:dyDescent="0.2">
      <c r="A20" s="149">
        <v>14</v>
      </c>
      <c r="B20" s="186"/>
      <c r="C20" s="934" t="s">
        <v>3</v>
      </c>
      <c r="D20" s="188" t="s">
        <v>109</v>
      </c>
      <c r="E20" s="909">
        <v>910.55100000000004</v>
      </c>
      <c r="F20" s="909">
        <v>950.19600000000003</v>
      </c>
      <c r="G20" s="909">
        <v>1058.472</v>
      </c>
      <c r="H20" s="909">
        <v>901.41099999999994</v>
      </c>
      <c r="I20" s="909">
        <v>943.24400000000003</v>
      </c>
      <c r="J20" s="909">
        <v>1030.9380000000001</v>
      </c>
      <c r="K20" s="909">
        <v>1095.2190000000001</v>
      </c>
      <c r="L20" s="909">
        <v>1146.954</v>
      </c>
      <c r="M20" s="909">
        <v>1196.875</v>
      </c>
      <c r="N20" s="909">
        <v>1190.4590000000001</v>
      </c>
      <c r="O20" s="909">
        <v>1255.83</v>
      </c>
      <c r="P20" s="909">
        <v>1244.1210000000001</v>
      </c>
      <c r="Q20" s="909">
        <v>1362.2170000000001</v>
      </c>
      <c r="R20" s="909">
        <v>1398.413</v>
      </c>
      <c r="S20" s="909">
        <v>1454.626</v>
      </c>
      <c r="T20" s="909">
        <v>1717.1179999999999</v>
      </c>
      <c r="U20" s="275">
        <v>1454.35</v>
      </c>
      <c r="V20" s="833">
        <f t="shared" si="0"/>
        <v>-15.302850473875424</v>
      </c>
    </row>
    <row r="21" spans="1:22" x14ac:dyDescent="0.2">
      <c r="A21" s="149">
        <v>15</v>
      </c>
      <c r="B21" s="502"/>
      <c r="C21" s="3" t="s">
        <v>73</v>
      </c>
      <c r="D21" s="936" t="s">
        <v>111</v>
      </c>
      <c r="E21" s="907">
        <v>915.59725000000003</v>
      </c>
      <c r="F21" s="907">
        <v>1086.4865</v>
      </c>
      <c r="G21" s="907">
        <v>1130.07125</v>
      </c>
      <c r="H21" s="907">
        <v>1185.9222500000001</v>
      </c>
      <c r="I21" s="907">
        <v>840.36725000000001</v>
      </c>
      <c r="J21" s="907">
        <v>1180.6052500000001</v>
      </c>
      <c r="K21" s="907">
        <v>1205.00125</v>
      </c>
      <c r="L21" s="907">
        <v>1180.75</v>
      </c>
      <c r="M21" s="907">
        <v>1206.67875</v>
      </c>
      <c r="N21" s="907">
        <v>1261.70225</v>
      </c>
      <c r="O21" s="907">
        <v>1578.915</v>
      </c>
      <c r="P21" s="907">
        <v>1605.3652500000001</v>
      </c>
      <c r="Q21" s="907">
        <v>1611.5762500000001</v>
      </c>
      <c r="R21" s="907">
        <v>1652.5815</v>
      </c>
      <c r="S21" s="907">
        <v>1658.87275</v>
      </c>
      <c r="T21" s="907">
        <v>1332.9702500000001</v>
      </c>
      <c r="U21" s="1044">
        <v>1268.692</v>
      </c>
      <c r="V21" s="935">
        <f t="shared" si="0"/>
        <v>-4.8221818904060427</v>
      </c>
    </row>
    <row r="22" spans="1:22" x14ac:dyDescent="0.2">
      <c r="A22" s="149">
        <v>16</v>
      </c>
      <c r="B22" s="186"/>
      <c r="C22" s="934" t="s">
        <v>470</v>
      </c>
      <c r="D22" s="188" t="s">
        <v>108</v>
      </c>
      <c r="E22" s="909">
        <v>1210.402</v>
      </c>
      <c r="F22" s="909">
        <v>1293.838</v>
      </c>
      <c r="G22" s="909">
        <v>1317.248</v>
      </c>
      <c r="H22" s="909">
        <v>1311.27</v>
      </c>
      <c r="I22" s="909">
        <v>1005.6609999999999</v>
      </c>
      <c r="J22" s="909">
        <v>1117.961</v>
      </c>
      <c r="K22" s="909">
        <v>1284.3430000000001</v>
      </c>
      <c r="L22" s="909">
        <v>1207.962</v>
      </c>
      <c r="M22" s="909">
        <v>1017.395</v>
      </c>
      <c r="N22" s="909">
        <v>976.84699999999998</v>
      </c>
      <c r="O22" s="909">
        <v>900.51099999999997</v>
      </c>
      <c r="P22" s="909">
        <v>945.52599999999995</v>
      </c>
      <c r="Q22" s="909">
        <v>1183.329</v>
      </c>
      <c r="R22" s="909">
        <v>1141.71</v>
      </c>
      <c r="S22" s="909">
        <v>1006.853</v>
      </c>
      <c r="T22" s="909">
        <v>1000.032</v>
      </c>
      <c r="U22" s="275">
        <v>1140.23</v>
      </c>
      <c r="V22" s="833">
        <f t="shared" si="0"/>
        <v>14.019351380755808</v>
      </c>
    </row>
    <row r="23" spans="1:22" x14ac:dyDescent="0.2">
      <c r="A23" s="149">
        <v>17</v>
      </c>
      <c r="B23" s="502"/>
      <c r="C23" s="3" t="s">
        <v>64</v>
      </c>
      <c r="D23" s="936" t="s">
        <v>106</v>
      </c>
      <c r="E23" s="907">
        <v>682.28625</v>
      </c>
      <c r="F23" s="907">
        <v>895.4855</v>
      </c>
      <c r="G23" s="907">
        <v>1190.9694999999999</v>
      </c>
      <c r="H23" s="907">
        <v>1400.83725</v>
      </c>
      <c r="I23" s="907">
        <v>1466.90425</v>
      </c>
      <c r="J23" s="907">
        <v>1436.758</v>
      </c>
      <c r="K23" s="907">
        <v>1157.41425</v>
      </c>
      <c r="L23" s="907">
        <v>930.11800000000005</v>
      </c>
      <c r="M23" s="907">
        <v>879.55700000000002</v>
      </c>
      <c r="N23" s="907">
        <v>880.47524999999996</v>
      </c>
      <c r="O23" s="907">
        <v>392.96375</v>
      </c>
      <c r="P23" s="907">
        <v>185.10325</v>
      </c>
      <c r="Q23" s="907">
        <v>281.8125</v>
      </c>
      <c r="R23" s="907">
        <v>378.25824999999998</v>
      </c>
      <c r="S23" s="907">
        <v>477.39749999999998</v>
      </c>
      <c r="T23" s="907">
        <v>577.69974999999999</v>
      </c>
      <c r="U23" s="1044">
        <v>1033.1669999999999</v>
      </c>
      <c r="V23" s="935">
        <f t="shared" si="0"/>
        <v>78.841517587639601</v>
      </c>
    </row>
    <row r="24" spans="1:22" x14ac:dyDescent="0.2">
      <c r="A24" s="149">
        <v>18</v>
      </c>
      <c r="B24" s="186"/>
      <c r="C24" s="934" t="s">
        <v>278</v>
      </c>
      <c r="D24" s="188" t="s">
        <v>97</v>
      </c>
      <c r="E24" s="909">
        <v>392.947</v>
      </c>
      <c r="F24" s="909">
        <v>458.73025000000001</v>
      </c>
      <c r="G24" s="909">
        <v>611.94674999999995</v>
      </c>
      <c r="H24" s="909">
        <v>610.94399999999996</v>
      </c>
      <c r="I24" s="909">
        <v>376.23874999999998</v>
      </c>
      <c r="J24" s="909">
        <v>476.98149999999998</v>
      </c>
      <c r="K24" s="909">
        <v>591.06224999999995</v>
      </c>
      <c r="L24" s="909">
        <v>658.73474999999996</v>
      </c>
      <c r="M24" s="909">
        <v>727.83150000000001</v>
      </c>
      <c r="N24" s="909">
        <v>937.245</v>
      </c>
      <c r="O24" s="909">
        <v>676.44224999999994</v>
      </c>
      <c r="P24" s="909">
        <v>656.74</v>
      </c>
      <c r="Q24" s="909">
        <v>689.59474999999998</v>
      </c>
      <c r="R24" s="909">
        <v>831.95</v>
      </c>
      <c r="S24" s="909">
        <v>876.95749999999998</v>
      </c>
      <c r="T24" s="909">
        <v>890.26925000000006</v>
      </c>
      <c r="U24" s="275">
        <v>984.10225000000003</v>
      </c>
      <c r="V24" s="833">
        <f t="shared" si="0"/>
        <v>10.539845108656735</v>
      </c>
    </row>
    <row r="25" spans="1:22" x14ac:dyDescent="0.2">
      <c r="A25" s="149">
        <v>19</v>
      </c>
      <c r="B25" s="502"/>
      <c r="C25" s="3" t="s">
        <v>70</v>
      </c>
      <c r="D25" s="936" t="s">
        <v>100</v>
      </c>
      <c r="E25" s="907">
        <v>210.3425</v>
      </c>
      <c r="F25" s="907">
        <v>222.04875000000001</v>
      </c>
      <c r="G25" s="907">
        <v>306.94200000000001</v>
      </c>
      <c r="H25" s="907">
        <v>356.8845</v>
      </c>
      <c r="I25" s="907">
        <v>334.31574999999998</v>
      </c>
      <c r="J25" s="907">
        <v>480.98075</v>
      </c>
      <c r="K25" s="907">
        <v>586.91250000000002</v>
      </c>
      <c r="L25" s="907">
        <v>556.39200000000005</v>
      </c>
      <c r="M25" s="907">
        <v>596.42899999999997</v>
      </c>
      <c r="N25" s="907">
        <v>676.38075000000003</v>
      </c>
      <c r="O25" s="907">
        <v>802.69574999999998</v>
      </c>
      <c r="P25" s="907">
        <v>845.54674999999997</v>
      </c>
      <c r="Q25" s="907">
        <v>919.65174999999999</v>
      </c>
      <c r="R25" s="907">
        <v>980.19600000000003</v>
      </c>
      <c r="S25" s="907">
        <v>934.05499999999995</v>
      </c>
      <c r="T25" s="907">
        <v>918.05375000000004</v>
      </c>
      <c r="U25" s="1044">
        <v>961.34325000000001</v>
      </c>
      <c r="V25" s="935">
        <f t="shared" si="0"/>
        <v>4.7153557185513222</v>
      </c>
    </row>
    <row r="26" spans="1:22" x14ac:dyDescent="0.2">
      <c r="A26" s="149">
        <v>20</v>
      </c>
      <c r="B26" s="186"/>
      <c r="C26" s="934" t="s">
        <v>128</v>
      </c>
      <c r="D26" s="188" t="s">
        <v>111</v>
      </c>
      <c r="E26" s="909">
        <v>461.37849999999997</v>
      </c>
      <c r="F26" s="909">
        <v>482.43025</v>
      </c>
      <c r="G26" s="909">
        <v>528.81449999999995</v>
      </c>
      <c r="H26" s="909">
        <v>216.054</v>
      </c>
      <c r="I26" s="909">
        <v>425.62</v>
      </c>
      <c r="J26" s="909">
        <v>369.86200000000002</v>
      </c>
      <c r="K26" s="909">
        <v>452.64049999999997</v>
      </c>
      <c r="L26" s="909">
        <v>412.41849999999999</v>
      </c>
      <c r="M26" s="909">
        <v>513.09400000000005</v>
      </c>
      <c r="N26" s="909">
        <v>401.37925000000001</v>
      </c>
      <c r="O26" s="909">
        <v>652.79575</v>
      </c>
      <c r="P26" s="909">
        <v>652.65099999999995</v>
      </c>
      <c r="Q26" s="909">
        <v>787.25324999999998</v>
      </c>
      <c r="R26" s="909">
        <v>1181.7365</v>
      </c>
      <c r="S26" s="909">
        <v>987.19150000000002</v>
      </c>
      <c r="T26" s="909">
        <v>1165.11175</v>
      </c>
      <c r="U26" s="275">
        <v>938.76199999999994</v>
      </c>
      <c r="V26" s="833">
        <f t="shared" si="0"/>
        <v>-19.427299570191451</v>
      </c>
    </row>
    <row r="27" spans="1:22" x14ac:dyDescent="0.2">
      <c r="A27" s="149">
        <v>21</v>
      </c>
      <c r="B27" s="502"/>
      <c r="C27" s="3" t="s">
        <v>216</v>
      </c>
      <c r="D27" s="936" t="s">
        <v>110</v>
      </c>
      <c r="E27" s="907">
        <v>590.16750000000002</v>
      </c>
      <c r="F27" s="907">
        <v>680.67750000000001</v>
      </c>
      <c r="G27" s="907">
        <v>744.15549999999996</v>
      </c>
      <c r="H27" s="907">
        <v>676.54250000000002</v>
      </c>
      <c r="I27" s="907">
        <v>548.46600000000001</v>
      </c>
      <c r="J27" s="907">
        <v>553.97649999999999</v>
      </c>
      <c r="K27" s="907">
        <v>523.572</v>
      </c>
      <c r="L27" s="907">
        <v>526.73800000000006</v>
      </c>
      <c r="M27" s="907">
        <v>515.77650000000006</v>
      </c>
      <c r="N27" s="907">
        <v>569.21849999999995</v>
      </c>
      <c r="O27" s="907">
        <v>627.67499999999995</v>
      </c>
      <c r="P27" s="907">
        <v>663.72900000000004</v>
      </c>
      <c r="Q27" s="907">
        <v>696.75400000000002</v>
      </c>
      <c r="R27" s="907">
        <v>727.33050000000003</v>
      </c>
      <c r="S27" s="907">
        <v>774.04250000000002</v>
      </c>
      <c r="T27" s="907">
        <v>758.03300000000002</v>
      </c>
      <c r="U27" s="1044">
        <v>844.44399999999996</v>
      </c>
      <c r="V27" s="935">
        <f t="shared" si="0"/>
        <v>11.399371795159311</v>
      </c>
    </row>
    <row r="28" spans="1:22" x14ac:dyDescent="0.2">
      <c r="A28" s="149">
        <v>22</v>
      </c>
      <c r="B28" s="186"/>
      <c r="C28" s="934" t="s">
        <v>471</v>
      </c>
      <c r="D28" s="188" t="s">
        <v>116</v>
      </c>
      <c r="E28" s="909">
        <v>771.67849999999999</v>
      </c>
      <c r="F28" s="909">
        <v>811.84249999999997</v>
      </c>
      <c r="G28" s="909">
        <v>840.86775</v>
      </c>
      <c r="H28" s="909">
        <v>863.88</v>
      </c>
      <c r="I28" s="909">
        <v>824.21699999999998</v>
      </c>
      <c r="J28" s="909">
        <v>891.49675000000002</v>
      </c>
      <c r="K28" s="909">
        <v>913.88499999999999</v>
      </c>
      <c r="L28" s="909">
        <v>921.77075000000002</v>
      </c>
      <c r="M28" s="909">
        <v>867.71424999999999</v>
      </c>
      <c r="N28" s="909">
        <v>828.93325000000004</v>
      </c>
      <c r="O28" s="909">
        <v>809.63850000000002</v>
      </c>
      <c r="P28" s="909">
        <v>795.23249999999996</v>
      </c>
      <c r="Q28" s="909">
        <v>638.82150000000001</v>
      </c>
      <c r="R28" s="909">
        <v>749.88250000000005</v>
      </c>
      <c r="S28" s="909">
        <v>762.90200000000004</v>
      </c>
      <c r="T28" s="909">
        <v>770.70225000000005</v>
      </c>
      <c r="U28" s="275">
        <v>824.01324999999997</v>
      </c>
      <c r="V28" s="833">
        <f t="shared" si="0"/>
        <v>6.9171979191704764</v>
      </c>
    </row>
    <row r="29" spans="1:22" x14ac:dyDescent="0.2">
      <c r="A29" s="149">
        <v>23</v>
      </c>
      <c r="B29" s="502"/>
      <c r="C29" s="3" t="s">
        <v>58</v>
      </c>
      <c r="D29" s="936" t="s">
        <v>111</v>
      </c>
      <c r="E29" s="907">
        <v>182.71199999999999</v>
      </c>
      <c r="F29" s="907">
        <v>196.17224999999999</v>
      </c>
      <c r="G29" s="907">
        <v>121.68804999999401</v>
      </c>
      <c r="H29" s="907">
        <v>147.38249999999999</v>
      </c>
      <c r="I29" s="907">
        <v>156.21875</v>
      </c>
      <c r="J29" s="907">
        <v>261.05425000000002</v>
      </c>
      <c r="K29" s="907">
        <v>409.97775000000001</v>
      </c>
      <c r="L29" s="907">
        <v>427.13925</v>
      </c>
      <c r="M29" s="907">
        <v>438.23575</v>
      </c>
      <c r="N29" s="907">
        <v>618.09325000000001</v>
      </c>
      <c r="O29" s="907">
        <v>628.02149999999995</v>
      </c>
      <c r="P29" s="907">
        <v>579.08375000000001</v>
      </c>
      <c r="Q29" s="907">
        <v>652.73474999999996</v>
      </c>
      <c r="R29" s="907">
        <v>976.01949999999999</v>
      </c>
      <c r="S29" s="907">
        <v>917.8655</v>
      </c>
      <c r="T29" s="907">
        <v>890.58950000000004</v>
      </c>
      <c r="U29" s="1044">
        <v>767.16300000000001</v>
      </c>
      <c r="V29" s="935">
        <f t="shared" si="0"/>
        <v>-13.858966448627569</v>
      </c>
    </row>
    <row r="30" spans="1:22" x14ac:dyDescent="0.2">
      <c r="A30" s="149">
        <v>24</v>
      </c>
      <c r="B30" s="186"/>
      <c r="C30" s="934" t="s">
        <v>474</v>
      </c>
      <c r="D30" s="188" t="s">
        <v>102</v>
      </c>
      <c r="E30" s="909">
        <v>397.18700000000001</v>
      </c>
      <c r="F30" s="909">
        <v>426.69475</v>
      </c>
      <c r="G30" s="909">
        <v>502.00975</v>
      </c>
      <c r="H30" s="909">
        <v>458.46050000000002</v>
      </c>
      <c r="I30" s="909">
        <v>384.70425</v>
      </c>
      <c r="J30" s="909">
        <v>446.32850000000002</v>
      </c>
      <c r="K30" s="909">
        <v>431.35775000000001</v>
      </c>
      <c r="L30" s="909">
        <v>404.28699999999998</v>
      </c>
      <c r="M30" s="909">
        <v>405.83049999999997</v>
      </c>
      <c r="N30" s="909">
        <v>424.0505</v>
      </c>
      <c r="O30" s="909">
        <v>445.16924999999998</v>
      </c>
      <c r="P30" s="909">
        <v>455.31099999999998</v>
      </c>
      <c r="Q30" s="909">
        <v>513.51525000000004</v>
      </c>
      <c r="R30" s="909">
        <v>540.39</v>
      </c>
      <c r="S30" s="909">
        <v>574.05550000000005</v>
      </c>
      <c r="T30" s="909">
        <v>622.67274999999995</v>
      </c>
      <c r="U30" s="275">
        <v>718.70925</v>
      </c>
      <c r="V30" s="833">
        <f t="shared" si="0"/>
        <v>15.423270088501553</v>
      </c>
    </row>
    <row r="31" spans="1:22" x14ac:dyDescent="0.2">
      <c r="A31" s="149">
        <v>25</v>
      </c>
      <c r="B31" s="502"/>
      <c r="C31" s="3" t="s">
        <v>59</v>
      </c>
      <c r="D31" s="936" t="s">
        <v>107</v>
      </c>
      <c r="E31" s="907">
        <v>2.6804999999999999</v>
      </c>
      <c r="F31" s="907">
        <v>0</v>
      </c>
      <c r="G31" s="907">
        <v>0</v>
      </c>
      <c r="H31" s="907">
        <v>0</v>
      </c>
      <c r="I31" s="907">
        <v>0</v>
      </c>
      <c r="J31" s="907">
        <v>0</v>
      </c>
      <c r="K31" s="907">
        <v>0</v>
      </c>
      <c r="L31" s="907">
        <v>20.131499999999999</v>
      </c>
      <c r="M31" s="907">
        <v>141.61799999999999</v>
      </c>
      <c r="N31" s="907">
        <v>126.714</v>
      </c>
      <c r="O31" s="907">
        <v>610.97850000000005</v>
      </c>
      <c r="P31" s="907">
        <v>494.51274999999998</v>
      </c>
      <c r="Q31" s="907">
        <v>526.43275000000006</v>
      </c>
      <c r="R31" s="907">
        <v>667.98974999999996</v>
      </c>
      <c r="S31" s="907">
        <v>640.66700000000003</v>
      </c>
      <c r="T31" s="907">
        <v>422.25749999999999</v>
      </c>
      <c r="U31" s="1044">
        <v>710.69074999999998</v>
      </c>
      <c r="V31" s="935">
        <f t="shared" si="0"/>
        <v>68.307430892287272</v>
      </c>
    </row>
    <row r="32" spans="1:22" x14ac:dyDescent="0.2">
      <c r="A32" s="149">
        <v>26</v>
      </c>
      <c r="B32" s="186"/>
      <c r="C32" s="934" t="s">
        <v>74</v>
      </c>
      <c r="D32" s="188" t="s">
        <v>103</v>
      </c>
      <c r="E32" s="909">
        <v>372.47500000000002</v>
      </c>
      <c r="F32" s="909">
        <v>355.18</v>
      </c>
      <c r="G32" s="909">
        <v>459.92</v>
      </c>
      <c r="H32" s="909">
        <v>242.041</v>
      </c>
      <c r="I32" s="909">
        <v>264.01400000000001</v>
      </c>
      <c r="J32" s="909">
        <v>289.22399999999999</v>
      </c>
      <c r="K32" s="909">
        <v>327.06</v>
      </c>
      <c r="L32" s="909">
        <v>359.2595</v>
      </c>
      <c r="M32" s="909">
        <v>378.98075</v>
      </c>
      <c r="N32" s="909">
        <v>451.24</v>
      </c>
      <c r="O32" s="909">
        <v>591.37249999999995</v>
      </c>
      <c r="P32" s="909">
        <v>598.20624999999995</v>
      </c>
      <c r="Q32" s="909">
        <v>650.024</v>
      </c>
      <c r="R32" s="909">
        <v>677.96349999999995</v>
      </c>
      <c r="S32" s="909">
        <v>618.81550000000004</v>
      </c>
      <c r="T32" s="909">
        <v>699.21849999999995</v>
      </c>
      <c r="U32" s="275">
        <v>706.28700000000003</v>
      </c>
      <c r="V32" s="833">
        <f t="shared" si="0"/>
        <v>1.0109143279246808</v>
      </c>
    </row>
    <row r="33" spans="1:23" x14ac:dyDescent="0.2">
      <c r="A33" s="149">
        <v>27</v>
      </c>
      <c r="B33" s="502"/>
      <c r="C33" s="3" t="s">
        <v>50</v>
      </c>
      <c r="D33" s="936" t="s">
        <v>111</v>
      </c>
      <c r="E33" s="907">
        <v>178.48175000000001</v>
      </c>
      <c r="F33" s="907">
        <v>219.18924999999999</v>
      </c>
      <c r="G33" s="907">
        <v>225.5975</v>
      </c>
      <c r="H33" s="907">
        <v>191.1815</v>
      </c>
      <c r="I33" s="907">
        <v>127.05800000000001</v>
      </c>
      <c r="J33" s="907">
        <v>224.19325000000001</v>
      </c>
      <c r="K33" s="907">
        <v>271.72825</v>
      </c>
      <c r="L33" s="907">
        <v>293.56524999999999</v>
      </c>
      <c r="M33" s="907">
        <v>305.09399999999999</v>
      </c>
      <c r="N33" s="907">
        <v>319.23424999999997</v>
      </c>
      <c r="O33" s="907">
        <v>209.97975</v>
      </c>
      <c r="P33" s="907">
        <v>561.274</v>
      </c>
      <c r="Q33" s="907">
        <v>311.21600000000001</v>
      </c>
      <c r="R33" s="907">
        <v>593.57050000000004</v>
      </c>
      <c r="S33" s="907">
        <v>375.45474999999999</v>
      </c>
      <c r="T33" s="907">
        <v>599.99775</v>
      </c>
      <c r="U33" s="1044">
        <v>700.95349999999996</v>
      </c>
      <c r="V33" s="935">
        <f t="shared" si="0"/>
        <v>16.826021430913698</v>
      </c>
    </row>
    <row r="34" spans="1:23" x14ac:dyDescent="0.2">
      <c r="A34" s="149">
        <v>28</v>
      </c>
      <c r="B34" s="186"/>
      <c r="C34" s="934" t="s">
        <v>69</v>
      </c>
      <c r="D34" s="188" t="s">
        <v>95</v>
      </c>
      <c r="E34" s="909">
        <v>214.32149999999999</v>
      </c>
      <c r="F34" s="909">
        <v>231.60325</v>
      </c>
      <c r="G34" s="909">
        <v>321.43200000000002</v>
      </c>
      <c r="H34" s="909">
        <v>373.26299999999998</v>
      </c>
      <c r="I34" s="909">
        <v>247.99549999999999</v>
      </c>
      <c r="J34" s="909">
        <v>295.22575000000001</v>
      </c>
      <c r="K34" s="909">
        <v>382.19375000000002</v>
      </c>
      <c r="L34" s="909">
        <v>381.37074999999999</v>
      </c>
      <c r="M34" s="909">
        <v>402.733</v>
      </c>
      <c r="N34" s="909">
        <v>450.18299999999999</v>
      </c>
      <c r="O34" s="909">
        <v>350.39249999999998</v>
      </c>
      <c r="P34" s="909">
        <v>441.66449999999998</v>
      </c>
      <c r="Q34" s="909">
        <v>474.209</v>
      </c>
      <c r="R34" s="909">
        <v>749.06674999999996</v>
      </c>
      <c r="S34" s="909">
        <v>705.22175000000004</v>
      </c>
      <c r="T34" s="909">
        <v>639.00549999999998</v>
      </c>
      <c r="U34" s="275">
        <v>667.13750000000005</v>
      </c>
      <c r="V34" s="833">
        <f t="shared" si="0"/>
        <v>4.4024660194630627</v>
      </c>
    </row>
    <row r="35" spans="1:23" x14ac:dyDescent="0.2">
      <c r="A35" s="149">
        <v>29</v>
      </c>
      <c r="B35" s="502"/>
      <c r="C35" s="3" t="s">
        <v>281</v>
      </c>
      <c r="D35" s="936" t="s">
        <v>98</v>
      </c>
      <c r="E35" s="907">
        <v>867.03599999999994</v>
      </c>
      <c r="F35" s="907">
        <v>1170.4335000000001</v>
      </c>
      <c r="G35" s="907">
        <v>1444.655</v>
      </c>
      <c r="H35" s="907">
        <v>1369.5540000000001</v>
      </c>
      <c r="I35" s="907">
        <v>584.45799999999997</v>
      </c>
      <c r="J35" s="907">
        <v>546.05600000000004</v>
      </c>
      <c r="K35" s="907">
        <v>653.30600000000004</v>
      </c>
      <c r="L35" s="907">
        <v>675.40300000000002</v>
      </c>
      <c r="M35" s="907">
        <v>659.375</v>
      </c>
      <c r="N35" s="907">
        <v>663.27049999999997</v>
      </c>
      <c r="O35" s="907">
        <v>689.48900000000003</v>
      </c>
      <c r="P35" s="907">
        <v>706.15700000000004</v>
      </c>
      <c r="Q35" s="907">
        <v>692.03200000000004</v>
      </c>
      <c r="R35" s="907">
        <v>667.97699999999998</v>
      </c>
      <c r="S35" s="907">
        <v>664.69449999999995</v>
      </c>
      <c r="T35" s="907">
        <v>643.02449999999999</v>
      </c>
      <c r="U35" s="1044">
        <v>656.99699999999996</v>
      </c>
      <c r="V35" s="935">
        <f t="shared" si="0"/>
        <v>2.1729343127672394</v>
      </c>
    </row>
    <row r="36" spans="1:23" x14ac:dyDescent="0.2">
      <c r="A36" s="149">
        <v>30</v>
      </c>
      <c r="B36" s="186"/>
      <c r="C36" s="934" t="s">
        <v>129</v>
      </c>
      <c r="D36" s="188" t="s">
        <v>109</v>
      </c>
      <c r="E36" s="909">
        <v>201.56800000000001</v>
      </c>
      <c r="F36" s="909">
        <v>201.61500000000001</v>
      </c>
      <c r="G36" s="909">
        <v>194.77699999999999</v>
      </c>
      <c r="H36" s="909">
        <v>214.345</v>
      </c>
      <c r="I36" s="909">
        <v>211.97399999999999</v>
      </c>
      <c r="J36" s="909">
        <v>200.82599999999999</v>
      </c>
      <c r="K36" s="909">
        <v>270.98099999999999</v>
      </c>
      <c r="L36" s="909">
        <v>229.33600000000001</v>
      </c>
      <c r="M36" s="909">
        <v>269.536</v>
      </c>
      <c r="N36" s="909">
        <v>276.19049999999999</v>
      </c>
      <c r="O36" s="909">
        <v>292.14150000000001</v>
      </c>
      <c r="P36" s="909">
        <v>334.45499999999998</v>
      </c>
      <c r="Q36" s="909">
        <v>367.86624999999998</v>
      </c>
      <c r="R36" s="909">
        <v>420.43225000000001</v>
      </c>
      <c r="S36" s="909">
        <v>451.50549999999998</v>
      </c>
      <c r="T36" s="909">
        <v>474.41575</v>
      </c>
      <c r="U36" s="275">
        <v>652.16525000000001</v>
      </c>
      <c r="V36" s="833">
        <f t="shared" si="0"/>
        <v>37.467031817556631</v>
      </c>
    </row>
    <row r="37" spans="1:23" x14ac:dyDescent="0.2">
      <c r="A37" s="149">
        <v>31</v>
      </c>
      <c r="B37" s="502"/>
      <c r="C37" s="3" t="s">
        <v>473</v>
      </c>
      <c r="D37" s="936" t="s">
        <v>114</v>
      </c>
      <c r="E37" s="907">
        <v>351.76499999999999</v>
      </c>
      <c r="F37" s="907">
        <v>378.23725000000002</v>
      </c>
      <c r="G37" s="907">
        <v>433.71325000000002</v>
      </c>
      <c r="H37" s="907">
        <v>450.11950000000002</v>
      </c>
      <c r="I37" s="907">
        <v>450.1</v>
      </c>
      <c r="J37" s="907">
        <v>481.79025000000001</v>
      </c>
      <c r="K37" s="907">
        <v>514.15674999999999</v>
      </c>
      <c r="L37" s="907">
        <v>632.79975000000002</v>
      </c>
      <c r="M37" s="907">
        <v>620.02425000000005</v>
      </c>
      <c r="N37" s="907">
        <v>627.13625000000002</v>
      </c>
      <c r="O37" s="907">
        <v>568.34799999999996</v>
      </c>
      <c r="P37" s="907">
        <v>602.54324999999994</v>
      </c>
      <c r="Q37" s="907">
        <v>580.61625000000004</v>
      </c>
      <c r="R37" s="907">
        <v>613.54049999999995</v>
      </c>
      <c r="S37" s="907">
        <v>620.71775000000002</v>
      </c>
      <c r="T37" s="907">
        <v>638.05025000000001</v>
      </c>
      <c r="U37" s="1044">
        <v>649.04274999999996</v>
      </c>
      <c r="V37" s="935">
        <f t="shared" si="0"/>
        <v>1.7228266895906756</v>
      </c>
      <c r="W37" s="1"/>
    </row>
    <row r="38" spans="1:23" x14ac:dyDescent="0.2">
      <c r="A38" s="149">
        <v>32</v>
      </c>
      <c r="B38" s="186"/>
      <c r="C38" s="934" t="s">
        <v>472</v>
      </c>
      <c r="D38" s="188" t="s">
        <v>115</v>
      </c>
      <c r="E38" s="909">
        <v>376.51175000000001</v>
      </c>
      <c r="F38" s="909">
        <v>460.62225000000001</v>
      </c>
      <c r="G38" s="909">
        <v>576.46924999999999</v>
      </c>
      <c r="H38" s="909">
        <v>627.14925000000005</v>
      </c>
      <c r="I38" s="909">
        <v>349.16899999999998</v>
      </c>
      <c r="J38" s="909">
        <v>402.41975000000002</v>
      </c>
      <c r="K38" s="909">
        <v>501.65199999999999</v>
      </c>
      <c r="L38" s="909">
        <v>531.76075000000003</v>
      </c>
      <c r="M38" s="909">
        <v>546.14224999999999</v>
      </c>
      <c r="N38" s="909">
        <v>518.42250000000001</v>
      </c>
      <c r="O38" s="909">
        <v>487.37324999999998</v>
      </c>
      <c r="P38" s="909">
        <v>566.58825000000002</v>
      </c>
      <c r="Q38" s="909">
        <v>632.40350000000001</v>
      </c>
      <c r="R38" s="909">
        <v>598.77774999999997</v>
      </c>
      <c r="S38" s="909">
        <v>626.89625000000001</v>
      </c>
      <c r="T38" s="909">
        <v>584.32524999999998</v>
      </c>
      <c r="U38" s="275">
        <v>558.19899999999996</v>
      </c>
      <c r="V38" s="833">
        <f t="shared" si="0"/>
        <v>-4.4711827873260717</v>
      </c>
      <c r="W38" s="1"/>
    </row>
    <row r="39" spans="1:23" x14ac:dyDescent="0.2">
      <c r="A39" s="149">
        <v>33</v>
      </c>
      <c r="B39" s="502"/>
      <c r="C39" s="3" t="s">
        <v>66</v>
      </c>
      <c r="D39" s="936" t="s">
        <v>108</v>
      </c>
      <c r="E39" s="907">
        <v>862.84550000000002</v>
      </c>
      <c r="F39" s="907">
        <v>898.66849999999999</v>
      </c>
      <c r="G39" s="907">
        <v>956.11424999999997</v>
      </c>
      <c r="H39" s="907">
        <v>557.35749999999996</v>
      </c>
      <c r="I39" s="907">
        <v>443.46375</v>
      </c>
      <c r="J39" s="907">
        <v>531.99950000000001</v>
      </c>
      <c r="K39" s="907">
        <v>572.74800000000005</v>
      </c>
      <c r="L39" s="907">
        <v>609.995</v>
      </c>
      <c r="M39" s="907">
        <v>605.53049999999996</v>
      </c>
      <c r="N39" s="907">
        <v>630.17999999999995</v>
      </c>
      <c r="O39" s="907">
        <v>627.86900000000003</v>
      </c>
      <c r="P39" s="907">
        <v>598.077</v>
      </c>
      <c r="Q39" s="907">
        <v>605.22325000000001</v>
      </c>
      <c r="R39" s="907">
        <v>638.39649999999995</v>
      </c>
      <c r="S39" s="907">
        <v>628.41274999999996</v>
      </c>
      <c r="T39" s="907">
        <v>485.786</v>
      </c>
      <c r="U39" s="1044">
        <v>538.8895</v>
      </c>
      <c r="V39" s="935">
        <f t="shared" si="0"/>
        <v>10.931459531563263</v>
      </c>
      <c r="W39" s="1"/>
    </row>
    <row r="40" spans="1:23" x14ac:dyDescent="0.2">
      <c r="A40" s="149">
        <v>34</v>
      </c>
      <c r="B40" s="186"/>
      <c r="C40" s="934" t="s">
        <v>217</v>
      </c>
      <c r="D40" s="188" t="s">
        <v>115</v>
      </c>
      <c r="E40" s="909">
        <v>460.19150000000002</v>
      </c>
      <c r="F40" s="909">
        <v>419.58699999999999</v>
      </c>
      <c r="G40" s="909">
        <v>434.63175000000001</v>
      </c>
      <c r="H40" s="909">
        <v>423.95749999999998</v>
      </c>
      <c r="I40" s="909">
        <v>366.5625</v>
      </c>
      <c r="J40" s="909">
        <v>400.6875</v>
      </c>
      <c r="K40" s="909">
        <v>334.20949999999999</v>
      </c>
      <c r="L40" s="909">
        <v>360.97699999999998</v>
      </c>
      <c r="M40" s="909">
        <v>364.78500000000003</v>
      </c>
      <c r="N40" s="909">
        <v>369.29399999999998</v>
      </c>
      <c r="O40" s="909">
        <v>411.09424999999999</v>
      </c>
      <c r="P40" s="909">
        <v>426.72050000000002</v>
      </c>
      <c r="Q40" s="909">
        <v>456.846</v>
      </c>
      <c r="R40" s="909">
        <v>479.6995</v>
      </c>
      <c r="S40" s="909">
        <v>495.0575</v>
      </c>
      <c r="T40" s="909">
        <v>474.28924999999998</v>
      </c>
      <c r="U40" s="275">
        <v>427.37975</v>
      </c>
      <c r="V40" s="833">
        <f t="shared" si="0"/>
        <v>-9.8904834971486224</v>
      </c>
      <c r="W40" s="1"/>
    </row>
    <row r="41" spans="1:23" x14ac:dyDescent="0.2">
      <c r="A41" s="149">
        <v>35</v>
      </c>
      <c r="B41" s="502"/>
      <c r="C41" s="3" t="s">
        <v>219</v>
      </c>
      <c r="D41" s="936" t="s">
        <v>94</v>
      </c>
      <c r="E41" s="907">
        <v>157.84649999999999</v>
      </c>
      <c r="F41" s="907">
        <v>168.4365</v>
      </c>
      <c r="G41" s="907">
        <v>206.66300000000001</v>
      </c>
      <c r="H41" s="907">
        <v>212.05500000000001</v>
      </c>
      <c r="I41" s="907">
        <v>179.82775000000001</v>
      </c>
      <c r="J41" s="907">
        <v>254.55924999999999</v>
      </c>
      <c r="K41" s="907">
        <v>303.00375000000003</v>
      </c>
      <c r="L41" s="907">
        <v>362.28300000000002</v>
      </c>
      <c r="M41" s="907">
        <v>381.00349999999997</v>
      </c>
      <c r="N41" s="907">
        <v>388.75824999999998</v>
      </c>
      <c r="O41" s="907">
        <v>355.416</v>
      </c>
      <c r="P41" s="907">
        <v>387.97525000000002</v>
      </c>
      <c r="Q41" s="907">
        <v>449.90974999999997</v>
      </c>
      <c r="R41" s="907">
        <v>473.86775</v>
      </c>
      <c r="S41" s="907">
        <v>472.48874999999998</v>
      </c>
      <c r="T41" s="907">
        <v>458.2475</v>
      </c>
      <c r="U41" s="1044">
        <v>422.46800000000002</v>
      </c>
      <c r="V41" s="935">
        <f t="shared" si="0"/>
        <v>-7.8078985700958441</v>
      </c>
      <c r="W41" s="1"/>
    </row>
    <row r="42" spans="1:23" x14ac:dyDescent="0.2">
      <c r="A42" s="149">
        <v>36</v>
      </c>
      <c r="B42" s="186"/>
      <c r="C42" s="934" t="s">
        <v>243</v>
      </c>
      <c r="D42" s="188" t="s">
        <v>108</v>
      </c>
      <c r="E42" s="909">
        <v>416.90300000000002</v>
      </c>
      <c r="F42" s="909">
        <v>407.19400000000002</v>
      </c>
      <c r="G42" s="909">
        <v>436.88200000000001</v>
      </c>
      <c r="H42" s="909">
        <v>359.45</v>
      </c>
      <c r="I42" s="909">
        <v>302.41899999999998</v>
      </c>
      <c r="J42" s="909">
        <v>308.57100000000003</v>
      </c>
      <c r="K42" s="909">
        <v>313.58600000000001</v>
      </c>
      <c r="L42" s="909">
        <v>287.25700000000001</v>
      </c>
      <c r="M42" s="909">
        <v>278.96899999999999</v>
      </c>
      <c r="N42" s="909">
        <v>292.55900000000003</v>
      </c>
      <c r="O42" s="909">
        <v>310.38900000000001</v>
      </c>
      <c r="P42" s="909">
        <v>328.971</v>
      </c>
      <c r="Q42" s="909">
        <v>433.387</v>
      </c>
      <c r="R42" s="909">
        <v>477.53899999999999</v>
      </c>
      <c r="S42" s="909">
        <v>373.83</v>
      </c>
      <c r="T42" s="909">
        <v>313.03399999999999</v>
      </c>
      <c r="U42" s="275">
        <v>410.78699999999998</v>
      </c>
      <c r="V42" s="833">
        <f t="shared" si="0"/>
        <v>31.227598280059027</v>
      </c>
      <c r="W42" s="1"/>
    </row>
    <row r="43" spans="1:23" x14ac:dyDescent="0.2">
      <c r="A43" s="149">
        <v>37</v>
      </c>
      <c r="B43" s="502"/>
      <c r="C43" s="3" t="s">
        <v>519</v>
      </c>
      <c r="D43" s="936" t="s">
        <v>111</v>
      </c>
      <c r="E43" s="907">
        <v>134.96324999999999</v>
      </c>
      <c r="F43" s="907">
        <v>119.444</v>
      </c>
      <c r="G43" s="907">
        <v>131.57825</v>
      </c>
      <c r="H43" s="907">
        <v>139.785</v>
      </c>
      <c r="I43" s="907">
        <v>71.236000000000004</v>
      </c>
      <c r="J43" s="907">
        <v>111.10075000000001</v>
      </c>
      <c r="K43" s="907">
        <v>116.556</v>
      </c>
      <c r="L43" s="907">
        <v>148.05175</v>
      </c>
      <c r="M43" s="907">
        <v>124.1605</v>
      </c>
      <c r="N43" s="907">
        <v>52.58</v>
      </c>
      <c r="O43" s="907">
        <v>42.398000000000003</v>
      </c>
      <c r="P43" s="907">
        <v>53.828749999999999</v>
      </c>
      <c r="Q43" s="907">
        <v>76.373000000000005</v>
      </c>
      <c r="R43" s="907">
        <v>88.591499999999996</v>
      </c>
      <c r="S43" s="907">
        <v>53.658250000000002</v>
      </c>
      <c r="T43" s="907">
        <v>186.726</v>
      </c>
      <c r="U43" s="1044">
        <v>393.79325</v>
      </c>
      <c r="V43" s="935">
        <f t="shared" si="0"/>
        <v>110.89363559440037</v>
      </c>
      <c r="W43" s="1"/>
    </row>
    <row r="44" spans="1:23" x14ac:dyDescent="0.2">
      <c r="A44" s="149">
        <v>38</v>
      </c>
      <c r="B44" s="186"/>
      <c r="C44" s="934" t="s">
        <v>553</v>
      </c>
      <c r="D44" s="188" t="s">
        <v>109</v>
      </c>
      <c r="E44" s="909">
        <v>80.088999999999999</v>
      </c>
      <c r="F44" s="909">
        <v>132.52799999999999</v>
      </c>
      <c r="G44" s="909">
        <v>93.29</v>
      </c>
      <c r="H44" s="909">
        <v>90.763999999999996</v>
      </c>
      <c r="I44" s="909">
        <v>87.015000000000001</v>
      </c>
      <c r="J44" s="909">
        <v>86.731999999999999</v>
      </c>
      <c r="K44" s="909">
        <v>90.926000000000002</v>
      </c>
      <c r="L44" s="909">
        <v>58.076999999999998</v>
      </c>
      <c r="M44" s="909">
        <v>44.158000000000001</v>
      </c>
      <c r="N44" s="909">
        <v>108.72525</v>
      </c>
      <c r="O44" s="909">
        <v>113.04649999999999</v>
      </c>
      <c r="P44" s="909">
        <v>229.86</v>
      </c>
      <c r="Q44" s="909">
        <v>303.25599999999997</v>
      </c>
      <c r="R44" s="909">
        <v>336.24599999999998</v>
      </c>
      <c r="S44" s="909">
        <v>374.84800000000001</v>
      </c>
      <c r="T44" s="909">
        <v>357.02199999999999</v>
      </c>
      <c r="U44" s="275">
        <v>393.55200000000002</v>
      </c>
      <c r="V44" s="833">
        <f t="shared" si="0"/>
        <v>10.23186246225724</v>
      </c>
      <c r="W44" s="1"/>
    </row>
    <row r="45" spans="1:23" x14ac:dyDescent="0.2">
      <c r="A45" s="149">
        <v>39</v>
      </c>
      <c r="B45" s="502"/>
      <c r="C45" s="3" t="s">
        <v>87</v>
      </c>
      <c r="D45" s="936" t="s">
        <v>114</v>
      </c>
      <c r="E45" s="907">
        <v>512.18074999999999</v>
      </c>
      <c r="F45" s="907">
        <v>511.97050000000002</v>
      </c>
      <c r="G45" s="907">
        <v>554.77350000000001</v>
      </c>
      <c r="H45" s="907">
        <v>555.85024999999996</v>
      </c>
      <c r="I45" s="907">
        <v>500.32175000000001</v>
      </c>
      <c r="J45" s="907">
        <v>512.02149999999995</v>
      </c>
      <c r="K45" s="907">
        <v>542.57574999999997</v>
      </c>
      <c r="L45" s="907">
        <v>486.52075000000002</v>
      </c>
      <c r="M45" s="907">
        <v>550.47625000000005</v>
      </c>
      <c r="N45" s="907">
        <v>502.84625</v>
      </c>
      <c r="O45" s="907">
        <v>482.60624999999999</v>
      </c>
      <c r="P45" s="907">
        <v>392.625</v>
      </c>
      <c r="Q45" s="907">
        <v>497.07900000000001</v>
      </c>
      <c r="R45" s="907">
        <v>429.51600000000002</v>
      </c>
      <c r="S45" s="907">
        <v>462.89949999999999</v>
      </c>
      <c r="T45" s="907">
        <v>300.19475</v>
      </c>
      <c r="U45" s="1044">
        <v>360.142</v>
      </c>
      <c r="V45" s="935">
        <f t="shared" si="0"/>
        <v>19.969453163321475</v>
      </c>
      <c r="W45" s="1"/>
    </row>
    <row r="46" spans="1:23" x14ac:dyDescent="0.2">
      <c r="A46" s="149">
        <v>40</v>
      </c>
      <c r="B46" s="186"/>
      <c r="C46" s="453" t="s">
        <v>290</v>
      </c>
      <c r="D46" s="545" t="s">
        <v>126</v>
      </c>
      <c r="E46" s="546">
        <v>76.069249999999997</v>
      </c>
      <c r="F46" s="546">
        <v>94.362499999999997</v>
      </c>
      <c r="G46" s="546">
        <v>148.161</v>
      </c>
      <c r="H46" s="546">
        <v>170.38800000000001</v>
      </c>
      <c r="I46" s="546">
        <v>123.37325</v>
      </c>
      <c r="J46" s="546">
        <v>121.09050000000001</v>
      </c>
      <c r="K46" s="546">
        <v>128.38900000000001</v>
      </c>
      <c r="L46" s="546">
        <v>123.54900000000001</v>
      </c>
      <c r="M46" s="546">
        <v>112.876</v>
      </c>
      <c r="N46" s="546">
        <v>118.37325</v>
      </c>
      <c r="O46" s="546">
        <v>152.73500000000001</v>
      </c>
      <c r="P46" s="546">
        <v>175.88525000000001</v>
      </c>
      <c r="Q46" s="546">
        <v>207.26949999999999</v>
      </c>
      <c r="R46" s="546">
        <v>222.65</v>
      </c>
      <c r="S46" s="546">
        <v>287.91899999999998</v>
      </c>
      <c r="T46" s="546">
        <v>310.07324999999997</v>
      </c>
      <c r="U46" s="1045">
        <v>337.81599999999997</v>
      </c>
      <c r="V46" s="833">
        <f t="shared" si="0"/>
        <v>8.9471600662101736</v>
      </c>
      <c r="W46" s="1"/>
    </row>
    <row r="47" spans="1:23" x14ac:dyDescent="0.2">
      <c r="A47" s="149">
        <v>41</v>
      </c>
      <c r="B47" s="929"/>
      <c r="C47" s="3" t="s">
        <v>475</v>
      </c>
      <c r="D47" s="936" t="s">
        <v>90</v>
      </c>
      <c r="E47" s="907">
        <v>320.77800000000002</v>
      </c>
      <c r="F47" s="907">
        <v>360.80549999999999</v>
      </c>
      <c r="G47" s="907">
        <v>377.03949999999998</v>
      </c>
      <c r="H47" s="907">
        <v>416.96674999999999</v>
      </c>
      <c r="I47" s="907">
        <v>353.67849999999999</v>
      </c>
      <c r="J47" s="907">
        <v>332.45650000000001</v>
      </c>
      <c r="K47" s="907">
        <v>338.416</v>
      </c>
      <c r="L47" s="907">
        <v>301.60000000000002</v>
      </c>
      <c r="M47" s="907">
        <v>272.13650000000001</v>
      </c>
      <c r="N47" s="907">
        <v>300.20850000000002</v>
      </c>
      <c r="O47" s="907">
        <v>308.37099999999998</v>
      </c>
      <c r="P47" s="907">
        <v>360.80500000000001</v>
      </c>
      <c r="Q47" s="907">
        <v>393.12700000000001</v>
      </c>
      <c r="R47" s="907">
        <v>416.2525</v>
      </c>
      <c r="S47" s="907">
        <v>389.9</v>
      </c>
      <c r="T47" s="907">
        <v>360.40775000000002</v>
      </c>
      <c r="U47" s="907">
        <v>319.12849999999997</v>
      </c>
      <c r="V47" s="933">
        <f t="shared" si="0"/>
        <v>-11.453485670050114</v>
      </c>
    </row>
    <row r="48" spans="1:23" x14ac:dyDescent="0.2">
      <c r="A48" s="149">
        <v>42</v>
      </c>
      <c r="B48" s="186"/>
      <c r="C48" s="934" t="s">
        <v>288</v>
      </c>
      <c r="D48" s="188" t="s">
        <v>110</v>
      </c>
      <c r="E48" s="909">
        <v>164.3355</v>
      </c>
      <c r="F48" s="909">
        <v>184.4435</v>
      </c>
      <c r="G48" s="909">
        <v>196.774</v>
      </c>
      <c r="H48" s="909">
        <v>186.92975000000001</v>
      </c>
      <c r="I48" s="909">
        <v>148.58500000000001</v>
      </c>
      <c r="J48" s="909">
        <v>147.38399999999999</v>
      </c>
      <c r="K48" s="909">
        <v>156.66149999999999</v>
      </c>
      <c r="L48" s="909">
        <v>166.0095</v>
      </c>
      <c r="M48" s="909">
        <v>170.40825000000001</v>
      </c>
      <c r="N48" s="909">
        <v>191.2285</v>
      </c>
      <c r="O48" s="909">
        <v>205.82900000000001</v>
      </c>
      <c r="P48" s="909">
        <v>209.86075</v>
      </c>
      <c r="Q48" s="909">
        <v>217.77350000000001</v>
      </c>
      <c r="R48" s="909">
        <v>229.28325000000001</v>
      </c>
      <c r="S48" s="909">
        <v>240.0985</v>
      </c>
      <c r="T48" s="909">
        <v>249.32374999999999</v>
      </c>
      <c r="U48" s="909">
        <v>281.5865</v>
      </c>
      <c r="V48" s="833">
        <f t="shared" si="0"/>
        <v>12.940102978557007</v>
      </c>
    </row>
    <row r="49" spans="1:23" x14ac:dyDescent="0.2">
      <c r="A49" s="149">
        <v>43</v>
      </c>
      <c r="B49" s="502"/>
      <c r="C49" s="3" t="s">
        <v>48</v>
      </c>
      <c r="D49" s="936" t="s">
        <v>116</v>
      </c>
      <c r="E49" s="907">
        <v>107.47450000000001</v>
      </c>
      <c r="F49" s="907">
        <v>137.48849999999999</v>
      </c>
      <c r="G49" s="907">
        <v>188.828</v>
      </c>
      <c r="H49" s="907">
        <v>135.93424999999999</v>
      </c>
      <c r="I49" s="907">
        <v>111.9795</v>
      </c>
      <c r="J49" s="907">
        <v>148.851</v>
      </c>
      <c r="K49" s="907">
        <v>174.52475000000001</v>
      </c>
      <c r="L49" s="907">
        <v>177.04249999999999</v>
      </c>
      <c r="M49" s="907">
        <v>187.73099999999999</v>
      </c>
      <c r="N49" s="907">
        <v>202.209</v>
      </c>
      <c r="O49" s="907">
        <v>192.61175</v>
      </c>
      <c r="P49" s="907">
        <v>203.72274999999999</v>
      </c>
      <c r="Q49" s="907">
        <v>259.30549999999999</v>
      </c>
      <c r="R49" s="907">
        <v>243.506</v>
      </c>
      <c r="S49" s="907">
        <v>269.47174999999999</v>
      </c>
      <c r="T49" s="907">
        <v>263.43549999999999</v>
      </c>
      <c r="U49" s="907">
        <v>270.37299999999999</v>
      </c>
      <c r="V49" s="935">
        <f t="shared" si="0"/>
        <v>2.6334719504394855</v>
      </c>
    </row>
    <row r="50" spans="1:23" x14ac:dyDescent="0.2">
      <c r="A50" s="149">
        <v>44</v>
      </c>
      <c r="B50" s="502"/>
      <c r="C50" s="3" t="s">
        <v>554</v>
      </c>
      <c r="D50" s="936" t="s">
        <v>104</v>
      </c>
      <c r="E50" s="907">
        <v>20.925999999999998</v>
      </c>
      <c r="F50" s="907">
        <v>29.016999999999999</v>
      </c>
      <c r="G50" s="907">
        <v>44.344499999999996</v>
      </c>
      <c r="H50" s="907">
        <v>94.479749999999996</v>
      </c>
      <c r="I50" s="907">
        <v>102.3145</v>
      </c>
      <c r="J50" s="907">
        <v>117.875</v>
      </c>
      <c r="K50" s="907">
        <v>74.84</v>
      </c>
      <c r="L50" s="907">
        <v>73.56</v>
      </c>
      <c r="M50" s="907">
        <v>57.213999999999999</v>
      </c>
      <c r="N50" s="907">
        <v>85.995000000000005</v>
      </c>
      <c r="O50" s="907">
        <v>97.0655</v>
      </c>
      <c r="P50" s="907">
        <v>148.50125</v>
      </c>
      <c r="Q50" s="907">
        <v>169.01349999999999</v>
      </c>
      <c r="R50" s="907">
        <v>164.96799999999999</v>
      </c>
      <c r="S50" s="907">
        <v>162.0565</v>
      </c>
      <c r="T50" s="907">
        <v>172.39574999999999</v>
      </c>
      <c r="U50" s="907">
        <v>253.11125000000001</v>
      </c>
      <c r="V50" s="833">
        <f t="shared" si="0"/>
        <v>46.819889701457271</v>
      </c>
      <c r="W50" s="3"/>
    </row>
    <row r="51" spans="1:23" x14ac:dyDescent="0.2">
      <c r="A51" s="149">
        <v>45</v>
      </c>
      <c r="B51" s="186"/>
      <c r="C51" s="934" t="s">
        <v>555</v>
      </c>
      <c r="D51" s="188" t="s">
        <v>109</v>
      </c>
      <c r="E51" s="909">
        <v>137.87299999999999</v>
      </c>
      <c r="F51" s="909">
        <v>139.87</v>
      </c>
      <c r="G51" s="909">
        <v>82.031000000000006</v>
      </c>
      <c r="H51" s="904" t="s">
        <v>285</v>
      </c>
      <c r="I51" s="909">
        <v>136.4845</v>
      </c>
      <c r="J51" s="909">
        <v>149.77449999999999</v>
      </c>
      <c r="K51" s="909">
        <v>163.43199999999999</v>
      </c>
      <c r="L51" s="909">
        <v>202.619</v>
      </c>
      <c r="M51" s="909">
        <v>183.96</v>
      </c>
      <c r="N51" s="909">
        <v>188.75700000000001</v>
      </c>
      <c r="O51" s="909">
        <v>189.898</v>
      </c>
      <c r="P51" s="909">
        <v>220.97499999999999</v>
      </c>
      <c r="Q51" s="909">
        <v>212.71700000000001</v>
      </c>
      <c r="R51" s="909">
        <v>222.06725</v>
      </c>
      <c r="S51" s="909">
        <v>198.886</v>
      </c>
      <c r="T51" s="909">
        <v>120.5945</v>
      </c>
      <c r="U51" s="909">
        <v>238.58699999999999</v>
      </c>
      <c r="V51" s="935">
        <f t="shared" si="0"/>
        <v>97.842355994676353</v>
      </c>
    </row>
    <row r="52" spans="1:23" x14ac:dyDescent="0.2">
      <c r="A52" s="149">
        <v>46</v>
      </c>
      <c r="B52" s="502"/>
      <c r="C52" s="3" t="s">
        <v>35</v>
      </c>
      <c r="D52" s="936" t="s">
        <v>108</v>
      </c>
      <c r="E52" s="907">
        <v>247.45099999999999</v>
      </c>
      <c r="F52" s="907">
        <v>452.09899999999999</v>
      </c>
      <c r="G52" s="907">
        <v>542.40499999999997</v>
      </c>
      <c r="H52" s="907">
        <v>428.62299999999999</v>
      </c>
      <c r="I52" s="907">
        <v>289.87099999999998</v>
      </c>
      <c r="J52" s="907">
        <v>298.40100000000001</v>
      </c>
      <c r="K52" s="907">
        <v>476.99700000000001</v>
      </c>
      <c r="L52" s="907">
        <v>336.26499999999999</v>
      </c>
      <c r="M52" s="907">
        <v>296.35000000000002</v>
      </c>
      <c r="N52" s="907">
        <v>87.989000000000004</v>
      </c>
      <c r="O52" s="907">
        <v>43.220999999999997</v>
      </c>
      <c r="P52" s="907">
        <v>119.84699999999999</v>
      </c>
      <c r="Q52" s="907">
        <v>87.567250000000001</v>
      </c>
      <c r="R52" s="907">
        <v>127.01925</v>
      </c>
      <c r="S52" s="907">
        <v>209.39449999999999</v>
      </c>
      <c r="T52" s="907">
        <v>123.87050000000001</v>
      </c>
      <c r="U52" s="907">
        <v>236.81049999999999</v>
      </c>
      <c r="V52" s="833">
        <f t="shared" si="0"/>
        <v>91.17586511719901</v>
      </c>
    </row>
    <row r="53" spans="1:23" x14ac:dyDescent="0.2">
      <c r="A53" s="149">
        <v>47</v>
      </c>
      <c r="B53" s="186"/>
      <c r="C53" s="934" t="s">
        <v>220</v>
      </c>
      <c r="D53" s="188" t="s">
        <v>92</v>
      </c>
      <c r="E53" s="909">
        <v>126.27800000000001</v>
      </c>
      <c r="F53" s="909">
        <v>151.58500000000001</v>
      </c>
      <c r="G53" s="909">
        <v>176.91200000000001</v>
      </c>
      <c r="H53" s="909">
        <v>179.608</v>
      </c>
      <c r="I53" s="909">
        <v>129.40899999999999</v>
      </c>
      <c r="J53" s="909">
        <v>151.96899999999999</v>
      </c>
      <c r="K53" s="909">
        <v>197.71700000000001</v>
      </c>
      <c r="L53" s="909">
        <v>227.809</v>
      </c>
      <c r="M53" s="909">
        <v>253.62700000000001</v>
      </c>
      <c r="N53" s="909">
        <v>260.29300000000001</v>
      </c>
      <c r="O53" s="909">
        <v>208.78399999999999</v>
      </c>
      <c r="P53" s="909">
        <v>202.327</v>
      </c>
      <c r="Q53" s="909">
        <v>215.40700000000001</v>
      </c>
      <c r="R53" s="909">
        <v>222.654</v>
      </c>
      <c r="S53" s="909">
        <v>222.584</v>
      </c>
      <c r="T53" s="909">
        <v>213.928</v>
      </c>
      <c r="U53" s="909">
        <v>226.68899999999999</v>
      </c>
      <c r="V53" s="935">
        <f t="shared" si="0"/>
        <v>5.9650910586739485</v>
      </c>
    </row>
    <row r="54" spans="1:23" x14ac:dyDescent="0.2">
      <c r="A54" s="149">
        <v>48</v>
      </c>
      <c r="B54" s="502"/>
      <c r="C54" s="3" t="s">
        <v>86</v>
      </c>
      <c r="D54" s="936" t="s">
        <v>111</v>
      </c>
      <c r="E54" s="907">
        <v>196.02099999999999</v>
      </c>
      <c r="F54" s="907">
        <v>235.73325</v>
      </c>
      <c r="G54" s="907">
        <v>262.58425</v>
      </c>
      <c r="H54" s="907">
        <v>290.97250000000003</v>
      </c>
      <c r="I54" s="907">
        <v>228.95650000000001</v>
      </c>
      <c r="J54" s="907">
        <v>237.68975</v>
      </c>
      <c r="K54" s="907">
        <v>225.08699999999999</v>
      </c>
      <c r="L54" s="907">
        <v>272.76375000000002</v>
      </c>
      <c r="M54" s="907">
        <v>346.12124999999997</v>
      </c>
      <c r="N54" s="907">
        <v>371.68599999999998</v>
      </c>
      <c r="O54" s="907">
        <v>475.99700000000001</v>
      </c>
      <c r="P54" s="907">
        <v>395.09325000000001</v>
      </c>
      <c r="Q54" s="907">
        <v>508.48624999999998</v>
      </c>
      <c r="R54" s="907">
        <v>547.49974999999995</v>
      </c>
      <c r="S54" s="907">
        <v>547.56275000000005</v>
      </c>
      <c r="T54" s="907">
        <v>347.01600000000002</v>
      </c>
      <c r="U54" s="907">
        <v>217.40125</v>
      </c>
      <c r="V54" s="833">
        <f t="shared" si="0"/>
        <v>-37.351231643497705</v>
      </c>
    </row>
    <row r="55" spans="1:23" x14ac:dyDescent="0.2">
      <c r="A55" s="149">
        <v>49</v>
      </c>
      <c r="B55" s="186"/>
      <c r="C55" s="934" t="s">
        <v>518</v>
      </c>
      <c r="D55" s="188" t="s">
        <v>108</v>
      </c>
      <c r="E55" s="909">
        <v>204.60525000000001</v>
      </c>
      <c r="F55" s="909">
        <v>225.47499999999999</v>
      </c>
      <c r="G55" s="909">
        <v>244.06899999999999</v>
      </c>
      <c r="H55" s="909">
        <v>247.8905</v>
      </c>
      <c r="I55" s="909">
        <v>193.58600000000001</v>
      </c>
      <c r="J55" s="909">
        <v>213.00624999999999</v>
      </c>
      <c r="K55" s="909">
        <v>212.209</v>
      </c>
      <c r="L55" s="909">
        <v>198.38900000000001</v>
      </c>
      <c r="M55" s="909">
        <v>208.66225</v>
      </c>
      <c r="N55" s="909">
        <v>204.4025</v>
      </c>
      <c r="O55" s="909">
        <v>196.84200000000001</v>
      </c>
      <c r="P55" s="909">
        <v>184.291</v>
      </c>
      <c r="Q55" s="909">
        <v>183.756</v>
      </c>
      <c r="R55" s="909">
        <v>184.98699999999999</v>
      </c>
      <c r="S55" s="909">
        <v>181.31</v>
      </c>
      <c r="T55" s="909">
        <v>203.697</v>
      </c>
      <c r="U55" s="909">
        <v>214.917</v>
      </c>
      <c r="V55" s="935">
        <f t="shared" si="0"/>
        <v>5.5081812692381362</v>
      </c>
    </row>
    <row r="56" spans="1:23" x14ac:dyDescent="0.2">
      <c r="A56" s="149">
        <v>50</v>
      </c>
      <c r="B56" s="502"/>
      <c r="C56" s="937" t="s">
        <v>556</v>
      </c>
      <c r="D56" s="938" t="s">
        <v>108</v>
      </c>
      <c r="E56" s="913">
        <v>138.21799999999999</v>
      </c>
      <c r="F56" s="913">
        <v>155.393</v>
      </c>
      <c r="G56" s="913">
        <v>143.672</v>
      </c>
      <c r="H56" s="913">
        <v>126.4075</v>
      </c>
      <c r="I56" s="913">
        <v>106.3985</v>
      </c>
      <c r="J56" s="913">
        <v>109.187</v>
      </c>
      <c r="K56" s="913">
        <v>92.215000000000003</v>
      </c>
      <c r="L56" s="913">
        <v>96.214500000000001</v>
      </c>
      <c r="M56" s="913">
        <v>92.331999999999994</v>
      </c>
      <c r="N56" s="913">
        <v>85.462000000000003</v>
      </c>
      <c r="O56" s="913">
        <v>67.471500000000006</v>
      </c>
      <c r="P56" s="913">
        <v>76.426000000000002</v>
      </c>
      <c r="Q56" s="913">
        <v>82.188000000000002</v>
      </c>
      <c r="R56" s="913">
        <v>68.543999999999997</v>
      </c>
      <c r="S56" s="913">
        <v>57.838999999999999</v>
      </c>
      <c r="T56" s="913">
        <v>108.9135</v>
      </c>
      <c r="U56" s="913">
        <v>214.86625000000001</v>
      </c>
      <c r="V56" s="1043">
        <f t="shared" si="0"/>
        <v>97.281558300853419</v>
      </c>
    </row>
    <row r="57" spans="1:23" x14ac:dyDescent="0.2">
      <c r="C57" s="19" t="s">
        <v>380</v>
      </c>
      <c r="V57" s="891"/>
    </row>
    <row r="58" spans="1:23" x14ac:dyDescent="0.2">
      <c r="C58" s="3" t="s">
        <v>379</v>
      </c>
      <c r="V58" s="891"/>
    </row>
  </sheetData>
  <mergeCells count="5">
    <mergeCell ref="B1:C1"/>
    <mergeCell ref="A4:A6"/>
    <mergeCell ref="C4:C5"/>
    <mergeCell ref="B2:V2"/>
    <mergeCell ref="C3:V3"/>
  </mergeCells>
  <phoneticPr fontId="6" type="noConversion"/>
  <printOptions horizontalCentered="1"/>
  <pageMargins left="0.6692913385826772" right="0.6692913385826772" top="0.51181102362204722" bottom="0.27559055118110237" header="0" footer="0"/>
  <pageSetup paperSize="9" scale="7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52"/>
  <dimension ref="A1:J39"/>
  <sheetViews>
    <sheetView workbookViewId="0">
      <selection activeCell="M21" sqref="M21"/>
    </sheetView>
  </sheetViews>
  <sheetFormatPr defaultRowHeight="12.75" x14ac:dyDescent="0.2"/>
  <cols>
    <col min="1" max="1" width="3" customWidth="1"/>
    <col min="2" max="2" width="6.7109375" customWidth="1"/>
    <col min="5" max="6" width="9.140625" style="289"/>
    <col min="10" max="10" width="9.140625" style="289"/>
  </cols>
  <sheetData>
    <row r="1" spans="1:10" ht="14.25" customHeight="1" x14ac:dyDescent="0.2">
      <c r="I1" s="30" t="s">
        <v>261</v>
      </c>
      <c r="J1" s="30"/>
    </row>
    <row r="2" spans="1:10" ht="30" customHeight="1" x14ac:dyDescent="0.2">
      <c r="A2" s="109"/>
      <c r="B2" s="1165" t="s">
        <v>394</v>
      </c>
      <c r="C2" s="1165"/>
      <c r="D2" s="1165"/>
      <c r="E2" s="1165"/>
      <c r="F2" s="1165"/>
      <c r="G2" s="1165"/>
      <c r="H2" s="1165"/>
      <c r="I2" s="1165"/>
      <c r="J2" s="290"/>
    </row>
    <row r="3" spans="1:10" ht="24.95" customHeight="1" x14ac:dyDescent="0.2">
      <c r="B3" s="1084" t="s">
        <v>182</v>
      </c>
      <c r="C3" s="1160"/>
      <c r="D3" s="1160"/>
      <c r="E3" s="1160"/>
      <c r="F3" s="1160"/>
      <c r="G3" s="1160"/>
      <c r="H3" s="1160"/>
      <c r="I3" s="1166"/>
    </row>
    <row r="4" spans="1:10" ht="15" customHeight="1" x14ac:dyDescent="0.2">
      <c r="B4" s="112" t="s">
        <v>75</v>
      </c>
      <c r="C4" s="1174" t="s">
        <v>170</v>
      </c>
      <c r="D4" s="1175"/>
      <c r="E4" s="1175"/>
      <c r="F4" s="1176"/>
      <c r="G4" s="1174" t="s">
        <v>5</v>
      </c>
      <c r="H4" s="1175"/>
      <c r="I4" s="1176"/>
    </row>
    <row r="5" spans="1:10" ht="15" customHeight="1" x14ac:dyDescent="0.2">
      <c r="B5" s="78"/>
      <c r="C5" s="318"/>
      <c r="D5" s="319"/>
      <c r="E5" s="294"/>
      <c r="F5" s="294"/>
      <c r="G5" s="1171" t="s">
        <v>286</v>
      </c>
      <c r="H5" s="1172"/>
      <c r="I5" s="1173"/>
    </row>
    <row r="6" spans="1:10" ht="14.25" customHeight="1" x14ac:dyDescent="0.2">
      <c r="B6" s="78"/>
      <c r="C6" s="82"/>
      <c r="D6" s="1177" t="s">
        <v>311</v>
      </c>
      <c r="E6" s="1178"/>
      <c r="F6" s="1179"/>
      <c r="G6" s="1180" t="s">
        <v>76</v>
      </c>
      <c r="H6" s="1182" t="s">
        <v>307</v>
      </c>
      <c r="I6" s="1184" t="s">
        <v>328</v>
      </c>
    </row>
    <row r="7" spans="1:10" ht="38.25" customHeight="1" x14ac:dyDescent="0.2">
      <c r="B7" s="77"/>
      <c r="C7" s="224" t="s">
        <v>312</v>
      </c>
      <c r="D7" s="313" t="s">
        <v>308</v>
      </c>
      <c r="E7" s="314" t="s">
        <v>309</v>
      </c>
      <c r="F7" s="314" t="s">
        <v>310</v>
      </c>
      <c r="G7" s="1181"/>
      <c r="H7" s="1183"/>
      <c r="I7" s="1185"/>
    </row>
    <row r="8" spans="1:10" ht="12.75" customHeight="1" x14ac:dyDescent="0.2">
      <c r="B8" s="80">
        <v>1990</v>
      </c>
      <c r="C8" s="163">
        <v>18.68</v>
      </c>
      <c r="D8" s="315">
        <v>0.01</v>
      </c>
      <c r="E8" s="315">
        <v>0.67999999999999994</v>
      </c>
      <c r="F8" s="315">
        <v>0.31</v>
      </c>
      <c r="G8" s="164">
        <v>0.20434677161069192</v>
      </c>
      <c r="H8" s="165">
        <v>0.18106900599225426</v>
      </c>
      <c r="I8" s="166">
        <v>0.61458422239705379</v>
      </c>
    </row>
    <row r="9" spans="1:10" ht="12.75" customHeight="1" x14ac:dyDescent="0.2">
      <c r="B9" s="79">
        <v>1995</v>
      </c>
      <c r="C9" s="76">
        <v>24.97</v>
      </c>
      <c r="D9" s="310">
        <v>0.02</v>
      </c>
      <c r="E9" s="310">
        <v>0.56000000000000005</v>
      </c>
      <c r="F9" s="310">
        <v>0.42</v>
      </c>
      <c r="G9" s="73">
        <v>0.1386863889501066</v>
      </c>
      <c r="H9" s="74">
        <v>0.19336570580995985</v>
      </c>
      <c r="I9" s="75">
        <v>0.66794790523993353</v>
      </c>
    </row>
    <row r="10" spans="1:10" ht="12.75" customHeight="1" x14ac:dyDescent="0.2">
      <c r="B10" s="79">
        <v>2000</v>
      </c>
      <c r="C10" s="76">
        <v>35.18</v>
      </c>
      <c r="D10" s="310">
        <v>0.02</v>
      </c>
      <c r="E10" s="310">
        <v>0.71</v>
      </c>
      <c r="F10" s="310">
        <v>0.27</v>
      </c>
      <c r="G10" s="73">
        <v>8.7579407362821493E-2</v>
      </c>
      <c r="H10" s="74">
        <v>0.2340636234972589</v>
      </c>
      <c r="I10" s="75">
        <v>0.67835696913991972</v>
      </c>
      <c r="J10" s="310"/>
    </row>
    <row r="11" spans="1:10" ht="12.75" customHeight="1" x14ac:dyDescent="0.2">
      <c r="B11" s="79">
        <v>2005</v>
      </c>
      <c r="C11" s="76">
        <v>38.840000000000003</v>
      </c>
      <c r="D11" s="310">
        <v>0.03</v>
      </c>
      <c r="E11" s="310">
        <v>0.63</v>
      </c>
      <c r="F11" s="310">
        <v>0.34</v>
      </c>
      <c r="G11" s="73">
        <v>6.6841798371486738E-2</v>
      </c>
      <c r="H11" s="74">
        <v>0.12845161844237765</v>
      </c>
      <c r="I11" s="75">
        <v>0.80470658318613564</v>
      </c>
      <c r="J11" s="310"/>
    </row>
    <row r="12" spans="1:10" ht="12.75" customHeight="1" x14ac:dyDescent="0.2">
      <c r="B12" s="113">
        <v>2006</v>
      </c>
      <c r="C12" s="76">
        <v>45.39</v>
      </c>
      <c r="D12" s="310">
        <v>0.03</v>
      </c>
      <c r="E12" s="310">
        <v>0.53</v>
      </c>
      <c r="F12" s="310">
        <v>0.44</v>
      </c>
      <c r="G12" s="73">
        <v>7.3516668745591485E-2</v>
      </c>
      <c r="H12" s="74">
        <v>0.14054819591640294</v>
      </c>
      <c r="I12" s="75">
        <v>0.78593513533800563</v>
      </c>
      <c r="J12" s="310"/>
    </row>
    <row r="13" spans="1:10" ht="12.75" customHeight="1" x14ac:dyDescent="0.2">
      <c r="B13" s="113">
        <v>2007</v>
      </c>
      <c r="C13" s="76">
        <v>46.07</v>
      </c>
      <c r="D13" s="310">
        <v>0.03</v>
      </c>
      <c r="E13" s="310">
        <v>0.55999999999999994</v>
      </c>
      <c r="F13" s="310">
        <v>0.41</v>
      </c>
      <c r="G13" s="73">
        <v>7.4840569637766488E-2</v>
      </c>
      <c r="H13" s="74">
        <v>0.13204989732579678</v>
      </c>
      <c r="I13" s="75">
        <v>0.79310953303643672</v>
      </c>
      <c r="J13" s="310"/>
    </row>
    <row r="14" spans="1:10" ht="12.75" customHeight="1" x14ac:dyDescent="0.2">
      <c r="B14" s="113">
        <v>2008</v>
      </c>
      <c r="C14" s="76">
        <v>45.97</v>
      </c>
      <c r="D14" s="310">
        <v>0.03</v>
      </c>
      <c r="E14" s="310">
        <v>0.52</v>
      </c>
      <c r="F14" s="310">
        <v>0.45</v>
      </c>
      <c r="G14" s="73">
        <v>8.2377593187794793E-2</v>
      </c>
      <c r="H14" s="74">
        <v>0.14323830195767417</v>
      </c>
      <c r="I14" s="75">
        <v>0.77438410485453102</v>
      </c>
      <c r="J14" s="310"/>
    </row>
    <row r="15" spans="1:10" ht="12.75" customHeight="1" x14ac:dyDescent="0.2">
      <c r="B15" s="113">
        <v>2009</v>
      </c>
      <c r="C15" s="76">
        <v>38.9</v>
      </c>
      <c r="D15" s="310">
        <v>0.04</v>
      </c>
      <c r="E15" s="310">
        <v>0.52</v>
      </c>
      <c r="F15" s="310">
        <v>0.44</v>
      </c>
      <c r="G15" s="73">
        <v>7.7988921882988935E-2</v>
      </c>
      <c r="H15" s="74">
        <v>0.1475970506136749</v>
      </c>
      <c r="I15" s="75">
        <v>0.77441402750333621</v>
      </c>
      <c r="J15" s="310"/>
    </row>
    <row r="16" spans="1:10" ht="12.75" customHeight="1" x14ac:dyDescent="0.2">
      <c r="B16" s="113">
        <v>2010</v>
      </c>
      <c r="C16" s="76">
        <v>42.37</v>
      </c>
      <c r="D16" s="310">
        <v>0.05</v>
      </c>
      <c r="E16" s="310">
        <v>0.57999999999999996</v>
      </c>
      <c r="F16" s="310">
        <v>0.37</v>
      </c>
      <c r="G16" s="73">
        <v>9.9267700804885728E-2</v>
      </c>
      <c r="H16" s="74">
        <v>0.14789573273636406</v>
      </c>
      <c r="I16" s="75">
        <v>0.75283656645875008</v>
      </c>
      <c r="J16" s="310"/>
    </row>
    <row r="17" spans="1:10" ht="12.75" customHeight="1" thickBot="1" x14ac:dyDescent="0.25">
      <c r="B17" s="113">
        <v>2011</v>
      </c>
      <c r="C17" s="316">
        <v>42.58</v>
      </c>
      <c r="D17" s="317">
        <v>7.0000000000000007E-2</v>
      </c>
      <c r="E17" s="310">
        <v>0.56000000000000005</v>
      </c>
      <c r="F17" s="310">
        <v>0.37</v>
      </c>
      <c r="G17" s="73">
        <v>0.10357180942373516</v>
      </c>
      <c r="H17" s="74">
        <v>0.13860520552648281</v>
      </c>
      <c r="I17" s="75">
        <v>0.75782298504978196</v>
      </c>
      <c r="J17" s="310"/>
    </row>
    <row r="18" spans="1:10" ht="18.75" customHeight="1" thickTop="1" x14ac:dyDescent="0.2">
      <c r="B18" s="708">
        <v>2012</v>
      </c>
      <c r="C18" s="320">
        <v>39.090000000000003</v>
      </c>
      <c r="D18" s="405">
        <v>0.03</v>
      </c>
      <c r="E18" s="406">
        <v>0.59</v>
      </c>
      <c r="F18" s="406">
        <v>0.38</v>
      </c>
      <c r="G18" s="407">
        <v>0.13189489116201392</v>
      </c>
      <c r="H18" s="311">
        <v>5.0678379164847957E-2</v>
      </c>
      <c r="I18" s="408">
        <v>0.81742672967313812</v>
      </c>
      <c r="J18" s="310"/>
    </row>
    <row r="19" spans="1:10" ht="12.75" customHeight="1" x14ac:dyDescent="0.2">
      <c r="B19" s="709">
        <v>2013</v>
      </c>
      <c r="C19" s="316">
        <v>40.74</v>
      </c>
      <c r="D19" s="317">
        <v>0.02</v>
      </c>
      <c r="E19" s="310">
        <v>0.6</v>
      </c>
      <c r="F19" s="310">
        <v>0.38</v>
      </c>
      <c r="G19" s="404">
        <v>0.14188930251894405</v>
      </c>
      <c r="H19" s="74">
        <v>5.159356752773106E-2</v>
      </c>
      <c r="I19" s="75">
        <v>0.80651712995332492</v>
      </c>
      <c r="J19" s="310"/>
    </row>
    <row r="20" spans="1:10" ht="12.75" customHeight="1" x14ac:dyDescent="0.2">
      <c r="B20" s="709">
        <v>2014</v>
      </c>
      <c r="C20" s="316">
        <v>52.17</v>
      </c>
      <c r="D20" s="317">
        <v>0.02</v>
      </c>
      <c r="E20" s="310">
        <v>0.53</v>
      </c>
      <c r="F20" s="310">
        <v>0.45</v>
      </c>
      <c r="G20" s="404">
        <v>0.12861867934739818</v>
      </c>
      <c r="H20" s="74">
        <v>5.4660473839252717E-2</v>
      </c>
      <c r="I20" s="75">
        <v>0.81672084681334911</v>
      </c>
      <c r="J20" s="310"/>
    </row>
    <row r="21" spans="1:10" ht="12.75" customHeight="1" x14ac:dyDescent="0.2">
      <c r="B21" s="709">
        <v>2015</v>
      </c>
      <c r="C21" s="316">
        <v>54.98</v>
      </c>
      <c r="D21" s="317">
        <v>0.01</v>
      </c>
      <c r="E21" s="310">
        <v>0.5</v>
      </c>
      <c r="F21" s="310">
        <v>0.49</v>
      </c>
      <c r="G21" s="404">
        <v>0.13288326261869543</v>
      </c>
      <c r="H21" s="74">
        <v>5.0606187545301114E-2</v>
      </c>
      <c r="I21" s="75">
        <v>0.81651054983600346</v>
      </c>
      <c r="J21" s="310"/>
    </row>
    <row r="22" spans="1:10" s="431" customFormat="1" ht="12.75" customHeight="1" x14ac:dyDescent="0.2">
      <c r="B22" s="710">
        <v>2016</v>
      </c>
      <c r="C22" s="316">
        <v>58.32</v>
      </c>
      <c r="D22" s="310">
        <v>0.01</v>
      </c>
      <c r="E22" s="312">
        <v>0.46</v>
      </c>
      <c r="F22" s="75">
        <v>0.53</v>
      </c>
      <c r="G22" s="310">
        <v>0.15555595961465984</v>
      </c>
      <c r="H22" s="310">
        <v>4.4543879716747219E-2</v>
      </c>
      <c r="I22" s="75">
        <v>0.79990016066859293</v>
      </c>
      <c r="J22" s="310"/>
    </row>
    <row r="23" spans="1:10" s="567" customFormat="1" ht="12.75" customHeight="1" x14ac:dyDescent="0.2">
      <c r="B23" s="710">
        <v>2017</v>
      </c>
      <c r="C23" s="316">
        <v>75.12</v>
      </c>
      <c r="D23" s="310">
        <v>0.01</v>
      </c>
      <c r="E23" s="312">
        <v>0.42</v>
      </c>
      <c r="F23" s="75">
        <v>0.56999999999999995</v>
      </c>
      <c r="G23" s="310">
        <v>0.11</v>
      </c>
      <c r="H23" s="310">
        <v>0.08</v>
      </c>
      <c r="I23" s="75">
        <v>0.81</v>
      </c>
      <c r="J23" s="310"/>
    </row>
    <row r="24" spans="1:10" ht="12.75" customHeight="1" x14ac:dyDescent="0.2">
      <c r="B24" s="458">
        <v>2018</v>
      </c>
      <c r="C24" s="316">
        <v>83.63</v>
      </c>
      <c r="D24" s="310">
        <v>0.02</v>
      </c>
      <c r="E24" s="312">
        <v>0.45</v>
      </c>
      <c r="F24" s="75">
        <v>0.54</v>
      </c>
      <c r="G24" s="310">
        <v>0.15</v>
      </c>
      <c r="H24" s="310">
        <v>0.06</v>
      </c>
      <c r="I24" s="75">
        <v>0.81</v>
      </c>
      <c r="J24" s="310"/>
    </row>
    <row r="25" spans="1:10" s="750" customFormat="1" ht="12.75" customHeight="1" x14ac:dyDescent="0.2">
      <c r="B25" s="458">
        <v>2019</v>
      </c>
      <c r="C25" s="316">
        <v>83.54</v>
      </c>
      <c r="D25" s="310">
        <v>0.01</v>
      </c>
      <c r="E25" s="312">
        <v>0.51</v>
      </c>
      <c r="F25" s="75">
        <v>0.48</v>
      </c>
      <c r="G25" s="310">
        <v>0.15</v>
      </c>
      <c r="H25" s="310">
        <v>0.06</v>
      </c>
      <c r="I25" s="75">
        <v>0.8</v>
      </c>
      <c r="J25" s="310"/>
    </row>
    <row r="26" spans="1:10" ht="11.25" customHeight="1" x14ac:dyDescent="0.2">
      <c r="A26" s="892"/>
      <c r="B26" s="979">
        <v>2020</v>
      </c>
      <c r="C26" s="316">
        <v>90.3</v>
      </c>
      <c r="D26" s="310">
        <v>0.01</v>
      </c>
      <c r="E26" s="312">
        <v>0.49</v>
      </c>
      <c r="F26" s="75">
        <v>0.5</v>
      </c>
      <c r="G26" s="310">
        <v>0.15</v>
      </c>
      <c r="H26" s="310">
        <v>0.05</v>
      </c>
      <c r="I26" s="75">
        <v>0.8</v>
      </c>
      <c r="J26" s="310"/>
    </row>
    <row r="27" spans="1:10" s="805" customFormat="1" ht="11.25" customHeight="1" x14ac:dyDescent="0.2">
      <c r="A27" s="892"/>
      <c r="B27" s="113">
        <v>2021</v>
      </c>
      <c r="C27" s="1061">
        <v>100.2</v>
      </c>
      <c r="D27" s="310">
        <v>0.01</v>
      </c>
      <c r="E27" s="312">
        <v>0.48</v>
      </c>
      <c r="F27" s="75">
        <v>0.51</v>
      </c>
      <c r="G27" s="310">
        <v>0.14399999999999999</v>
      </c>
      <c r="H27" s="310">
        <v>5.3999999999999999E-2</v>
      </c>
      <c r="I27" s="75">
        <v>0.80200000000000005</v>
      </c>
      <c r="J27" s="404"/>
    </row>
    <row r="28" spans="1:10" s="1049" customFormat="1" ht="11.25" customHeight="1" x14ac:dyDescent="0.2">
      <c r="A28" s="1050"/>
      <c r="B28" s="1062">
        <v>2022</v>
      </c>
      <c r="C28" s="1061">
        <v>88.76</v>
      </c>
      <c r="D28" s="310">
        <v>1.4E-2</v>
      </c>
      <c r="E28" s="310">
        <v>0.52300000000000002</v>
      </c>
      <c r="F28" s="310">
        <v>0.46200000000000002</v>
      </c>
      <c r="G28" s="310">
        <v>0.16</v>
      </c>
      <c r="H28" s="310">
        <v>0.04</v>
      </c>
      <c r="I28" s="310">
        <v>0.8</v>
      </c>
      <c r="J28" s="310"/>
    </row>
    <row r="29" spans="1:10" s="891" customFormat="1" ht="11.25" customHeight="1" x14ac:dyDescent="0.2">
      <c r="A29" s="1"/>
      <c r="B29" s="1163" t="s">
        <v>322</v>
      </c>
      <c r="C29" s="1164"/>
      <c r="D29" s="1164"/>
      <c r="E29" s="1164"/>
      <c r="F29" s="1164"/>
      <c r="G29" s="1164"/>
      <c r="H29" s="1164"/>
      <c r="I29" s="1164"/>
      <c r="J29" s="310"/>
    </row>
    <row r="30" spans="1:10" s="174" customFormat="1" ht="18" customHeight="1" x14ac:dyDescent="0.2">
      <c r="B30" s="1167" t="s">
        <v>426</v>
      </c>
      <c r="C30" s="1168"/>
      <c r="D30" s="1168"/>
      <c r="E30" s="1168"/>
      <c r="F30" s="1168"/>
      <c r="G30" s="1168"/>
      <c r="H30" s="1168"/>
      <c r="I30" s="1168"/>
      <c r="J30" s="310"/>
    </row>
    <row r="31" spans="1:10" s="209" customFormat="1" ht="59.25" customHeight="1" x14ac:dyDescent="0.2">
      <c r="B31" s="1169" t="s">
        <v>384</v>
      </c>
      <c r="C31" s="1170"/>
      <c r="D31" s="1170"/>
      <c r="E31" s="1170"/>
      <c r="F31" s="1170"/>
      <c r="G31" s="1170"/>
      <c r="H31" s="1170"/>
      <c r="I31" s="1170"/>
      <c r="J31" s="310"/>
    </row>
    <row r="32" spans="1:10" s="661" customFormat="1" ht="51" customHeight="1" x14ac:dyDescent="0.2">
      <c r="B32" s="1162" t="s">
        <v>385</v>
      </c>
      <c r="C32" s="1162"/>
      <c r="D32" s="1162"/>
      <c r="E32" s="1162"/>
      <c r="F32" s="1162"/>
      <c r="G32" s="1162"/>
      <c r="H32" s="1162"/>
      <c r="I32" s="1162"/>
      <c r="J32" s="310"/>
    </row>
    <row r="33" spans="1:10" s="289" customFormat="1" ht="48.75" customHeight="1" x14ac:dyDescent="0.2">
      <c r="B33" s="209"/>
      <c r="C33" s="209"/>
      <c r="D33" s="209"/>
      <c r="G33" s="209"/>
      <c r="H33" s="209"/>
      <c r="I33" s="209"/>
      <c r="J33" s="310"/>
    </row>
    <row r="34" spans="1:10" ht="12.75" customHeight="1" x14ac:dyDescent="0.2"/>
    <row r="35" spans="1:10" ht="12.75" customHeight="1" x14ac:dyDescent="0.2">
      <c r="A35" s="110"/>
      <c r="B35" s="289"/>
      <c r="C35" s="289"/>
      <c r="D35" s="289"/>
      <c r="G35" s="289"/>
      <c r="H35" s="289"/>
      <c r="I35" s="289"/>
      <c r="J35" s="292"/>
    </row>
    <row r="36" spans="1:10" ht="60" customHeight="1" x14ac:dyDescent="0.2">
      <c r="A36" s="111"/>
      <c r="J36" s="293"/>
    </row>
    <row r="37" spans="1:10" x14ac:dyDescent="0.2">
      <c r="J37" s="291"/>
    </row>
    <row r="38" spans="1:10" ht="15.75" customHeight="1" x14ac:dyDescent="0.2"/>
    <row r="39" spans="1:10" ht="21" customHeight="1" x14ac:dyDescent="0.2"/>
  </sheetData>
  <mergeCells count="13">
    <mergeCell ref="B32:I32"/>
    <mergeCell ref="B29:I29"/>
    <mergeCell ref="B2:I2"/>
    <mergeCell ref="B3:I3"/>
    <mergeCell ref="B30:I30"/>
    <mergeCell ref="B31:I31"/>
    <mergeCell ref="G5:I5"/>
    <mergeCell ref="G4:I4"/>
    <mergeCell ref="D6:F6"/>
    <mergeCell ref="G6:G7"/>
    <mergeCell ref="H6:H7"/>
    <mergeCell ref="I6:I7"/>
    <mergeCell ref="C4:F4"/>
  </mergeCells>
  <phoneticPr fontId="6"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51"/>
  <dimension ref="A1:V95"/>
  <sheetViews>
    <sheetView zoomScaleNormal="100" workbookViewId="0">
      <selection activeCell="AA101" sqref="AA101"/>
    </sheetView>
  </sheetViews>
  <sheetFormatPr defaultRowHeight="12.75" x14ac:dyDescent="0.2"/>
  <cols>
    <col min="1" max="1" width="1.140625" customWidth="1"/>
    <col min="2" max="2" width="8.28515625" customWidth="1"/>
    <col min="3" max="7" width="10.7109375" customWidth="1"/>
  </cols>
  <sheetData>
    <row r="1" spans="2:10" ht="14.25" customHeight="1" x14ac:dyDescent="0.2">
      <c r="B1" s="29"/>
      <c r="C1" s="29"/>
      <c r="D1" s="15"/>
      <c r="E1" s="15"/>
      <c r="F1" s="15"/>
      <c r="G1" s="10" t="s">
        <v>0</v>
      </c>
    </row>
    <row r="2" spans="2:10" s="9" customFormat="1" ht="30" customHeight="1" x14ac:dyDescent="0.2">
      <c r="B2" s="1118" t="s">
        <v>395</v>
      </c>
      <c r="C2" s="1118"/>
      <c r="D2" s="1118"/>
      <c r="E2" s="1118"/>
      <c r="F2" s="1118"/>
      <c r="G2" s="1118"/>
    </row>
    <row r="3" spans="2:10" ht="18" customHeight="1" x14ac:dyDescent="0.2">
      <c r="B3" s="602"/>
      <c r="C3" s="1084" t="s">
        <v>396</v>
      </c>
      <c r="D3" s="1160"/>
      <c r="E3" s="1160"/>
      <c r="F3" s="1160"/>
      <c r="G3" s="1166"/>
    </row>
    <row r="4" spans="2:10" ht="14.25" customHeight="1" x14ac:dyDescent="0.2">
      <c r="B4" s="603"/>
      <c r="C4" s="1188" t="s">
        <v>55</v>
      </c>
      <c r="D4" s="1189"/>
      <c r="E4" s="1189"/>
      <c r="F4" s="1189"/>
      <c r="G4" s="1190"/>
    </row>
    <row r="5" spans="2:10" ht="15" customHeight="1" x14ac:dyDescent="0.2">
      <c r="B5" s="327"/>
      <c r="C5" s="87" t="s">
        <v>80</v>
      </c>
      <c r="D5" s="88"/>
      <c r="E5" s="589" t="s">
        <v>122</v>
      </c>
      <c r="F5" s="588" t="s">
        <v>123</v>
      </c>
      <c r="G5" s="91" t="s">
        <v>130</v>
      </c>
    </row>
    <row r="6" spans="2:10" ht="12.75" customHeight="1" x14ac:dyDescent="0.2">
      <c r="B6" s="327"/>
      <c r="C6" s="604" t="s">
        <v>78</v>
      </c>
      <c r="D6" s="605" t="s">
        <v>81</v>
      </c>
      <c r="E6" s="219" t="s">
        <v>79</v>
      </c>
      <c r="F6" s="219" t="s">
        <v>241</v>
      </c>
      <c r="G6" s="606"/>
    </row>
    <row r="7" spans="2:10" ht="12.75" customHeight="1" x14ac:dyDescent="0.2">
      <c r="B7" s="327"/>
      <c r="C7" s="604"/>
      <c r="D7" s="607" t="s">
        <v>82</v>
      </c>
      <c r="E7" s="219" t="s">
        <v>240</v>
      </c>
      <c r="F7" s="219" t="s">
        <v>242</v>
      </c>
      <c r="G7" s="606"/>
    </row>
    <row r="8" spans="2:10" ht="12.75" customHeight="1" x14ac:dyDescent="0.2">
      <c r="B8" s="327"/>
      <c r="C8" s="604"/>
      <c r="D8" s="607" t="s">
        <v>203</v>
      </c>
      <c r="E8" s="219"/>
      <c r="F8" s="608" t="s">
        <v>202</v>
      </c>
      <c r="G8" s="566"/>
    </row>
    <row r="9" spans="2:10" ht="12.75" customHeight="1" x14ac:dyDescent="0.2">
      <c r="B9" s="609">
        <v>1985</v>
      </c>
      <c r="C9" s="610">
        <v>1.9</v>
      </c>
      <c r="D9" s="611">
        <v>0.8</v>
      </c>
      <c r="E9" s="611">
        <v>15</v>
      </c>
      <c r="F9" s="612">
        <v>12.3</v>
      </c>
      <c r="G9" s="613">
        <f t="shared" ref="G9:G32" si="0" xml:space="preserve"> SUM(C9:F9)</f>
        <v>30</v>
      </c>
    </row>
    <row r="10" spans="2:10" ht="12.75" customHeight="1" x14ac:dyDescent="0.2">
      <c r="B10" s="220">
        <v>1990</v>
      </c>
      <c r="C10" s="614">
        <v>3.1</v>
      </c>
      <c r="D10" s="615">
        <v>1.1000000000000001</v>
      </c>
      <c r="E10" s="615">
        <v>14.6</v>
      </c>
      <c r="F10" s="616">
        <v>21.8</v>
      </c>
      <c r="G10" s="617">
        <f t="shared" si="0"/>
        <v>40.6</v>
      </c>
    </row>
    <row r="11" spans="2:10" ht="12.75" customHeight="1" x14ac:dyDescent="0.2">
      <c r="B11" s="220">
        <v>1994</v>
      </c>
      <c r="C11" s="614">
        <v>5.0999999999999996</v>
      </c>
      <c r="D11" s="615">
        <v>1.1000000000000001</v>
      </c>
      <c r="E11" s="615">
        <v>18.399999999999999</v>
      </c>
      <c r="F11" s="616">
        <v>26.5</v>
      </c>
      <c r="G11" s="617">
        <f t="shared" si="0"/>
        <v>51.099999999999994</v>
      </c>
    </row>
    <row r="12" spans="2:10" ht="12.75" customHeight="1" x14ac:dyDescent="0.2">
      <c r="B12" s="220">
        <v>1995</v>
      </c>
      <c r="C12" s="614">
        <v>5.5</v>
      </c>
      <c r="D12" s="615">
        <v>1.1000000000000001</v>
      </c>
      <c r="E12" s="615">
        <v>21</v>
      </c>
      <c r="F12" s="616">
        <v>25.8</v>
      </c>
      <c r="G12" s="617">
        <f t="shared" si="0"/>
        <v>53.400000000000006</v>
      </c>
    </row>
    <row r="13" spans="2:10" ht="12.75" customHeight="1" x14ac:dyDescent="0.2">
      <c r="B13" s="220">
        <v>1996</v>
      </c>
      <c r="C13" s="614">
        <v>5.9</v>
      </c>
      <c r="D13" s="615">
        <v>1.2</v>
      </c>
      <c r="E13" s="615">
        <v>20.100000000000001</v>
      </c>
      <c r="F13" s="616">
        <v>25</v>
      </c>
      <c r="G13" s="617">
        <f t="shared" si="0"/>
        <v>52.2</v>
      </c>
    </row>
    <row r="14" spans="2:10" ht="12.75" customHeight="1" x14ac:dyDescent="0.2">
      <c r="B14" s="220">
        <v>1997</v>
      </c>
      <c r="C14" s="614">
        <v>6</v>
      </c>
      <c r="D14" s="615">
        <v>1</v>
      </c>
      <c r="E14" s="615">
        <v>21.3</v>
      </c>
      <c r="F14" s="616">
        <v>25.3</v>
      </c>
      <c r="G14" s="617">
        <f t="shared" si="0"/>
        <v>53.6</v>
      </c>
    </row>
    <row r="15" spans="2:10" ht="12.75" customHeight="1" thickBot="1" x14ac:dyDescent="0.25">
      <c r="B15" s="220">
        <v>1998</v>
      </c>
      <c r="C15" s="614">
        <v>6.5</v>
      </c>
      <c r="D15" s="615">
        <v>1.2</v>
      </c>
      <c r="E15" s="615">
        <v>23.9</v>
      </c>
      <c r="F15" s="616">
        <v>26.3</v>
      </c>
      <c r="G15" s="617">
        <f t="shared" si="0"/>
        <v>57.9</v>
      </c>
      <c r="J15" s="430"/>
    </row>
    <row r="16" spans="2:10" ht="12.75" customHeight="1" thickTop="1" x14ac:dyDescent="0.2">
      <c r="B16" s="220">
        <v>1999</v>
      </c>
      <c r="C16" s="614">
        <v>7</v>
      </c>
      <c r="D16" s="615">
        <v>1.4</v>
      </c>
      <c r="E16" s="615">
        <v>26.4</v>
      </c>
      <c r="F16" s="618">
        <v>27.3</v>
      </c>
      <c r="G16" s="619">
        <f t="shared" si="0"/>
        <v>62.099999999999994</v>
      </c>
    </row>
    <row r="17" spans="2:10" ht="12.75" customHeight="1" x14ac:dyDescent="0.2">
      <c r="B17" s="220">
        <v>2000</v>
      </c>
      <c r="C17" s="614">
        <v>7.6</v>
      </c>
      <c r="D17" s="615">
        <v>1.3</v>
      </c>
      <c r="E17" s="615">
        <v>26.6</v>
      </c>
      <c r="F17" s="616">
        <v>27.2</v>
      </c>
      <c r="G17" s="617">
        <f t="shared" si="0"/>
        <v>62.7</v>
      </c>
    </row>
    <row r="18" spans="2:10" ht="12.75" customHeight="1" x14ac:dyDescent="0.2">
      <c r="B18" s="220">
        <v>2001</v>
      </c>
      <c r="C18" s="614">
        <v>7.4</v>
      </c>
      <c r="D18" s="615">
        <v>3</v>
      </c>
      <c r="E18" s="615">
        <v>26.3</v>
      </c>
      <c r="F18" s="616">
        <v>27.2</v>
      </c>
      <c r="G18" s="617">
        <f t="shared" si="0"/>
        <v>63.900000000000006</v>
      </c>
    </row>
    <row r="19" spans="2:10" ht="12.75" customHeight="1" x14ac:dyDescent="0.2">
      <c r="B19" s="220">
        <v>2002</v>
      </c>
      <c r="C19" s="614">
        <v>7.5</v>
      </c>
      <c r="D19" s="615">
        <v>3</v>
      </c>
      <c r="E19" s="278">
        <v>27.3</v>
      </c>
      <c r="F19" s="279">
        <v>26.3</v>
      </c>
      <c r="G19" s="617">
        <f t="shared" si="0"/>
        <v>64.099999999999994</v>
      </c>
    </row>
    <row r="20" spans="2:10" ht="12.75" customHeight="1" x14ac:dyDescent="0.2">
      <c r="B20" s="220">
        <v>2003</v>
      </c>
      <c r="C20" s="614">
        <v>9.1999999999999993</v>
      </c>
      <c r="D20" s="615">
        <v>2.4</v>
      </c>
      <c r="E20" s="615">
        <v>28.7</v>
      </c>
      <c r="F20" s="616">
        <v>25.8</v>
      </c>
      <c r="G20" s="617">
        <f t="shared" si="0"/>
        <v>66.099999999999994</v>
      </c>
    </row>
    <row r="21" spans="2:10" ht="12.75" customHeight="1" x14ac:dyDescent="0.2">
      <c r="B21" s="220">
        <v>2004</v>
      </c>
      <c r="C21" s="614">
        <v>9.9</v>
      </c>
      <c r="D21" s="615">
        <v>2.6</v>
      </c>
      <c r="E21" s="615">
        <v>33.5</v>
      </c>
      <c r="F21" s="616">
        <v>22.3</v>
      </c>
      <c r="G21" s="617">
        <f t="shared" si="0"/>
        <v>68.3</v>
      </c>
    </row>
    <row r="22" spans="2:10" ht="12.75" customHeight="1" x14ac:dyDescent="0.2">
      <c r="B22" s="220">
        <v>2005</v>
      </c>
      <c r="C22" s="614">
        <v>10.199999999999999</v>
      </c>
      <c r="D22" s="615">
        <v>2.8</v>
      </c>
      <c r="E22" s="615">
        <v>33.6</v>
      </c>
      <c r="F22" s="616">
        <v>20.8</v>
      </c>
      <c r="G22" s="617">
        <f t="shared" si="0"/>
        <v>67.400000000000006</v>
      </c>
    </row>
    <row r="23" spans="2:10" ht="12.75" customHeight="1" x14ac:dyDescent="0.2">
      <c r="B23" s="220">
        <v>2006</v>
      </c>
      <c r="C23" s="614">
        <v>10</v>
      </c>
      <c r="D23" s="615">
        <v>2.9</v>
      </c>
      <c r="E23" s="615">
        <v>36.1</v>
      </c>
      <c r="F23" s="616">
        <v>22.3</v>
      </c>
      <c r="G23" s="617">
        <f t="shared" si="0"/>
        <v>71.3</v>
      </c>
    </row>
    <row r="24" spans="2:10" ht="12.75" customHeight="1" x14ac:dyDescent="0.2">
      <c r="B24" s="220">
        <v>2007</v>
      </c>
      <c r="C24" s="614">
        <v>10.9</v>
      </c>
      <c r="D24" s="615">
        <v>3.3</v>
      </c>
      <c r="E24" s="615">
        <v>36.4</v>
      </c>
      <c r="F24" s="616">
        <v>22.4</v>
      </c>
      <c r="G24" s="617">
        <f t="shared" si="0"/>
        <v>73</v>
      </c>
    </row>
    <row r="25" spans="2:10" ht="12.75" customHeight="1" x14ac:dyDescent="0.2">
      <c r="B25" s="220">
        <v>2008</v>
      </c>
      <c r="C25" s="614">
        <v>10.8</v>
      </c>
      <c r="D25" s="615">
        <v>3.3</v>
      </c>
      <c r="E25" s="615">
        <v>35.1</v>
      </c>
      <c r="F25" s="616">
        <v>21.5</v>
      </c>
      <c r="G25" s="617">
        <f t="shared" si="0"/>
        <v>70.7</v>
      </c>
    </row>
    <row r="26" spans="2:10" ht="15" customHeight="1" x14ac:dyDescent="0.2">
      <c r="B26" s="220">
        <v>2009</v>
      </c>
      <c r="C26" s="614">
        <v>10.199999999999999</v>
      </c>
      <c r="D26" s="615">
        <f>0.5+0.8+1.9</f>
        <v>3.2</v>
      </c>
      <c r="E26" s="615">
        <f>25.8+1.2</f>
        <v>27</v>
      </c>
      <c r="F26" s="616">
        <f>0.5+10.2+7.8</f>
        <v>18.5</v>
      </c>
      <c r="G26" s="617">
        <f t="shared" si="0"/>
        <v>58.9</v>
      </c>
    </row>
    <row r="27" spans="2:10" s="187" customFormat="1" ht="15" customHeight="1" x14ac:dyDescent="0.2">
      <c r="B27" s="220">
        <v>2010</v>
      </c>
      <c r="C27" s="614">
        <f>10.8</f>
        <v>10.8</v>
      </c>
      <c r="D27" s="615">
        <f>0.8+0.6+2.1</f>
        <v>3.5</v>
      </c>
      <c r="E27" s="615">
        <f>27.5+1.2</f>
        <v>28.7</v>
      </c>
      <c r="F27" s="615">
        <f>8.7+11+0.5</f>
        <v>20.2</v>
      </c>
      <c r="G27" s="620">
        <f xml:space="preserve"> SUM(C27:F27)</f>
        <v>63.2</v>
      </c>
    </row>
    <row r="28" spans="2:10" s="210" customFormat="1" ht="15" customHeight="1" x14ac:dyDescent="0.2">
      <c r="B28" s="220">
        <v>2011</v>
      </c>
      <c r="C28" s="614">
        <v>10.5928</v>
      </c>
      <c r="D28" s="615">
        <v>3.8</v>
      </c>
      <c r="E28" s="615">
        <v>29.3</v>
      </c>
      <c r="F28" s="615">
        <v>20.7</v>
      </c>
      <c r="G28" s="620">
        <f xml:space="preserve"> SUM(C28:F28)</f>
        <v>64.392800000000008</v>
      </c>
      <c r="J28" s="1"/>
    </row>
    <row r="29" spans="2:10" ht="12.75" customHeight="1" x14ac:dyDescent="0.2">
      <c r="B29" s="220">
        <v>2012</v>
      </c>
      <c r="C29" s="614">
        <v>9.9832999999999998</v>
      </c>
      <c r="D29" s="615">
        <f>0.6469+1.0056+1.9835</f>
        <v>3.6360000000000001</v>
      </c>
      <c r="E29" s="615">
        <f>29.5+1</f>
        <v>30.5</v>
      </c>
      <c r="F29" s="615">
        <f>10.2+8.8+0.5</f>
        <v>19.5</v>
      </c>
      <c r="G29" s="620">
        <f t="shared" si="0"/>
        <v>63.619299999999996</v>
      </c>
    </row>
    <row r="30" spans="2:10" s="295" customFormat="1" ht="12.75" customHeight="1" x14ac:dyDescent="0.2">
      <c r="B30" s="220">
        <v>2013</v>
      </c>
      <c r="C30" s="614">
        <v>9.3363999999999994</v>
      </c>
      <c r="D30" s="615">
        <f>0.5885+0.964+1.8995</f>
        <v>3.452</v>
      </c>
      <c r="E30" s="615">
        <f>29.0223+1.0471</f>
        <v>30.069400000000002</v>
      </c>
      <c r="F30" s="615">
        <f>0.536+9.9644+8.3466</f>
        <v>18.847000000000001</v>
      </c>
      <c r="G30" s="620">
        <f t="shared" si="0"/>
        <v>61.704799999999999</v>
      </c>
    </row>
    <row r="31" spans="2:10" s="399" customFormat="1" ht="12.75" customHeight="1" x14ac:dyDescent="0.2">
      <c r="B31" s="621">
        <v>2014</v>
      </c>
      <c r="C31" s="614">
        <v>9.1443999999999992</v>
      </c>
      <c r="D31" s="615">
        <f>0.5492+0.936+1.817</f>
        <v>3.3022</v>
      </c>
      <c r="E31" s="615">
        <f>30.2496+1.0963</f>
        <v>31.3459</v>
      </c>
      <c r="F31" s="616">
        <f>0.5766+10.0174+8.415</f>
        <v>19.009</v>
      </c>
      <c r="G31" s="620">
        <f t="shared" si="0"/>
        <v>62.801500000000004</v>
      </c>
    </row>
    <row r="32" spans="2:10" ht="12.75" customHeight="1" x14ac:dyDescent="0.2">
      <c r="B32" s="621">
        <v>2015</v>
      </c>
      <c r="C32" s="614">
        <v>8.6906999999999996</v>
      </c>
      <c r="D32" s="615">
        <f>0.9951+0.4668+1.8705</f>
        <v>3.3323999999999998</v>
      </c>
      <c r="E32" s="615">
        <f>31.1565+1.0332</f>
        <v>32.189700000000002</v>
      </c>
      <c r="F32" s="616">
        <f>0.5583+10.1742+8.7477</f>
        <v>19.480200000000004</v>
      </c>
      <c r="G32" s="620">
        <f t="shared" si="0"/>
        <v>63.693000000000005</v>
      </c>
    </row>
    <row r="33" spans="1:12" s="437" customFormat="1" ht="12.75" customHeight="1" x14ac:dyDescent="0.2">
      <c r="B33" s="220">
        <v>2016</v>
      </c>
      <c r="C33" s="614">
        <v>8.4353999999999996</v>
      </c>
      <c r="D33" s="615">
        <v>3.2898999999999998</v>
      </c>
      <c r="E33" s="615">
        <v>34.646999999999998</v>
      </c>
      <c r="F33" s="616">
        <v>19.8476</v>
      </c>
      <c r="G33" s="620">
        <v>66.219899999999996</v>
      </c>
      <c r="H33" s="543"/>
    </row>
    <row r="34" spans="1:12" ht="12.75" customHeight="1" x14ac:dyDescent="0.2">
      <c r="B34" s="220">
        <v>2017</v>
      </c>
      <c r="C34" s="614">
        <v>8.5690000000000008</v>
      </c>
      <c r="D34" s="615">
        <f>0.3+0.984+1.865</f>
        <v>3.149</v>
      </c>
      <c r="E34" s="615">
        <f>36.339+0.955</f>
        <v>37.293999999999997</v>
      </c>
      <c r="F34" s="616">
        <f>0.585+11.131+9.446</f>
        <v>21.161999999999999</v>
      </c>
      <c r="G34" s="620">
        <f>SUM(C34:F34)</f>
        <v>70.174000000000007</v>
      </c>
    </row>
    <row r="35" spans="1:12" ht="12.75" customHeight="1" thickBot="1" x14ac:dyDescent="0.25">
      <c r="B35" s="220">
        <v>2018</v>
      </c>
      <c r="C35" s="614">
        <v>8.4160000000000004</v>
      </c>
      <c r="D35" s="615">
        <f>0.3995+1.046+1.8413</f>
        <v>3.2867999999999999</v>
      </c>
      <c r="E35" s="615">
        <f>38.8265+0.9288</f>
        <v>39.755300000000005</v>
      </c>
      <c r="F35" s="823">
        <f>0.6518+11.8174+9.4564</f>
        <v>21.925599999999999</v>
      </c>
      <c r="G35" s="824">
        <f>SUM(C35:F35)</f>
        <v>73.383700000000005</v>
      </c>
      <c r="H35" s="502"/>
    </row>
    <row r="36" spans="1:12" s="750" customFormat="1" ht="12.75" customHeight="1" thickTop="1" x14ac:dyDescent="0.2">
      <c r="B36" s="220">
        <v>2019</v>
      </c>
      <c r="C36" s="614">
        <f>7304/1000</f>
        <v>7.3040000000000003</v>
      </c>
      <c r="D36" s="615">
        <f>(1036.1+385.4+1456.5)/1000</f>
        <v>2.8780000000000001</v>
      </c>
      <c r="E36" s="615">
        <f>(843.3+39918.9)/1000</f>
        <v>40.762200000000007</v>
      </c>
      <c r="F36" s="618">
        <f>(11598.3+9544.7)/1000</f>
        <v>21.143000000000001</v>
      </c>
      <c r="G36" s="619">
        <f>SUM(C36:F36)</f>
        <v>72.08720000000001</v>
      </c>
      <c r="H36" s="1"/>
    </row>
    <row r="37" spans="1:12" s="810" customFormat="1" ht="12.75" customHeight="1" x14ac:dyDescent="0.2">
      <c r="A37" s="892"/>
      <c r="B37" s="220">
        <v>2020</v>
      </c>
      <c r="C37" s="615">
        <f>7140/1000</f>
        <v>7.14</v>
      </c>
      <c r="D37" s="615">
        <f>(302+1051.4+1305.8)/1000</f>
        <v>2.6591999999999998</v>
      </c>
      <c r="E37" s="615">
        <f>(794+37423)/1000</f>
        <v>38.216999999999999</v>
      </c>
      <c r="F37" s="616">
        <f>(10683+8597)/1000</f>
        <v>19.28</v>
      </c>
      <c r="G37" s="617">
        <f>SUM(C37:F37)</f>
        <v>67.296199999999999</v>
      </c>
      <c r="H37" s="1"/>
    </row>
    <row r="38" spans="1:12" s="891" customFormat="1" ht="12.75" customHeight="1" x14ac:dyDescent="0.2">
      <c r="A38" s="892"/>
      <c r="B38" s="821">
        <v>2021</v>
      </c>
      <c r="C38" s="622">
        <f>6976.5/1000</f>
        <v>6.9764999999999997</v>
      </c>
      <c r="D38" s="623">
        <f>(928.3+271+1323.4)/1000</f>
        <v>2.5226999999999999</v>
      </c>
      <c r="E38" s="623">
        <f>(872.4+39676.3)/1000</f>
        <v>40.548700000000004</v>
      </c>
      <c r="F38" s="996">
        <f>(12484.4+9375.7)/1000</f>
        <v>21.860099999999999</v>
      </c>
      <c r="G38" s="617">
        <f>SUM(C38:F38)</f>
        <v>71.908000000000001</v>
      </c>
      <c r="H38" s="1"/>
    </row>
    <row r="39" spans="1:12" ht="15.75" customHeight="1" x14ac:dyDescent="0.2">
      <c r="B39" s="624"/>
      <c r="C39" s="1191" t="s">
        <v>226</v>
      </c>
      <c r="D39" s="1192"/>
      <c r="E39" s="1192"/>
      <c r="F39" s="1192"/>
      <c r="G39" s="1193"/>
    </row>
    <row r="40" spans="1:12" ht="15" customHeight="1" x14ac:dyDescent="0.2">
      <c r="B40" s="609" t="s">
        <v>1</v>
      </c>
      <c r="C40" s="711">
        <f>(POWER((C17/C9),1/15)-1)</f>
        <v>9.682497969462589E-2</v>
      </c>
      <c r="D40" s="988">
        <f>(POWER((D17/D9),1/15)-1)</f>
        <v>3.2896702666538324E-2</v>
      </c>
      <c r="E40" s="988">
        <f>(POWER((E17/E9),1/15)-1)</f>
        <v>3.8929373461433991E-2</v>
      </c>
      <c r="F40" s="993">
        <f>(POWER((F17/F9),1/15)-1)</f>
        <v>5.4332481157693957E-2</v>
      </c>
      <c r="G40" s="991">
        <f>(POWER((G17/G9),1/15)-1)</f>
        <v>5.0371878078876886E-2</v>
      </c>
      <c r="I40" s="858"/>
      <c r="J40" s="858"/>
      <c r="K40" s="858"/>
      <c r="L40" s="1"/>
    </row>
    <row r="41" spans="1:12" ht="12.75" customHeight="1" x14ac:dyDescent="0.2">
      <c r="B41" s="220" t="s">
        <v>655</v>
      </c>
      <c r="C41" s="712">
        <f>(POWER((C38/C17),1/21)-1)</f>
        <v>-4.0679362465538826E-3</v>
      </c>
      <c r="D41" s="989">
        <f t="shared" ref="D41:G41" si="1">(POWER((D38/D17),1/21)-1)</f>
        <v>3.2073396671438159E-2</v>
      </c>
      <c r="E41" s="989">
        <f t="shared" si="1"/>
        <v>2.027870847505131E-2</v>
      </c>
      <c r="F41" s="994">
        <f t="shared" si="1"/>
        <v>-1.0353360467523554E-2</v>
      </c>
      <c r="G41" s="992">
        <f t="shared" si="1"/>
        <v>6.5463857887739785E-3</v>
      </c>
      <c r="I41" s="858"/>
      <c r="J41" s="858"/>
      <c r="K41" s="858"/>
      <c r="L41" s="858"/>
    </row>
    <row r="42" spans="1:12" ht="12.75" customHeight="1" x14ac:dyDescent="0.2">
      <c r="B42" s="189" t="s">
        <v>656</v>
      </c>
      <c r="C42" s="713">
        <f>C38/C37-1</f>
        <v>-2.2899159663865576E-2</v>
      </c>
      <c r="D42" s="990">
        <f t="shared" ref="D42:G42" si="2">D38/D37-1</f>
        <v>-5.1331227436823057E-2</v>
      </c>
      <c r="E42" s="990">
        <f t="shared" si="2"/>
        <v>6.1012115027343938E-2</v>
      </c>
      <c r="F42" s="995">
        <f t="shared" si="2"/>
        <v>0.13382261410788376</v>
      </c>
      <c r="G42" s="987">
        <f t="shared" si="2"/>
        <v>6.8529872414787141E-2</v>
      </c>
      <c r="I42" s="858"/>
      <c r="K42" s="858"/>
      <c r="L42" s="858"/>
    </row>
    <row r="43" spans="1:12" ht="12.75" customHeight="1" x14ac:dyDescent="0.2">
      <c r="B43" s="625" t="s">
        <v>529</v>
      </c>
      <c r="C43" s="303"/>
      <c r="D43" s="303"/>
      <c r="E43" s="303"/>
      <c r="F43" s="303"/>
      <c r="G43" s="309"/>
      <c r="I43" s="858"/>
      <c r="J43" s="858"/>
      <c r="K43" s="858"/>
      <c r="L43" s="858"/>
    </row>
    <row r="44" spans="1:12" ht="12.75" customHeight="1" x14ac:dyDescent="0.2">
      <c r="B44" s="585"/>
      <c r="C44" s="585"/>
      <c r="D44" s="585"/>
      <c r="E44" s="585"/>
      <c r="F44" s="585"/>
      <c r="G44" s="585"/>
      <c r="I44" s="858"/>
      <c r="J44" s="858"/>
      <c r="K44" s="858"/>
      <c r="L44" s="858"/>
    </row>
    <row r="45" spans="1:12" ht="12.75" customHeight="1" x14ac:dyDescent="0.2">
      <c r="B45" s="626"/>
      <c r="C45" s="1084" t="s">
        <v>204</v>
      </c>
      <c r="D45" s="1160"/>
      <c r="E45" s="1160"/>
      <c r="F45" s="1160"/>
      <c r="G45" s="1166"/>
      <c r="I45" s="858"/>
      <c r="J45" s="858"/>
      <c r="K45" s="858"/>
      <c r="L45" s="858"/>
    </row>
    <row r="46" spans="1:12" ht="12.75" customHeight="1" x14ac:dyDescent="0.2">
      <c r="B46" s="3"/>
      <c r="C46" s="87" t="s">
        <v>80</v>
      </c>
      <c r="D46" s="88"/>
      <c r="E46" s="589" t="s">
        <v>122</v>
      </c>
      <c r="F46" s="588" t="s">
        <v>123</v>
      </c>
      <c r="G46" s="91" t="s">
        <v>130</v>
      </c>
      <c r="I46" s="858"/>
      <c r="J46" s="858"/>
      <c r="K46" s="858"/>
      <c r="L46" s="858"/>
    </row>
    <row r="47" spans="1:12" ht="12.75" customHeight="1" x14ac:dyDescent="0.2">
      <c r="B47" s="3"/>
      <c r="C47" s="604" t="s">
        <v>78</v>
      </c>
      <c r="D47" s="605" t="s">
        <v>81</v>
      </c>
      <c r="E47" s="219" t="s">
        <v>79</v>
      </c>
      <c r="F47" s="219" t="s">
        <v>241</v>
      </c>
      <c r="G47" s="606"/>
      <c r="I47" s="858"/>
      <c r="J47" s="858"/>
      <c r="K47" s="858"/>
      <c r="L47" s="858"/>
    </row>
    <row r="48" spans="1:12" ht="12.75" customHeight="1" x14ac:dyDescent="0.2">
      <c r="B48" s="3"/>
      <c r="C48" s="604"/>
      <c r="D48" s="607" t="s">
        <v>82</v>
      </c>
      <c r="E48" s="219" t="s">
        <v>240</v>
      </c>
      <c r="F48" s="219" t="s">
        <v>242</v>
      </c>
      <c r="G48" s="606"/>
      <c r="I48" s="858"/>
      <c r="J48" s="858"/>
      <c r="K48" s="858"/>
      <c r="L48" s="858"/>
    </row>
    <row r="49" spans="2:12" ht="12.75" customHeight="1" x14ac:dyDescent="0.2">
      <c r="B49" s="3"/>
      <c r="C49" s="604"/>
      <c r="D49" s="607" t="s">
        <v>203</v>
      </c>
      <c r="E49" s="219"/>
      <c r="F49" s="608" t="s">
        <v>202</v>
      </c>
      <c r="G49" s="566"/>
      <c r="I49" s="858"/>
      <c r="J49" s="858"/>
      <c r="K49" s="858"/>
      <c r="L49" s="858"/>
    </row>
    <row r="50" spans="2:12" ht="12.75" customHeight="1" x14ac:dyDescent="0.2">
      <c r="B50" s="609">
        <v>1999</v>
      </c>
      <c r="C50" s="627">
        <v>1101</v>
      </c>
      <c r="D50" s="628">
        <v>216</v>
      </c>
      <c r="E50" s="628">
        <v>1639</v>
      </c>
      <c r="F50" s="629">
        <v>1674</v>
      </c>
      <c r="G50" s="630">
        <f xml:space="preserve"> SUM(C50:F50)</f>
        <v>4630</v>
      </c>
      <c r="I50" s="858"/>
      <c r="J50" s="858"/>
      <c r="K50" s="858"/>
      <c r="L50" s="858"/>
    </row>
    <row r="51" spans="2:12" ht="12.75" customHeight="1" x14ac:dyDescent="0.2">
      <c r="B51" s="220">
        <v>2000</v>
      </c>
      <c r="C51" s="631">
        <v>1187</v>
      </c>
      <c r="D51" s="632">
        <v>217</v>
      </c>
      <c r="E51" s="632">
        <v>1653</v>
      </c>
      <c r="F51" s="633">
        <v>1672</v>
      </c>
      <c r="G51" s="634">
        <f t="shared" ref="G51:G66" si="3" xml:space="preserve"> SUM(C51:F51)</f>
        <v>4729</v>
      </c>
      <c r="I51" s="858"/>
      <c r="J51" s="858"/>
      <c r="K51" s="858"/>
      <c r="L51" s="858"/>
    </row>
    <row r="52" spans="2:12" ht="12.75" customHeight="1" x14ac:dyDescent="0.2">
      <c r="B52" s="220">
        <v>2001</v>
      </c>
      <c r="C52" s="631">
        <v>966</v>
      </c>
      <c r="D52" s="632">
        <v>405</v>
      </c>
      <c r="E52" s="632">
        <v>1647</v>
      </c>
      <c r="F52" s="633">
        <v>1673</v>
      </c>
      <c r="G52" s="634">
        <f t="shared" si="3"/>
        <v>4691</v>
      </c>
      <c r="I52" s="858"/>
      <c r="J52" s="858"/>
      <c r="K52" s="858"/>
      <c r="L52" s="858"/>
    </row>
    <row r="53" spans="2:12" ht="12.75" customHeight="1" x14ac:dyDescent="0.2">
      <c r="B53" s="220">
        <v>2002</v>
      </c>
      <c r="C53" s="631">
        <v>858</v>
      </c>
      <c r="D53" s="632">
        <v>391</v>
      </c>
      <c r="E53" s="276">
        <v>1710</v>
      </c>
      <c r="F53" s="277">
        <v>1581</v>
      </c>
      <c r="G53" s="634">
        <f t="shared" si="3"/>
        <v>4540</v>
      </c>
      <c r="I53" s="858"/>
      <c r="J53" s="858"/>
      <c r="K53" s="858"/>
      <c r="L53" s="858"/>
    </row>
    <row r="54" spans="2:12" ht="15" customHeight="1" x14ac:dyDescent="0.2">
      <c r="B54" s="220">
        <v>2003</v>
      </c>
      <c r="C54" s="631">
        <v>1004</v>
      </c>
      <c r="D54" s="632">
        <v>287</v>
      </c>
      <c r="E54" s="632">
        <v>1775</v>
      </c>
      <c r="F54" s="633">
        <v>1572</v>
      </c>
      <c r="G54" s="634">
        <f t="shared" si="3"/>
        <v>4638</v>
      </c>
      <c r="I54" s="858"/>
      <c r="J54" s="858"/>
      <c r="K54" s="858"/>
      <c r="L54" s="858"/>
    </row>
    <row r="55" spans="2:12" ht="12.75" customHeight="1" x14ac:dyDescent="0.2">
      <c r="B55" s="220">
        <v>2004</v>
      </c>
      <c r="C55" s="631">
        <v>969</v>
      </c>
      <c r="D55" s="632">
        <v>286</v>
      </c>
      <c r="E55" s="632">
        <v>2118</v>
      </c>
      <c r="F55" s="633">
        <v>1515</v>
      </c>
      <c r="G55" s="634">
        <f t="shared" si="3"/>
        <v>4888</v>
      </c>
      <c r="I55" s="858"/>
      <c r="J55" s="858"/>
      <c r="K55" s="858"/>
      <c r="L55" s="858"/>
    </row>
    <row r="56" spans="2:12" ht="15" customHeight="1" x14ac:dyDescent="0.2">
      <c r="B56" s="220">
        <v>2005</v>
      </c>
      <c r="C56" s="631">
        <v>925</v>
      </c>
      <c r="D56" s="632">
        <v>279</v>
      </c>
      <c r="E56" s="632">
        <v>2121</v>
      </c>
      <c r="F56" s="633">
        <v>1435</v>
      </c>
      <c r="G56" s="634">
        <f t="shared" si="3"/>
        <v>4760</v>
      </c>
      <c r="I56" s="858"/>
      <c r="J56" s="858"/>
      <c r="K56" s="858"/>
      <c r="L56" s="858"/>
    </row>
    <row r="57" spans="2:12" ht="14.25" customHeight="1" x14ac:dyDescent="0.2">
      <c r="B57" s="220">
        <v>2006</v>
      </c>
      <c r="C57" s="631">
        <v>856</v>
      </c>
      <c r="D57" s="632">
        <v>326</v>
      </c>
      <c r="E57" s="632">
        <v>2268</v>
      </c>
      <c r="F57" s="633">
        <v>1529</v>
      </c>
      <c r="G57" s="634">
        <f t="shared" si="3"/>
        <v>4979</v>
      </c>
      <c r="I57" s="858"/>
      <c r="J57" s="858"/>
      <c r="K57" s="858"/>
      <c r="L57" s="858"/>
    </row>
    <row r="58" spans="2:12" s="187" customFormat="1" ht="15" customHeight="1" x14ac:dyDescent="0.2">
      <c r="B58" s="220">
        <v>2007</v>
      </c>
      <c r="C58" s="631">
        <v>963</v>
      </c>
      <c r="D58" s="632">
        <v>299</v>
      </c>
      <c r="E58" s="632">
        <v>2277</v>
      </c>
      <c r="F58" s="633">
        <v>1531</v>
      </c>
      <c r="G58" s="634">
        <f t="shared" si="3"/>
        <v>5070</v>
      </c>
      <c r="I58" s="858"/>
      <c r="J58" s="858"/>
      <c r="K58" s="858"/>
      <c r="L58" s="858"/>
    </row>
    <row r="59" spans="2:12" s="210" customFormat="1" ht="13.5" customHeight="1" x14ac:dyDescent="0.2">
      <c r="B59" s="220">
        <v>2008</v>
      </c>
      <c r="C59" s="631">
        <v>973</v>
      </c>
      <c r="D59" s="632">
        <v>302</v>
      </c>
      <c r="E59" s="632">
        <v>2200</v>
      </c>
      <c r="F59" s="633">
        <v>1474</v>
      </c>
      <c r="G59" s="634">
        <f t="shared" si="3"/>
        <v>4949</v>
      </c>
      <c r="I59" s="858"/>
      <c r="J59" s="858"/>
      <c r="K59" s="858"/>
      <c r="L59" s="858"/>
    </row>
    <row r="60" spans="2:12" ht="12.75" customHeight="1" x14ac:dyDescent="0.2">
      <c r="B60" s="220">
        <v>2009</v>
      </c>
      <c r="C60" s="631">
        <v>900</v>
      </c>
      <c r="D60" s="632">
        <f>46+68+166</f>
        <v>280</v>
      </c>
      <c r="E60" s="632">
        <f>97+1745</f>
        <v>1842</v>
      </c>
      <c r="F60" s="633">
        <f>49+686+518</f>
        <v>1253</v>
      </c>
      <c r="G60" s="634">
        <f t="shared" si="3"/>
        <v>4275</v>
      </c>
      <c r="I60" s="858"/>
      <c r="J60" s="858"/>
      <c r="K60" s="858"/>
      <c r="L60" s="858"/>
    </row>
    <row r="61" spans="2:12" s="295" customFormat="1" ht="12.75" customHeight="1" x14ac:dyDescent="0.2">
      <c r="B61" s="220">
        <v>2010</v>
      </c>
      <c r="C61" s="330">
        <v>928.4</v>
      </c>
      <c r="D61" s="331">
        <f>47.8+182.1+77.9</f>
        <v>307.79999999999995</v>
      </c>
      <c r="E61" s="331">
        <f>97+1850</f>
        <v>1947</v>
      </c>
      <c r="F61" s="332">
        <f>52+732+572</f>
        <v>1356</v>
      </c>
      <c r="G61" s="634">
        <f t="shared" si="3"/>
        <v>4539.2</v>
      </c>
      <c r="I61" s="858"/>
      <c r="J61" s="858"/>
      <c r="K61" s="858"/>
      <c r="L61" s="858"/>
    </row>
    <row r="62" spans="2:12" s="399" customFormat="1" ht="12.75" customHeight="1" x14ac:dyDescent="0.2">
      <c r="B62" s="220">
        <v>2011</v>
      </c>
      <c r="C62" s="330">
        <v>898</v>
      </c>
      <c r="D62" s="331">
        <f>57.5+78.9+185.1</f>
        <v>321.5</v>
      </c>
      <c r="E62" s="331">
        <v>1980</v>
      </c>
      <c r="F62" s="332">
        <v>1389</v>
      </c>
      <c r="G62" s="634">
        <f t="shared" si="3"/>
        <v>4588.5</v>
      </c>
      <c r="I62" s="858"/>
      <c r="J62" s="858"/>
      <c r="K62" s="858"/>
      <c r="L62" s="858"/>
    </row>
    <row r="63" spans="2:12" x14ac:dyDescent="0.2">
      <c r="B63" s="220">
        <v>2012</v>
      </c>
      <c r="C63" s="330">
        <v>843.4</v>
      </c>
      <c r="D63" s="331">
        <f>169.3+83.7+54.4</f>
        <v>307.39999999999998</v>
      </c>
      <c r="E63" s="331">
        <f>1966+92</f>
        <v>2058</v>
      </c>
      <c r="F63" s="332">
        <f>48+678+581</f>
        <v>1307</v>
      </c>
      <c r="G63" s="634">
        <f t="shared" si="3"/>
        <v>4515.8</v>
      </c>
      <c r="I63" s="858"/>
      <c r="J63" s="858"/>
      <c r="K63" s="858"/>
      <c r="L63" s="858"/>
    </row>
    <row r="64" spans="2:12" x14ac:dyDescent="0.2">
      <c r="B64" s="220">
        <v>2013</v>
      </c>
      <c r="C64" s="331">
        <v>766.4</v>
      </c>
      <c r="D64" s="331">
        <f>78.2+47.9+156.3</f>
        <v>282.39999999999998</v>
      </c>
      <c r="E64" s="331">
        <f>92.5+1935.6</f>
        <v>2028.1</v>
      </c>
      <c r="F64" s="331">
        <f>52+663+549.2</f>
        <v>1264.2</v>
      </c>
      <c r="G64" s="635">
        <f t="shared" si="3"/>
        <v>4341.0999999999995</v>
      </c>
      <c r="I64" s="858"/>
      <c r="J64" s="858"/>
      <c r="K64" s="858"/>
      <c r="L64" s="858"/>
    </row>
    <row r="65" spans="1:13" x14ac:dyDescent="0.2">
      <c r="B65" s="621">
        <v>2014</v>
      </c>
      <c r="C65" s="330">
        <v>758.33</v>
      </c>
      <c r="D65" s="331">
        <f>45.5+77.3+151.5</f>
        <v>274.3</v>
      </c>
      <c r="E65" s="331">
        <f>97.1+2014.4</f>
        <v>2111.5</v>
      </c>
      <c r="F65" s="332">
        <f>56+666.5+553.7</f>
        <v>1276.2</v>
      </c>
      <c r="G65" s="634">
        <f t="shared" si="3"/>
        <v>4420.33</v>
      </c>
      <c r="M65" s="1"/>
    </row>
    <row r="66" spans="1:13" x14ac:dyDescent="0.2">
      <c r="B66" s="621">
        <v>2015</v>
      </c>
      <c r="C66" s="330">
        <v>729.6</v>
      </c>
      <c r="D66" s="331">
        <f>83+39.6+157.4</f>
        <v>280</v>
      </c>
      <c r="E66" s="331">
        <f>2068.3+91.8</f>
        <v>2160.1000000000004</v>
      </c>
      <c r="F66" s="332">
        <f>54.2+677+575.6</f>
        <v>1306.8000000000002</v>
      </c>
      <c r="G66" s="635">
        <f t="shared" si="3"/>
        <v>4476.5</v>
      </c>
    </row>
    <row r="67" spans="1:13" x14ac:dyDescent="0.2">
      <c r="B67" s="621">
        <v>2016</v>
      </c>
      <c r="C67" s="330">
        <v>700.7</v>
      </c>
      <c r="D67" s="331">
        <f>148.1+89.1+37.2</f>
        <v>274.39999999999998</v>
      </c>
      <c r="E67" s="331">
        <f>2209.9+105</f>
        <v>2314.9</v>
      </c>
      <c r="F67" s="332">
        <f>51.7+703.9+574.8</f>
        <v>1330.4</v>
      </c>
      <c r="G67" s="635">
        <f t="shared" ref="G67:G72" si="4" xml:space="preserve"> SUM(C67:F67)</f>
        <v>4620.3999999999996</v>
      </c>
    </row>
    <row r="68" spans="1:13" x14ac:dyDescent="0.2">
      <c r="B68" s="621">
        <v>2017</v>
      </c>
      <c r="C68" s="330">
        <v>698</v>
      </c>
      <c r="D68" s="331">
        <f>26+81+150</f>
        <v>257</v>
      </c>
      <c r="E68" s="331">
        <f>109+2344</f>
        <v>2453</v>
      </c>
      <c r="F68" s="332">
        <f>57+741+621</f>
        <v>1419</v>
      </c>
      <c r="G68" s="635">
        <f t="shared" si="4"/>
        <v>4827</v>
      </c>
      <c r="J68" s="1"/>
    </row>
    <row r="69" spans="1:13" ht="12.75" customHeight="1" thickBot="1" x14ac:dyDescent="0.25">
      <c r="B69" s="621">
        <v>2018</v>
      </c>
      <c r="C69" s="330">
        <v>677.1</v>
      </c>
      <c r="D69" s="331">
        <f>33.8+86.3+143.8</f>
        <v>263.89999999999998</v>
      </c>
      <c r="E69" s="331">
        <f>107.3+2494.2</f>
        <v>2601.5</v>
      </c>
      <c r="F69" s="825">
        <f>63.3+786.3+622.2</f>
        <v>1471.8</v>
      </c>
      <c r="G69" s="822">
        <f t="shared" si="4"/>
        <v>5014.3</v>
      </c>
      <c r="I69" s="1"/>
    </row>
    <row r="70" spans="1:13" s="750" customFormat="1" ht="13.5" customHeight="1" thickTop="1" x14ac:dyDescent="0.2">
      <c r="A70" s="751"/>
      <c r="B70" s="220">
        <v>2019</v>
      </c>
      <c r="C70" s="331">
        <f>642.9</f>
        <v>642.9</v>
      </c>
      <c r="D70" s="331">
        <f>89.4+34.4+131.4</f>
        <v>255.20000000000002</v>
      </c>
      <c r="E70" s="331">
        <f>100.1+2559.7</f>
        <v>2659.7999999999997</v>
      </c>
      <c r="F70" s="826">
        <f>771.7+628</f>
        <v>1399.7</v>
      </c>
      <c r="G70" s="827">
        <f t="shared" si="4"/>
        <v>4957.5999999999995</v>
      </c>
      <c r="H70" s="502"/>
    </row>
    <row r="71" spans="1:13" s="810" customFormat="1" ht="13.5" customHeight="1" x14ac:dyDescent="0.2">
      <c r="A71" s="1"/>
      <c r="B71" s="220">
        <v>2020</v>
      </c>
      <c r="C71" s="331">
        <v>628.4</v>
      </c>
      <c r="D71" s="331">
        <f>27+90+117</f>
        <v>234</v>
      </c>
      <c r="E71" s="331">
        <f>2377+88</f>
        <v>2465</v>
      </c>
      <c r="F71" s="332">
        <f>711+566</f>
        <v>1277</v>
      </c>
      <c r="G71" s="635">
        <f t="shared" si="4"/>
        <v>4604.3999999999996</v>
      </c>
      <c r="H71" s="1"/>
    </row>
    <row r="72" spans="1:13" s="891" customFormat="1" ht="13.5" customHeight="1" x14ac:dyDescent="0.2">
      <c r="A72" s="981">
        <v>2021</v>
      </c>
      <c r="B72" s="982">
        <v>2021</v>
      </c>
      <c r="C72" s="336">
        <v>637.1</v>
      </c>
      <c r="D72" s="336">
        <f>24.6+79.8+118.7</f>
        <v>223.10000000000002</v>
      </c>
      <c r="E72" s="336">
        <f>102.8+2523.8</f>
        <v>2626.6000000000004</v>
      </c>
      <c r="F72" s="336">
        <f>830.7+616.9</f>
        <v>1447.6</v>
      </c>
      <c r="G72" s="636">
        <f t="shared" si="4"/>
        <v>4934.3999999999996</v>
      </c>
      <c r="H72" s="1"/>
    </row>
    <row r="73" spans="1:13" x14ac:dyDescent="0.2">
      <c r="B73" s="19" t="s">
        <v>323</v>
      </c>
      <c r="C73" s="585"/>
      <c r="D73" s="585"/>
      <c r="E73" s="585"/>
      <c r="F73" s="585"/>
      <c r="G73" s="585"/>
    </row>
    <row r="74" spans="1:13" ht="15" customHeight="1" x14ac:dyDescent="0.2">
      <c r="B74" s="1187" t="s">
        <v>427</v>
      </c>
      <c r="C74" s="1187"/>
      <c r="D74" s="1187"/>
      <c r="E74" s="1187"/>
      <c r="F74" s="1187"/>
      <c r="G74" s="1187"/>
    </row>
    <row r="75" spans="1:13" ht="12.75" customHeight="1" x14ac:dyDescent="0.2">
      <c r="B75" s="1186" t="s">
        <v>530</v>
      </c>
      <c r="C75" s="1186"/>
      <c r="D75" s="1186"/>
      <c r="E75" s="1186"/>
      <c r="F75" s="1186"/>
      <c r="G75" s="1186"/>
    </row>
    <row r="76" spans="1:13" ht="12" customHeight="1" x14ac:dyDescent="0.2"/>
    <row r="77" spans="1:13" x14ac:dyDescent="0.2">
      <c r="F77" s="1"/>
    </row>
    <row r="95" spans="22:22" x14ac:dyDescent="0.2">
      <c r="V95" s="1"/>
    </row>
  </sheetData>
  <mergeCells count="7">
    <mergeCell ref="B75:G75"/>
    <mergeCell ref="B74:G74"/>
    <mergeCell ref="B2:G2"/>
    <mergeCell ref="C3:G3"/>
    <mergeCell ref="C4:G4"/>
    <mergeCell ref="C39:G39"/>
    <mergeCell ref="C45:G45"/>
  </mergeCells>
  <phoneticPr fontId="6"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31"/>
  <dimension ref="B1:G113"/>
  <sheetViews>
    <sheetView zoomScaleNormal="100" workbookViewId="0">
      <selection activeCell="M35" sqref="M35"/>
    </sheetView>
  </sheetViews>
  <sheetFormatPr defaultRowHeight="12.75" x14ac:dyDescent="0.2"/>
  <cols>
    <col min="1" max="2" width="2.85546875" style="699" customWidth="1"/>
    <col min="3" max="3" width="5.7109375" style="699" customWidth="1"/>
    <col min="4" max="7" width="11.7109375" style="699" customWidth="1"/>
    <col min="8" max="16384" width="9.140625" style="699"/>
  </cols>
  <sheetData>
    <row r="1" spans="3:7" ht="14.25" customHeight="1" x14ac:dyDescent="0.2">
      <c r="C1" s="15"/>
      <c r="D1" s="15"/>
      <c r="E1" s="15"/>
      <c r="F1" s="15"/>
      <c r="G1" s="35" t="s">
        <v>262</v>
      </c>
    </row>
    <row r="2" spans="3:7" ht="30" customHeight="1" x14ac:dyDescent="0.2">
      <c r="C2" s="1079" t="s">
        <v>420</v>
      </c>
      <c r="D2" s="1079"/>
      <c r="E2" s="1079"/>
      <c r="F2" s="1079"/>
      <c r="G2" s="1079"/>
    </row>
    <row r="3" spans="3:7" ht="20.100000000000001" customHeight="1" x14ac:dyDescent="0.2">
      <c r="C3" s="698"/>
      <c r="D3" s="1084" t="s">
        <v>44</v>
      </c>
      <c r="E3" s="1160"/>
      <c r="F3" s="1160"/>
      <c r="G3" s="1166"/>
    </row>
    <row r="4" spans="3:7" ht="15" customHeight="1" x14ac:dyDescent="0.2">
      <c r="C4" s="93"/>
      <c r="D4" s="1198" t="s">
        <v>85</v>
      </c>
      <c r="E4" s="1199"/>
      <c r="F4" s="1199"/>
      <c r="G4" s="1200"/>
    </row>
    <row r="5" spans="3:7" ht="12.75" customHeight="1" x14ac:dyDescent="0.2">
      <c r="C5" s="323"/>
      <c r="D5" s="324" t="s">
        <v>83</v>
      </c>
      <c r="E5" s="325" t="s">
        <v>84</v>
      </c>
      <c r="F5" s="1196" t="s">
        <v>133</v>
      </c>
      <c r="G5" s="326" t="s">
        <v>130</v>
      </c>
    </row>
    <row r="6" spans="3:7" ht="12.75" customHeight="1" x14ac:dyDescent="0.2">
      <c r="C6" s="323"/>
      <c r="D6" s="225" t="s">
        <v>298</v>
      </c>
      <c r="E6" s="226" t="s">
        <v>299</v>
      </c>
      <c r="F6" s="1196"/>
      <c r="G6" s="326"/>
    </row>
    <row r="7" spans="3:7" ht="12.75" customHeight="1" x14ac:dyDescent="0.2">
      <c r="C7" s="327"/>
      <c r="D7" s="224" t="s">
        <v>131</v>
      </c>
      <c r="E7" s="227" t="s">
        <v>132</v>
      </c>
      <c r="F7" s="1197"/>
      <c r="G7" s="328"/>
    </row>
    <row r="8" spans="3:7" ht="12.75" customHeight="1" x14ac:dyDescent="0.2">
      <c r="C8" s="329">
        <v>1997</v>
      </c>
      <c r="D8" s="330">
        <v>5657</v>
      </c>
      <c r="E8" s="331">
        <v>6729</v>
      </c>
      <c r="F8" s="332">
        <v>880</v>
      </c>
      <c r="G8" s="332">
        <f t="shared" ref="G8:G17" si="0">SUM(D8:F8)</f>
        <v>13266</v>
      </c>
    </row>
    <row r="9" spans="3:7" ht="12.75" customHeight="1" x14ac:dyDescent="0.2">
      <c r="C9" s="333">
        <v>1998</v>
      </c>
      <c r="D9" s="330">
        <v>6447</v>
      </c>
      <c r="E9" s="331">
        <v>7413</v>
      </c>
      <c r="F9" s="332">
        <v>905</v>
      </c>
      <c r="G9" s="332">
        <f t="shared" si="0"/>
        <v>14765</v>
      </c>
    </row>
    <row r="10" spans="3:7" ht="12.75" customHeight="1" x14ac:dyDescent="0.2">
      <c r="C10" s="333">
        <v>1999</v>
      </c>
      <c r="D10" s="330">
        <v>6914</v>
      </c>
      <c r="E10" s="331">
        <v>8018</v>
      </c>
      <c r="F10" s="332">
        <v>914</v>
      </c>
      <c r="G10" s="332">
        <f t="shared" si="0"/>
        <v>15846</v>
      </c>
    </row>
    <row r="11" spans="3:7" ht="12.75" customHeight="1" x14ac:dyDescent="0.2">
      <c r="C11" s="333">
        <v>2000</v>
      </c>
      <c r="D11" s="330">
        <v>8224</v>
      </c>
      <c r="E11" s="331">
        <v>8200</v>
      </c>
      <c r="F11" s="332">
        <v>1519</v>
      </c>
      <c r="G11" s="332">
        <f t="shared" si="0"/>
        <v>17943</v>
      </c>
    </row>
    <row r="12" spans="3:7" ht="12.75" customHeight="1" x14ac:dyDescent="0.2">
      <c r="C12" s="333">
        <v>2001</v>
      </c>
      <c r="D12" s="330">
        <v>8806</v>
      </c>
      <c r="E12" s="331">
        <v>8050</v>
      </c>
      <c r="F12" s="332">
        <v>1172</v>
      </c>
      <c r="G12" s="332">
        <f t="shared" si="0"/>
        <v>18028</v>
      </c>
    </row>
    <row r="13" spans="3:7" ht="12.75" customHeight="1" x14ac:dyDescent="0.2">
      <c r="C13" s="333">
        <v>2002</v>
      </c>
      <c r="D13" s="330">
        <v>8864</v>
      </c>
      <c r="E13" s="331">
        <v>8535</v>
      </c>
      <c r="F13" s="332">
        <v>1505</v>
      </c>
      <c r="G13" s="332">
        <f t="shared" si="0"/>
        <v>18904</v>
      </c>
    </row>
    <row r="14" spans="3:7" ht="12.75" customHeight="1" x14ac:dyDescent="0.2">
      <c r="C14" s="333">
        <v>2003</v>
      </c>
      <c r="D14" s="330">
        <v>9276</v>
      </c>
      <c r="E14" s="331">
        <v>8920</v>
      </c>
      <c r="F14" s="332">
        <v>1758</v>
      </c>
      <c r="G14" s="332">
        <f t="shared" si="0"/>
        <v>19954</v>
      </c>
    </row>
    <row r="15" spans="3:7" ht="12.75" customHeight="1" x14ac:dyDescent="0.2">
      <c r="C15" s="333">
        <v>2004</v>
      </c>
      <c r="D15" s="330">
        <v>10655</v>
      </c>
      <c r="E15" s="331">
        <v>9302</v>
      </c>
      <c r="F15" s="332">
        <v>1875</v>
      </c>
      <c r="G15" s="332">
        <f t="shared" si="0"/>
        <v>21832</v>
      </c>
    </row>
    <row r="16" spans="3:7" ht="12.75" customHeight="1" x14ac:dyDescent="0.2">
      <c r="C16" s="333">
        <v>2005</v>
      </c>
      <c r="D16" s="330">
        <v>9970</v>
      </c>
      <c r="E16" s="331">
        <v>9243</v>
      </c>
      <c r="F16" s="332">
        <v>1825</v>
      </c>
      <c r="G16" s="332">
        <f t="shared" si="0"/>
        <v>21038</v>
      </c>
    </row>
    <row r="17" spans="2:7" ht="12.75" customHeight="1" x14ac:dyDescent="0.2">
      <c r="C17" s="333">
        <v>2006</v>
      </c>
      <c r="D17" s="330">
        <v>10390</v>
      </c>
      <c r="E17" s="331">
        <v>9602</v>
      </c>
      <c r="F17" s="332">
        <v>1939</v>
      </c>
      <c r="G17" s="332">
        <f t="shared" si="0"/>
        <v>21931</v>
      </c>
    </row>
    <row r="18" spans="2:7" ht="12.75" customHeight="1" x14ac:dyDescent="0.2">
      <c r="C18" s="333">
        <v>2008</v>
      </c>
      <c r="D18" s="330">
        <v>10670</v>
      </c>
      <c r="E18" s="331">
        <v>9484</v>
      </c>
      <c r="F18" s="332">
        <v>1334</v>
      </c>
      <c r="G18" s="332">
        <f t="shared" ref="G18:G26" si="1">SUM(D18:F18)</f>
        <v>21488</v>
      </c>
    </row>
    <row r="19" spans="2:7" ht="15" customHeight="1" x14ac:dyDescent="0.2">
      <c r="C19" s="333">
        <v>2009</v>
      </c>
      <c r="D19" s="330">
        <v>9711.5</v>
      </c>
      <c r="E19" s="331">
        <v>8609.5</v>
      </c>
      <c r="F19" s="332">
        <v>1367</v>
      </c>
      <c r="G19" s="332">
        <f t="shared" si="1"/>
        <v>19688</v>
      </c>
    </row>
    <row r="20" spans="2:7" ht="15" customHeight="1" x14ac:dyDescent="0.2">
      <c r="C20" s="333">
        <v>2011</v>
      </c>
      <c r="D20" s="331">
        <v>9413.5</v>
      </c>
      <c r="E20" s="331">
        <v>8944.5</v>
      </c>
      <c r="F20" s="332">
        <v>1316</v>
      </c>
      <c r="G20" s="334">
        <f t="shared" si="1"/>
        <v>19674</v>
      </c>
    </row>
    <row r="21" spans="2:7" ht="12.75" customHeight="1" x14ac:dyDescent="0.2">
      <c r="C21" s="333">
        <v>2013</v>
      </c>
      <c r="D21" s="331">
        <v>9164.5</v>
      </c>
      <c r="E21" s="331">
        <v>9163</v>
      </c>
      <c r="F21" s="331">
        <v>1306.5</v>
      </c>
      <c r="G21" s="334">
        <f t="shared" si="1"/>
        <v>19634</v>
      </c>
    </row>
    <row r="22" spans="2:7" ht="12.75" customHeight="1" x14ac:dyDescent="0.2">
      <c r="C22" s="333">
        <v>2014</v>
      </c>
      <c r="D22" s="331">
        <v>8605</v>
      </c>
      <c r="E22" s="331">
        <v>9501</v>
      </c>
      <c r="F22" s="331">
        <v>1242</v>
      </c>
      <c r="G22" s="334">
        <f t="shared" si="1"/>
        <v>19348</v>
      </c>
    </row>
    <row r="23" spans="2:7" ht="12.75" customHeight="1" x14ac:dyDescent="0.2">
      <c r="C23" s="333">
        <v>2015</v>
      </c>
      <c r="D23" s="331">
        <v>9280</v>
      </c>
      <c r="E23" s="331">
        <v>10066</v>
      </c>
      <c r="F23" s="331">
        <v>1387</v>
      </c>
      <c r="G23" s="334">
        <f t="shared" si="1"/>
        <v>20733</v>
      </c>
    </row>
    <row r="24" spans="2:7" ht="12.75" customHeight="1" x14ac:dyDescent="0.2">
      <c r="C24" s="333">
        <v>2016</v>
      </c>
      <c r="D24" s="331">
        <v>10745</v>
      </c>
      <c r="E24" s="331">
        <v>10096.5</v>
      </c>
      <c r="F24" s="332">
        <v>1453.5</v>
      </c>
      <c r="G24" s="334">
        <f t="shared" si="1"/>
        <v>22295</v>
      </c>
    </row>
    <row r="25" spans="2:7" ht="12.75" customHeight="1" x14ac:dyDescent="0.2">
      <c r="C25" s="333">
        <v>2017</v>
      </c>
      <c r="D25" s="331">
        <v>10170</v>
      </c>
      <c r="E25" s="331">
        <v>10463</v>
      </c>
      <c r="F25" s="332">
        <v>1242.5</v>
      </c>
      <c r="G25" s="334">
        <f t="shared" si="1"/>
        <v>21875.5</v>
      </c>
    </row>
    <row r="26" spans="2:7" s="805" customFormat="1" ht="12.75" customHeight="1" x14ac:dyDescent="0.2">
      <c r="B26" s="806"/>
      <c r="C26" s="335">
        <v>2018</v>
      </c>
      <c r="D26" s="336">
        <v>10480</v>
      </c>
      <c r="E26" s="336">
        <v>10906.5</v>
      </c>
      <c r="F26" s="571">
        <v>1507.5</v>
      </c>
      <c r="G26" s="334">
        <f t="shared" si="1"/>
        <v>22894</v>
      </c>
    </row>
    <row r="27" spans="2:7" ht="12.75" customHeight="1" x14ac:dyDescent="0.2">
      <c r="C27" s="1"/>
      <c r="D27" s="1"/>
      <c r="E27" s="1"/>
      <c r="F27" s="1"/>
      <c r="G27" s="840"/>
    </row>
    <row r="28" spans="2:7" ht="12.75" customHeight="1" x14ac:dyDescent="0.2">
      <c r="C28" s="698"/>
      <c r="D28" s="1084" t="s">
        <v>45</v>
      </c>
      <c r="E28" s="1160"/>
      <c r="F28" s="1160"/>
      <c r="G28" s="1166"/>
    </row>
    <row r="29" spans="2:7" ht="12.75" customHeight="1" x14ac:dyDescent="0.2">
      <c r="C29" s="95"/>
      <c r="D29" s="1201" t="s">
        <v>85</v>
      </c>
      <c r="E29" s="1202"/>
      <c r="F29" s="1202"/>
      <c r="G29" s="1203"/>
    </row>
    <row r="30" spans="2:7" ht="12.75" customHeight="1" x14ac:dyDescent="0.2">
      <c r="C30" s="323"/>
      <c r="D30" s="337" t="s">
        <v>83</v>
      </c>
      <c r="E30" s="338" t="s">
        <v>84</v>
      </c>
      <c r="F30" s="1196" t="s">
        <v>133</v>
      </c>
      <c r="G30" s="326" t="s">
        <v>130</v>
      </c>
    </row>
    <row r="31" spans="2:7" ht="12.75" customHeight="1" x14ac:dyDescent="0.2">
      <c r="C31" s="323"/>
      <c r="D31" s="225" t="s">
        <v>298</v>
      </c>
      <c r="E31" s="226" t="s">
        <v>299</v>
      </c>
      <c r="F31" s="1196"/>
      <c r="G31" s="326"/>
    </row>
    <row r="32" spans="2:7" ht="12.75" customHeight="1" x14ac:dyDescent="0.2">
      <c r="C32" s="32"/>
      <c r="D32" s="224" t="s">
        <v>131</v>
      </c>
      <c r="E32" s="227" t="s">
        <v>132</v>
      </c>
      <c r="F32" s="1197"/>
      <c r="G32" s="61"/>
    </row>
    <row r="33" spans="3:7" ht="12.75" customHeight="1" x14ac:dyDescent="0.2">
      <c r="C33" s="329">
        <v>1997</v>
      </c>
      <c r="D33" s="330">
        <v>30200</v>
      </c>
      <c r="E33" s="331">
        <v>19400</v>
      </c>
      <c r="F33" s="332">
        <v>27800</v>
      </c>
      <c r="G33" s="334">
        <f t="shared" ref="G33:G42" si="2">SUM(D33:F33)</f>
        <v>77400</v>
      </c>
    </row>
    <row r="34" spans="3:7" ht="15.75" customHeight="1" x14ac:dyDescent="0.2">
      <c r="C34" s="333">
        <v>1998</v>
      </c>
      <c r="D34" s="330">
        <v>30230</v>
      </c>
      <c r="E34" s="331">
        <v>20601</v>
      </c>
      <c r="F34" s="332">
        <v>33168</v>
      </c>
      <c r="G34" s="334">
        <f t="shared" si="2"/>
        <v>83999</v>
      </c>
    </row>
    <row r="35" spans="3:7" ht="12" customHeight="1" x14ac:dyDescent="0.2">
      <c r="C35" s="333">
        <v>1999</v>
      </c>
      <c r="D35" s="330">
        <v>33188</v>
      </c>
      <c r="E35" s="331">
        <v>20678</v>
      </c>
      <c r="F35" s="332">
        <v>33412</v>
      </c>
      <c r="G35" s="334">
        <f t="shared" si="2"/>
        <v>87278</v>
      </c>
    </row>
    <row r="36" spans="3:7" ht="15.75" customHeight="1" x14ac:dyDescent="0.2">
      <c r="C36" s="333">
        <v>2000</v>
      </c>
      <c r="D36" s="330">
        <v>40923</v>
      </c>
      <c r="E36" s="331">
        <v>24390</v>
      </c>
      <c r="F36" s="332">
        <v>31962</v>
      </c>
      <c r="G36" s="334">
        <f t="shared" si="2"/>
        <v>97275</v>
      </c>
    </row>
    <row r="37" spans="3:7" ht="13.5" customHeight="1" x14ac:dyDescent="0.2">
      <c r="C37" s="333">
        <v>2001</v>
      </c>
      <c r="D37" s="330">
        <v>41847</v>
      </c>
      <c r="E37" s="331">
        <v>25201</v>
      </c>
      <c r="F37" s="332">
        <v>34096</v>
      </c>
      <c r="G37" s="334">
        <f t="shared" si="2"/>
        <v>101144</v>
      </c>
    </row>
    <row r="38" spans="3:7" ht="16.899999999999999" customHeight="1" x14ac:dyDescent="0.2">
      <c r="C38" s="333">
        <v>2002</v>
      </c>
      <c r="D38" s="330">
        <v>41812</v>
      </c>
      <c r="E38" s="331">
        <v>28544</v>
      </c>
      <c r="F38" s="332">
        <v>37654</v>
      </c>
      <c r="G38" s="334">
        <f t="shared" si="2"/>
        <v>108010</v>
      </c>
    </row>
    <row r="39" spans="3:7" ht="16.899999999999999" customHeight="1" x14ac:dyDescent="0.2">
      <c r="C39" s="333">
        <v>2003</v>
      </c>
      <c r="D39" s="330">
        <v>44165</v>
      </c>
      <c r="E39" s="331">
        <v>29201</v>
      </c>
      <c r="F39" s="332">
        <v>41267</v>
      </c>
      <c r="G39" s="334">
        <f t="shared" si="2"/>
        <v>114633</v>
      </c>
    </row>
    <row r="40" spans="3:7" ht="12" customHeight="1" x14ac:dyDescent="0.2">
      <c r="C40" s="333">
        <v>2004</v>
      </c>
      <c r="D40" s="330">
        <v>45041</v>
      </c>
      <c r="E40" s="331">
        <v>30923</v>
      </c>
      <c r="F40" s="332">
        <v>41196</v>
      </c>
      <c r="G40" s="334">
        <f t="shared" si="2"/>
        <v>117160</v>
      </c>
    </row>
    <row r="41" spans="3:7" ht="18" customHeight="1" x14ac:dyDescent="0.2">
      <c r="C41" s="333">
        <v>2005</v>
      </c>
      <c r="D41" s="330">
        <v>47142</v>
      </c>
      <c r="E41" s="331">
        <v>31896</v>
      </c>
      <c r="F41" s="332">
        <v>42465</v>
      </c>
      <c r="G41" s="334">
        <f t="shared" si="2"/>
        <v>121503</v>
      </c>
    </row>
    <row r="42" spans="3:7" ht="12" customHeight="1" x14ac:dyDescent="0.2">
      <c r="C42" s="333">
        <v>2006</v>
      </c>
      <c r="D42" s="330">
        <v>47172</v>
      </c>
      <c r="E42" s="331">
        <v>32180</v>
      </c>
      <c r="F42" s="332">
        <v>43228</v>
      </c>
      <c r="G42" s="334">
        <f t="shared" si="2"/>
        <v>122580</v>
      </c>
    </row>
    <row r="43" spans="3:7" ht="12" customHeight="1" x14ac:dyDescent="0.2">
      <c r="C43" s="333">
        <v>2008</v>
      </c>
      <c r="D43" s="330">
        <v>47266</v>
      </c>
      <c r="E43" s="331">
        <v>30847</v>
      </c>
      <c r="F43" s="332">
        <v>41924</v>
      </c>
      <c r="G43" s="334">
        <v>120037</v>
      </c>
    </row>
    <row r="44" spans="3:7" ht="12" customHeight="1" x14ac:dyDescent="0.2">
      <c r="C44" s="333">
        <v>2009</v>
      </c>
      <c r="D44" s="330">
        <v>47906.5</v>
      </c>
      <c r="E44" s="331">
        <f>31464.5</f>
        <v>31464.5</v>
      </c>
      <c r="F44" s="332">
        <v>42452</v>
      </c>
      <c r="G44" s="334">
        <f t="shared" ref="G44:G51" si="3">SUM(D44:F44)</f>
        <v>121823</v>
      </c>
    </row>
    <row r="45" spans="3:7" ht="12" customHeight="1" x14ac:dyDescent="0.2">
      <c r="C45" s="333">
        <v>2011</v>
      </c>
      <c r="D45" s="330">
        <v>48786.5</v>
      </c>
      <c r="E45" s="331">
        <v>30899.5</v>
      </c>
      <c r="F45" s="332">
        <v>40507.5</v>
      </c>
      <c r="G45" s="334">
        <f t="shared" si="3"/>
        <v>120193.5</v>
      </c>
    </row>
    <row r="46" spans="3:7" ht="12" customHeight="1" x14ac:dyDescent="0.2">
      <c r="C46" s="333">
        <v>2013</v>
      </c>
      <c r="D46" s="331">
        <v>47109.5</v>
      </c>
      <c r="E46" s="331">
        <v>30528.5</v>
      </c>
      <c r="F46" s="331">
        <v>38612</v>
      </c>
      <c r="G46" s="334">
        <f t="shared" si="3"/>
        <v>116250</v>
      </c>
    </row>
    <row r="47" spans="3:7" ht="12" customHeight="1" x14ac:dyDescent="0.2">
      <c r="C47" s="333">
        <v>2014</v>
      </c>
      <c r="D47" s="331">
        <v>48780</v>
      </c>
      <c r="E47" s="331">
        <v>31623</v>
      </c>
      <c r="F47" s="331">
        <v>40189.5</v>
      </c>
      <c r="G47" s="334">
        <f t="shared" si="3"/>
        <v>120592.5</v>
      </c>
    </row>
    <row r="48" spans="3:7" ht="12" customHeight="1" x14ac:dyDescent="0.2">
      <c r="C48" s="333">
        <v>2015</v>
      </c>
      <c r="D48" s="331">
        <v>49150</v>
      </c>
      <c r="E48" s="331">
        <v>32458</v>
      </c>
      <c r="F48" s="331">
        <v>41495.5</v>
      </c>
      <c r="G48" s="334">
        <f t="shared" si="3"/>
        <v>123103.5</v>
      </c>
    </row>
    <row r="49" spans="2:7" ht="12" customHeight="1" x14ac:dyDescent="0.2">
      <c r="C49" s="333">
        <v>2016</v>
      </c>
      <c r="D49" s="330">
        <v>47420.5</v>
      </c>
      <c r="E49" s="331">
        <v>33048.5</v>
      </c>
      <c r="F49" s="332">
        <v>40611</v>
      </c>
      <c r="G49" s="334">
        <f t="shared" si="3"/>
        <v>121080</v>
      </c>
    </row>
    <row r="50" spans="2:7" ht="12" customHeight="1" x14ac:dyDescent="0.2">
      <c r="C50" s="333">
        <v>2017</v>
      </c>
      <c r="D50" s="330">
        <v>50130</v>
      </c>
      <c r="E50" s="331">
        <v>33441</v>
      </c>
      <c r="F50" s="332">
        <v>44586.5</v>
      </c>
      <c r="G50" s="334">
        <f t="shared" si="3"/>
        <v>128157.5</v>
      </c>
    </row>
    <row r="51" spans="2:7" s="805" customFormat="1" ht="12" customHeight="1" x14ac:dyDescent="0.2">
      <c r="B51" s="806"/>
      <c r="C51" s="335">
        <v>2018</v>
      </c>
      <c r="D51" s="336">
        <v>51260</v>
      </c>
      <c r="E51" s="336">
        <v>33558.5</v>
      </c>
      <c r="F51" s="571">
        <v>46420.5</v>
      </c>
      <c r="G51" s="841">
        <f t="shared" si="3"/>
        <v>131239</v>
      </c>
    </row>
    <row r="52" spans="2:7" ht="21" customHeight="1" x14ac:dyDescent="0.2">
      <c r="C52" s="1194" t="s">
        <v>351</v>
      </c>
      <c r="D52" s="1194"/>
      <c r="E52" s="1194"/>
      <c r="F52" s="1194"/>
      <c r="G52" s="1194"/>
    </row>
    <row r="53" spans="2:7" ht="10.5" customHeight="1" x14ac:dyDescent="0.2">
      <c r="C53" s="1195" t="s">
        <v>428</v>
      </c>
      <c r="D53" s="1195"/>
      <c r="E53" s="1195"/>
      <c r="F53" s="1195"/>
      <c r="G53" s="1195"/>
    </row>
    <row r="54" spans="2:7" ht="21" customHeight="1" x14ac:dyDescent="0.2">
      <c r="C54" s="1146" t="s">
        <v>528</v>
      </c>
      <c r="D54" s="1146"/>
      <c r="E54" s="1146"/>
      <c r="F54" s="1146"/>
      <c r="G54" s="1146"/>
    </row>
    <row r="55" spans="2:7" ht="12" customHeight="1" x14ac:dyDescent="0.2">
      <c r="C55" s="339"/>
      <c r="D55" s="157"/>
      <c r="E55" s="339"/>
      <c r="F55" s="339"/>
      <c r="G55" s="339"/>
    </row>
    <row r="56" spans="2:7" ht="12" customHeight="1" x14ac:dyDescent="0.2">
      <c r="C56" s="339"/>
      <c r="D56" s="339"/>
      <c r="E56" s="339"/>
      <c r="F56" s="339"/>
      <c r="G56" s="339"/>
    </row>
    <row r="57" spans="2:7" ht="12" customHeight="1" x14ac:dyDescent="0.2">
      <c r="C57" s="339"/>
      <c r="D57" s="339"/>
      <c r="E57" s="339"/>
      <c r="F57" s="339"/>
      <c r="G57" s="339"/>
    </row>
    <row r="58" spans="2:7" ht="12" customHeight="1" x14ac:dyDescent="0.2">
      <c r="C58" s="339"/>
      <c r="D58" s="339"/>
      <c r="E58" s="339"/>
      <c r="F58" s="339"/>
      <c r="G58" s="339"/>
    </row>
    <row r="59" spans="2:7" ht="12" customHeight="1" x14ac:dyDescent="0.2">
      <c r="C59" s="339"/>
      <c r="D59" s="339"/>
      <c r="E59" s="339"/>
      <c r="F59" s="339"/>
      <c r="G59" s="339"/>
    </row>
    <row r="60" spans="2:7" ht="12" customHeight="1" x14ac:dyDescent="0.2">
      <c r="C60" s="339"/>
      <c r="D60" s="339"/>
      <c r="E60" s="339"/>
      <c r="F60" s="339"/>
      <c r="G60" s="339"/>
    </row>
    <row r="61" spans="2:7" x14ac:dyDescent="0.2">
      <c r="C61" s="339"/>
      <c r="D61" s="339"/>
      <c r="E61" s="339"/>
      <c r="F61" s="339"/>
      <c r="G61" s="339"/>
    </row>
    <row r="62" spans="2:7" x14ac:dyDescent="0.2">
      <c r="C62" s="339"/>
      <c r="D62" s="339"/>
      <c r="E62" s="339"/>
      <c r="F62" s="339"/>
      <c r="G62" s="339"/>
    </row>
    <row r="63" spans="2:7" x14ac:dyDescent="0.2">
      <c r="C63" s="339"/>
      <c r="D63" s="339"/>
      <c r="E63" s="339"/>
      <c r="F63" s="339"/>
      <c r="G63" s="339"/>
    </row>
    <row r="64" spans="2:7" x14ac:dyDescent="0.2">
      <c r="C64" s="339"/>
      <c r="D64" s="339"/>
      <c r="E64" s="339"/>
      <c r="F64" s="339"/>
      <c r="G64" s="339"/>
    </row>
    <row r="65" spans="3:7" x14ac:dyDescent="0.2">
      <c r="C65" s="339"/>
      <c r="D65" s="339"/>
      <c r="E65" s="339"/>
      <c r="F65" s="339"/>
      <c r="G65" s="339"/>
    </row>
    <row r="66" spans="3:7" x14ac:dyDescent="0.2">
      <c r="C66" s="339"/>
      <c r="D66" s="339"/>
      <c r="E66" s="339"/>
      <c r="F66" s="339"/>
      <c r="G66" s="339"/>
    </row>
    <row r="67" spans="3:7" x14ac:dyDescent="0.2">
      <c r="C67" s="339"/>
      <c r="D67" s="339"/>
      <c r="E67" s="339"/>
      <c r="F67" s="339"/>
      <c r="G67" s="339"/>
    </row>
    <row r="68" spans="3:7" x14ac:dyDescent="0.2">
      <c r="C68" s="339"/>
      <c r="D68" s="339"/>
      <c r="E68" s="339"/>
      <c r="F68" s="339"/>
      <c r="G68" s="339"/>
    </row>
    <row r="69" spans="3:7" x14ac:dyDescent="0.2">
      <c r="C69" s="339"/>
      <c r="D69" s="339"/>
      <c r="E69" s="339"/>
      <c r="F69" s="339"/>
      <c r="G69" s="339"/>
    </row>
    <row r="70" spans="3:7" x14ac:dyDescent="0.2">
      <c r="C70" s="339"/>
      <c r="D70" s="339"/>
      <c r="E70" s="339"/>
      <c r="F70" s="339"/>
      <c r="G70" s="339"/>
    </row>
    <row r="71" spans="3:7" x14ac:dyDescent="0.2">
      <c r="C71" s="339"/>
      <c r="D71" s="339"/>
      <c r="E71" s="339"/>
      <c r="F71" s="339"/>
      <c r="G71" s="339"/>
    </row>
    <row r="72" spans="3:7" x14ac:dyDescent="0.2">
      <c r="C72" s="339"/>
      <c r="D72" s="339"/>
      <c r="E72" s="339"/>
      <c r="F72" s="339"/>
      <c r="G72" s="339"/>
    </row>
    <row r="73" spans="3:7" x14ac:dyDescent="0.2">
      <c r="C73" s="339"/>
      <c r="D73" s="339"/>
      <c r="E73" s="339"/>
      <c r="F73" s="339"/>
      <c r="G73" s="339"/>
    </row>
    <row r="74" spans="3:7" x14ac:dyDescent="0.2">
      <c r="C74" s="339"/>
      <c r="D74" s="339"/>
      <c r="E74" s="339"/>
      <c r="F74" s="339"/>
      <c r="G74" s="339"/>
    </row>
    <row r="75" spans="3:7" x14ac:dyDescent="0.2">
      <c r="C75" s="339"/>
      <c r="D75" s="339"/>
      <c r="E75" s="339"/>
      <c r="F75" s="339"/>
      <c r="G75" s="339"/>
    </row>
    <row r="76" spans="3:7" x14ac:dyDescent="0.2">
      <c r="C76" s="339"/>
      <c r="D76" s="339"/>
      <c r="E76" s="339"/>
      <c r="F76" s="339"/>
      <c r="G76" s="339"/>
    </row>
    <row r="77" spans="3:7" x14ac:dyDescent="0.2">
      <c r="C77" s="339"/>
      <c r="D77" s="339"/>
      <c r="E77" s="339"/>
      <c r="F77" s="339"/>
      <c r="G77" s="339"/>
    </row>
    <row r="78" spans="3:7" x14ac:dyDescent="0.2">
      <c r="C78" s="339"/>
      <c r="D78" s="339"/>
      <c r="E78" s="339"/>
      <c r="F78" s="339"/>
      <c r="G78" s="339"/>
    </row>
    <row r="79" spans="3:7" x14ac:dyDescent="0.2">
      <c r="C79" s="339"/>
      <c r="D79" s="339"/>
      <c r="E79" s="339"/>
      <c r="F79" s="339"/>
      <c r="G79" s="339"/>
    </row>
    <row r="80" spans="3:7" x14ac:dyDescent="0.2">
      <c r="C80" s="339"/>
      <c r="D80" s="339"/>
      <c r="E80" s="339"/>
      <c r="F80" s="339"/>
      <c r="G80" s="339"/>
    </row>
    <row r="81" spans="3:7" x14ac:dyDescent="0.2">
      <c r="C81" s="339"/>
      <c r="D81" s="339"/>
      <c r="E81" s="339"/>
      <c r="F81" s="339"/>
      <c r="G81" s="339"/>
    </row>
    <row r="82" spans="3:7" x14ac:dyDescent="0.2">
      <c r="C82" s="339"/>
      <c r="D82" s="339"/>
      <c r="E82" s="339"/>
      <c r="F82" s="339"/>
      <c r="G82" s="339"/>
    </row>
    <row r="83" spans="3:7" x14ac:dyDescent="0.2">
      <c r="C83" s="339"/>
      <c r="D83" s="339"/>
      <c r="E83" s="339"/>
      <c r="F83" s="339"/>
      <c r="G83" s="339"/>
    </row>
    <row r="84" spans="3:7" x14ac:dyDescent="0.2">
      <c r="C84" s="339"/>
      <c r="D84" s="339"/>
      <c r="E84" s="339"/>
      <c r="F84" s="339"/>
      <c r="G84" s="339"/>
    </row>
    <row r="85" spans="3:7" x14ac:dyDescent="0.2">
      <c r="C85" s="339"/>
      <c r="D85" s="339"/>
      <c r="E85" s="339"/>
      <c r="F85" s="339"/>
      <c r="G85" s="339"/>
    </row>
    <row r="86" spans="3:7" x14ac:dyDescent="0.2">
      <c r="C86" s="339"/>
      <c r="D86" s="339"/>
      <c r="E86" s="339"/>
      <c r="F86" s="339"/>
      <c r="G86" s="339"/>
    </row>
    <row r="87" spans="3:7" x14ac:dyDescent="0.2">
      <c r="C87" s="339"/>
      <c r="D87" s="339"/>
      <c r="E87" s="339"/>
      <c r="F87" s="339"/>
      <c r="G87" s="339"/>
    </row>
    <row r="88" spans="3:7" x14ac:dyDescent="0.2">
      <c r="C88" s="339"/>
      <c r="D88" s="339"/>
      <c r="E88" s="339"/>
      <c r="F88" s="339"/>
      <c r="G88" s="339"/>
    </row>
    <row r="89" spans="3:7" x14ac:dyDescent="0.2">
      <c r="C89" s="339"/>
      <c r="D89" s="339"/>
      <c r="E89" s="339"/>
      <c r="F89" s="339"/>
      <c r="G89" s="339"/>
    </row>
    <row r="90" spans="3:7" x14ac:dyDescent="0.2">
      <c r="C90" s="339"/>
      <c r="D90" s="339"/>
      <c r="E90" s="339"/>
      <c r="F90" s="339"/>
      <c r="G90" s="339"/>
    </row>
    <row r="91" spans="3:7" x14ac:dyDescent="0.2">
      <c r="C91" s="339"/>
      <c r="D91" s="339"/>
      <c r="E91" s="339"/>
      <c r="F91" s="339"/>
      <c r="G91" s="339"/>
    </row>
    <row r="92" spans="3:7" x14ac:dyDescent="0.2">
      <c r="C92" s="339"/>
      <c r="D92" s="339"/>
      <c r="E92" s="339"/>
      <c r="F92" s="339"/>
      <c r="G92" s="339"/>
    </row>
    <row r="93" spans="3:7" x14ac:dyDescent="0.2">
      <c r="C93" s="339"/>
      <c r="D93" s="339"/>
      <c r="E93" s="339"/>
      <c r="F93" s="339"/>
      <c r="G93" s="339"/>
    </row>
    <row r="94" spans="3:7" x14ac:dyDescent="0.2">
      <c r="C94" s="339"/>
      <c r="D94" s="339"/>
      <c r="E94" s="339"/>
      <c r="F94" s="339"/>
      <c r="G94" s="339"/>
    </row>
    <row r="95" spans="3:7" x14ac:dyDescent="0.2">
      <c r="C95" s="339"/>
      <c r="D95" s="339"/>
      <c r="E95" s="339"/>
      <c r="F95" s="339"/>
      <c r="G95" s="339"/>
    </row>
    <row r="96" spans="3:7" x14ac:dyDescent="0.2">
      <c r="C96" s="339"/>
      <c r="D96" s="339"/>
      <c r="E96" s="339"/>
      <c r="F96" s="339"/>
      <c r="G96" s="339"/>
    </row>
    <row r="97" spans="3:7" x14ac:dyDescent="0.2">
      <c r="C97" s="339"/>
      <c r="D97" s="339"/>
      <c r="E97" s="339"/>
      <c r="F97" s="339"/>
      <c r="G97" s="339"/>
    </row>
    <row r="98" spans="3:7" x14ac:dyDescent="0.2">
      <c r="C98" s="339"/>
      <c r="D98" s="339"/>
      <c r="E98" s="339"/>
      <c r="F98" s="339"/>
      <c r="G98" s="339"/>
    </row>
    <row r="99" spans="3:7" x14ac:dyDescent="0.2">
      <c r="C99" s="339"/>
      <c r="D99" s="339"/>
      <c r="E99" s="339"/>
      <c r="F99" s="339"/>
      <c r="G99" s="339"/>
    </row>
    <row r="100" spans="3:7" x14ac:dyDescent="0.2">
      <c r="C100" s="339"/>
      <c r="D100" s="339"/>
      <c r="E100" s="339"/>
      <c r="F100" s="339"/>
      <c r="G100" s="339"/>
    </row>
    <row r="101" spans="3:7" x14ac:dyDescent="0.2">
      <c r="C101" s="339"/>
      <c r="D101" s="339"/>
      <c r="E101" s="339"/>
      <c r="F101" s="339"/>
      <c r="G101" s="339"/>
    </row>
    <row r="102" spans="3:7" x14ac:dyDescent="0.2">
      <c r="C102" s="339"/>
      <c r="D102" s="339"/>
      <c r="E102" s="339"/>
      <c r="F102" s="339"/>
      <c r="G102" s="339"/>
    </row>
    <row r="103" spans="3:7" x14ac:dyDescent="0.2">
      <c r="C103" s="339"/>
      <c r="D103" s="339"/>
      <c r="E103" s="339"/>
      <c r="F103" s="339"/>
      <c r="G103" s="339"/>
    </row>
    <row r="104" spans="3:7" x14ac:dyDescent="0.2">
      <c r="C104" s="339"/>
      <c r="D104" s="339"/>
      <c r="E104" s="339"/>
      <c r="F104" s="339"/>
      <c r="G104" s="339"/>
    </row>
    <row r="105" spans="3:7" x14ac:dyDescent="0.2">
      <c r="C105" s="339"/>
      <c r="D105" s="339"/>
      <c r="E105" s="339"/>
      <c r="F105" s="339"/>
      <c r="G105" s="339"/>
    </row>
    <row r="106" spans="3:7" x14ac:dyDescent="0.2">
      <c r="C106" s="339"/>
      <c r="D106" s="339"/>
      <c r="E106" s="339"/>
      <c r="F106" s="339"/>
      <c r="G106" s="339"/>
    </row>
    <row r="107" spans="3:7" x14ac:dyDescent="0.2">
      <c r="C107" s="339"/>
      <c r="D107" s="339"/>
      <c r="E107" s="339"/>
      <c r="F107" s="339"/>
      <c r="G107" s="339"/>
    </row>
    <row r="108" spans="3:7" x14ac:dyDescent="0.2">
      <c r="C108" s="339"/>
      <c r="D108" s="339"/>
      <c r="E108" s="339"/>
      <c r="F108" s="339"/>
      <c r="G108" s="339"/>
    </row>
    <row r="109" spans="3:7" x14ac:dyDescent="0.2">
      <c r="C109" s="339"/>
      <c r="D109" s="339"/>
      <c r="E109" s="339"/>
      <c r="F109" s="339"/>
      <c r="G109" s="339"/>
    </row>
    <row r="110" spans="3:7" x14ac:dyDescent="0.2">
      <c r="C110" s="339"/>
      <c r="D110" s="339"/>
      <c r="E110" s="339"/>
      <c r="F110" s="339"/>
      <c r="G110" s="339"/>
    </row>
    <row r="111" spans="3:7" x14ac:dyDescent="0.2">
      <c r="C111" s="339"/>
      <c r="D111" s="339"/>
      <c r="E111" s="339"/>
      <c r="F111" s="339"/>
      <c r="G111" s="339"/>
    </row>
    <row r="112" spans="3:7" x14ac:dyDescent="0.2">
      <c r="C112" s="339"/>
      <c r="D112" s="339"/>
      <c r="E112" s="339"/>
      <c r="F112" s="339"/>
      <c r="G112" s="339"/>
    </row>
    <row r="113" spans="3:7" x14ac:dyDescent="0.2">
      <c r="C113" s="339"/>
      <c r="D113" s="339"/>
      <c r="E113" s="339"/>
      <c r="F113" s="339"/>
      <c r="G113" s="339"/>
    </row>
  </sheetData>
  <mergeCells count="10">
    <mergeCell ref="C54:G54"/>
    <mergeCell ref="C52:G52"/>
    <mergeCell ref="C53:G53"/>
    <mergeCell ref="C2:G2"/>
    <mergeCell ref="F5:F7"/>
    <mergeCell ref="D3:G3"/>
    <mergeCell ref="D4:G4"/>
    <mergeCell ref="D28:G28"/>
    <mergeCell ref="D29:G29"/>
    <mergeCell ref="F30:F32"/>
  </mergeCells>
  <phoneticPr fontId="6"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0"/>
  <dimension ref="C1:X51"/>
  <sheetViews>
    <sheetView zoomScaleNormal="100" workbookViewId="0">
      <selection activeCell="H62" sqref="H62"/>
    </sheetView>
  </sheetViews>
  <sheetFormatPr defaultRowHeight="12.75" x14ac:dyDescent="0.2"/>
  <cols>
    <col min="1" max="2" width="9.140625" style="891"/>
    <col min="3" max="3" width="10.42578125" style="891" customWidth="1"/>
    <col min="4" max="16" width="9.140625" style="891" customWidth="1"/>
    <col min="17" max="17" width="7.5703125" style="891" customWidth="1"/>
    <col min="18" max="20" width="9.140625" style="891" customWidth="1"/>
    <col min="21" max="21" width="8.85546875" style="876" customWidth="1"/>
    <col min="22" max="22" width="9.140625" style="419" customWidth="1"/>
    <col min="23" max="23" width="9.5703125" style="419" customWidth="1"/>
    <col min="24" max="24" width="5.85546875" style="891" customWidth="1"/>
    <col min="25" max="16384" width="9.140625" style="891"/>
  </cols>
  <sheetData>
    <row r="1" spans="3:24" ht="20.25" customHeight="1" x14ac:dyDescent="0.25">
      <c r="U1" s="771" t="s">
        <v>263</v>
      </c>
    </row>
    <row r="2" spans="3:24" ht="14.25" customHeight="1" x14ac:dyDescent="0.2">
      <c r="C2" s="1102" t="s">
        <v>349</v>
      </c>
      <c r="D2" s="1102"/>
      <c r="E2" s="1102"/>
      <c r="F2" s="1102"/>
      <c r="G2" s="1102"/>
      <c r="H2" s="1102"/>
      <c r="I2" s="1102"/>
      <c r="J2" s="1102"/>
      <c r="K2" s="1102"/>
      <c r="L2" s="1102"/>
      <c r="M2" s="1102"/>
      <c r="N2" s="1102"/>
      <c r="O2" s="1102"/>
      <c r="P2" s="1102"/>
      <c r="Q2" s="1102"/>
      <c r="R2" s="1102"/>
      <c r="S2" s="1102"/>
      <c r="T2" s="1102"/>
      <c r="U2" s="1102"/>
    </row>
    <row r="3" spans="3:24" ht="12.75" customHeight="1" x14ac:dyDescent="0.2">
      <c r="C3" s="1102"/>
      <c r="D3" s="1102"/>
      <c r="E3" s="1102"/>
      <c r="F3" s="1102"/>
      <c r="G3" s="1102"/>
      <c r="H3" s="1102"/>
      <c r="I3" s="1102"/>
      <c r="J3" s="1102"/>
      <c r="K3" s="1102"/>
      <c r="L3" s="1102"/>
      <c r="M3" s="1102"/>
      <c r="N3" s="1102"/>
      <c r="O3" s="1102"/>
      <c r="P3" s="1102"/>
      <c r="Q3" s="1102"/>
      <c r="R3" s="1102"/>
      <c r="S3" s="1102"/>
      <c r="T3" s="1102"/>
      <c r="U3" s="1102"/>
    </row>
    <row r="4" spans="3:24" ht="17.25" customHeight="1" x14ac:dyDescent="0.2">
      <c r="C4" s="1102"/>
      <c r="D4" s="1102"/>
      <c r="E4" s="1102"/>
      <c r="F4" s="1102"/>
      <c r="G4" s="1102"/>
      <c r="H4" s="1102"/>
      <c r="I4" s="1102"/>
      <c r="J4" s="1102"/>
      <c r="K4" s="1102"/>
      <c r="L4" s="1102"/>
      <c r="M4" s="1102"/>
      <c r="N4" s="1102"/>
      <c r="O4" s="1102"/>
      <c r="P4" s="1102"/>
      <c r="Q4" s="1102"/>
      <c r="R4" s="1102"/>
      <c r="S4" s="1102"/>
      <c r="T4" s="1102"/>
      <c r="U4" s="1102"/>
    </row>
    <row r="5" spans="3:24" ht="12.75" customHeight="1" x14ac:dyDescent="0.25">
      <c r="C5" s="893"/>
      <c r="D5" s="1204" t="s">
        <v>333</v>
      </c>
      <c r="E5" s="1204"/>
      <c r="F5" s="1204"/>
      <c r="G5" s="1204"/>
      <c r="H5" s="1204"/>
      <c r="I5" s="1204"/>
      <c r="J5" s="1204"/>
      <c r="K5" s="1204"/>
      <c r="L5" s="1204"/>
      <c r="M5" s="1204"/>
      <c r="N5" s="1204"/>
      <c r="O5" s="1204"/>
      <c r="P5" s="1204"/>
      <c r="Q5" s="1204"/>
      <c r="R5" s="1204"/>
      <c r="S5" s="1204"/>
      <c r="T5" s="1204"/>
      <c r="U5" s="1204"/>
      <c r="X5" s="893"/>
    </row>
    <row r="6" spans="3:24" ht="45" x14ac:dyDescent="0.2">
      <c r="C6" s="997"/>
      <c r="D6" s="459">
        <v>2005</v>
      </c>
      <c r="E6" s="459">
        <v>2006</v>
      </c>
      <c r="F6" s="459">
        <v>2007</v>
      </c>
      <c r="G6" s="459">
        <v>2008</v>
      </c>
      <c r="H6" s="459">
        <v>2009</v>
      </c>
      <c r="I6" s="459">
        <v>2010</v>
      </c>
      <c r="J6" s="459">
        <v>2011</v>
      </c>
      <c r="K6" s="459">
        <v>2012</v>
      </c>
      <c r="L6" s="459">
        <v>2013</v>
      </c>
      <c r="M6" s="459">
        <v>2014</v>
      </c>
      <c r="N6" s="459">
        <v>2015</v>
      </c>
      <c r="O6" s="459">
        <v>2016</v>
      </c>
      <c r="P6" s="459">
        <v>2017</v>
      </c>
      <c r="Q6" s="459">
        <v>2018</v>
      </c>
      <c r="R6" s="459">
        <v>2019</v>
      </c>
      <c r="S6" s="459">
        <v>2020</v>
      </c>
      <c r="T6" s="638">
        <v>2021</v>
      </c>
      <c r="U6" s="637" t="s">
        <v>661</v>
      </c>
      <c r="V6" s="782" t="s">
        <v>347</v>
      </c>
      <c r="W6" s="853" t="s">
        <v>348</v>
      </c>
      <c r="X6" s="1019"/>
    </row>
    <row r="7" spans="3:24" x14ac:dyDescent="0.2">
      <c r="C7" s="997"/>
      <c r="D7" s="998"/>
      <c r="E7" s="998"/>
      <c r="F7" s="998"/>
      <c r="G7" s="998"/>
      <c r="H7" s="998"/>
      <c r="I7" s="998"/>
      <c r="J7" s="998"/>
      <c r="K7" s="998"/>
      <c r="L7" s="998"/>
      <c r="M7" s="998"/>
      <c r="N7" s="998"/>
      <c r="O7" s="998"/>
      <c r="P7" s="998"/>
      <c r="Q7" s="780"/>
      <c r="R7" s="998"/>
      <c r="S7" s="460"/>
      <c r="T7" s="639"/>
      <c r="U7" s="772" t="s">
        <v>120</v>
      </c>
      <c r="V7" s="783" t="s">
        <v>597</v>
      </c>
      <c r="W7" s="783" t="s">
        <v>597</v>
      </c>
      <c r="X7" s="1020"/>
    </row>
    <row r="8" spans="3:24" x14ac:dyDescent="0.2">
      <c r="C8" s="461" t="s">
        <v>370</v>
      </c>
      <c r="D8" s="462">
        <f>SUM(D9:D35)</f>
        <v>3485.2570000000005</v>
      </c>
      <c r="E8" s="462">
        <f t="shared" ref="E8:Q8" si="0">SUM(E9:E35)</f>
        <v>3506.357</v>
      </c>
      <c r="F8" s="462">
        <f t="shared" si="0"/>
        <v>3574.7959000000005</v>
      </c>
      <c r="G8" s="462">
        <f t="shared" si="0"/>
        <v>3606.3343333333328</v>
      </c>
      <c r="H8" s="462">
        <f t="shared" si="0"/>
        <v>3468.6976666666665</v>
      </c>
      <c r="I8" s="462">
        <f t="shared" si="0"/>
        <v>3461.4944999999998</v>
      </c>
      <c r="J8" s="462">
        <f t="shared" si="0"/>
        <v>3475.6810986666665</v>
      </c>
      <c r="K8" s="462">
        <f t="shared" si="0"/>
        <v>3501.2258533333329</v>
      </c>
      <c r="L8" s="462">
        <f t="shared" si="0"/>
        <v>3493.36204</v>
      </c>
      <c r="M8" s="462">
        <f t="shared" si="0"/>
        <v>3478.9520599999996</v>
      </c>
      <c r="N8" s="462">
        <f t="shared" si="0"/>
        <v>3579.07908</v>
      </c>
      <c r="O8" s="462">
        <f t="shared" si="0"/>
        <v>3573.4850999999999</v>
      </c>
      <c r="P8" s="462">
        <f t="shared" si="0"/>
        <v>3649.5100000000007</v>
      </c>
      <c r="Q8" s="462">
        <f t="shared" si="0"/>
        <v>3678.1782249999997</v>
      </c>
      <c r="R8" s="462">
        <f>SUM(R9:R35)</f>
        <v>3684.0519999999992</v>
      </c>
      <c r="S8" s="462">
        <f>SUM(S9:S35)</f>
        <v>3334.1414000000004</v>
      </c>
      <c r="T8" s="1053">
        <f>SUM(T9:T35)</f>
        <v>3594.0397000000003</v>
      </c>
      <c r="U8" s="1022">
        <f>T8/S8*100-100</f>
        <v>7.7950593217192221</v>
      </c>
      <c r="V8" s="1052">
        <v>78.01553787545086</v>
      </c>
      <c r="W8" s="1052">
        <v>21.860474311161799</v>
      </c>
      <c r="X8" s="461" t="s">
        <v>370</v>
      </c>
    </row>
    <row r="9" spans="3:24" x14ac:dyDescent="0.2">
      <c r="C9" s="999" t="s">
        <v>106</v>
      </c>
      <c r="D9" s="1000">
        <v>92.57</v>
      </c>
      <c r="E9" s="1000">
        <v>93.38</v>
      </c>
      <c r="F9" s="1001">
        <v>94.691000000000003</v>
      </c>
      <c r="G9" s="1001">
        <v>94.531000000000006</v>
      </c>
      <c r="H9" s="1001">
        <v>92.445999999999998</v>
      </c>
      <c r="I9" s="1000">
        <v>95.132000000000005</v>
      </c>
      <c r="J9" s="1001">
        <v>94.513999999999996</v>
      </c>
      <c r="K9" s="1000">
        <v>94.678020000000004</v>
      </c>
      <c r="L9" s="1000">
        <v>94.842040000000011</v>
      </c>
      <c r="M9" s="1000">
        <v>95.006060000000019</v>
      </c>
      <c r="N9" s="1000">
        <v>95.170080000000013</v>
      </c>
      <c r="O9" s="1000">
        <v>96.079100000000011</v>
      </c>
      <c r="P9" s="1002">
        <v>98.674999999999997</v>
      </c>
      <c r="Q9" s="1002">
        <v>101.33922499999998</v>
      </c>
      <c r="R9" s="1000">
        <v>105.5</v>
      </c>
      <c r="S9" s="477">
        <f>92.659</f>
        <v>92.659000000000006</v>
      </c>
      <c r="T9" s="535">
        <v>103.812</v>
      </c>
      <c r="U9" s="1008">
        <f t="shared" ref="U9:U47" si="1">T9/S9*100-100</f>
        <v>12.036607345212019</v>
      </c>
      <c r="V9" s="848">
        <v>87.219203945593961</v>
      </c>
      <c r="W9" s="848">
        <v>12.780796054406041</v>
      </c>
      <c r="X9" s="463" t="s">
        <v>106</v>
      </c>
    </row>
    <row r="10" spans="3:24" x14ac:dyDescent="0.2">
      <c r="C10" s="464" t="s">
        <v>89</v>
      </c>
      <c r="D10" s="1003">
        <v>33.5</v>
      </c>
      <c r="E10" s="1004">
        <v>33.5</v>
      </c>
      <c r="F10" s="1004">
        <v>33.715000000000003</v>
      </c>
      <c r="G10" s="1004">
        <v>32.863</v>
      </c>
      <c r="H10" s="1004">
        <v>30.163</v>
      </c>
      <c r="I10" s="1004">
        <v>29.306999999999999</v>
      </c>
      <c r="J10" s="1004">
        <v>29.529</v>
      </c>
      <c r="K10" s="1004">
        <v>25.704000000000001</v>
      </c>
      <c r="L10" s="1004">
        <v>26.585999999999999</v>
      </c>
      <c r="M10" s="1004">
        <v>27.332000000000001</v>
      </c>
      <c r="N10" s="1004">
        <v>28.564</v>
      </c>
      <c r="O10" s="1004">
        <v>29.509</v>
      </c>
      <c r="P10" s="1004">
        <v>29.012</v>
      </c>
      <c r="Q10" s="1004">
        <v>30.61</v>
      </c>
      <c r="R10" s="1004">
        <v>28.026</v>
      </c>
      <c r="S10" s="474">
        <v>28.134</v>
      </c>
      <c r="T10" s="534">
        <v>27.858000000000001</v>
      </c>
      <c r="U10" s="1023">
        <f t="shared" si="1"/>
        <v>-0.98101940712305691</v>
      </c>
      <c r="V10" s="848">
        <v>68.475841768971208</v>
      </c>
      <c r="W10" s="847">
        <v>31.524158231028785</v>
      </c>
      <c r="X10" s="464" t="s">
        <v>89</v>
      </c>
    </row>
    <row r="11" spans="3:24" x14ac:dyDescent="0.2">
      <c r="C11" s="999" t="s">
        <v>91</v>
      </c>
      <c r="D11" s="1001">
        <v>147.74299999999999</v>
      </c>
      <c r="E11" s="1001">
        <v>150.96600000000001</v>
      </c>
      <c r="F11" s="1001">
        <v>154.92400000000001</v>
      </c>
      <c r="G11" s="1001">
        <v>157.465</v>
      </c>
      <c r="H11" s="1001">
        <v>156.67400000000001</v>
      </c>
      <c r="I11" s="1001">
        <v>155.05799999999999</v>
      </c>
      <c r="J11" s="1001">
        <v>154.16399999999999</v>
      </c>
      <c r="K11" s="1001">
        <v>162.65199999999999</v>
      </c>
      <c r="L11" s="1001">
        <v>156.87200000000001</v>
      </c>
      <c r="M11" s="1001">
        <v>155.38999999999999</v>
      </c>
      <c r="N11" s="1001">
        <v>157.29499999999999</v>
      </c>
      <c r="O11" s="1001">
        <v>159.423</v>
      </c>
      <c r="P11" s="1001">
        <v>163.61799999999999</v>
      </c>
      <c r="Q11" s="1001">
        <v>169.10499999999999</v>
      </c>
      <c r="R11" s="1001">
        <v>170.35900000000001</v>
      </c>
      <c r="S11" s="473">
        <v>167.04</v>
      </c>
      <c r="T11" s="535">
        <v>165.18700000000001</v>
      </c>
      <c r="U11" s="1008">
        <f t="shared" si="1"/>
        <v>-1.109315134099603</v>
      </c>
      <c r="V11" s="848">
        <v>81.796993710158787</v>
      </c>
      <c r="W11" s="847">
        <v>18.203006289841213</v>
      </c>
      <c r="X11" s="999" t="s">
        <v>91</v>
      </c>
    </row>
    <row r="12" spans="3:24" x14ac:dyDescent="0.2">
      <c r="C12" s="464" t="s">
        <v>102</v>
      </c>
      <c r="D12" s="1004">
        <v>75.027000000000001</v>
      </c>
      <c r="E12" s="1004">
        <v>76.141000000000005</v>
      </c>
      <c r="F12" s="1004">
        <v>74.218000000000004</v>
      </c>
      <c r="G12" s="1004">
        <v>76.796000000000006</v>
      </c>
      <c r="H12" s="1004">
        <v>77.087000000000003</v>
      </c>
      <c r="I12" s="1004">
        <v>78.319000000000003</v>
      </c>
      <c r="J12" s="1004">
        <v>80.088999999999999</v>
      </c>
      <c r="K12" s="1004">
        <v>78.760999999999996</v>
      </c>
      <c r="L12" s="1004">
        <v>79.923000000000002</v>
      </c>
      <c r="M12" s="1004">
        <v>79.721999999999994</v>
      </c>
      <c r="N12" s="1004">
        <v>78.846999999999994</v>
      </c>
      <c r="O12" s="1004">
        <v>78.234999999999999</v>
      </c>
      <c r="P12" s="1004">
        <v>76.831000000000003</v>
      </c>
      <c r="Q12" s="1004">
        <v>76.567999999999998</v>
      </c>
      <c r="R12" s="1004">
        <v>77.972999999999999</v>
      </c>
      <c r="S12" s="474">
        <v>76.150000000000006</v>
      </c>
      <c r="T12" s="534">
        <v>77.775999999999996</v>
      </c>
      <c r="U12" s="1023">
        <f t="shared" si="1"/>
        <v>2.1352593565331404</v>
      </c>
      <c r="V12" s="848">
        <v>96.059195638757458</v>
      </c>
      <c r="W12" s="848">
        <v>3.9408043612425425</v>
      </c>
      <c r="X12" s="464" t="s">
        <v>102</v>
      </c>
    </row>
    <row r="13" spans="3:24" x14ac:dyDescent="0.2">
      <c r="C13" s="999" t="s">
        <v>107</v>
      </c>
      <c r="D13" s="1001">
        <v>986.68600000000004</v>
      </c>
      <c r="E13" s="1001">
        <v>990.01900000000001</v>
      </c>
      <c r="F13" s="1001">
        <v>1014.033</v>
      </c>
      <c r="G13" s="1001">
        <v>1005.82</v>
      </c>
      <c r="H13" s="1001">
        <v>986.34199999999998</v>
      </c>
      <c r="I13" s="1001">
        <v>992.43949999999995</v>
      </c>
      <c r="J13" s="1000">
        <v>989.00666666666666</v>
      </c>
      <c r="K13" s="1000">
        <v>1024.1993333333332</v>
      </c>
      <c r="L13" s="1001">
        <v>1025.0940000000001</v>
      </c>
      <c r="M13" s="1001">
        <v>1025.855</v>
      </c>
      <c r="N13" s="1000">
        <v>1032.627</v>
      </c>
      <c r="O13" s="1001">
        <v>1037.434</v>
      </c>
      <c r="P13" s="1001">
        <v>1085.4659999999999</v>
      </c>
      <c r="Q13" s="1001">
        <v>1095.7809999999999</v>
      </c>
      <c r="R13" s="1001">
        <v>1069.5719999999999</v>
      </c>
      <c r="S13" s="473">
        <v>1049.799</v>
      </c>
      <c r="T13" s="535">
        <v>1125.8800000000001</v>
      </c>
      <c r="U13" s="1008">
        <f t="shared" si="1"/>
        <v>7.2471968443483092</v>
      </c>
      <c r="V13" s="848">
        <v>75.362649660709849</v>
      </c>
      <c r="W13" s="848">
        <v>24.637350339290158</v>
      </c>
      <c r="X13" s="999" t="s">
        <v>107</v>
      </c>
    </row>
    <row r="14" spans="3:24" x14ac:dyDescent="0.2">
      <c r="C14" s="464" t="s">
        <v>92</v>
      </c>
      <c r="D14" s="1004">
        <v>8.9009999999999998</v>
      </c>
      <c r="E14" s="1004">
        <v>8.32</v>
      </c>
      <c r="F14" s="1004">
        <v>7.5529999999999999</v>
      </c>
      <c r="G14" s="1004">
        <v>7.1310000000000002</v>
      </c>
      <c r="H14" s="1004">
        <v>6.4589999999999996</v>
      </c>
      <c r="I14" s="1004">
        <v>7.4260000000000002</v>
      </c>
      <c r="J14" s="1004">
        <v>7.3710000000000004</v>
      </c>
      <c r="K14" s="1004">
        <v>6.9889999999999999</v>
      </c>
      <c r="L14" s="1004">
        <v>6.6180000000000003</v>
      </c>
      <c r="M14" s="1004">
        <v>7.9909999999999997</v>
      </c>
      <c r="N14" s="1004">
        <v>7.952</v>
      </c>
      <c r="O14" s="1004">
        <v>8.7520000000000007</v>
      </c>
      <c r="P14" s="1004">
        <v>8.0760000000000005</v>
      </c>
      <c r="Q14" s="1004">
        <v>7.2279999999999998</v>
      </c>
      <c r="R14" s="1004">
        <v>7.2089999999999996</v>
      </c>
      <c r="S14" s="474">
        <v>6.5759999999999996</v>
      </c>
      <c r="T14" s="534">
        <v>7.242</v>
      </c>
      <c r="U14" s="1023">
        <f t="shared" si="1"/>
        <v>10.127737226277375</v>
      </c>
      <c r="V14" s="848">
        <v>79.71554819110743</v>
      </c>
      <c r="W14" s="848">
        <v>20.28445180889257</v>
      </c>
      <c r="X14" s="464" t="s">
        <v>92</v>
      </c>
    </row>
    <row r="15" spans="3:24" x14ac:dyDescent="0.2">
      <c r="C15" s="999" t="s">
        <v>110</v>
      </c>
      <c r="D15" s="1001">
        <v>15.96</v>
      </c>
      <c r="E15" s="1001">
        <v>15.631</v>
      </c>
      <c r="F15" s="1001">
        <v>16.832000000000001</v>
      </c>
      <c r="G15" s="1001">
        <v>14.471</v>
      </c>
      <c r="H15" s="1001">
        <v>17.605</v>
      </c>
      <c r="I15" s="1001">
        <v>18.327999999999999</v>
      </c>
      <c r="J15" s="1001">
        <v>17.219000000000001</v>
      </c>
      <c r="K15" s="1001">
        <v>16.713999999999999</v>
      </c>
      <c r="L15" s="1001">
        <v>18.463000000000001</v>
      </c>
      <c r="M15" s="1001">
        <v>18.475000000000001</v>
      </c>
      <c r="N15" s="1001">
        <v>18.202999999999999</v>
      </c>
      <c r="O15" s="1001">
        <v>17.419</v>
      </c>
      <c r="P15" s="1001">
        <v>17.608000000000001</v>
      </c>
      <c r="Q15" s="1001">
        <v>17.538</v>
      </c>
      <c r="R15" s="1001">
        <v>18.388999999999999</v>
      </c>
      <c r="S15" s="473">
        <v>15.01</v>
      </c>
      <c r="T15" s="535">
        <v>17.242000000000001</v>
      </c>
      <c r="U15" s="1008">
        <f t="shared" si="1"/>
        <v>14.870086608927394</v>
      </c>
      <c r="V15" s="848">
        <v>99.182229439740169</v>
      </c>
      <c r="W15" s="848">
        <v>0.81777056025983064</v>
      </c>
      <c r="X15" s="999" t="s">
        <v>110</v>
      </c>
    </row>
    <row r="16" spans="3:24" x14ac:dyDescent="0.2">
      <c r="C16" s="464" t="s">
        <v>103</v>
      </c>
      <c r="D16" s="1004">
        <v>17.728999999999999</v>
      </c>
      <c r="E16" s="1004">
        <v>19.071000000000002</v>
      </c>
      <c r="F16" s="1004">
        <v>21.091000000000001</v>
      </c>
      <c r="G16" s="1004">
        <v>21.164000000000001</v>
      </c>
      <c r="H16" s="1004">
        <v>19.613</v>
      </c>
      <c r="I16" s="1004">
        <v>16.963000000000001</v>
      </c>
      <c r="J16" s="1004">
        <v>12.534000000000001</v>
      </c>
      <c r="K16" s="1004">
        <v>11.695</v>
      </c>
      <c r="L16" s="1004">
        <v>11.19</v>
      </c>
      <c r="M16" s="1004">
        <v>11.494999999999999</v>
      </c>
      <c r="N16" s="1004">
        <v>10.837</v>
      </c>
      <c r="O16" s="1004">
        <v>10.039999999999999</v>
      </c>
      <c r="P16" s="1004">
        <v>10.41</v>
      </c>
      <c r="Q16" s="1004">
        <v>10.491</v>
      </c>
      <c r="R16" s="1004">
        <f>10509/1000</f>
        <v>10.509</v>
      </c>
      <c r="S16" s="474">
        <v>8.5220000000000002</v>
      </c>
      <c r="T16" s="534">
        <v>8.1660000000000004</v>
      </c>
      <c r="U16" s="1023">
        <f t="shared" si="1"/>
        <v>-4.1774231401079476</v>
      </c>
      <c r="V16" s="848">
        <v>86.382561841783001</v>
      </c>
      <c r="W16" s="848">
        <v>13.617438158216997</v>
      </c>
      <c r="X16" s="464" t="s">
        <v>103</v>
      </c>
    </row>
    <row r="17" spans="3:24" x14ac:dyDescent="0.2">
      <c r="C17" s="999" t="s">
        <v>108</v>
      </c>
      <c r="D17" s="1001">
        <v>199.38399999999999</v>
      </c>
      <c r="E17" s="1001">
        <v>200.80799999999999</v>
      </c>
      <c r="F17" s="1001">
        <v>202.89400000000001</v>
      </c>
      <c r="G17" s="1001">
        <v>211.67699999999999</v>
      </c>
      <c r="H17" s="1001">
        <v>207.00899999999999</v>
      </c>
      <c r="I17" s="1001">
        <v>206.023</v>
      </c>
      <c r="J17" s="1001">
        <v>202.00200000000001</v>
      </c>
      <c r="K17" s="1001">
        <v>208.66300000000001</v>
      </c>
      <c r="L17" s="1001">
        <v>207.852</v>
      </c>
      <c r="M17" s="1001">
        <v>212.97</v>
      </c>
      <c r="N17" s="1001">
        <v>209.078</v>
      </c>
      <c r="O17" s="1001">
        <v>205.00899999999999</v>
      </c>
      <c r="P17" s="1001">
        <v>212.45400000000001</v>
      </c>
      <c r="Q17" s="1001">
        <v>211.04300000000001</v>
      </c>
      <c r="R17" s="1001">
        <v>211.20500000000001</v>
      </c>
      <c r="S17" s="473">
        <v>158.16999999999999</v>
      </c>
      <c r="T17" s="535">
        <v>172.28299999999999</v>
      </c>
      <c r="U17" s="1008">
        <f t="shared" si="1"/>
        <v>8.9226781311247549</v>
      </c>
      <c r="V17" s="848">
        <v>86.278390787251212</v>
      </c>
      <c r="W17" s="848">
        <v>13.721609212748792</v>
      </c>
      <c r="X17" s="999" t="s">
        <v>108</v>
      </c>
    </row>
    <row r="18" spans="3:24" x14ac:dyDescent="0.2">
      <c r="C18" s="464" t="s">
        <v>109</v>
      </c>
      <c r="D18" s="1004">
        <v>505.8</v>
      </c>
      <c r="E18" s="1004">
        <v>484.64800000000002</v>
      </c>
      <c r="F18" s="1004">
        <v>481.63400000000001</v>
      </c>
      <c r="G18" s="1004">
        <v>514.71900000000005</v>
      </c>
      <c r="H18" s="1004">
        <v>480.38600000000002</v>
      </c>
      <c r="I18" s="1003">
        <v>457.988</v>
      </c>
      <c r="J18" s="1003">
        <v>477.20893199999995</v>
      </c>
      <c r="K18" s="1004">
        <v>473.90499999999997</v>
      </c>
      <c r="L18" s="1004">
        <v>473.31200000000001</v>
      </c>
      <c r="M18" s="1004">
        <v>452.88600000000002</v>
      </c>
      <c r="N18" s="1004">
        <v>460.005</v>
      </c>
      <c r="O18" s="1004">
        <v>445.13900000000001</v>
      </c>
      <c r="P18" s="1004">
        <v>456.048</v>
      </c>
      <c r="Q18" s="1004">
        <v>426.15600000000001</v>
      </c>
      <c r="R18" s="1004">
        <v>425.447</v>
      </c>
      <c r="S18" s="474">
        <v>338.67</v>
      </c>
      <c r="T18" s="534">
        <v>406.63099999999997</v>
      </c>
      <c r="U18" s="1023">
        <f t="shared" si="1"/>
        <v>20.067026899341528</v>
      </c>
      <c r="V18" s="848">
        <v>85.339287953943497</v>
      </c>
      <c r="W18" s="848">
        <v>14.660712046056497</v>
      </c>
      <c r="X18" s="464" t="s">
        <v>109</v>
      </c>
    </row>
    <row r="19" spans="3:24" x14ac:dyDescent="0.2">
      <c r="C19" s="999" t="s">
        <v>126</v>
      </c>
      <c r="D19" s="1001">
        <v>26.064</v>
      </c>
      <c r="E19" s="1001">
        <v>27.613</v>
      </c>
      <c r="F19" s="1001">
        <v>27.288</v>
      </c>
      <c r="G19" s="1001">
        <v>27.248000000000001</v>
      </c>
      <c r="H19" s="1001">
        <v>26.085000000000001</v>
      </c>
      <c r="I19" s="1001">
        <v>25.774000000000001</v>
      </c>
      <c r="J19" s="1001">
        <v>24.776</v>
      </c>
      <c r="K19" s="1001">
        <v>23.71</v>
      </c>
      <c r="L19" s="1001">
        <v>21.859000000000002</v>
      </c>
      <c r="M19" s="1001">
        <v>20.108000000000001</v>
      </c>
      <c r="N19" s="1001">
        <v>19.716000000000001</v>
      </c>
      <c r="O19" s="1001">
        <v>22.295999999999999</v>
      </c>
      <c r="P19" s="1001">
        <v>21.013999999999999</v>
      </c>
      <c r="Q19" s="1001">
        <v>20.103000000000002</v>
      </c>
      <c r="R19" s="1001">
        <v>20.542999999999999</v>
      </c>
      <c r="S19" s="473">
        <v>18.567</v>
      </c>
      <c r="T19" s="535">
        <v>19.193999999999999</v>
      </c>
      <c r="U19" s="1008">
        <f t="shared" si="1"/>
        <v>3.3769591210211587</v>
      </c>
      <c r="V19" s="848">
        <v>70.87631551526519</v>
      </c>
      <c r="W19" s="848">
        <v>29.123684484734813</v>
      </c>
      <c r="X19" s="999" t="s">
        <v>126</v>
      </c>
    </row>
    <row r="20" spans="3:24" x14ac:dyDescent="0.2">
      <c r="C20" s="466" t="s">
        <v>111</v>
      </c>
      <c r="D20" s="1005">
        <v>373.334</v>
      </c>
      <c r="E20" s="1005">
        <v>369.88900000000001</v>
      </c>
      <c r="F20" s="1005">
        <v>377.71800000000002</v>
      </c>
      <c r="G20" s="1005">
        <v>372.25900000000001</v>
      </c>
      <c r="H20" s="1005">
        <v>356.80399999999997</v>
      </c>
      <c r="I20" s="1005">
        <v>356.05599999999998</v>
      </c>
      <c r="J20" s="1006">
        <v>350.82549999999998</v>
      </c>
      <c r="K20" s="1005">
        <v>345.137</v>
      </c>
      <c r="L20" s="1005">
        <v>358.62799999999999</v>
      </c>
      <c r="M20" s="1005">
        <v>358.68900000000002</v>
      </c>
      <c r="N20" s="1005">
        <v>366.43400000000003</v>
      </c>
      <c r="O20" s="1005">
        <v>375.17500000000001</v>
      </c>
      <c r="P20" s="1005">
        <v>377.637</v>
      </c>
      <c r="Q20" s="1005">
        <v>388.12700000000001</v>
      </c>
      <c r="R20" s="1005">
        <v>395.79300000000001</v>
      </c>
      <c r="S20" s="475">
        <v>319.50700000000001</v>
      </c>
      <c r="T20" s="476">
        <v>367.73200000000003</v>
      </c>
      <c r="U20" s="843">
        <f t="shared" si="1"/>
        <v>15.093566025157529</v>
      </c>
      <c r="V20" s="848">
        <v>85.877758802606238</v>
      </c>
      <c r="W20" s="848">
        <v>14.122241197393754</v>
      </c>
      <c r="X20" s="466" t="s">
        <v>111</v>
      </c>
    </row>
    <row r="21" spans="3:24" x14ac:dyDescent="0.2">
      <c r="C21" s="999" t="s">
        <v>90</v>
      </c>
      <c r="D21" s="1007" t="s">
        <v>121</v>
      </c>
      <c r="E21" s="1007" t="s">
        <v>121</v>
      </c>
      <c r="F21" s="1007" t="s">
        <v>121</v>
      </c>
      <c r="G21" s="1007" t="s">
        <v>121</v>
      </c>
      <c r="H21" s="1007" t="s">
        <v>121</v>
      </c>
      <c r="I21" s="1007" t="s">
        <v>121</v>
      </c>
      <c r="J21" s="1007" t="s">
        <v>121</v>
      </c>
      <c r="K21" s="1007" t="s">
        <v>121</v>
      </c>
      <c r="L21" s="1007" t="s">
        <v>121</v>
      </c>
      <c r="M21" s="1007" t="s">
        <v>121</v>
      </c>
      <c r="N21" s="1007" t="s">
        <v>121</v>
      </c>
      <c r="O21" s="1007" t="s">
        <v>121</v>
      </c>
      <c r="P21" s="1007" t="s">
        <v>121</v>
      </c>
      <c r="Q21" s="1007" t="s">
        <v>121</v>
      </c>
      <c r="R21" s="1007" t="s">
        <v>121</v>
      </c>
      <c r="S21" s="1018" t="s">
        <v>121</v>
      </c>
      <c r="T21" s="1018" t="s">
        <v>121</v>
      </c>
      <c r="U21" s="1030" t="s">
        <v>121</v>
      </c>
      <c r="V21" s="855" t="s">
        <v>121</v>
      </c>
      <c r="W21" s="855" t="s">
        <v>121</v>
      </c>
      <c r="X21" s="999" t="s">
        <v>90</v>
      </c>
    </row>
    <row r="22" spans="3:24" x14ac:dyDescent="0.2">
      <c r="C22" s="466" t="s">
        <v>94</v>
      </c>
      <c r="D22" s="1005">
        <v>18.89</v>
      </c>
      <c r="E22" s="1005">
        <v>17.991</v>
      </c>
      <c r="F22" s="1005">
        <v>18.577999999999999</v>
      </c>
      <c r="G22" s="1005">
        <v>19.524999999999999</v>
      </c>
      <c r="H22" s="1005">
        <v>18.294</v>
      </c>
      <c r="I22" s="1005">
        <v>16.626000000000001</v>
      </c>
      <c r="J22" s="1005">
        <v>18.471</v>
      </c>
      <c r="K22" s="1005">
        <v>18.850999999999999</v>
      </c>
      <c r="L22" s="1005">
        <v>17.576000000000001</v>
      </c>
      <c r="M22" s="1005">
        <v>17.654</v>
      </c>
      <c r="N22" s="1005">
        <v>17.164999999999999</v>
      </c>
      <c r="O22" s="1005">
        <v>15.294</v>
      </c>
      <c r="P22" s="1005">
        <v>14.523</v>
      </c>
      <c r="Q22" s="1005">
        <v>15.651</v>
      </c>
      <c r="R22" s="1005">
        <v>14.375999999999999</v>
      </c>
      <c r="S22" s="475">
        <v>10.715999999999999</v>
      </c>
      <c r="T22" s="476">
        <v>10.419</v>
      </c>
      <c r="U22" s="843">
        <f t="shared" si="1"/>
        <v>-2.7715565509518427</v>
      </c>
      <c r="V22" s="848">
        <v>57.539111239082445</v>
      </c>
      <c r="W22" s="848">
        <v>42.460888760917555</v>
      </c>
      <c r="X22" s="466" t="s">
        <v>94</v>
      </c>
    </row>
    <row r="23" spans="3:24" x14ac:dyDescent="0.2">
      <c r="C23" s="999" t="s">
        <v>95</v>
      </c>
      <c r="D23" s="1000">
        <v>14.326000000000001</v>
      </c>
      <c r="E23" s="1001">
        <v>13.818</v>
      </c>
      <c r="F23" s="1001">
        <v>14.862</v>
      </c>
      <c r="G23" s="1001">
        <v>15.611000000000001</v>
      </c>
      <c r="H23" s="1001">
        <v>13.856999999999999</v>
      </c>
      <c r="I23" s="1001">
        <v>14.368</v>
      </c>
      <c r="J23" s="1001">
        <v>15.321999999999999</v>
      </c>
      <c r="K23" s="1001">
        <v>14.664999999999999</v>
      </c>
      <c r="L23" s="1001">
        <v>13.926</v>
      </c>
      <c r="M23" s="1001">
        <v>14.074999999999999</v>
      </c>
      <c r="N23" s="1001">
        <v>13.994999999999999</v>
      </c>
      <c r="O23" s="1001">
        <v>14.298</v>
      </c>
      <c r="P23" s="1001">
        <v>15.231</v>
      </c>
      <c r="Q23" s="1001">
        <v>16.131</v>
      </c>
      <c r="R23" s="1001">
        <v>14.368</v>
      </c>
      <c r="S23" s="1001">
        <v>15.602</v>
      </c>
      <c r="T23" s="535">
        <v>14.968999999999999</v>
      </c>
      <c r="U23" s="1008">
        <f t="shared" si="1"/>
        <v>-4.0571721574157209</v>
      </c>
      <c r="V23" s="848">
        <v>39.241098269757494</v>
      </c>
      <c r="W23" s="848">
        <v>60.758901730242499</v>
      </c>
      <c r="X23" s="999" t="s">
        <v>95</v>
      </c>
    </row>
    <row r="24" spans="3:24" x14ac:dyDescent="0.2">
      <c r="C24" s="466" t="s">
        <v>112</v>
      </c>
      <c r="D24" s="1005">
        <v>7.6390000000000002</v>
      </c>
      <c r="E24" s="1005">
        <v>7.0430000000000001</v>
      </c>
      <c r="F24" s="1005">
        <v>6.9039999999999999</v>
      </c>
      <c r="G24" s="1005">
        <v>7.109</v>
      </c>
      <c r="H24" s="1005">
        <v>7.2569999999999997</v>
      </c>
      <c r="I24" s="1005">
        <v>7.9790000000000001</v>
      </c>
      <c r="J24" s="1005">
        <v>8.5879999999999992</v>
      </c>
      <c r="K24" s="1005">
        <v>8.5</v>
      </c>
      <c r="L24" s="1005">
        <v>8.2430000000000003</v>
      </c>
      <c r="M24" s="1005">
        <v>8.7189999999999994</v>
      </c>
      <c r="N24" s="1005">
        <v>8.9290000000000003</v>
      </c>
      <c r="O24" s="1005">
        <v>8.2110000000000003</v>
      </c>
      <c r="P24" s="1005">
        <v>8.1969999999999992</v>
      </c>
      <c r="Q24" s="1005">
        <v>8.0150000000000006</v>
      </c>
      <c r="R24" s="1005">
        <v>8.0259999999999998</v>
      </c>
      <c r="S24" s="1005">
        <f>7445.4/1000</f>
        <v>7.4453999999999994</v>
      </c>
      <c r="T24" s="476">
        <v>7.7969999999999997</v>
      </c>
      <c r="U24" s="843">
        <f t="shared" si="1"/>
        <v>4.7223789185268714</v>
      </c>
      <c r="V24" s="848">
        <v>94.56201102988328</v>
      </c>
      <c r="W24" s="848">
        <v>5.4379889701167121</v>
      </c>
      <c r="X24" s="466" t="s">
        <v>112</v>
      </c>
    </row>
    <row r="25" spans="3:24" x14ac:dyDescent="0.2">
      <c r="C25" s="999" t="s">
        <v>93</v>
      </c>
      <c r="D25" s="1001">
        <v>102.785</v>
      </c>
      <c r="E25" s="1000">
        <f>D25</f>
        <v>102.785</v>
      </c>
      <c r="F25" s="1001">
        <v>108.53789999999999</v>
      </c>
      <c r="G25" s="1001">
        <v>105.501</v>
      </c>
      <c r="H25" s="1001">
        <v>102.30500000000001</v>
      </c>
      <c r="I25" s="1001">
        <v>100.586</v>
      </c>
      <c r="J25" s="1001">
        <v>102.32299999999999</v>
      </c>
      <c r="K25" s="1001">
        <v>103.03400000000001</v>
      </c>
      <c r="L25" s="1001">
        <v>97.960999999999999</v>
      </c>
      <c r="M25" s="1000">
        <v>100.6</v>
      </c>
      <c r="N25" s="1001">
        <v>164.82</v>
      </c>
      <c r="O25" s="1001">
        <v>136.43799999999999</v>
      </c>
      <c r="P25" s="1001">
        <v>125.413</v>
      </c>
      <c r="Q25" s="1001">
        <v>131.97999999999999</v>
      </c>
      <c r="R25" s="1001">
        <f>129173/1000</f>
        <v>129.173</v>
      </c>
      <c r="S25" s="1001">
        <f>123.041</f>
        <v>123.041</v>
      </c>
      <c r="T25" s="535">
        <v>108.3627</v>
      </c>
      <c r="U25" s="1008">
        <f t="shared" si="1"/>
        <v>-11.929600702204951</v>
      </c>
      <c r="V25" s="848">
        <v>29.955122714237831</v>
      </c>
      <c r="W25" s="848">
        <v>70.044877285762169</v>
      </c>
      <c r="X25" s="463" t="s">
        <v>93</v>
      </c>
    </row>
    <row r="26" spans="3:24" x14ac:dyDescent="0.2">
      <c r="C26" s="466" t="s">
        <v>96</v>
      </c>
      <c r="D26" s="1009" t="s">
        <v>121</v>
      </c>
      <c r="E26" s="1009" t="s">
        <v>121</v>
      </c>
      <c r="F26" s="1009" t="s">
        <v>121</v>
      </c>
      <c r="G26" s="1009" t="s">
        <v>121</v>
      </c>
      <c r="H26" s="1009" t="s">
        <v>121</v>
      </c>
      <c r="I26" s="1009" t="s">
        <v>121</v>
      </c>
      <c r="J26" s="1009" t="s">
        <v>121</v>
      </c>
      <c r="K26" s="1009" t="s">
        <v>121</v>
      </c>
      <c r="L26" s="1009" t="s">
        <v>121</v>
      </c>
      <c r="M26" s="1009" t="s">
        <v>121</v>
      </c>
      <c r="N26" s="1009" t="s">
        <v>121</v>
      </c>
      <c r="O26" s="1009" t="s">
        <v>121</v>
      </c>
      <c r="P26" s="1009" t="s">
        <v>121</v>
      </c>
      <c r="Q26" s="1009" t="s">
        <v>121</v>
      </c>
      <c r="R26" s="1009" t="s">
        <v>121</v>
      </c>
      <c r="S26" s="468" t="s">
        <v>121</v>
      </c>
      <c r="T26" s="640" t="s">
        <v>121</v>
      </c>
      <c r="U26" s="1031" t="s">
        <v>121</v>
      </c>
      <c r="V26" s="855" t="s">
        <v>121</v>
      </c>
      <c r="W26" s="855" t="s">
        <v>121</v>
      </c>
      <c r="X26" s="466" t="s">
        <v>96</v>
      </c>
    </row>
    <row r="27" spans="3:24" x14ac:dyDescent="0.2">
      <c r="C27" s="999" t="s">
        <v>104</v>
      </c>
      <c r="D27" s="1001">
        <v>133.773</v>
      </c>
      <c r="E27" s="1001">
        <v>134.49199999999999</v>
      </c>
      <c r="F27" s="1001">
        <v>149.55000000000001</v>
      </c>
      <c r="G27" s="1000">
        <v>147.92033333333333</v>
      </c>
      <c r="H27" s="1000">
        <v>142.07766666666669</v>
      </c>
      <c r="I27" s="1001">
        <v>139.102</v>
      </c>
      <c r="J27" s="1001">
        <v>138.654</v>
      </c>
      <c r="K27" s="1000">
        <v>141.21449999999999</v>
      </c>
      <c r="L27" s="1001">
        <v>144.048</v>
      </c>
      <c r="M27" s="1001">
        <v>145.946</v>
      </c>
      <c r="N27" s="1001">
        <v>149.36500000000001</v>
      </c>
      <c r="O27" s="1001">
        <v>152.048</v>
      </c>
      <c r="P27" s="1001">
        <v>154.227</v>
      </c>
      <c r="Q27" s="1001">
        <v>157.77500000000001</v>
      </c>
      <c r="R27" s="1001">
        <f>160975/1000</f>
        <v>160.97499999999999</v>
      </c>
      <c r="S27" s="473">
        <f>148.834</f>
        <v>148.834</v>
      </c>
      <c r="T27" s="535">
        <v>153.126</v>
      </c>
      <c r="U27" s="1008">
        <f t="shared" si="1"/>
        <v>2.8837496808525032</v>
      </c>
      <c r="V27" s="848">
        <v>94.095441736456209</v>
      </c>
      <c r="W27" s="848">
        <v>5.904558263543791</v>
      </c>
      <c r="X27" s="999" t="s">
        <v>104</v>
      </c>
    </row>
    <row r="28" spans="3:24" x14ac:dyDescent="0.2">
      <c r="C28" s="466" t="s">
        <v>113</v>
      </c>
      <c r="D28" s="1005">
        <v>143.917</v>
      </c>
      <c r="E28" s="1005">
        <v>152.40799999999999</v>
      </c>
      <c r="F28" s="1005">
        <v>155.78399999999999</v>
      </c>
      <c r="G28" s="1005">
        <v>159.19800000000001</v>
      </c>
      <c r="H28" s="1005">
        <v>154.08799999999999</v>
      </c>
      <c r="I28" s="1005">
        <v>151.83099999999999</v>
      </c>
      <c r="J28" s="1005">
        <v>150.655</v>
      </c>
      <c r="K28" s="1005">
        <v>145.66800000000001</v>
      </c>
      <c r="L28" s="1005">
        <v>146.83500000000001</v>
      </c>
      <c r="M28" s="1005">
        <v>151.048</v>
      </c>
      <c r="N28" s="1005">
        <v>153.39500000000001</v>
      </c>
      <c r="O28" s="1005">
        <v>153.71100000000001</v>
      </c>
      <c r="P28" s="1005">
        <v>156.40799999999999</v>
      </c>
      <c r="Q28" s="1005">
        <v>154.953</v>
      </c>
      <c r="R28" s="1005">
        <v>163.04400000000001</v>
      </c>
      <c r="S28" s="475">
        <v>153.28</v>
      </c>
      <c r="T28" s="476">
        <v>165.464</v>
      </c>
      <c r="U28" s="843">
        <f t="shared" si="1"/>
        <v>7.9488517745302687</v>
      </c>
      <c r="V28" s="848">
        <v>74.588430111685923</v>
      </c>
      <c r="W28" s="848">
        <v>25.411569888314073</v>
      </c>
      <c r="X28" s="466" t="s">
        <v>113</v>
      </c>
    </row>
    <row r="29" spans="3:24" x14ac:dyDescent="0.2">
      <c r="C29" s="999" t="s">
        <v>97</v>
      </c>
      <c r="D29" s="1001">
        <v>207.173</v>
      </c>
      <c r="E29" s="1001">
        <v>222.05199999999999</v>
      </c>
      <c r="F29" s="1001">
        <v>219.578</v>
      </c>
      <c r="G29" s="1001">
        <v>217.54599999999999</v>
      </c>
      <c r="H29" s="1001">
        <v>199.489</v>
      </c>
      <c r="I29" s="1001">
        <v>211.71700000000001</v>
      </c>
      <c r="J29" s="1001">
        <v>212.55099999999999</v>
      </c>
      <c r="K29" s="1001">
        <v>209.85400000000001</v>
      </c>
      <c r="L29" s="1001">
        <v>202.62299999999999</v>
      </c>
      <c r="M29" s="1001">
        <v>197.14699999999999</v>
      </c>
      <c r="N29" s="1001">
        <v>204.58500000000001</v>
      </c>
      <c r="O29" s="1001">
        <v>221.29900000000001</v>
      </c>
      <c r="P29" s="1001">
        <v>227.63</v>
      </c>
      <c r="Q29" s="1001">
        <v>243.816</v>
      </c>
      <c r="R29" s="1001">
        <f>245049/1000</f>
        <v>245.04900000000001</v>
      </c>
      <c r="S29" s="473">
        <f>224.222</f>
        <v>224.22200000000001</v>
      </c>
      <c r="T29" s="535">
        <v>246.52199999999999</v>
      </c>
      <c r="U29" s="1008">
        <f t="shared" si="1"/>
        <v>9.9455004415266899</v>
      </c>
      <c r="V29" s="848">
        <v>69.378797835487305</v>
      </c>
      <c r="W29" s="848">
        <v>28.814872506307754</v>
      </c>
      <c r="X29" s="999" t="s">
        <v>97</v>
      </c>
    </row>
    <row r="30" spans="3:24" x14ac:dyDescent="0.2">
      <c r="C30" s="466" t="s">
        <v>114</v>
      </c>
      <c r="D30" s="1005">
        <v>37.674999999999997</v>
      </c>
      <c r="E30" s="1005">
        <v>41.981999999999999</v>
      </c>
      <c r="F30" s="1005">
        <v>40.595999999999997</v>
      </c>
      <c r="G30" s="1005">
        <v>43.216000000000001</v>
      </c>
      <c r="H30" s="1005">
        <v>40.204000000000001</v>
      </c>
      <c r="I30" s="1005">
        <v>40.000999999999998</v>
      </c>
      <c r="J30" s="1005">
        <v>37.209000000000003</v>
      </c>
      <c r="K30" s="1005">
        <v>37.494999999999997</v>
      </c>
      <c r="L30" s="1005">
        <v>35.118000000000002</v>
      </c>
      <c r="M30" s="1005">
        <v>35.335999999999999</v>
      </c>
      <c r="N30" s="1005">
        <v>37.142000000000003</v>
      </c>
      <c r="O30" s="1005">
        <v>36.674999999999997</v>
      </c>
      <c r="P30" s="1005">
        <v>37.072000000000003</v>
      </c>
      <c r="Q30" s="1005">
        <v>36.29</v>
      </c>
      <c r="R30" s="1005">
        <v>36.954999999999998</v>
      </c>
      <c r="S30" s="475">
        <v>33.347999999999999</v>
      </c>
      <c r="T30" s="476">
        <v>35.539000000000001</v>
      </c>
      <c r="U30" s="843">
        <f t="shared" si="1"/>
        <v>6.570109151973142</v>
      </c>
      <c r="V30" s="848">
        <v>82.481217817046058</v>
      </c>
      <c r="W30" s="848">
        <v>17.518782182953938</v>
      </c>
      <c r="X30" s="466" t="s">
        <v>114</v>
      </c>
    </row>
    <row r="31" spans="3:24" x14ac:dyDescent="0.2">
      <c r="C31" s="999" t="s">
        <v>98</v>
      </c>
      <c r="D31" s="1001">
        <v>94.540999999999997</v>
      </c>
      <c r="E31" s="1001">
        <v>94.241</v>
      </c>
      <c r="F31" s="1001">
        <v>95.135000000000005</v>
      </c>
      <c r="G31" s="1001">
        <v>92.864999999999995</v>
      </c>
      <c r="H31" s="1001">
        <v>88.995000000000005</v>
      </c>
      <c r="I31" s="1001">
        <v>86.272000000000006</v>
      </c>
      <c r="J31" s="1001">
        <v>92.555999999999997</v>
      </c>
      <c r="K31" s="1001">
        <v>90.125</v>
      </c>
      <c r="L31" s="1001">
        <v>82.430999999999997</v>
      </c>
      <c r="M31" s="1001">
        <v>77.802000000000007</v>
      </c>
      <c r="N31" s="1001">
        <v>79.941000000000003</v>
      </c>
      <c r="O31" s="1001">
        <v>80.828000000000003</v>
      </c>
      <c r="P31" s="1001">
        <v>81.099999999999994</v>
      </c>
      <c r="Q31" s="1001">
        <v>77.292000000000002</v>
      </c>
      <c r="R31" s="1001">
        <v>84.311999999999998</v>
      </c>
      <c r="S31" s="473">
        <v>77.646000000000001</v>
      </c>
      <c r="T31" s="535">
        <v>80.935000000000002</v>
      </c>
      <c r="U31" s="1008">
        <f t="shared" si="1"/>
        <v>4.2358910954846323</v>
      </c>
      <c r="V31" s="848">
        <v>74.782232655834918</v>
      </c>
      <c r="W31" s="848">
        <v>25.217767344165072</v>
      </c>
      <c r="X31" s="999" t="s">
        <v>98</v>
      </c>
    </row>
    <row r="32" spans="3:24" x14ac:dyDescent="0.2">
      <c r="C32" s="466" t="s">
        <v>100</v>
      </c>
      <c r="D32" s="1005">
        <v>18.635000000000002</v>
      </c>
      <c r="E32" s="1005">
        <v>18.477</v>
      </c>
      <c r="F32" s="1005">
        <v>18.774999999999999</v>
      </c>
      <c r="G32" s="1005">
        <v>19.015000000000001</v>
      </c>
      <c r="H32" s="1005">
        <v>17.481999999999999</v>
      </c>
      <c r="I32" s="1005">
        <v>18.588000000000001</v>
      </c>
      <c r="J32" s="1005">
        <v>19.141999999999999</v>
      </c>
      <c r="K32" s="1005">
        <v>18.524000000000001</v>
      </c>
      <c r="L32" s="1005">
        <v>18.466000000000001</v>
      </c>
      <c r="M32" s="1005">
        <v>18.923999999999999</v>
      </c>
      <c r="N32" s="1005">
        <v>17.733000000000001</v>
      </c>
      <c r="O32" s="1005">
        <v>18.82</v>
      </c>
      <c r="P32" s="1005">
        <v>19.923999999999999</v>
      </c>
      <c r="Q32" s="1005">
        <v>19.277000000000001</v>
      </c>
      <c r="R32" s="1005">
        <v>19.009</v>
      </c>
      <c r="S32" s="475">
        <v>15.951000000000001</v>
      </c>
      <c r="T32" s="476">
        <v>18.760000000000002</v>
      </c>
      <c r="U32" s="843">
        <f t="shared" si="1"/>
        <v>17.610181179863332</v>
      </c>
      <c r="V32" s="848">
        <v>55.64498933901919</v>
      </c>
      <c r="W32" s="848">
        <v>44.35501066098081</v>
      </c>
      <c r="X32" s="466" t="s">
        <v>100</v>
      </c>
    </row>
    <row r="33" spans="3:24" x14ac:dyDescent="0.2">
      <c r="C33" s="999" t="s">
        <v>99</v>
      </c>
      <c r="D33" s="1001">
        <v>47.295000000000002</v>
      </c>
      <c r="E33" s="1001">
        <v>48.749000000000002</v>
      </c>
      <c r="F33" s="1001">
        <v>51.423999999999999</v>
      </c>
      <c r="G33" s="1001">
        <v>46.957000000000001</v>
      </c>
      <c r="H33" s="1001">
        <v>42.145000000000003</v>
      </c>
      <c r="I33" s="1001">
        <v>44.029000000000003</v>
      </c>
      <c r="J33" s="1001">
        <v>42.710999999999999</v>
      </c>
      <c r="K33" s="1001">
        <v>43.868000000000002</v>
      </c>
      <c r="L33" s="1001">
        <v>43.25</v>
      </c>
      <c r="M33" s="1001">
        <v>43.128</v>
      </c>
      <c r="N33" s="1001">
        <v>45.988999999999997</v>
      </c>
      <c r="O33" s="1001">
        <v>46.805999999999997</v>
      </c>
      <c r="P33" s="1001">
        <v>45.253</v>
      </c>
      <c r="Q33" s="1001">
        <v>47.3</v>
      </c>
      <c r="R33" s="1001">
        <v>48.715000000000003</v>
      </c>
      <c r="S33" s="473">
        <v>46.173999999999999</v>
      </c>
      <c r="T33" s="535">
        <v>46.524999999999999</v>
      </c>
      <c r="U33" s="1008">
        <f t="shared" si="1"/>
        <v>0.76016805994716208</v>
      </c>
      <c r="V33" s="848">
        <v>74.465341214400866</v>
      </c>
      <c r="W33" s="848">
        <v>25.534658785599142</v>
      </c>
      <c r="X33" s="999" t="s">
        <v>99</v>
      </c>
    </row>
    <row r="34" spans="3:24" x14ac:dyDescent="0.2">
      <c r="C34" s="466" t="s">
        <v>115</v>
      </c>
      <c r="D34" s="1005">
        <v>48.226999999999997</v>
      </c>
      <c r="E34" s="1005">
        <v>50.88</v>
      </c>
      <c r="F34" s="1005">
        <v>52.576999999999998</v>
      </c>
      <c r="G34" s="1005">
        <v>53.259</v>
      </c>
      <c r="H34" s="1005">
        <v>50.018999999999998</v>
      </c>
      <c r="I34" s="1005">
        <v>51</v>
      </c>
      <c r="J34" s="1005">
        <v>51.07</v>
      </c>
      <c r="K34" s="1005">
        <v>50.89</v>
      </c>
      <c r="L34" s="1005">
        <v>50.460999999999999</v>
      </c>
      <c r="M34" s="1005">
        <v>49.67</v>
      </c>
      <c r="N34" s="1005">
        <v>48.554000000000002</v>
      </c>
      <c r="O34" s="1005">
        <v>46.823999999999998</v>
      </c>
      <c r="P34" s="1005">
        <v>47.3</v>
      </c>
      <c r="Q34" s="1005">
        <v>50.514000000000003</v>
      </c>
      <c r="R34" s="1005">
        <v>51.47</v>
      </c>
      <c r="S34" s="475">
        <v>47.725000000000001</v>
      </c>
      <c r="T34" s="476">
        <v>47.436999999999998</v>
      </c>
      <c r="U34" s="843">
        <f t="shared" si="1"/>
        <v>-0.60345730749084225</v>
      </c>
      <c r="V34" s="848">
        <v>69.034719733541323</v>
      </c>
      <c r="W34" s="848">
        <v>30.965280266458674</v>
      </c>
      <c r="X34" s="466" t="s">
        <v>115</v>
      </c>
    </row>
    <row r="35" spans="3:24" x14ac:dyDescent="0.2">
      <c r="C35" s="1010" t="s">
        <v>116</v>
      </c>
      <c r="D35" s="1011">
        <v>127.68300000000001</v>
      </c>
      <c r="E35" s="1011">
        <v>131.453</v>
      </c>
      <c r="F35" s="1011">
        <v>135.904</v>
      </c>
      <c r="G35" s="1011">
        <v>142.46799999999999</v>
      </c>
      <c r="H35" s="1011">
        <v>135.81200000000001</v>
      </c>
      <c r="I35" s="1011">
        <v>140.58199999999999</v>
      </c>
      <c r="J35" s="1011">
        <v>147.19</v>
      </c>
      <c r="K35" s="1011">
        <v>145.72999999999999</v>
      </c>
      <c r="L35" s="1011">
        <v>151.185</v>
      </c>
      <c r="M35" s="1011">
        <v>152.98400000000001</v>
      </c>
      <c r="N35" s="1011">
        <v>152.738</v>
      </c>
      <c r="O35" s="1011">
        <v>157.72300000000001</v>
      </c>
      <c r="P35" s="1011">
        <v>160.38300000000001</v>
      </c>
      <c r="Q35" s="1011">
        <v>165.095</v>
      </c>
      <c r="R35" s="1011">
        <v>168.05500000000001</v>
      </c>
      <c r="S35" s="1011">
        <v>151.35300000000001</v>
      </c>
      <c r="T35" s="1012">
        <v>159.18100000000001</v>
      </c>
      <c r="U35" s="1013">
        <f t="shared" si="1"/>
        <v>5.1720150905498912</v>
      </c>
      <c r="V35" s="854">
        <v>77.185719401184812</v>
      </c>
      <c r="W35" s="854">
        <v>22.814280598815184</v>
      </c>
      <c r="X35" s="1010" t="s">
        <v>116</v>
      </c>
    </row>
    <row r="36" spans="3:24" x14ac:dyDescent="0.2">
      <c r="C36" s="466" t="s">
        <v>88</v>
      </c>
      <c r="D36" s="469" t="s">
        <v>121</v>
      </c>
      <c r="E36" s="469" t="s">
        <v>121</v>
      </c>
      <c r="F36" s="469" t="s">
        <v>121</v>
      </c>
      <c r="G36" s="469" t="s">
        <v>121</v>
      </c>
      <c r="H36" s="469" t="s">
        <v>121</v>
      </c>
      <c r="I36" s="469" t="s">
        <v>121</v>
      </c>
      <c r="J36" s="469" t="s">
        <v>121</v>
      </c>
      <c r="K36" s="469" t="s">
        <v>121</v>
      </c>
      <c r="L36" s="469" t="s">
        <v>121</v>
      </c>
      <c r="M36" s="469" t="s">
        <v>121</v>
      </c>
      <c r="N36" s="469" t="s">
        <v>121</v>
      </c>
      <c r="O36" s="469" t="s">
        <v>121</v>
      </c>
      <c r="P36" s="469" t="s">
        <v>121</v>
      </c>
      <c r="Q36" s="469" t="s">
        <v>121</v>
      </c>
      <c r="R36" s="469" t="s">
        <v>121</v>
      </c>
      <c r="S36" s="469" t="s">
        <v>121</v>
      </c>
      <c r="T36" s="702" t="s">
        <v>121</v>
      </c>
      <c r="U36" s="469" t="s">
        <v>121</v>
      </c>
      <c r="V36" s="855" t="s">
        <v>121</v>
      </c>
      <c r="W36" s="855" t="s">
        <v>121</v>
      </c>
      <c r="X36" s="466" t="s">
        <v>88</v>
      </c>
    </row>
    <row r="37" spans="3:24" x14ac:dyDescent="0.2">
      <c r="C37" s="999" t="s">
        <v>117</v>
      </c>
      <c r="D37" s="1014">
        <v>41.140999999999998</v>
      </c>
      <c r="E37" s="1014">
        <v>41.816000000000003</v>
      </c>
      <c r="F37" s="1014">
        <v>42.363999999999997</v>
      </c>
      <c r="G37" s="1014">
        <v>43.764000000000003</v>
      </c>
      <c r="H37" s="1014">
        <v>43.74</v>
      </c>
      <c r="I37" s="1014">
        <v>43.787999999999997</v>
      </c>
      <c r="J37" s="1014">
        <v>43.293999999999997</v>
      </c>
      <c r="K37" s="1014">
        <v>43.689</v>
      </c>
      <c r="L37" s="1014">
        <v>45.923999999999999</v>
      </c>
      <c r="M37" s="1014">
        <v>46.164999999999999</v>
      </c>
      <c r="N37" s="1014">
        <v>48.561999999999998</v>
      </c>
      <c r="O37" s="1014">
        <v>47.448</v>
      </c>
      <c r="P37" s="1014">
        <v>49.1</v>
      </c>
      <c r="Q37" s="1014">
        <v>41.09</v>
      </c>
      <c r="R37" s="1014">
        <v>48.831000000000003</v>
      </c>
      <c r="S37" s="1021">
        <v>44.746000000000002</v>
      </c>
      <c r="T37" s="1015">
        <v>46.822000000000003</v>
      </c>
      <c r="U37" s="1008">
        <f t="shared" si="1"/>
        <v>4.639520851025793</v>
      </c>
      <c r="V37" s="845">
        <v>80.32975951475801</v>
      </c>
      <c r="W37" s="851">
        <v>19.67024048524198</v>
      </c>
      <c r="X37" s="999" t="s">
        <v>117</v>
      </c>
    </row>
    <row r="38" spans="3:24" x14ac:dyDescent="0.2">
      <c r="C38" s="471" t="s">
        <v>326</v>
      </c>
      <c r="D38" s="472">
        <v>0</v>
      </c>
      <c r="E38" s="472">
        <v>0</v>
      </c>
      <c r="F38" s="472">
        <v>0</v>
      </c>
      <c r="G38" s="472">
        <v>200.81</v>
      </c>
      <c r="H38" s="472">
        <v>207.56399999999999</v>
      </c>
      <c r="I38" s="472">
        <v>210.54599999999999</v>
      </c>
      <c r="J38" s="472">
        <v>209.953</v>
      </c>
      <c r="K38" s="472">
        <v>211.48099999999999</v>
      </c>
      <c r="L38" s="472">
        <v>215.505</v>
      </c>
      <c r="M38" s="472">
        <v>220.327</v>
      </c>
      <c r="N38" s="472">
        <v>222.65199999999999</v>
      </c>
      <c r="O38" s="472">
        <v>227.35499999999999</v>
      </c>
      <c r="P38" s="472">
        <v>226.13499999999999</v>
      </c>
      <c r="Q38" s="472">
        <v>226.089</v>
      </c>
      <c r="R38" s="472">
        <v>228.864</v>
      </c>
      <c r="S38" s="472">
        <v>221.53899999999999</v>
      </c>
      <c r="T38" s="643">
        <v>232.726</v>
      </c>
      <c r="U38" s="844">
        <f t="shared" si="1"/>
        <v>5.0496752264838278</v>
      </c>
      <c r="V38" s="846">
        <v>88.275482756546324</v>
      </c>
      <c r="W38" s="846">
        <v>11.724517243453676</v>
      </c>
      <c r="X38" s="471" t="s">
        <v>326</v>
      </c>
    </row>
    <row r="39" spans="3:24" x14ac:dyDescent="0.2">
      <c r="C39" s="463" t="s">
        <v>657</v>
      </c>
      <c r="D39" s="465"/>
      <c r="E39" s="465"/>
      <c r="F39" s="465"/>
      <c r="G39" s="465"/>
      <c r="H39" s="465"/>
      <c r="I39" s="465"/>
      <c r="J39" s="465"/>
      <c r="K39" s="465"/>
      <c r="L39" s="465"/>
      <c r="M39" s="465">
        <v>3.8570000000000002</v>
      </c>
      <c r="N39" s="465">
        <v>4.0359999999999996</v>
      </c>
      <c r="O39" s="465">
        <v>3.786</v>
      </c>
      <c r="P39" s="465">
        <v>3.633</v>
      </c>
      <c r="Q39" s="465">
        <v>4.1529999999999996</v>
      </c>
      <c r="R39" s="465">
        <v>3.3530000000000002</v>
      </c>
      <c r="S39" s="465">
        <v>2.9380000000000002</v>
      </c>
      <c r="T39" s="470">
        <v>3.3010000000000002</v>
      </c>
      <c r="U39" s="842">
        <f t="shared" si="1"/>
        <v>12.35534377127297</v>
      </c>
      <c r="V39" s="845">
        <v>38.35201454104817</v>
      </c>
      <c r="W39" s="845">
        <v>61.647985458951837</v>
      </c>
      <c r="X39" s="463" t="s">
        <v>657</v>
      </c>
    </row>
    <row r="40" spans="3:24" x14ac:dyDescent="0.2">
      <c r="C40" s="466" t="s">
        <v>321</v>
      </c>
      <c r="D40" s="1017"/>
      <c r="E40" s="1017"/>
      <c r="F40" s="1017"/>
      <c r="G40" s="1016"/>
      <c r="H40" s="1016"/>
      <c r="I40" s="1016"/>
      <c r="J40" s="1016"/>
      <c r="K40" s="1016"/>
      <c r="L40" s="1016">
        <v>1.252</v>
      </c>
      <c r="M40" s="1016">
        <v>1.3169999999999999</v>
      </c>
      <c r="N40" s="1016">
        <v>1.401</v>
      </c>
      <c r="O40" s="1016">
        <v>1.506</v>
      </c>
      <c r="P40" s="1016">
        <v>1.569</v>
      </c>
      <c r="Q40" s="1016">
        <v>1.677</v>
      </c>
      <c r="R40" s="1016">
        <v>1.7470000000000001</v>
      </c>
      <c r="S40" s="467">
        <v>1.0940000000000001</v>
      </c>
      <c r="T40" s="642">
        <f>S40*U8/100+S40</f>
        <v>1.1792779489796084</v>
      </c>
      <c r="U40" s="1024">
        <f t="shared" si="1"/>
        <v>7.7950593217192221</v>
      </c>
      <c r="V40" s="845"/>
      <c r="W40" s="851"/>
      <c r="X40" s="466" t="s">
        <v>321</v>
      </c>
    </row>
    <row r="41" spans="3:24" x14ac:dyDescent="0.2">
      <c r="C41" s="463" t="s">
        <v>658</v>
      </c>
      <c r="D41" s="1025"/>
      <c r="E41" s="1029"/>
      <c r="F41" s="1029"/>
      <c r="G41" s="1026"/>
      <c r="H41" s="1026"/>
      <c r="I41" s="1026">
        <v>0.77488400000000002</v>
      </c>
      <c r="J41" s="1026">
        <v>0.88315999999999995</v>
      </c>
      <c r="K41" s="1026">
        <v>0.70333100000000004</v>
      </c>
      <c r="L41" s="1026">
        <v>0.89610999999999996</v>
      </c>
      <c r="M41" s="1026">
        <v>0.84489000000000003</v>
      </c>
      <c r="N41" s="1026">
        <v>0.71005700000000005</v>
      </c>
      <c r="O41" s="1026">
        <v>0.71555400000000002</v>
      </c>
      <c r="P41" s="1026">
        <v>0.89082000000000006</v>
      </c>
      <c r="Q41" s="1026">
        <v>0.89717999999999998</v>
      </c>
      <c r="R41" s="1026">
        <v>0.93430600000000008</v>
      </c>
      <c r="S41" s="465">
        <v>0.62148400000000004</v>
      </c>
      <c r="T41" s="1027">
        <f>S41+S41*U8/100</f>
        <v>0.66992904647499352</v>
      </c>
      <c r="U41" s="1028">
        <f t="shared" si="1"/>
        <v>7.7950593217192221</v>
      </c>
      <c r="V41" s="845">
        <v>0.10917425804546702</v>
      </c>
      <c r="W41" s="851">
        <v>99.890825741954529</v>
      </c>
      <c r="X41" s="463" t="s">
        <v>658</v>
      </c>
    </row>
    <row r="42" spans="3:24" x14ac:dyDescent="0.2">
      <c r="C42" s="466" t="s">
        <v>331</v>
      </c>
      <c r="D42" s="1009"/>
      <c r="E42" s="1009"/>
      <c r="F42" s="1009"/>
      <c r="G42" s="1016"/>
      <c r="H42" s="1016">
        <v>2.7719999999999998</v>
      </c>
      <c r="I42" s="1016">
        <v>2.79</v>
      </c>
      <c r="J42" s="1016">
        <v>2.5169999999999999</v>
      </c>
      <c r="K42" s="1016">
        <v>2.2919999999999998</v>
      </c>
      <c r="L42" s="1016">
        <v>2.2069999999999999</v>
      </c>
      <c r="M42" s="1016">
        <v>2.222</v>
      </c>
      <c r="N42" s="1016">
        <v>2.1720000000000002</v>
      </c>
      <c r="O42" s="1016">
        <v>1.962</v>
      </c>
      <c r="P42" s="1016">
        <v>1.1419999999999999</v>
      </c>
      <c r="Q42" s="1016">
        <v>1.877</v>
      </c>
      <c r="R42" s="1016">
        <v>1.708</v>
      </c>
      <c r="S42" s="467">
        <v>1.446</v>
      </c>
      <c r="T42" s="641">
        <v>1.516</v>
      </c>
      <c r="U42" s="843">
        <f t="shared" si="1"/>
        <v>4.8409405255878397</v>
      </c>
      <c r="V42" s="845">
        <v>58.839050131926115</v>
      </c>
      <c r="W42" s="851">
        <v>41.160949868073878</v>
      </c>
      <c r="X42" s="466" t="s">
        <v>331</v>
      </c>
    </row>
    <row r="43" spans="3:24" x14ac:dyDescent="0.2">
      <c r="C43" s="463" t="s">
        <v>330</v>
      </c>
      <c r="D43" s="1029"/>
      <c r="E43" s="1029"/>
      <c r="F43" s="1029"/>
      <c r="G43" s="1029"/>
      <c r="H43" s="1029"/>
      <c r="I43" s="1029"/>
      <c r="J43" s="1029"/>
      <c r="K43" s="1029"/>
      <c r="L43" s="1029"/>
      <c r="M43" s="1029"/>
      <c r="N43" s="1029"/>
      <c r="O43" s="1026">
        <v>0.19919999999999999</v>
      </c>
      <c r="P43" s="1026">
        <v>0.19803999999999999</v>
      </c>
      <c r="Q43" s="1026">
        <v>0.32984000000000002</v>
      </c>
      <c r="R43" s="1026">
        <v>0.27500000000000002</v>
      </c>
      <c r="S43" s="465">
        <v>6.9089999999999999E-2</v>
      </c>
      <c r="T43" s="470">
        <v>9.9000000000000005E-2</v>
      </c>
      <c r="U43" s="842">
        <f t="shared" si="1"/>
        <v>43.291359096830234</v>
      </c>
      <c r="V43" s="845">
        <v>67.050305728221304</v>
      </c>
      <c r="W43" s="851">
        <v>32.949694271778696</v>
      </c>
      <c r="X43" s="463" t="s">
        <v>330</v>
      </c>
    </row>
    <row r="44" spans="3:24" x14ac:dyDescent="0.2">
      <c r="C44" s="466" t="s">
        <v>332</v>
      </c>
      <c r="D44" s="1009"/>
      <c r="E44" s="1009">
        <v>25.553999999999998</v>
      </c>
      <c r="F44" s="1009">
        <v>25.763000000000002</v>
      </c>
      <c r="G44" s="1009">
        <v>23.867000000000001</v>
      </c>
      <c r="H44" s="1009">
        <v>24.117000000000001</v>
      </c>
      <c r="I44" s="1016">
        <v>22.995000000000001</v>
      </c>
      <c r="J44" s="1016" t="s">
        <v>660</v>
      </c>
      <c r="K44" s="1016">
        <v>18.998000000000001</v>
      </c>
      <c r="L44" s="1016">
        <v>17.478000000000002</v>
      </c>
      <c r="M44" s="1016">
        <v>17.021999999999998</v>
      </c>
      <c r="N44" s="1016">
        <v>22.175000000000001</v>
      </c>
      <c r="O44" s="1016">
        <v>16.033000000000001</v>
      </c>
      <c r="P44" s="1016">
        <v>21.640999999999998</v>
      </c>
      <c r="Q44" s="1016"/>
      <c r="R44" s="1016">
        <v>14.887</v>
      </c>
      <c r="S44" s="467">
        <v>12.733000000000001</v>
      </c>
      <c r="T44" s="642">
        <f>S44+S44*U8/100</f>
        <v>13.725544903434509</v>
      </c>
      <c r="U44" s="1024">
        <f t="shared" si="1"/>
        <v>7.7950593217192221</v>
      </c>
      <c r="V44" s="845">
        <f>100-W44</f>
        <v>57.29207570878819</v>
      </c>
      <c r="W44" s="851">
        <v>42.70792429121181</v>
      </c>
      <c r="X44" s="466" t="s">
        <v>332</v>
      </c>
    </row>
    <row r="45" spans="3:24" x14ac:dyDescent="0.2">
      <c r="C45" s="463" t="s">
        <v>101</v>
      </c>
      <c r="D45" s="1026">
        <v>44.935000000000002</v>
      </c>
      <c r="E45" s="1026">
        <v>43.820999999999998</v>
      </c>
      <c r="F45" s="1026">
        <v>42.863</v>
      </c>
      <c r="G45" s="1026">
        <v>42.472000000000001</v>
      </c>
      <c r="H45" s="1026">
        <v>41.579000000000001</v>
      </c>
      <c r="I45" s="1026">
        <v>38.761000000000003</v>
      </c>
      <c r="J45" s="1026">
        <v>40.036000000000001</v>
      </c>
      <c r="K45" s="1026">
        <v>35.088999999999999</v>
      </c>
      <c r="L45" s="1026">
        <v>28.795000000000002</v>
      </c>
      <c r="M45" s="1026">
        <v>42.378</v>
      </c>
      <c r="N45" s="1026">
        <v>41.051000000000002</v>
      </c>
      <c r="O45" s="1026">
        <v>41.698</v>
      </c>
      <c r="P45" s="1026">
        <v>42.253999999999998</v>
      </c>
      <c r="Q45" s="1026">
        <v>44.723999999999997</v>
      </c>
      <c r="R45" s="1026">
        <v>50.497</v>
      </c>
      <c r="S45" s="465">
        <v>38.590000000000003</v>
      </c>
      <c r="T45" s="470">
        <v>45.533000000000001</v>
      </c>
      <c r="U45" s="842">
        <f t="shared" si="1"/>
        <v>17.99170769629437</v>
      </c>
      <c r="V45" s="851">
        <v>40.634265258164412</v>
      </c>
      <c r="W45" s="851">
        <v>59.365734741835595</v>
      </c>
      <c r="X45" s="463" t="s">
        <v>101</v>
      </c>
    </row>
    <row r="46" spans="3:24" x14ac:dyDescent="0.2">
      <c r="C46" s="471" t="s">
        <v>659</v>
      </c>
      <c r="D46" s="1016"/>
      <c r="E46" s="1016"/>
      <c r="F46" s="1016"/>
      <c r="G46" s="1016"/>
      <c r="H46" s="1016"/>
      <c r="I46" s="1016"/>
      <c r="J46" s="1016"/>
      <c r="K46" s="1016">
        <v>266.42</v>
      </c>
      <c r="L46" s="1016">
        <v>255.505</v>
      </c>
      <c r="M46" s="1016">
        <v>225.83699999999999</v>
      </c>
      <c r="N46" s="1016">
        <v>204.80699999999999</v>
      </c>
      <c r="O46" s="1016">
        <v>175.46199999999999</v>
      </c>
      <c r="P46" s="1016">
        <v>208.49100000000001</v>
      </c>
      <c r="Q46" s="1016">
        <v>205.55099999999999</v>
      </c>
      <c r="R46" s="1016">
        <v>202.40899999999999</v>
      </c>
      <c r="S46" s="1054">
        <f>R46+R46*(-9.4)/100</f>
        <v>183.382554</v>
      </c>
      <c r="T46" s="642">
        <f>S46+S46*U8/100</f>
        <v>197.67733286998379</v>
      </c>
      <c r="U46" s="1024">
        <f t="shared" si="1"/>
        <v>7.7950593217192221</v>
      </c>
      <c r="V46" s="846">
        <v>33.12535732928982</v>
      </c>
      <c r="W46" s="852">
        <v>58.507544308831939</v>
      </c>
      <c r="X46" s="471" t="s">
        <v>659</v>
      </c>
    </row>
    <row r="47" spans="3:24" x14ac:dyDescent="0.2">
      <c r="C47" s="1055" t="s">
        <v>105</v>
      </c>
      <c r="D47" s="1056">
        <v>491.411</v>
      </c>
      <c r="E47" s="1056">
        <v>497.541</v>
      </c>
      <c r="F47" s="1056">
        <v>495.72</v>
      </c>
      <c r="G47" s="1056">
        <v>509.65499999999997</v>
      </c>
      <c r="H47" s="1056">
        <v>538.46799999999996</v>
      </c>
      <c r="I47" s="1056">
        <v>544.02</v>
      </c>
      <c r="J47" s="1056">
        <v>552.79499999999996</v>
      </c>
      <c r="K47" s="1056">
        <v>560.41800000000001</v>
      </c>
      <c r="L47" s="1057">
        <v>560.73699999999997</v>
      </c>
      <c r="M47" s="1057">
        <v>564.01800000000003</v>
      </c>
      <c r="N47" s="1057">
        <v>569.76400000000001</v>
      </c>
      <c r="O47" s="1057">
        <v>565.56799999999998</v>
      </c>
      <c r="P47" s="1057">
        <v>566.505</v>
      </c>
      <c r="Q47" s="1057">
        <v>567.89</v>
      </c>
      <c r="R47" s="1057">
        <v>594.46</v>
      </c>
      <c r="S47" s="1057">
        <v>485.53997299999997</v>
      </c>
      <c r="T47" s="1058">
        <v>493.75678999999997</v>
      </c>
      <c r="U47" s="1059">
        <f t="shared" si="1"/>
        <v>1.6923049505545009</v>
      </c>
      <c r="V47" s="849">
        <v>93.275597891018364</v>
      </c>
      <c r="W47" s="850">
        <v>6.7244021089816304</v>
      </c>
      <c r="X47" s="1055" t="s">
        <v>105</v>
      </c>
    </row>
    <row r="48" spans="3:24" ht="24" customHeight="1" x14ac:dyDescent="0.2">
      <c r="C48" s="478" t="s">
        <v>476</v>
      </c>
      <c r="D48" s="478"/>
      <c r="E48" s="478"/>
      <c r="F48" s="478"/>
      <c r="G48" s="478"/>
      <c r="H48" s="478"/>
      <c r="I48" s="478"/>
      <c r="J48" s="478"/>
      <c r="M48" s="1048"/>
      <c r="N48" s="1048"/>
      <c r="O48" s="1048"/>
      <c r="P48" s="1048"/>
      <c r="Q48" s="1048"/>
      <c r="R48" s="1048"/>
      <c r="S48" s="1048"/>
      <c r="T48" s="1048"/>
      <c r="U48" s="1048"/>
      <c r="X48" s="478"/>
    </row>
    <row r="49" spans="3:21" x14ac:dyDescent="0.2">
      <c r="C49" s="1158"/>
      <c r="D49" s="1158"/>
      <c r="E49" s="1158"/>
      <c r="F49" s="1158"/>
      <c r="G49" s="1158"/>
      <c r="H49" s="1158"/>
      <c r="I49" s="1158"/>
      <c r="J49" s="1158"/>
      <c r="N49" s="1048"/>
      <c r="O49" s="1048"/>
      <c r="P49" s="1048"/>
      <c r="Q49" s="1048"/>
      <c r="R49" s="1048"/>
      <c r="S49" s="1048"/>
      <c r="T49" s="1048"/>
      <c r="U49" s="1048"/>
    </row>
    <row r="50" spans="3:21" x14ac:dyDescent="0.2">
      <c r="M50" s="1048"/>
      <c r="N50" s="1048"/>
      <c r="O50" s="1048"/>
      <c r="P50" s="1048"/>
      <c r="Q50" s="1048"/>
      <c r="R50" s="1048"/>
      <c r="S50" s="1048"/>
      <c r="T50" s="1048"/>
      <c r="U50" s="1048"/>
    </row>
    <row r="51" spans="3:21" x14ac:dyDescent="0.2">
      <c r="M51" s="1048"/>
      <c r="N51" s="1048"/>
      <c r="O51" s="1048"/>
      <c r="P51" s="1048"/>
      <c r="Q51" s="1048"/>
      <c r="R51" s="1048"/>
      <c r="S51" s="1048"/>
      <c r="T51" s="1048"/>
      <c r="U51" s="1048"/>
    </row>
  </sheetData>
  <mergeCells count="3">
    <mergeCell ref="C49:J49"/>
    <mergeCell ref="C2:U4"/>
    <mergeCell ref="D5:U5"/>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7"/>
  <dimension ref="A1:S39"/>
  <sheetViews>
    <sheetView topLeftCell="B1" zoomScaleNormal="100" workbookViewId="0">
      <selection activeCell="Y27" sqref="Y27"/>
    </sheetView>
  </sheetViews>
  <sheetFormatPr defaultRowHeight="12.75" x14ac:dyDescent="0.2"/>
  <cols>
    <col min="1" max="1" width="9.140625" style="647"/>
    <col min="3" max="3" width="9.28515625" bestFit="1" customWidth="1"/>
    <col min="4" max="4" width="8.5703125" customWidth="1"/>
    <col min="5" max="5" width="8.28515625" customWidth="1"/>
    <col min="6" max="6" width="9.85546875" customWidth="1"/>
    <col min="7" max="7" width="9.85546875" style="322" customWidth="1"/>
    <col min="8" max="8" width="9.140625" customWidth="1"/>
    <col min="9" max="9" width="8.5703125" style="399" customWidth="1"/>
    <col min="10" max="10" width="7" style="428" customWidth="1"/>
    <col min="11" max="11" width="9.140625" style="529" customWidth="1"/>
    <col min="12" max="12" width="8.140625" style="457" customWidth="1"/>
    <col min="13" max="13" width="6.7109375" style="644" customWidth="1"/>
    <col min="14" max="14" width="9.140625" style="725" customWidth="1"/>
    <col min="15" max="15" width="9.140625" style="796" customWidth="1"/>
    <col min="16" max="16" width="7.28515625" style="867" customWidth="1"/>
    <col min="17" max="17" width="13.140625" customWidth="1"/>
    <col min="18" max="18" width="11.5703125" customWidth="1"/>
  </cols>
  <sheetData>
    <row r="1" spans="1:18" ht="15.75" x14ac:dyDescent="0.2">
      <c r="E1" s="1"/>
      <c r="R1" s="35" t="s">
        <v>335</v>
      </c>
    </row>
    <row r="2" spans="1:18" ht="11.25" customHeight="1" x14ac:dyDescent="0.2">
      <c r="C2" s="1154" t="s">
        <v>397</v>
      </c>
      <c r="D2" s="1154"/>
      <c r="E2" s="1154"/>
      <c r="F2" s="1154"/>
      <c r="G2" s="1154"/>
      <c r="H2" s="1154"/>
      <c r="I2" s="1154"/>
      <c r="J2" s="1154"/>
      <c r="K2" s="1154"/>
      <c r="L2" s="1154"/>
      <c r="M2" s="1154"/>
      <c r="N2" s="1154"/>
      <c r="O2" s="1154"/>
      <c r="P2" s="1154"/>
      <c r="Q2" s="1154"/>
      <c r="R2" s="1154"/>
    </row>
    <row r="3" spans="1:18" ht="18.75" customHeight="1" x14ac:dyDescent="0.2">
      <c r="C3" s="1154"/>
      <c r="D3" s="1154"/>
      <c r="E3" s="1154"/>
      <c r="F3" s="1154"/>
      <c r="G3" s="1154"/>
      <c r="H3" s="1154"/>
      <c r="I3" s="1154"/>
      <c r="J3" s="1154"/>
      <c r="K3" s="1154"/>
      <c r="L3" s="1154"/>
      <c r="M3" s="1154"/>
      <c r="N3" s="1154"/>
      <c r="O3" s="1154"/>
      <c r="P3" s="1154"/>
      <c r="Q3" s="1154"/>
      <c r="R3" s="1154"/>
    </row>
    <row r="4" spans="1:18" ht="26.25" customHeight="1" x14ac:dyDescent="0.2">
      <c r="B4" s="1"/>
      <c r="C4" s="1154"/>
      <c r="D4" s="1154"/>
      <c r="E4" s="1154"/>
      <c r="F4" s="1154"/>
      <c r="G4" s="1154"/>
      <c r="H4" s="1154"/>
      <c r="I4" s="1154"/>
      <c r="J4" s="1154"/>
      <c r="K4" s="1154"/>
      <c r="L4" s="1154"/>
      <c r="M4" s="1154"/>
      <c r="N4" s="1154"/>
      <c r="O4" s="1154"/>
      <c r="P4" s="1154"/>
      <c r="Q4" s="1154"/>
      <c r="R4" s="1154"/>
    </row>
    <row r="5" spans="1:18" ht="48" x14ac:dyDescent="0.2">
      <c r="D5" s="234"/>
      <c r="E5" s="56"/>
      <c r="F5" s="56"/>
      <c r="G5" s="56"/>
      <c r="H5" s="56"/>
      <c r="I5" s="56"/>
      <c r="J5" s="56"/>
      <c r="K5" s="56"/>
      <c r="L5" s="56"/>
      <c r="M5" s="56"/>
      <c r="N5" s="56"/>
      <c r="O5" s="56"/>
      <c r="P5" s="233"/>
      <c r="Q5" s="781" t="s">
        <v>340</v>
      </c>
      <c r="R5" s="781" t="s">
        <v>341</v>
      </c>
    </row>
    <row r="6" spans="1:18" x14ac:dyDescent="0.2">
      <c r="D6" s="229">
        <v>2006</v>
      </c>
      <c r="E6" s="228">
        <v>2008</v>
      </c>
      <c r="F6" s="228">
        <v>2010</v>
      </c>
      <c r="G6" s="321">
        <v>2012</v>
      </c>
      <c r="H6" s="398">
        <v>2013</v>
      </c>
      <c r="I6" s="426">
        <v>2014</v>
      </c>
      <c r="J6" s="455">
        <v>2015</v>
      </c>
      <c r="K6" s="700">
        <v>2016</v>
      </c>
      <c r="L6" s="700">
        <v>2017</v>
      </c>
      <c r="M6" s="754">
        <v>2018</v>
      </c>
      <c r="N6" s="797">
        <v>2019</v>
      </c>
      <c r="O6" s="899">
        <v>2020</v>
      </c>
      <c r="P6" s="899">
        <v>2021</v>
      </c>
      <c r="Q6" s="856">
        <v>2021</v>
      </c>
      <c r="R6" s="856">
        <v>2021</v>
      </c>
    </row>
    <row r="7" spans="1:18" x14ac:dyDescent="0.2">
      <c r="D7" s="45"/>
      <c r="E7" s="58"/>
      <c r="F7" s="58"/>
      <c r="G7" s="58"/>
      <c r="H7" s="58"/>
      <c r="I7" s="427"/>
      <c r="J7" s="456"/>
      <c r="K7" s="58"/>
      <c r="L7" s="58"/>
      <c r="M7" s="58"/>
      <c r="N7" s="58"/>
      <c r="O7" s="58"/>
      <c r="P7" s="59"/>
      <c r="Q7" s="856"/>
      <c r="R7" s="856"/>
    </row>
    <row r="8" spans="1:18" x14ac:dyDescent="0.2">
      <c r="C8" s="235" t="s">
        <v>106</v>
      </c>
      <c r="D8" s="537">
        <v>0</v>
      </c>
      <c r="E8" s="705">
        <v>0</v>
      </c>
      <c r="F8" s="705">
        <v>2E-3</v>
      </c>
      <c r="G8" s="705">
        <v>6.0000000000000001E-3</v>
      </c>
      <c r="H8" s="705">
        <v>0</v>
      </c>
      <c r="I8" s="705">
        <v>0</v>
      </c>
      <c r="J8" s="705">
        <v>3.2599999999999997E-2</v>
      </c>
      <c r="K8" s="648"/>
      <c r="L8" s="648"/>
      <c r="M8" s="648">
        <v>6.0720522166652545E-2</v>
      </c>
      <c r="N8" s="648">
        <v>7.0000000000000007E-2</v>
      </c>
      <c r="O8" s="705">
        <v>2.1600916847064815E-2</v>
      </c>
      <c r="P8" s="774">
        <v>7.6799258346773674E-2</v>
      </c>
      <c r="Q8" s="538">
        <v>0</v>
      </c>
      <c r="R8" s="538">
        <v>0.66799999999999993</v>
      </c>
    </row>
    <row r="9" spans="1:18" x14ac:dyDescent="0.2">
      <c r="C9" s="212" t="s">
        <v>89</v>
      </c>
      <c r="D9" s="539">
        <v>0</v>
      </c>
      <c r="E9" s="649">
        <v>0</v>
      </c>
      <c r="F9" s="649">
        <v>2.5999999999999999E-2</v>
      </c>
      <c r="G9" s="649">
        <v>0</v>
      </c>
      <c r="H9" s="649">
        <v>0</v>
      </c>
      <c r="I9" s="649">
        <v>0</v>
      </c>
      <c r="J9" s="649">
        <v>0</v>
      </c>
      <c r="K9" s="649">
        <v>0</v>
      </c>
      <c r="L9" s="649">
        <v>0</v>
      </c>
      <c r="M9" s="649">
        <v>0</v>
      </c>
      <c r="N9" s="649">
        <v>0</v>
      </c>
      <c r="O9" s="649">
        <v>0</v>
      </c>
      <c r="P9" s="650">
        <v>0</v>
      </c>
      <c r="Q9" s="777">
        <v>0</v>
      </c>
      <c r="R9" s="538">
        <v>0</v>
      </c>
    </row>
    <row r="10" spans="1:18" s="236" customFormat="1" x14ac:dyDescent="0.2">
      <c r="A10" s="647"/>
      <c r="C10" s="232" t="s">
        <v>91</v>
      </c>
      <c r="D10" s="540"/>
      <c r="E10" s="651">
        <v>0</v>
      </c>
      <c r="F10" s="651">
        <v>2.3999999999999998E-3</v>
      </c>
      <c r="G10" s="651">
        <v>2.9399999999999999E-2</v>
      </c>
      <c r="H10" s="651">
        <v>5.1299999999999998E-2</v>
      </c>
      <c r="I10" s="651">
        <v>6.6000000000000003E-2</v>
      </c>
      <c r="J10" s="651">
        <v>5.0000000000000044E-2</v>
      </c>
      <c r="K10" s="651"/>
      <c r="L10" s="651">
        <v>0.12597978308939672</v>
      </c>
      <c r="M10" s="651">
        <v>0.12537410071942445</v>
      </c>
      <c r="N10" s="651">
        <v>0.13</v>
      </c>
      <c r="O10" s="651">
        <v>0.14506931823441377</v>
      </c>
      <c r="P10" s="652">
        <v>0.16266126596384223</v>
      </c>
      <c r="Q10" s="538">
        <v>0.11199999999999999</v>
      </c>
      <c r="R10" s="538">
        <v>0.71300000000000008</v>
      </c>
    </row>
    <row r="11" spans="1:18" x14ac:dyDescent="0.2">
      <c r="C11" s="212" t="s">
        <v>102</v>
      </c>
      <c r="D11" s="539"/>
      <c r="E11" s="649">
        <v>0.09</v>
      </c>
      <c r="F11" s="649">
        <v>0.18</v>
      </c>
      <c r="G11" s="541">
        <v>6.7999999999999949E-2</v>
      </c>
      <c r="H11" s="649">
        <v>6.4999999999999947E-2</v>
      </c>
      <c r="I11" s="649">
        <v>6.6999999999999948E-2</v>
      </c>
      <c r="J11" s="649">
        <v>6.9999999999999951E-2</v>
      </c>
      <c r="K11" s="649">
        <v>0.12</v>
      </c>
      <c r="L11" s="649"/>
      <c r="M11" s="649">
        <v>7.7000000000000013E-2</v>
      </c>
      <c r="N11" s="649">
        <v>0.08</v>
      </c>
      <c r="O11" s="649">
        <v>9.7999999999999962E-2</v>
      </c>
      <c r="P11" s="650">
        <v>0.10499999999999998</v>
      </c>
      <c r="Q11" s="538">
        <v>0.10499999999999998</v>
      </c>
      <c r="R11" s="538"/>
    </row>
    <row r="12" spans="1:18" x14ac:dyDescent="0.2">
      <c r="C12" s="217" t="s">
        <v>107</v>
      </c>
      <c r="D12" s="540">
        <v>3.7999999999999999E-2</v>
      </c>
      <c r="E12" s="651">
        <v>5.7000000000000002E-2</v>
      </c>
      <c r="F12" s="651">
        <v>0.08</v>
      </c>
      <c r="G12" s="651">
        <v>0.10399999999999998</v>
      </c>
      <c r="H12" s="651">
        <v>0.11699999999999999</v>
      </c>
      <c r="I12" s="651">
        <v>0.12</v>
      </c>
      <c r="J12" s="651">
        <v>0.13491096634093369</v>
      </c>
      <c r="K12" s="651">
        <v>0.157</v>
      </c>
      <c r="L12" s="651">
        <v>0.1593142272262027</v>
      </c>
      <c r="M12" s="651">
        <v>0.15514214214214214</v>
      </c>
      <c r="N12" s="651">
        <v>0.17</v>
      </c>
      <c r="O12" s="651">
        <v>0.20737815126050418</v>
      </c>
      <c r="P12" s="652">
        <v>0.22214180478821366</v>
      </c>
      <c r="Q12" s="538">
        <v>0.34699999999999998</v>
      </c>
      <c r="R12" s="538">
        <v>3.6000000000000032E-2</v>
      </c>
    </row>
    <row r="13" spans="1:18" x14ac:dyDescent="0.2">
      <c r="C13" s="212" t="s">
        <v>92</v>
      </c>
      <c r="D13" s="539">
        <v>0.4</v>
      </c>
      <c r="E13" s="649">
        <v>0.57699999999999996</v>
      </c>
      <c r="F13" s="649">
        <v>0.5</v>
      </c>
      <c r="G13" s="649">
        <v>0.56000000000000005</v>
      </c>
      <c r="H13" s="649">
        <v>0.66500000000000004</v>
      </c>
      <c r="I13" s="649">
        <v>6.3E-2</v>
      </c>
      <c r="J13" s="649">
        <v>0</v>
      </c>
      <c r="K13" s="649">
        <v>5.9942911512844914E-2</v>
      </c>
      <c r="L13" s="649">
        <v>5.6176711208071994E-2</v>
      </c>
      <c r="M13" s="649">
        <v>4.5931452553042665E-2</v>
      </c>
      <c r="N13" s="649">
        <v>0.05</v>
      </c>
      <c r="O13" s="649">
        <v>7.0000000000000062E-3</v>
      </c>
      <c r="P13" s="650">
        <v>0</v>
      </c>
      <c r="Q13" s="538">
        <v>0</v>
      </c>
      <c r="R13" s="538">
        <v>0</v>
      </c>
    </row>
    <row r="14" spans="1:18" x14ac:dyDescent="0.2">
      <c r="C14" s="217" t="s">
        <v>110</v>
      </c>
      <c r="D14" s="540">
        <v>0</v>
      </c>
      <c r="E14" s="651">
        <v>0</v>
      </c>
      <c r="F14" s="651">
        <v>0</v>
      </c>
      <c r="G14" s="651">
        <v>0</v>
      </c>
      <c r="H14" s="651">
        <v>0</v>
      </c>
      <c r="I14" s="651"/>
      <c r="J14" s="651"/>
      <c r="K14" s="651">
        <v>0</v>
      </c>
      <c r="L14" s="651">
        <v>0</v>
      </c>
      <c r="M14" s="651">
        <v>0</v>
      </c>
      <c r="N14" s="651">
        <v>0</v>
      </c>
      <c r="O14" s="651">
        <v>0</v>
      </c>
      <c r="P14" s="652">
        <v>0</v>
      </c>
      <c r="Q14" s="538">
        <v>0</v>
      </c>
      <c r="R14" s="538">
        <v>0</v>
      </c>
    </row>
    <row r="15" spans="1:18" x14ac:dyDescent="0.2">
      <c r="C15" s="212" t="s">
        <v>103</v>
      </c>
      <c r="D15" s="539"/>
      <c r="E15" s="649">
        <v>0</v>
      </c>
      <c r="F15" s="649">
        <v>0</v>
      </c>
      <c r="G15" s="649">
        <v>0</v>
      </c>
      <c r="H15" s="649">
        <v>0</v>
      </c>
      <c r="I15" s="649">
        <v>0</v>
      </c>
      <c r="J15" s="649">
        <v>0</v>
      </c>
      <c r="K15" s="649">
        <v>0</v>
      </c>
      <c r="L15" s="649">
        <v>0</v>
      </c>
      <c r="M15" s="649">
        <v>0</v>
      </c>
      <c r="N15" s="649">
        <v>0</v>
      </c>
      <c r="O15" s="649">
        <v>1.6096265041412722E-2</v>
      </c>
      <c r="P15" s="650">
        <v>5.9495896834701092E-2</v>
      </c>
      <c r="Q15" s="538">
        <v>0</v>
      </c>
      <c r="R15" s="538">
        <v>1</v>
      </c>
    </row>
    <row r="16" spans="1:18" x14ac:dyDescent="0.2">
      <c r="C16" s="217" t="s">
        <v>108</v>
      </c>
      <c r="D16" s="540"/>
      <c r="E16" s="651">
        <v>0</v>
      </c>
      <c r="F16" s="651">
        <v>0</v>
      </c>
      <c r="G16" s="651">
        <v>0</v>
      </c>
      <c r="H16" s="651">
        <v>0</v>
      </c>
      <c r="I16" s="651">
        <v>0</v>
      </c>
      <c r="J16" s="651">
        <v>0</v>
      </c>
      <c r="K16" s="651">
        <v>0</v>
      </c>
      <c r="L16" s="651">
        <v>0</v>
      </c>
      <c r="M16" s="651">
        <v>0</v>
      </c>
      <c r="N16" s="651">
        <v>0</v>
      </c>
      <c r="O16" s="651">
        <v>1.0000000000000009E-3</v>
      </c>
      <c r="P16" s="652">
        <v>2.129999427819422E-2</v>
      </c>
      <c r="Q16" s="538">
        <v>1.0000000000000009E-3</v>
      </c>
      <c r="R16" s="538">
        <v>4.0000000000000036E-2</v>
      </c>
    </row>
    <row r="17" spans="1:18" x14ac:dyDescent="0.2">
      <c r="C17" s="212" t="s">
        <v>109</v>
      </c>
      <c r="D17" s="539"/>
      <c r="E17" s="649">
        <v>0</v>
      </c>
      <c r="F17" s="649">
        <v>0.01</v>
      </c>
      <c r="G17" s="649"/>
      <c r="H17" s="649"/>
      <c r="I17" s="649">
        <v>0.05</v>
      </c>
      <c r="J17" s="649">
        <v>4.987594514091187E-2</v>
      </c>
      <c r="K17" s="649">
        <v>0</v>
      </c>
      <c r="L17" s="649">
        <v>0.01</v>
      </c>
      <c r="M17" s="649">
        <v>4.7674215897287632E-2</v>
      </c>
      <c r="N17" s="649">
        <v>0.05</v>
      </c>
      <c r="O17" s="649">
        <v>1.2969558964525419E-2</v>
      </c>
      <c r="P17" s="650">
        <v>1.0188507145028893E-2</v>
      </c>
      <c r="Q17" s="538">
        <v>0</v>
      </c>
      <c r="R17" s="538">
        <v>1.5000000000000013E-2</v>
      </c>
    </row>
    <row r="18" spans="1:18" x14ac:dyDescent="0.2">
      <c r="C18" s="232" t="s">
        <v>126</v>
      </c>
      <c r="D18" s="540">
        <v>0</v>
      </c>
      <c r="E18" s="651">
        <v>0</v>
      </c>
      <c r="F18" s="651">
        <v>0</v>
      </c>
      <c r="G18" s="651">
        <v>0</v>
      </c>
      <c r="H18" s="651">
        <v>0</v>
      </c>
      <c r="I18" s="651">
        <v>0</v>
      </c>
      <c r="J18" s="651">
        <v>0</v>
      </c>
      <c r="K18" s="651">
        <v>0</v>
      </c>
      <c r="L18" s="651">
        <v>0</v>
      </c>
      <c r="M18" s="651">
        <v>0</v>
      </c>
      <c r="N18" s="651">
        <v>0</v>
      </c>
      <c r="O18" s="651">
        <v>0</v>
      </c>
      <c r="P18" s="652">
        <v>0</v>
      </c>
      <c r="Q18" s="538">
        <v>0</v>
      </c>
      <c r="R18" s="538">
        <v>0</v>
      </c>
    </row>
    <row r="19" spans="1:18" x14ac:dyDescent="0.2">
      <c r="C19" s="212" t="s">
        <v>111</v>
      </c>
      <c r="D19" s="539">
        <v>9.8000000000000004E-2</v>
      </c>
      <c r="E19" s="649"/>
      <c r="F19" s="649">
        <v>8.3000000000000004E-2</v>
      </c>
      <c r="G19" s="649">
        <v>8.3000000000000004E-2</v>
      </c>
      <c r="H19" s="649"/>
      <c r="I19" s="649">
        <v>0.19</v>
      </c>
      <c r="J19" s="649">
        <v>0.23</v>
      </c>
      <c r="K19" s="649">
        <v>0.25166357633952047</v>
      </c>
      <c r="L19" s="649">
        <v>0.25</v>
      </c>
      <c r="M19" s="649">
        <v>0.27150756204422699</v>
      </c>
      <c r="N19" s="649">
        <v>0.28999999999999998</v>
      </c>
      <c r="O19" s="649">
        <v>0.28711254211472553</v>
      </c>
      <c r="P19" s="650">
        <v>0.33491225536217228</v>
      </c>
      <c r="Q19" s="538">
        <v>0.2</v>
      </c>
      <c r="R19" s="538">
        <v>0.497</v>
      </c>
    </row>
    <row r="20" spans="1:18" x14ac:dyDescent="0.2">
      <c r="C20" s="232" t="s">
        <v>90</v>
      </c>
      <c r="D20" s="540" t="s">
        <v>121</v>
      </c>
      <c r="E20" s="651" t="s">
        <v>121</v>
      </c>
      <c r="F20" s="651" t="s">
        <v>121</v>
      </c>
      <c r="G20" s="651" t="s">
        <v>121</v>
      </c>
      <c r="H20" s="651" t="s">
        <v>121</v>
      </c>
      <c r="I20" s="651" t="s">
        <v>121</v>
      </c>
      <c r="J20" s="651" t="s">
        <v>121</v>
      </c>
      <c r="K20" s="651" t="s">
        <v>121</v>
      </c>
      <c r="L20" s="651" t="s">
        <v>121</v>
      </c>
      <c r="M20" s="651" t="s">
        <v>121</v>
      </c>
      <c r="N20" s="808" t="s">
        <v>121</v>
      </c>
      <c r="O20" s="808" t="s">
        <v>121</v>
      </c>
      <c r="P20" s="808" t="s">
        <v>121</v>
      </c>
      <c r="Q20" s="777" t="s">
        <v>121</v>
      </c>
      <c r="R20" s="777" t="s">
        <v>121</v>
      </c>
    </row>
    <row r="21" spans="1:18" x14ac:dyDescent="0.2">
      <c r="C21" s="212" t="s">
        <v>94</v>
      </c>
      <c r="D21" s="539">
        <v>0.10100000000000001</v>
      </c>
      <c r="E21" s="649">
        <v>9.0800000000000006E-2</v>
      </c>
      <c r="F21" s="649">
        <v>0.10539999999999999</v>
      </c>
      <c r="G21" s="649">
        <v>0.11700000000000001</v>
      </c>
      <c r="H21" s="649">
        <v>0.123</v>
      </c>
      <c r="I21" s="649">
        <v>0.11</v>
      </c>
      <c r="J21" s="649">
        <v>8.2600000000000007E-2</v>
      </c>
      <c r="K21" s="649">
        <v>6.9603967168262657E-2</v>
      </c>
      <c r="L21" s="649">
        <v>7.1783702213279565E-2</v>
      </c>
      <c r="M21" s="649">
        <v>6.7821079609162269E-2</v>
      </c>
      <c r="N21" s="649">
        <v>0.06</v>
      </c>
      <c r="O21" s="649">
        <v>1.1078374455732948E-2</v>
      </c>
      <c r="P21" s="650">
        <v>1.0000000000000009E-3</v>
      </c>
      <c r="Q21" s="538">
        <v>1.0000000000000009E-3</v>
      </c>
      <c r="R21" s="538">
        <v>0</v>
      </c>
    </row>
    <row r="22" spans="1:18" x14ac:dyDescent="0.2">
      <c r="C22" s="217" t="s">
        <v>95</v>
      </c>
      <c r="D22" s="540">
        <v>0</v>
      </c>
      <c r="E22" s="651">
        <v>0</v>
      </c>
      <c r="F22" s="651">
        <v>0</v>
      </c>
      <c r="G22" s="651">
        <v>0</v>
      </c>
      <c r="H22" s="651">
        <v>0</v>
      </c>
      <c r="I22" s="651">
        <v>0</v>
      </c>
      <c r="J22" s="651">
        <v>0</v>
      </c>
      <c r="K22" s="651">
        <v>0</v>
      </c>
      <c r="L22" s="651">
        <v>0</v>
      </c>
      <c r="M22" s="651">
        <v>0</v>
      </c>
      <c r="N22" s="651">
        <v>0</v>
      </c>
      <c r="O22" s="651">
        <v>0</v>
      </c>
      <c r="P22" s="652">
        <v>0</v>
      </c>
      <c r="Q22" s="538">
        <v>0</v>
      </c>
      <c r="R22" s="538">
        <v>0</v>
      </c>
    </row>
    <row r="23" spans="1:18" s="236" customFormat="1" x14ac:dyDescent="0.2">
      <c r="A23" s="647"/>
      <c r="C23" s="214" t="s">
        <v>112</v>
      </c>
      <c r="D23" s="539">
        <v>0</v>
      </c>
      <c r="E23" s="649"/>
      <c r="F23" s="649"/>
      <c r="G23" s="649"/>
      <c r="H23" s="649"/>
      <c r="I23" s="649">
        <v>0</v>
      </c>
      <c r="J23" s="649">
        <v>0</v>
      </c>
      <c r="K23" s="649">
        <v>0</v>
      </c>
      <c r="L23" s="649"/>
      <c r="M23" s="649">
        <v>0</v>
      </c>
      <c r="N23" s="649">
        <v>0</v>
      </c>
      <c r="O23" s="649">
        <v>0</v>
      </c>
      <c r="P23" s="650">
        <v>0</v>
      </c>
      <c r="Q23" s="538">
        <v>0</v>
      </c>
      <c r="R23" s="538">
        <v>0</v>
      </c>
    </row>
    <row r="24" spans="1:18" s="236" customFormat="1" x14ac:dyDescent="0.2">
      <c r="A24" s="647"/>
      <c r="C24" s="232" t="s">
        <v>93</v>
      </c>
      <c r="D24" s="540">
        <v>1.4E-2</v>
      </c>
      <c r="E24" s="651">
        <v>1.7999999999999999E-2</v>
      </c>
      <c r="F24" s="651">
        <v>1.7999999999999999E-2</v>
      </c>
      <c r="G24" s="651">
        <v>2.9000000000000001E-2</v>
      </c>
      <c r="H24" s="651">
        <v>3.2000000000000028E-2</v>
      </c>
      <c r="I24" s="651">
        <v>3.2000000000000001E-2</v>
      </c>
      <c r="J24" s="651">
        <v>3.4537966791363228E-2</v>
      </c>
      <c r="K24" s="651">
        <v>3.4655861978826211E-2</v>
      </c>
      <c r="L24" s="651">
        <v>3.3567481567714497E-2</v>
      </c>
      <c r="M24" s="651">
        <v>1.1098540427832268E-3</v>
      </c>
      <c r="N24" s="651">
        <v>0.03</v>
      </c>
      <c r="O24" s="651">
        <v>3.4408602150537634E-3</v>
      </c>
      <c r="P24" s="652">
        <v>4.0110225664705939E-3</v>
      </c>
      <c r="Q24" s="538">
        <v>0</v>
      </c>
      <c r="R24" s="538">
        <v>0.56099999999999994</v>
      </c>
    </row>
    <row r="25" spans="1:18" x14ac:dyDescent="0.2">
      <c r="C25" s="212" t="s">
        <v>96</v>
      </c>
      <c r="D25" s="539" t="s">
        <v>121</v>
      </c>
      <c r="E25" s="649" t="s">
        <v>121</v>
      </c>
      <c r="F25" s="649" t="s">
        <v>121</v>
      </c>
      <c r="G25" s="649" t="s">
        <v>121</v>
      </c>
      <c r="H25" s="649" t="s">
        <v>121</v>
      </c>
      <c r="I25" s="649" t="s">
        <v>121</v>
      </c>
      <c r="J25" s="649" t="s">
        <v>121</v>
      </c>
      <c r="K25" s="649" t="s">
        <v>121</v>
      </c>
      <c r="L25" s="649" t="s">
        <v>121</v>
      </c>
      <c r="M25" s="649" t="s">
        <v>121</v>
      </c>
      <c r="N25" s="809" t="s">
        <v>121</v>
      </c>
      <c r="O25" s="809" t="s">
        <v>121</v>
      </c>
      <c r="P25" s="809" t="s">
        <v>121</v>
      </c>
      <c r="Q25" s="777" t="s">
        <v>121</v>
      </c>
      <c r="R25" s="777" t="s">
        <v>121</v>
      </c>
    </row>
    <row r="26" spans="1:18" x14ac:dyDescent="0.2">
      <c r="C26" s="217" t="s">
        <v>104</v>
      </c>
      <c r="D26" s="540">
        <v>1.9E-2</v>
      </c>
      <c r="E26" s="651">
        <v>0.02</v>
      </c>
      <c r="F26" s="651">
        <v>4.8000000000000001E-2</v>
      </c>
      <c r="G26" s="651">
        <v>0.05</v>
      </c>
      <c r="H26" s="651"/>
      <c r="I26" s="651"/>
      <c r="J26" s="651">
        <v>0.14899999999999999</v>
      </c>
      <c r="K26" s="651">
        <v>0.05</v>
      </c>
      <c r="L26" s="651">
        <v>5.0000000000000044E-2</v>
      </c>
      <c r="M26" s="651">
        <v>5.2985653703870789E-2</v>
      </c>
      <c r="N26" s="651">
        <v>0.06</v>
      </c>
      <c r="O26" s="651">
        <v>5.0000000000000044E-2</v>
      </c>
      <c r="P26" s="652">
        <v>5.9981953078002803E-2</v>
      </c>
      <c r="Q26" s="538">
        <v>0.06</v>
      </c>
      <c r="R26" s="538">
        <v>0</v>
      </c>
    </row>
    <row r="27" spans="1:18" s="236" customFormat="1" x14ac:dyDescent="0.2">
      <c r="A27" s="647"/>
      <c r="C27" s="214" t="s">
        <v>113</v>
      </c>
      <c r="D27" s="539">
        <v>6.5000000000000002E-2</v>
      </c>
      <c r="E27" s="649"/>
      <c r="F27" s="649">
        <v>5.3999999999999999E-2</v>
      </c>
      <c r="G27" s="649">
        <v>8.7999999999999967E-2</v>
      </c>
      <c r="H27" s="649">
        <v>0.123</v>
      </c>
      <c r="I27" s="649">
        <v>0.11799999999999999</v>
      </c>
      <c r="J27" s="649">
        <v>0.12210335790335791</v>
      </c>
      <c r="K27" s="649">
        <v>0.11700000000000001</v>
      </c>
      <c r="L27" s="649">
        <v>0.11478871681415925</v>
      </c>
      <c r="M27" s="649">
        <v>0.13490951283094493</v>
      </c>
      <c r="N27" s="649">
        <v>0.13</v>
      </c>
      <c r="O27" s="649">
        <v>9.7276850478630147E-2</v>
      </c>
      <c r="P27" s="650">
        <v>0.10034002752973561</v>
      </c>
      <c r="Q27" s="538">
        <v>8.5999999999999965E-2</v>
      </c>
      <c r="R27" s="538">
        <v>0.18500000000000005</v>
      </c>
    </row>
    <row r="28" spans="1:18" x14ac:dyDescent="0.2">
      <c r="C28" s="217" t="s">
        <v>97</v>
      </c>
      <c r="D28" s="540">
        <v>9.1700000000000004E-2</v>
      </c>
      <c r="E28" s="651">
        <v>0.36799999999999999</v>
      </c>
      <c r="F28" s="651">
        <v>0.48309999999999997</v>
      </c>
      <c r="G28" s="651">
        <v>0.51400000000000001</v>
      </c>
      <c r="H28" s="651">
        <v>0.57820000000000005</v>
      </c>
      <c r="I28" s="651">
        <v>0.55800000000000005</v>
      </c>
      <c r="J28" s="651">
        <v>0.51736339069176573</v>
      </c>
      <c r="K28" s="651">
        <v>0.4466307786653248</v>
      </c>
      <c r="L28" s="651">
        <v>0.43103614159624959</v>
      </c>
      <c r="M28" s="651">
        <v>0.42239081498050007</v>
      </c>
      <c r="N28" s="651">
        <v>0.42</v>
      </c>
      <c r="O28" s="651">
        <v>0.46283554378766922</v>
      </c>
      <c r="P28" s="652">
        <v>0.45998939871215866</v>
      </c>
      <c r="Q28" s="538">
        <v>0.50600000000000001</v>
      </c>
      <c r="R28" s="538">
        <v>6.0000000000000053E-3</v>
      </c>
    </row>
    <row r="29" spans="1:18" x14ac:dyDescent="0.2">
      <c r="C29" s="212" t="s">
        <v>114</v>
      </c>
      <c r="D29" s="539">
        <v>0.09</v>
      </c>
      <c r="E29" s="649"/>
      <c r="F29" s="649">
        <v>0.09</v>
      </c>
      <c r="G29" s="541">
        <v>6.1300000000000021E-2</v>
      </c>
      <c r="H29" s="649">
        <v>5.8999999999999997E-2</v>
      </c>
      <c r="I29" s="649">
        <v>6.8000000000000005E-2</v>
      </c>
      <c r="J29" s="649">
        <v>5.4051151153680865E-2</v>
      </c>
      <c r="K29" s="649">
        <v>8.2814836251386664E-2</v>
      </c>
      <c r="L29" s="649">
        <v>0.14505841893092208</v>
      </c>
      <c r="M29" s="649">
        <v>6.9163375384478226E-2</v>
      </c>
      <c r="N29" s="649">
        <v>0.05</v>
      </c>
      <c r="O29" s="649">
        <v>5.2398387430225304E-2</v>
      </c>
      <c r="P29" s="650">
        <v>0.05</v>
      </c>
      <c r="Q29" s="538">
        <v>0.16500000000000004</v>
      </c>
      <c r="R29" s="538">
        <v>0</v>
      </c>
    </row>
    <row r="30" spans="1:18" x14ac:dyDescent="0.2">
      <c r="C30" s="232" t="s">
        <v>98</v>
      </c>
      <c r="D30" s="540">
        <v>5.3E-3</v>
      </c>
      <c r="E30" s="651">
        <v>1.0999999999999999E-2</v>
      </c>
      <c r="F30" s="651">
        <v>3.9300000000000002E-2</v>
      </c>
      <c r="G30" s="651"/>
      <c r="H30" s="651">
        <v>9.6000000000000002E-2</v>
      </c>
      <c r="I30" s="651">
        <v>9.0999999999999998E-2</v>
      </c>
      <c r="J30" s="651"/>
      <c r="K30" s="651"/>
      <c r="L30" s="651"/>
      <c r="M30" s="651"/>
      <c r="N30" s="651">
        <v>0</v>
      </c>
      <c r="O30" s="651">
        <v>0.123</v>
      </c>
      <c r="P30" s="652">
        <v>0.12</v>
      </c>
      <c r="Q30" s="538">
        <v>8.5999999999999965E-2</v>
      </c>
      <c r="R30" s="538" t="s">
        <v>431</v>
      </c>
    </row>
    <row r="31" spans="1:18" x14ac:dyDescent="0.2">
      <c r="C31" s="212" t="s">
        <v>100</v>
      </c>
      <c r="D31" s="539">
        <v>0</v>
      </c>
      <c r="E31" s="649">
        <v>0</v>
      </c>
      <c r="F31" s="649">
        <v>1E-4</v>
      </c>
      <c r="G31" s="649">
        <v>0</v>
      </c>
      <c r="H31" s="649">
        <v>0</v>
      </c>
      <c r="I31" s="649">
        <v>0</v>
      </c>
      <c r="J31" s="649">
        <v>0</v>
      </c>
      <c r="K31" s="649">
        <v>0</v>
      </c>
      <c r="L31" s="649">
        <v>0</v>
      </c>
      <c r="M31" s="649">
        <v>0</v>
      </c>
      <c r="N31" s="649">
        <v>0</v>
      </c>
      <c r="O31" s="649">
        <v>0</v>
      </c>
      <c r="P31" s="650">
        <v>0</v>
      </c>
      <c r="Q31" s="538">
        <v>0</v>
      </c>
      <c r="R31" s="538">
        <v>0</v>
      </c>
    </row>
    <row r="32" spans="1:18" s="236" customFormat="1" x14ac:dyDescent="0.2">
      <c r="A32" s="647"/>
      <c r="C32" s="232" t="s">
        <v>99</v>
      </c>
      <c r="D32" s="540">
        <v>0</v>
      </c>
      <c r="E32" s="651">
        <v>2.9999999999999997E-4</v>
      </c>
      <c r="F32" s="651">
        <v>2.9999999999999997E-4</v>
      </c>
      <c r="G32" s="651">
        <v>3.3799999999999997E-2</v>
      </c>
      <c r="H32" s="651">
        <v>3.7600000000000001E-2</v>
      </c>
      <c r="I32" s="651">
        <v>3.7400000000000003E-2</v>
      </c>
      <c r="J32" s="651">
        <v>0.06</v>
      </c>
      <c r="K32" s="651">
        <v>0.15342237225459432</v>
      </c>
      <c r="L32" s="651">
        <v>4.143441358024702E-2</v>
      </c>
      <c r="M32" s="651">
        <v>6.7210132268530079E-2</v>
      </c>
      <c r="N32" s="651">
        <v>0.08</v>
      </c>
      <c r="O32" s="651">
        <v>9.9068133528495139E-2</v>
      </c>
      <c r="P32" s="652">
        <v>0.09</v>
      </c>
      <c r="Q32" s="538">
        <v>0</v>
      </c>
      <c r="R32" s="538">
        <v>0</v>
      </c>
    </row>
    <row r="33" spans="1:19" x14ac:dyDescent="0.2">
      <c r="C33" s="212" t="s">
        <v>115</v>
      </c>
      <c r="D33" s="539">
        <v>0</v>
      </c>
      <c r="E33" s="649">
        <v>0</v>
      </c>
      <c r="F33" s="649">
        <v>0</v>
      </c>
      <c r="G33" s="649">
        <v>0</v>
      </c>
      <c r="H33" s="649">
        <v>0</v>
      </c>
      <c r="I33" s="649">
        <v>0</v>
      </c>
      <c r="J33" s="649">
        <v>0</v>
      </c>
      <c r="K33" s="649">
        <v>0</v>
      </c>
      <c r="L33" s="649">
        <v>0</v>
      </c>
      <c r="M33" s="649">
        <v>0</v>
      </c>
      <c r="N33" s="649">
        <v>0</v>
      </c>
      <c r="O33" s="649">
        <v>0</v>
      </c>
      <c r="P33" s="650">
        <v>0</v>
      </c>
      <c r="Q33" s="538">
        <v>0</v>
      </c>
      <c r="R33" s="538">
        <v>0</v>
      </c>
    </row>
    <row r="34" spans="1:19" x14ac:dyDescent="0.2">
      <c r="C34" s="217" t="s">
        <v>116</v>
      </c>
      <c r="D34" s="540">
        <v>0.19</v>
      </c>
      <c r="E34" s="651"/>
      <c r="F34" s="651"/>
      <c r="G34" s="651"/>
      <c r="H34" s="651">
        <v>0.36</v>
      </c>
      <c r="I34" s="651"/>
      <c r="J34" s="651">
        <v>0.3347</v>
      </c>
      <c r="K34" s="651">
        <v>0.35228203124999991</v>
      </c>
      <c r="L34" s="651">
        <v>0.43224739329382644</v>
      </c>
      <c r="M34" s="651">
        <v>0.43678821879382884</v>
      </c>
      <c r="N34" s="651">
        <v>0.43</v>
      </c>
      <c r="O34" s="651">
        <v>0.4966871693935293</v>
      </c>
      <c r="P34" s="652">
        <v>0.38606590257879653</v>
      </c>
      <c r="Q34" s="538">
        <v>0.59299999999999997</v>
      </c>
      <c r="R34" s="538">
        <v>0.13300000000000001</v>
      </c>
    </row>
    <row r="35" spans="1:19" x14ac:dyDescent="0.2">
      <c r="C35" s="703" t="s">
        <v>117</v>
      </c>
      <c r="D35" s="704"/>
      <c r="E35" s="706">
        <v>0.12</v>
      </c>
      <c r="F35" s="706">
        <v>0.12</v>
      </c>
      <c r="G35" s="706">
        <v>0.1</v>
      </c>
      <c r="H35" s="706">
        <v>0.1</v>
      </c>
      <c r="I35" s="706">
        <v>0.1</v>
      </c>
      <c r="J35" s="706">
        <v>0.10699999999999998</v>
      </c>
      <c r="K35" s="706">
        <v>9.0983480474462419E-2</v>
      </c>
      <c r="L35" s="706">
        <v>9.965866629541964E-2</v>
      </c>
      <c r="M35" s="706">
        <v>9.6429662292966248E-2</v>
      </c>
      <c r="N35" s="706">
        <v>0.12</v>
      </c>
      <c r="O35" s="706">
        <v>0.24510737885462555</v>
      </c>
      <c r="P35" s="776">
        <v>0.24461234177215191</v>
      </c>
      <c r="Q35" s="542">
        <v>0.245</v>
      </c>
      <c r="R35" s="542"/>
    </row>
    <row r="36" spans="1:19" x14ac:dyDescent="0.2">
      <c r="C36" s="1205" t="s">
        <v>350</v>
      </c>
      <c r="D36" s="1205"/>
      <c r="E36" s="1205"/>
      <c r="F36" s="1205"/>
      <c r="G36" s="1205"/>
      <c r="H36" s="1205"/>
      <c r="I36" s="1205"/>
      <c r="J36" s="1205"/>
      <c r="K36" s="1205"/>
      <c r="L36" s="1187"/>
      <c r="M36" s="1205"/>
      <c r="N36" s="1205"/>
      <c r="O36" s="1205"/>
      <c r="P36" s="1205"/>
      <c r="Q36" s="1205"/>
      <c r="R36" s="1205"/>
    </row>
    <row r="37" spans="1:19" ht="31.5" customHeight="1" x14ac:dyDescent="0.2">
      <c r="C37" s="1206" t="s">
        <v>329</v>
      </c>
      <c r="D37" s="1206"/>
      <c r="E37" s="1206"/>
      <c r="F37" s="1206"/>
      <c r="G37" s="1206"/>
      <c r="H37" s="1206"/>
      <c r="I37" s="1206"/>
      <c r="J37" s="1206"/>
      <c r="K37" s="1206"/>
      <c r="L37" s="1206"/>
      <c r="M37" s="1206"/>
      <c r="N37" s="1206"/>
      <c r="O37" s="1206"/>
      <c r="P37" s="1206"/>
      <c r="Q37" s="1206"/>
      <c r="R37" s="1206"/>
    </row>
    <row r="38" spans="1:19" s="457" customFormat="1" ht="28.5" customHeight="1" x14ac:dyDescent="0.2">
      <c r="A38" s="647"/>
      <c r="C38" s="1195" t="s">
        <v>429</v>
      </c>
      <c r="D38" s="1195"/>
      <c r="E38" s="1195"/>
      <c r="F38" s="1195"/>
      <c r="G38" s="1195"/>
      <c r="H38" s="1195"/>
      <c r="I38" s="1195"/>
      <c r="J38" s="1195"/>
      <c r="K38" s="1195"/>
      <c r="L38" s="1195"/>
      <c r="M38" s="1195"/>
      <c r="N38" s="1195"/>
      <c r="O38" s="1195"/>
      <c r="P38" s="1195"/>
      <c r="Q38" s="1195"/>
      <c r="R38" s="1195"/>
      <c r="S38" s="1"/>
    </row>
    <row r="39" spans="1:19" ht="24.75" customHeight="1" x14ac:dyDescent="0.2"/>
  </sheetData>
  <mergeCells count="4">
    <mergeCell ref="C2:R4"/>
    <mergeCell ref="C36:R36"/>
    <mergeCell ref="C37:R37"/>
    <mergeCell ref="C38:R3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AC36"/>
  <sheetViews>
    <sheetView zoomScale="85" zoomScaleNormal="85" workbookViewId="0">
      <selection activeCell="AF32" sqref="AF32"/>
    </sheetView>
  </sheetViews>
  <sheetFormatPr defaultRowHeight="12.75" x14ac:dyDescent="0.2"/>
  <cols>
    <col min="1" max="1" width="12" style="197" customWidth="1"/>
    <col min="2" max="11" width="9.140625" style="197"/>
    <col min="12" max="12" width="9.140625" style="280"/>
    <col min="13" max="28" width="9.140625" style="197"/>
    <col min="29" max="29" width="11.140625" style="197" customWidth="1"/>
  </cols>
  <sheetData>
    <row r="1" spans="1:29" ht="14.25" customHeight="1" x14ac:dyDescent="0.2">
      <c r="AC1" s="10" t="s">
        <v>249</v>
      </c>
    </row>
    <row r="2" spans="1:29" ht="20.100000000000001" customHeight="1" x14ac:dyDescent="0.2">
      <c r="A2" s="1076" t="s">
        <v>418</v>
      </c>
      <c r="B2" s="1076"/>
      <c r="C2" s="1076"/>
      <c r="D2" s="1076"/>
      <c r="E2" s="1076"/>
      <c r="F2" s="1076"/>
      <c r="G2" s="1076"/>
      <c r="H2" s="1076"/>
      <c r="I2" s="1076"/>
      <c r="J2" s="1076"/>
      <c r="K2" s="1076"/>
      <c r="L2" s="1076"/>
      <c r="M2" s="1076"/>
      <c r="N2" s="1076"/>
      <c r="O2" s="1076"/>
      <c r="P2" s="1076"/>
      <c r="Q2" s="1076"/>
      <c r="R2" s="1076"/>
      <c r="S2" s="1076"/>
      <c r="T2" s="1076"/>
      <c r="U2" s="1076"/>
      <c r="V2" s="1076"/>
      <c r="W2" s="1076"/>
      <c r="X2" s="1076"/>
      <c r="Y2" s="1076"/>
      <c r="Z2" s="1076"/>
      <c r="AA2" s="1076"/>
      <c r="AB2" s="1076"/>
      <c r="AC2" s="1076"/>
    </row>
    <row r="3" spans="1:29" ht="20.100000000000001" customHeight="1" x14ac:dyDescent="0.2">
      <c r="A3" s="1077" t="s">
        <v>294</v>
      </c>
      <c r="B3" s="1077"/>
      <c r="C3" s="1077"/>
      <c r="D3" s="1077"/>
      <c r="E3" s="1077"/>
      <c r="F3" s="1077"/>
      <c r="G3" s="1077"/>
      <c r="H3" s="1077"/>
      <c r="I3" s="1077"/>
      <c r="J3" s="1077"/>
      <c r="K3" s="1077"/>
      <c r="L3" s="1077"/>
      <c r="M3" s="1077"/>
      <c r="N3" s="1077"/>
      <c r="O3" s="1077"/>
      <c r="P3" s="1077"/>
      <c r="Q3" s="1077"/>
      <c r="R3" s="1077"/>
      <c r="S3" s="1077"/>
      <c r="T3" s="1077"/>
      <c r="U3" s="1077"/>
      <c r="V3" s="1077"/>
      <c r="W3" s="1077"/>
      <c r="X3" s="1077"/>
      <c r="Y3" s="1077"/>
      <c r="Z3" s="1077"/>
      <c r="AA3" s="1077"/>
      <c r="AB3" s="1077"/>
      <c r="AC3" s="1077"/>
    </row>
    <row r="4" spans="1:29" x14ac:dyDescent="0.2">
      <c r="A4" s="1078">
        <v>2021</v>
      </c>
      <c r="B4" s="1078"/>
      <c r="C4" s="1078"/>
      <c r="D4" s="1078"/>
      <c r="E4" s="1078"/>
      <c r="F4" s="1078"/>
      <c r="G4" s="1078"/>
      <c r="H4" s="1078"/>
      <c r="I4" s="1078"/>
      <c r="J4" s="1078"/>
      <c r="K4" s="1078"/>
      <c r="L4" s="1078"/>
      <c r="M4" s="1078"/>
      <c r="N4" s="1078"/>
      <c r="O4" s="1078"/>
      <c r="P4" s="1078"/>
      <c r="Q4" s="1078"/>
      <c r="R4" s="1078"/>
      <c r="S4" s="1078"/>
      <c r="T4" s="1078"/>
      <c r="U4" s="1078"/>
      <c r="V4" s="1078"/>
      <c r="W4" s="1078"/>
      <c r="X4" s="1078"/>
      <c r="Y4" s="1078"/>
      <c r="Z4" s="1078"/>
      <c r="AA4" s="1078"/>
      <c r="AB4" s="1078"/>
      <c r="AC4" s="1078"/>
    </row>
    <row r="5" spans="1:29" ht="13.5" customHeight="1" x14ac:dyDescent="0.2">
      <c r="B5" s="85" t="s">
        <v>161</v>
      </c>
      <c r="C5" s="86"/>
      <c r="D5" s="86"/>
      <c r="E5" s="86"/>
      <c r="F5" s="86"/>
      <c r="G5" s="86"/>
      <c r="H5" s="86"/>
      <c r="I5" s="86"/>
      <c r="J5" s="86"/>
      <c r="K5" s="86"/>
      <c r="L5" s="86"/>
      <c r="M5" s="86"/>
      <c r="N5" s="86"/>
      <c r="O5" s="86"/>
      <c r="P5" s="86"/>
      <c r="Q5" s="86"/>
      <c r="R5" s="86"/>
      <c r="S5" s="86"/>
      <c r="T5" s="86"/>
      <c r="U5" s="86"/>
      <c r="V5" s="86"/>
      <c r="W5" s="86"/>
      <c r="X5" s="86"/>
      <c r="Y5" s="86"/>
      <c r="Z5" s="86"/>
      <c r="AA5" s="86"/>
      <c r="AB5" s="901"/>
    </row>
    <row r="6" spans="1:29" ht="24" customHeight="1" x14ac:dyDescent="0.2">
      <c r="A6" s="84" t="s">
        <v>134</v>
      </c>
      <c r="B6" s="118" t="s">
        <v>135</v>
      </c>
      <c r="C6" s="119" t="s">
        <v>136</v>
      </c>
      <c r="D6" s="119" t="s">
        <v>137</v>
      </c>
      <c r="E6" s="119" t="s">
        <v>138</v>
      </c>
      <c r="F6" s="119" t="s">
        <v>139</v>
      </c>
      <c r="G6" s="119" t="s">
        <v>140</v>
      </c>
      <c r="H6" s="119" t="s">
        <v>141</v>
      </c>
      <c r="I6" s="119" t="s">
        <v>142</v>
      </c>
      <c r="J6" s="119" t="s">
        <v>143</v>
      </c>
      <c r="K6" s="119" t="s">
        <v>123</v>
      </c>
      <c r="L6" s="119" t="s">
        <v>287</v>
      </c>
      <c r="M6" s="119" t="s">
        <v>144</v>
      </c>
      <c r="N6" s="119" t="s">
        <v>145</v>
      </c>
      <c r="O6" s="119" t="s">
        <v>146</v>
      </c>
      <c r="P6" s="119" t="s">
        <v>147</v>
      </c>
      <c r="Q6" s="119" t="s">
        <v>148</v>
      </c>
      <c r="R6" s="119" t="s">
        <v>149</v>
      </c>
      <c r="S6" s="119" t="s">
        <v>150</v>
      </c>
      <c r="T6" s="119" t="s">
        <v>151</v>
      </c>
      <c r="U6" s="119" t="s">
        <v>122</v>
      </c>
      <c r="V6" s="119" t="s">
        <v>152</v>
      </c>
      <c r="W6" s="119" t="s">
        <v>153</v>
      </c>
      <c r="X6" s="119" t="s">
        <v>154</v>
      </c>
      <c r="Y6" s="119" t="s">
        <v>155</v>
      </c>
      <c r="Z6" s="119" t="s">
        <v>156</v>
      </c>
      <c r="AA6" s="119" t="s">
        <v>157</v>
      </c>
      <c r="AB6" s="1033" t="s">
        <v>158</v>
      </c>
      <c r="AC6" s="8"/>
    </row>
    <row r="7" spans="1:29" ht="15" customHeight="1" x14ac:dyDescent="0.2">
      <c r="A7" s="117" t="s">
        <v>135</v>
      </c>
      <c r="B7" s="237">
        <v>23.803999999999998</v>
      </c>
      <c r="C7" s="238">
        <v>132.03899999999999</v>
      </c>
      <c r="D7" s="238">
        <v>84.697000000000003</v>
      </c>
      <c r="E7" s="238">
        <v>174.125</v>
      </c>
      <c r="F7" s="238">
        <v>516.90099999999995</v>
      </c>
      <c r="G7" s="238">
        <v>13.26</v>
      </c>
      <c r="H7" s="238">
        <v>124.40600000000001</v>
      </c>
      <c r="I7" s="238">
        <v>728.78800000000001</v>
      </c>
      <c r="J7" s="238">
        <v>2963.7759999999998</v>
      </c>
      <c r="K7" s="238">
        <v>971.86099999999999</v>
      </c>
      <c r="L7" s="238">
        <v>116.011</v>
      </c>
      <c r="M7" s="238">
        <v>1458.9059999999999</v>
      </c>
      <c r="N7" s="238">
        <v>28.327999999999999</v>
      </c>
      <c r="O7" s="238">
        <v>37.947000000000003</v>
      </c>
      <c r="P7" s="238">
        <v>33.289000000000001</v>
      </c>
      <c r="Q7" s="238">
        <v>0.84199999999999997</v>
      </c>
      <c r="R7" s="238">
        <v>130.167</v>
      </c>
      <c r="S7" s="238">
        <v>84.311000000000007</v>
      </c>
      <c r="T7" s="238">
        <v>143.97300000000001</v>
      </c>
      <c r="U7" s="238">
        <v>227.22300000000001</v>
      </c>
      <c r="V7" s="238">
        <v>208.49299999999999</v>
      </c>
      <c r="W7" s="238">
        <v>809.16600000000005</v>
      </c>
      <c r="X7" s="238">
        <v>298.62700000000001</v>
      </c>
      <c r="Y7" s="238">
        <v>35.597999999999999</v>
      </c>
      <c r="Z7" s="238">
        <v>16.858000000000001</v>
      </c>
      <c r="AA7" s="238">
        <v>54.085999999999999</v>
      </c>
      <c r="AB7" s="238">
        <v>149.72200000000001</v>
      </c>
      <c r="AC7" s="120" t="s">
        <v>135</v>
      </c>
    </row>
    <row r="8" spans="1:29" ht="15" customHeight="1" x14ac:dyDescent="0.2">
      <c r="A8" s="117" t="s">
        <v>136</v>
      </c>
      <c r="B8" s="239">
        <v>125.901</v>
      </c>
      <c r="C8" s="237">
        <v>207.667</v>
      </c>
      <c r="D8" s="239">
        <v>205.73400000000001</v>
      </c>
      <c r="E8" s="239">
        <v>60.655999999999999</v>
      </c>
      <c r="F8" s="239">
        <v>1033.326</v>
      </c>
      <c r="G8" s="239">
        <v>20.428000000000001</v>
      </c>
      <c r="H8" s="239">
        <v>47.527999999999999</v>
      </c>
      <c r="I8" s="239">
        <v>115.79300000000001</v>
      </c>
      <c r="J8" s="239">
        <v>241.54</v>
      </c>
      <c r="K8" s="239">
        <v>186.45400000000001</v>
      </c>
      <c r="L8" s="239">
        <v>8.2390000000000008</v>
      </c>
      <c r="M8" s="239">
        <v>321.20999999999998</v>
      </c>
      <c r="N8" s="239">
        <v>66.099999999999994</v>
      </c>
      <c r="O8" s="239">
        <v>11.193</v>
      </c>
      <c r="P8" s="239">
        <v>20.306000000000001</v>
      </c>
      <c r="Q8" s="239">
        <v>13.555999999999999</v>
      </c>
      <c r="R8" s="239">
        <v>28.797999999999998</v>
      </c>
      <c r="S8" s="239">
        <v>27.274999999999999</v>
      </c>
      <c r="T8" s="239">
        <v>241.261</v>
      </c>
      <c r="U8" s="239">
        <v>233.74</v>
      </c>
      <c r="V8" s="239">
        <v>374.06299999999999</v>
      </c>
      <c r="W8" s="239">
        <v>12.478999999999999</v>
      </c>
      <c r="X8" s="239">
        <v>17.957000000000001</v>
      </c>
      <c r="Y8" s="239">
        <v>0.16500000000000001</v>
      </c>
      <c r="Z8" s="239">
        <v>27.577999999999999</v>
      </c>
      <c r="AA8" s="239">
        <v>3.2570000000000001</v>
      </c>
      <c r="AB8" s="239">
        <v>3.7730000000000001</v>
      </c>
      <c r="AC8" s="121" t="s">
        <v>136</v>
      </c>
    </row>
    <row r="9" spans="1:29" ht="15" customHeight="1" x14ac:dyDescent="0.2">
      <c r="A9" s="117" t="s">
        <v>137</v>
      </c>
      <c r="B9" s="238">
        <v>84.429000000000002</v>
      </c>
      <c r="C9" s="238">
        <v>206.249</v>
      </c>
      <c r="D9" s="237">
        <v>9.3550000000000004</v>
      </c>
      <c r="E9" s="238">
        <v>76.856999999999999</v>
      </c>
      <c r="F9" s="238">
        <v>255.42400000000001</v>
      </c>
      <c r="G9" s="238">
        <v>0.40799999999999997</v>
      </c>
      <c r="H9" s="238">
        <v>41.609000000000002</v>
      </c>
      <c r="I9" s="238">
        <v>512.04499999999996</v>
      </c>
      <c r="J9" s="238">
        <v>457.22500000000002</v>
      </c>
      <c r="K9" s="238">
        <v>279.27100000000002</v>
      </c>
      <c r="L9" s="238">
        <v>52.701999999999998</v>
      </c>
      <c r="M9" s="238">
        <v>388.66500000000002</v>
      </c>
      <c r="N9" s="238">
        <v>19.457000000000001</v>
      </c>
      <c r="O9" s="238">
        <v>27.692</v>
      </c>
      <c r="P9" s="238">
        <v>1.2E-2</v>
      </c>
      <c r="Q9" s="238">
        <v>3.4000000000000002E-2</v>
      </c>
      <c r="R9" s="238">
        <v>37.18</v>
      </c>
      <c r="S9" s="238">
        <v>15.407</v>
      </c>
      <c r="T9" s="238">
        <v>268.62400000000002</v>
      </c>
      <c r="U9" s="238">
        <v>36.506</v>
      </c>
      <c r="V9" s="238">
        <v>82.094999999999999</v>
      </c>
      <c r="W9" s="238">
        <v>76.116</v>
      </c>
      <c r="X9" s="238">
        <v>26.76</v>
      </c>
      <c r="Y9" s="238">
        <v>0.192</v>
      </c>
      <c r="Z9" s="238">
        <v>26.117999999999999</v>
      </c>
      <c r="AA9" s="238">
        <v>29.504999999999999</v>
      </c>
      <c r="AB9" s="238">
        <v>59.417000000000002</v>
      </c>
      <c r="AC9" s="121" t="s">
        <v>137</v>
      </c>
    </row>
    <row r="10" spans="1:29" ht="15" customHeight="1" x14ac:dyDescent="0.2">
      <c r="A10" s="117" t="s">
        <v>138</v>
      </c>
      <c r="B10" s="239">
        <v>173.89699999999999</v>
      </c>
      <c r="C10" s="239">
        <v>58.951000000000001</v>
      </c>
      <c r="D10" s="239">
        <v>76.911000000000001</v>
      </c>
      <c r="E10" s="237">
        <v>1092.9590000000001</v>
      </c>
      <c r="F10" s="239">
        <v>743.46299999999997</v>
      </c>
      <c r="G10" s="239">
        <v>20.946000000000002</v>
      </c>
      <c r="H10" s="239">
        <v>78.995000000000005</v>
      </c>
      <c r="I10" s="239">
        <v>619.298</v>
      </c>
      <c r="J10" s="239">
        <v>1495.51</v>
      </c>
      <c r="K10" s="239">
        <v>567.85500000000002</v>
      </c>
      <c r="L10" s="239">
        <v>102.498</v>
      </c>
      <c r="M10" s="239">
        <v>517.899</v>
      </c>
      <c r="N10" s="239">
        <v>67.293000000000006</v>
      </c>
      <c r="O10" s="239">
        <v>68.623999999999995</v>
      </c>
      <c r="P10" s="239">
        <v>139.34800000000001</v>
      </c>
      <c r="Q10" s="239">
        <v>13.36</v>
      </c>
      <c r="R10" s="239">
        <v>100.551</v>
      </c>
      <c r="S10" s="239">
        <v>32.668999999999997</v>
      </c>
      <c r="T10" s="239">
        <v>637.94299999999998</v>
      </c>
      <c r="U10" s="239">
        <v>143.19300000000001</v>
      </c>
      <c r="V10" s="239">
        <v>263.22699999999998</v>
      </c>
      <c r="W10" s="239">
        <v>169.352</v>
      </c>
      <c r="X10" s="239">
        <v>122.38800000000001</v>
      </c>
      <c r="Y10" s="239">
        <v>6.6000000000000003E-2</v>
      </c>
      <c r="Z10" s="239">
        <v>4.7889999999999997</v>
      </c>
      <c r="AA10" s="239">
        <v>162.05199999999999</v>
      </c>
      <c r="AB10" s="239">
        <v>421.23</v>
      </c>
      <c r="AC10" s="121" t="s">
        <v>138</v>
      </c>
    </row>
    <row r="11" spans="1:29" ht="15" customHeight="1" x14ac:dyDescent="0.2">
      <c r="A11" s="117" t="s">
        <v>139</v>
      </c>
      <c r="B11" s="238">
        <v>511.178</v>
      </c>
      <c r="C11" s="238">
        <v>1025.4770000000001</v>
      </c>
      <c r="D11" s="238">
        <v>252.88</v>
      </c>
      <c r="E11" s="238">
        <v>785.99699999999996</v>
      </c>
      <c r="F11" s="237">
        <v>4767.0469999999996</v>
      </c>
      <c r="G11" s="238">
        <v>184.07599999999999</v>
      </c>
      <c r="H11" s="238">
        <v>486.80799999999999</v>
      </c>
      <c r="I11" s="238">
        <v>5878.0739999999996</v>
      </c>
      <c r="J11" s="238">
        <v>12349.338</v>
      </c>
      <c r="K11" s="238">
        <v>2317.4110000000001</v>
      </c>
      <c r="L11" s="238">
        <v>1026.0229999999999</v>
      </c>
      <c r="M11" s="238">
        <v>4582.7380000000003</v>
      </c>
      <c r="N11" s="238">
        <v>257.69600000000003</v>
      </c>
      <c r="O11" s="238">
        <v>280.53899999999999</v>
      </c>
      <c r="P11" s="238">
        <v>224.25700000000001</v>
      </c>
      <c r="Q11" s="238">
        <v>138.108</v>
      </c>
      <c r="R11" s="238">
        <v>513.28599999999994</v>
      </c>
      <c r="S11" s="238">
        <v>310.41199999999998</v>
      </c>
      <c r="T11" s="238">
        <v>1352.396</v>
      </c>
      <c r="U11" s="238">
        <v>1735.5329999999999</v>
      </c>
      <c r="V11" s="238">
        <v>1363.9770000000001</v>
      </c>
      <c r="W11" s="238">
        <v>2035.1610000000001</v>
      </c>
      <c r="X11" s="238">
        <v>1179.413</v>
      </c>
      <c r="Y11" s="238">
        <v>76.953999999999994</v>
      </c>
      <c r="Z11" s="238">
        <v>0.29199999999999998</v>
      </c>
      <c r="AA11" s="238">
        <v>526.995</v>
      </c>
      <c r="AB11" s="238">
        <v>954.50900000000001</v>
      </c>
      <c r="AC11" s="121" t="s">
        <v>139</v>
      </c>
    </row>
    <row r="12" spans="1:29" ht="15" customHeight="1" x14ac:dyDescent="0.2">
      <c r="A12" s="117" t="s">
        <v>140</v>
      </c>
      <c r="B12" s="239">
        <v>12.959</v>
      </c>
      <c r="C12" s="239">
        <v>20.661000000000001</v>
      </c>
      <c r="D12" s="239">
        <v>0.375</v>
      </c>
      <c r="E12" s="239">
        <v>20.457000000000001</v>
      </c>
      <c r="F12" s="239">
        <v>185.602</v>
      </c>
      <c r="G12" s="237">
        <v>38.688000000000002</v>
      </c>
      <c r="H12" s="239">
        <v>10.423</v>
      </c>
      <c r="I12" s="239">
        <v>37.451000000000001</v>
      </c>
      <c r="J12" s="239">
        <v>38.006</v>
      </c>
      <c r="K12" s="239">
        <v>32.079000000000001</v>
      </c>
      <c r="L12" s="239">
        <v>6.4000000000000001E-2</v>
      </c>
      <c r="M12" s="239">
        <v>84.762</v>
      </c>
      <c r="N12" s="239">
        <v>21.186</v>
      </c>
      <c r="O12" s="239">
        <v>104.544</v>
      </c>
      <c r="P12" s="239">
        <v>10.454000000000001</v>
      </c>
      <c r="Q12" s="239"/>
      <c r="R12" s="239"/>
      <c r="S12" s="239">
        <v>2.6349999999999998</v>
      </c>
      <c r="T12" s="239">
        <v>40.68</v>
      </c>
      <c r="U12" s="239">
        <v>26.055</v>
      </c>
      <c r="V12" s="239">
        <v>59.777999999999999</v>
      </c>
      <c r="W12" s="239">
        <v>1.325</v>
      </c>
      <c r="X12" s="246">
        <v>0.108</v>
      </c>
      <c r="Y12" s="246">
        <v>0.121</v>
      </c>
      <c r="Z12" s="246">
        <v>6.0999999999999999E-2</v>
      </c>
      <c r="AA12" s="246">
        <v>104.16800000000001</v>
      </c>
      <c r="AB12" s="239">
        <v>81.638000000000005</v>
      </c>
      <c r="AC12" s="121" t="s">
        <v>140</v>
      </c>
    </row>
    <row r="13" spans="1:29" ht="15" customHeight="1" x14ac:dyDescent="0.2">
      <c r="A13" s="117" t="s">
        <v>141</v>
      </c>
      <c r="B13" s="238">
        <v>124.015</v>
      </c>
      <c r="C13" s="238">
        <v>48.642000000000003</v>
      </c>
      <c r="D13" s="238">
        <v>41.584000000000003</v>
      </c>
      <c r="E13" s="238">
        <v>78.915000000000006</v>
      </c>
      <c r="F13" s="238">
        <v>486.23899999999998</v>
      </c>
      <c r="G13" s="238">
        <v>10.52</v>
      </c>
      <c r="H13" s="237">
        <v>37.680999999999997</v>
      </c>
      <c r="I13" s="238">
        <v>128.01400000000001</v>
      </c>
      <c r="J13" s="238">
        <v>1341.2370000000001</v>
      </c>
      <c r="K13" s="238">
        <v>516.14400000000001</v>
      </c>
      <c r="L13" s="238">
        <v>57.103000000000002</v>
      </c>
      <c r="M13" s="238">
        <v>437.44799999999998</v>
      </c>
      <c r="N13" s="238">
        <v>12.855</v>
      </c>
      <c r="O13" s="238">
        <v>67.111000000000004</v>
      </c>
      <c r="P13" s="238">
        <v>114.57299999999999</v>
      </c>
      <c r="Q13" s="238">
        <v>18.073</v>
      </c>
      <c r="R13" s="238">
        <v>93.683000000000007</v>
      </c>
      <c r="S13" s="238">
        <v>33.209000000000003</v>
      </c>
      <c r="T13" s="238">
        <v>446.98099999999999</v>
      </c>
      <c r="U13" s="238">
        <v>49.594999999999999</v>
      </c>
      <c r="V13" s="238">
        <v>492.77300000000002</v>
      </c>
      <c r="W13" s="238">
        <v>438.96</v>
      </c>
      <c r="X13" s="238">
        <v>172.17599999999999</v>
      </c>
      <c r="Y13" s="409"/>
      <c r="Z13" s="238">
        <v>34.249000000000002</v>
      </c>
      <c r="AA13" s="238">
        <v>27.617000000000001</v>
      </c>
      <c r="AB13" s="238">
        <v>49.704000000000001</v>
      </c>
      <c r="AC13" s="121" t="s">
        <v>141</v>
      </c>
    </row>
    <row r="14" spans="1:29" ht="15" customHeight="1" x14ac:dyDescent="0.2">
      <c r="A14" s="117" t="s">
        <v>142</v>
      </c>
      <c r="B14" s="239">
        <v>872.82500000000005</v>
      </c>
      <c r="C14" s="239">
        <v>122.289</v>
      </c>
      <c r="D14" s="239">
        <v>515.30499999999995</v>
      </c>
      <c r="E14" s="239">
        <v>619.61699999999996</v>
      </c>
      <c r="F14" s="239">
        <v>6029.366</v>
      </c>
      <c r="G14" s="239">
        <v>38.286999999999999</v>
      </c>
      <c r="H14" s="239">
        <v>129.87799999999999</v>
      </c>
      <c r="I14" s="237">
        <v>5803.1940000000004</v>
      </c>
      <c r="J14" s="239">
        <v>402.15499999999997</v>
      </c>
      <c r="K14" s="239">
        <v>2131.2020000000002</v>
      </c>
      <c r="L14" s="239">
        <v>16.302</v>
      </c>
      <c r="M14" s="239">
        <v>1863.674</v>
      </c>
      <c r="N14" s="239">
        <v>933.13499999999999</v>
      </c>
      <c r="O14" s="239">
        <v>77.456000000000003</v>
      </c>
      <c r="P14" s="239">
        <v>130.54599999999999</v>
      </c>
      <c r="Q14" s="239">
        <v>105.14100000000001</v>
      </c>
      <c r="R14" s="239">
        <v>296.63600000000002</v>
      </c>
      <c r="S14" s="239">
        <v>53.828000000000003</v>
      </c>
      <c r="T14" s="239">
        <v>1551.1669999999999</v>
      </c>
      <c r="U14" s="239">
        <v>988.74099999999999</v>
      </c>
      <c r="V14" s="239">
        <v>1475.403</v>
      </c>
      <c r="W14" s="239">
        <v>34.887999999999998</v>
      </c>
      <c r="X14" s="239">
        <v>437.53699999999998</v>
      </c>
      <c r="Y14" s="239">
        <v>70.956000000000003</v>
      </c>
      <c r="Z14" s="239">
        <v>96.653000000000006</v>
      </c>
      <c r="AA14" s="239">
        <v>111.10599999999999</v>
      </c>
      <c r="AB14" s="239">
        <v>401.04199999999997</v>
      </c>
      <c r="AC14" s="121" t="s">
        <v>142</v>
      </c>
    </row>
    <row r="15" spans="1:29" ht="15" customHeight="1" x14ac:dyDescent="0.2">
      <c r="A15" s="117" t="s">
        <v>143</v>
      </c>
      <c r="B15" s="238">
        <v>3018.598</v>
      </c>
      <c r="C15" s="238">
        <v>241.44200000000001</v>
      </c>
      <c r="D15" s="238">
        <v>459.20600000000002</v>
      </c>
      <c r="E15" s="238">
        <v>1496.7529999999999</v>
      </c>
      <c r="F15" s="238">
        <v>12514.9</v>
      </c>
      <c r="G15" s="238">
        <v>38.997</v>
      </c>
      <c r="H15" s="238">
        <v>1341.626</v>
      </c>
      <c r="I15" s="238">
        <v>387.16199999999998</v>
      </c>
      <c r="J15" s="237">
        <v>25974.236000000001</v>
      </c>
      <c r="K15" s="238">
        <v>7268.7759999999998</v>
      </c>
      <c r="L15" s="238">
        <v>120.377</v>
      </c>
      <c r="M15" s="238">
        <v>5966.5079999999998</v>
      </c>
      <c r="N15" s="238">
        <v>4.2249999999999996</v>
      </c>
      <c r="O15" s="238">
        <v>116.605</v>
      </c>
      <c r="P15" s="238">
        <v>102.027</v>
      </c>
      <c r="Q15" s="238">
        <v>402.74799999999999</v>
      </c>
      <c r="R15" s="238">
        <v>362.29500000000002</v>
      </c>
      <c r="S15" s="238">
        <v>124.937</v>
      </c>
      <c r="T15" s="238">
        <v>4616.0959999999995</v>
      </c>
      <c r="U15" s="238">
        <v>1009.579</v>
      </c>
      <c r="V15" s="238">
        <v>1306.546</v>
      </c>
      <c r="W15" s="238">
        <v>1895.58</v>
      </c>
      <c r="X15" s="238">
        <v>994.33399999999995</v>
      </c>
      <c r="Y15" s="238">
        <v>4.899</v>
      </c>
      <c r="Z15" s="238">
        <v>34.264000000000003</v>
      </c>
      <c r="AA15" s="238">
        <v>372.31299999999999</v>
      </c>
      <c r="AB15" s="238">
        <v>1357.607</v>
      </c>
      <c r="AC15" s="121" t="s">
        <v>143</v>
      </c>
    </row>
    <row r="16" spans="1:29" ht="15" customHeight="1" x14ac:dyDescent="0.2">
      <c r="A16" s="117" t="s">
        <v>123</v>
      </c>
      <c r="B16" s="239">
        <v>938.87099999999998</v>
      </c>
      <c r="C16" s="239">
        <v>169.965</v>
      </c>
      <c r="D16" s="239">
        <v>269.35700000000003</v>
      </c>
      <c r="E16" s="239">
        <v>531.57100000000003</v>
      </c>
      <c r="F16" s="239">
        <v>2329.2220000000002</v>
      </c>
      <c r="G16" s="239">
        <v>32.152000000000001</v>
      </c>
      <c r="H16" s="239">
        <v>497.46699999999998</v>
      </c>
      <c r="I16" s="239">
        <v>1920.5650000000001</v>
      </c>
      <c r="J16" s="239">
        <v>6585.3310000000001</v>
      </c>
      <c r="K16" s="237">
        <v>18978.696</v>
      </c>
      <c r="L16" s="239">
        <v>382.58699999999999</v>
      </c>
      <c r="M16" s="239">
        <v>4206.8249999999998</v>
      </c>
      <c r="N16" s="239">
        <v>50.158000000000001</v>
      </c>
      <c r="O16" s="239">
        <v>67.403000000000006</v>
      </c>
      <c r="P16" s="239">
        <v>59.219000000000001</v>
      </c>
      <c r="Q16" s="239">
        <v>191.36500000000001</v>
      </c>
      <c r="R16" s="239">
        <v>276.87200000000001</v>
      </c>
      <c r="S16" s="239">
        <v>240.1</v>
      </c>
      <c r="T16" s="239">
        <v>1524.4960000000001</v>
      </c>
      <c r="U16" s="239">
        <v>427.30900000000003</v>
      </c>
      <c r="V16" s="239">
        <v>590.56799999999998</v>
      </c>
      <c r="W16" s="239">
        <v>3448.8879999999999</v>
      </c>
      <c r="X16" s="239">
        <v>564.66200000000003</v>
      </c>
      <c r="Y16" s="239">
        <v>34.884</v>
      </c>
      <c r="Z16" s="239">
        <v>0.33200000000000002</v>
      </c>
      <c r="AA16" s="239">
        <v>165.47300000000001</v>
      </c>
      <c r="AB16" s="239">
        <v>418.75900000000001</v>
      </c>
      <c r="AC16" s="121" t="s">
        <v>123</v>
      </c>
    </row>
    <row r="17" spans="1:29" ht="15" customHeight="1" x14ac:dyDescent="0.2">
      <c r="A17" s="198" t="s">
        <v>287</v>
      </c>
      <c r="B17" s="240">
        <v>115.462</v>
      </c>
      <c r="C17" s="241">
        <v>7.9210000000000003</v>
      </c>
      <c r="D17" s="241">
        <v>51.587000000000003</v>
      </c>
      <c r="E17" s="241">
        <v>102.556</v>
      </c>
      <c r="F17" s="241">
        <v>1033.25</v>
      </c>
      <c r="G17" s="241">
        <v>6.4000000000000001E-2</v>
      </c>
      <c r="H17" s="241">
        <v>57.179000000000002</v>
      </c>
      <c r="I17" s="241">
        <v>14.243</v>
      </c>
      <c r="J17" s="241">
        <v>119.812</v>
      </c>
      <c r="K17" s="241">
        <v>441.05599999999998</v>
      </c>
      <c r="L17" s="243">
        <v>239.08199999999999</v>
      </c>
      <c r="M17" s="241">
        <v>147.35499999999999</v>
      </c>
      <c r="N17" s="241">
        <v>2.3380000000000001</v>
      </c>
      <c r="O17" s="241">
        <v>20.895</v>
      </c>
      <c r="P17" s="241">
        <v>3.661</v>
      </c>
      <c r="Q17" s="241">
        <v>6.4710000000000001</v>
      </c>
      <c r="R17" s="241">
        <v>7.7960000000000003</v>
      </c>
      <c r="S17" s="241">
        <v>1.893</v>
      </c>
      <c r="T17" s="241">
        <v>433.93299999999999</v>
      </c>
      <c r="U17" s="241">
        <v>152.18899999999999</v>
      </c>
      <c r="V17" s="241">
        <v>221.84899999999999</v>
      </c>
      <c r="W17" s="241">
        <v>14.784000000000001</v>
      </c>
      <c r="X17" s="241">
        <v>10.285</v>
      </c>
      <c r="Y17" s="241">
        <v>2.464</v>
      </c>
      <c r="Z17" s="241">
        <v>2.77</v>
      </c>
      <c r="AA17" s="241">
        <v>14.255000000000001</v>
      </c>
      <c r="AB17" s="241">
        <v>122.837</v>
      </c>
      <c r="AC17" s="199" t="s">
        <v>287</v>
      </c>
    </row>
    <row r="18" spans="1:29" ht="15" customHeight="1" x14ac:dyDescent="0.2">
      <c r="A18" s="117" t="s">
        <v>144</v>
      </c>
      <c r="B18" s="242">
        <v>1454.8430000000001</v>
      </c>
      <c r="C18" s="242">
        <v>316.66000000000003</v>
      </c>
      <c r="D18" s="242">
        <v>382.18700000000001</v>
      </c>
      <c r="E18" s="242">
        <v>502.14800000000002</v>
      </c>
      <c r="F18" s="242">
        <v>4430.1909999999998</v>
      </c>
      <c r="G18" s="242">
        <v>84.88</v>
      </c>
      <c r="H18" s="242">
        <v>436.07299999999998</v>
      </c>
      <c r="I18" s="242">
        <v>1767.934</v>
      </c>
      <c r="J18" s="242">
        <v>5936.3739999999998</v>
      </c>
      <c r="K18" s="242">
        <v>4432.6909999999998</v>
      </c>
      <c r="L18" s="242">
        <v>147.70500000000001</v>
      </c>
      <c r="M18" s="243">
        <v>21057.883000000002</v>
      </c>
      <c r="N18" s="242">
        <v>60.701999999999998</v>
      </c>
      <c r="O18" s="242">
        <v>135.99299999999999</v>
      </c>
      <c r="P18" s="242">
        <v>133.858</v>
      </c>
      <c r="Q18" s="242">
        <v>177.274</v>
      </c>
      <c r="R18" s="242">
        <v>421.48899999999998</v>
      </c>
      <c r="S18" s="242">
        <v>491.53</v>
      </c>
      <c r="T18" s="242">
        <v>2088.1039999999998</v>
      </c>
      <c r="U18" s="242">
        <v>728.654</v>
      </c>
      <c r="V18" s="242">
        <v>1203.059</v>
      </c>
      <c r="W18" s="242">
        <v>912.9</v>
      </c>
      <c r="X18" s="242">
        <v>1730.2059999999999</v>
      </c>
      <c r="Y18" s="242">
        <v>0.23100000000000001</v>
      </c>
      <c r="Z18" s="242">
        <v>36.563000000000002</v>
      </c>
      <c r="AA18" s="242">
        <v>103.818</v>
      </c>
      <c r="AB18" s="242">
        <v>177.13499999999999</v>
      </c>
      <c r="AC18" s="121" t="s">
        <v>144</v>
      </c>
    </row>
    <row r="19" spans="1:29" ht="15" customHeight="1" x14ac:dyDescent="0.2">
      <c r="A19" s="117" t="s">
        <v>145</v>
      </c>
      <c r="B19" s="244">
        <v>28.32</v>
      </c>
      <c r="C19" s="244">
        <v>63.758000000000003</v>
      </c>
      <c r="D19" s="244">
        <v>19.802</v>
      </c>
      <c r="E19" s="244">
        <v>67.441000000000003</v>
      </c>
      <c r="F19" s="244">
        <v>260.90699999999998</v>
      </c>
      <c r="G19" s="244">
        <v>21.213999999999999</v>
      </c>
      <c r="H19" s="244">
        <v>13.013</v>
      </c>
      <c r="I19" s="244">
        <v>875.36699999999996</v>
      </c>
      <c r="J19" s="244">
        <v>3.7069999999999999</v>
      </c>
      <c r="K19" s="244">
        <v>52.683999999999997</v>
      </c>
      <c r="L19" s="244">
        <v>2.6160000000000001</v>
      </c>
      <c r="M19" s="244">
        <v>60.92</v>
      </c>
      <c r="N19" s="245">
        <v>1E-3</v>
      </c>
      <c r="O19" s="244">
        <v>28.475999999999999</v>
      </c>
      <c r="P19" s="244">
        <v>28.472000000000001</v>
      </c>
      <c r="Q19" s="244">
        <v>3.3000000000000002E-2</v>
      </c>
      <c r="R19" s="244">
        <v>91.292000000000002</v>
      </c>
      <c r="S19" s="244">
        <v>10.334</v>
      </c>
      <c r="T19" s="244">
        <v>58.363999999999997</v>
      </c>
      <c r="U19" s="244">
        <v>163.303</v>
      </c>
      <c r="V19" s="244">
        <v>243.35499999999999</v>
      </c>
      <c r="W19" s="244">
        <v>0.158</v>
      </c>
      <c r="X19" s="244">
        <v>99.998999999999995</v>
      </c>
      <c r="Y19" s="244">
        <v>0.127</v>
      </c>
      <c r="Z19" s="244">
        <v>26.692</v>
      </c>
      <c r="AA19" s="244">
        <v>8.0749999999999993</v>
      </c>
      <c r="AB19" s="244">
        <v>69.861999999999995</v>
      </c>
      <c r="AC19" s="121" t="s">
        <v>145</v>
      </c>
    </row>
    <row r="20" spans="1:29" ht="15" customHeight="1" x14ac:dyDescent="0.2">
      <c r="A20" s="117" t="s">
        <v>146</v>
      </c>
      <c r="B20" s="246">
        <v>37.872</v>
      </c>
      <c r="C20" s="246">
        <v>11.255000000000001</v>
      </c>
      <c r="D20" s="246">
        <v>27.669</v>
      </c>
      <c r="E20" s="246">
        <v>68.697999999999993</v>
      </c>
      <c r="F20" s="246">
        <v>282.68900000000002</v>
      </c>
      <c r="G20" s="246">
        <v>104.86199999999999</v>
      </c>
      <c r="H20" s="246">
        <v>67.298000000000002</v>
      </c>
      <c r="I20" s="246">
        <v>79.322000000000003</v>
      </c>
      <c r="J20" s="246">
        <v>116.76900000000001</v>
      </c>
      <c r="K20" s="246">
        <v>67.540000000000006</v>
      </c>
      <c r="L20" s="246">
        <v>20.826000000000001</v>
      </c>
      <c r="M20" s="246">
        <v>136.339</v>
      </c>
      <c r="N20" s="246">
        <v>28.21</v>
      </c>
      <c r="O20" s="245">
        <v>7.5999999999999998E-2</v>
      </c>
      <c r="P20" s="246">
        <v>86.119</v>
      </c>
      <c r="Q20" s="246"/>
      <c r="R20" s="246">
        <v>12.275</v>
      </c>
      <c r="S20" s="246">
        <v>17.838000000000001</v>
      </c>
      <c r="T20" s="246">
        <v>103.83499999999999</v>
      </c>
      <c r="U20" s="246">
        <v>49.2</v>
      </c>
      <c r="V20" s="246">
        <v>41.756999999999998</v>
      </c>
      <c r="W20" s="246">
        <v>17.803000000000001</v>
      </c>
      <c r="X20" s="246"/>
      <c r="Y20" s="246">
        <v>0.23300000000000001</v>
      </c>
      <c r="Z20" s="246">
        <v>0.19700000000000001</v>
      </c>
      <c r="AA20" s="246">
        <v>87.715000000000003</v>
      </c>
      <c r="AB20" s="246">
        <v>83.805000000000007</v>
      </c>
      <c r="AC20" s="121" t="s">
        <v>146</v>
      </c>
    </row>
    <row r="21" spans="1:29" ht="15" customHeight="1" x14ac:dyDescent="0.2">
      <c r="A21" s="117" t="s">
        <v>147</v>
      </c>
      <c r="B21" s="244">
        <v>33.396000000000001</v>
      </c>
      <c r="C21" s="244">
        <v>20.3</v>
      </c>
      <c r="D21" s="244">
        <v>0.11899999999999999</v>
      </c>
      <c r="E21" s="244">
        <v>139.072</v>
      </c>
      <c r="F21" s="244">
        <v>225.99</v>
      </c>
      <c r="G21" s="244">
        <v>10.87</v>
      </c>
      <c r="H21" s="244">
        <v>112.875</v>
      </c>
      <c r="I21" s="244">
        <v>133.45599999999999</v>
      </c>
      <c r="J21" s="244">
        <v>101.92</v>
      </c>
      <c r="K21" s="244">
        <v>59.341000000000001</v>
      </c>
      <c r="L21" s="244">
        <v>3.581</v>
      </c>
      <c r="M21" s="244">
        <v>135.1</v>
      </c>
      <c r="N21" s="244">
        <v>27.998000000000001</v>
      </c>
      <c r="O21" s="244">
        <v>86.02</v>
      </c>
      <c r="P21" s="245">
        <v>0.11700000000000001</v>
      </c>
      <c r="Q21" s="244"/>
      <c r="R21" s="244">
        <v>4.5</v>
      </c>
      <c r="S21" s="244">
        <v>18.157</v>
      </c>
      <c r="T21" s="244">
        <v>71.665999999999997</v>
      </c>
      <c r="U21" s="244">
        <v>21.478000000000002</v>
      </c>
      <c r="V21" s="244">
        <v>88.69</v>
      </c>
      <c r="W21" s="244">
        <v>19.414000000000001</v>
      </c>
      <c r="X21" s="244">
        <v>3.5999999999999997E-2</v>
      </c>
      <c r="Y21" s="244">
        <v>0.6</v>
      </c>
      <c r="Z21" s="244">
        <v>4.2000000000000003E-2</v>
      </c>
      <c r="AA21" s="244">
        <v>25.756</v>
      </c>
      <c r="AB21" s="244">
        <v>59.838999999999999</v>
      </c>
      <c r="AC21" s="121" t="s">
        <v>147</v>
      </c>
    </row>
    <row r="22" spans="1:29" ht="15" customHeight="1" x14ac:dyDescent="0.2">
      <c r="A22" s="117" t="s">
        <v>159</v>
      </c>
      <c r="B22" s="246">
        <v>0.67900000000000005</v>
      </c>
      <c r="C22" s="246">
        <v>15.194000000000001</v>
      </c>
      <c r="D22" s="246">
        <v>3.0000000000000001E-3</v>
      </c>
      <c r="E22" s="246">
        <v>13.196</v>
      </c>
      <c r="F22" s="246">
        <v>140.476</v>
      </c>
      <c r="G22" s="246"/>
      <c r="H22" s="246">
        <v>17.774999999999999</v>
      </c>
      <c r="I22" s="246">
        <v>98.516999999999996</v>
      </c>
      <c r="J22" s="246">
        <v>397.428</v>
      </c>
      <c r="K22" s="246">
        <v>191.62700000000001</v>
      </c>
      <c r="L22" s="246">
        <v>6.4390000000000001</v>
      </c>
      <c r="M22" s="246">
        <v>175.65299999999999</v>
      </c>
      <c r="N22" s="246">
        <v>1.2E-2</v>
      </c>
      <c r="O22" s="246">
        <v>1.4E-2</v>
      </c>
      <c r="P22" s="194"/>
      <c r="Q22" s="245">
        <v>0.61799999999999999</v>
      </c>
      <c r="R22" s="246">
        <v>10.368</v>
      </c>
      <c r="S22" s="246">
        <v>24.599</v>
      </c>
      <c r="T22" s="246">
        <v>95.730999999999995</v>
      </c>
      <c r="U22" s="246">
        <v>40.68</v>
      </c>
      <c r="V22" s="246">
        <v>12.96</v>
      </c>
      <c r="W22" s="246">
        <v>503.584</v>
      </c>
      <c r="X22" s="246">
        <v>9.6470000000000002</v>
      </c>
      <c r="Y22" s="246">
        <v>5.8999999999999997E-2</v>
      </c>
      <c r="Z22" s="246">
        <v>0.113</v>
      </c>
      <c r="AA22" s="246">
        <v>0.27500000000000002</v>
      </c>
      <c r="AB22" s="246">
        <v>10.528</v>
      </c>
      <c r="AC22" s="121" t="s">
        <v>159</v>
      </c>
    </row>
    <row r="23" spans="1:29" ht="15" customHeight="1" x14ac:dyDescent="0.2">
      <c r="A23" s="117" t="s">
        <v>149</v>
      </c>
      <c r="B23" s="244">
        <v>129.99700000000001</v>
      </c>
      <c r="C23" s="244">
        <v>29.14</v>
      </c>
      <c r="D23" s="244">
        <v>36.621000000000002</v>
      </c>
      <c r="E23" s="244">
        <v>100.646</v>
      </c>
      <c r="F23" s="244">
        <v>515.61699999999996</v>
      </c>
      <c r="G23" s="244"/>
      <c r="H23" s="244">
        <v>93.602000000000004</v>
      </c>
      <c r="I23" s="244">
        <v>281.16800000000001</v>
      </c>
      <c r="J23" s="244">
        <v>361.67500000000001</v>
      </c>
      <c r="K23" s="244">
        <v>277.11099999999999</v>
      </c>
      <c r="L23" s="244">
        <v>7.7629999999999999</v>
      </c>
      <c r="M23" s="244">
        <v>420.80700000000002</v>
      </c>
      <c r="N23" s="244">
        <v>91.128</v>
      </c>
      <c r="O23" s="244">
        <v>12.403</v>
      </c>
      <c r="P23" s="244">
        <v>4.5220000000000002</v>
      </c>
      <c r="Q23" s="244">
        <v>10.738</v>
      </c>
      <c r="R23" s="245">
        <v>2.1709999999999998</v>
      </c>
      <c r="S23" s="244">
        <v>46.286999999999999</v>
      </c>
      <c r="T23" s="244">
        <v>339</v>
      </c>
      <c r="U23" s="244">
        <v>6.43</v>
      </c>
      <c r="V23" s="244">
        <v>88.799000000000007</v>
      </c>
      <c r="W23" s="244">
        <v>88.593999999999994</v>
      </c>
      <c r="X23" s="244">
        <v>27.314</v>
      </c>
      <c r="Y23" s="244">
        <v>1.7000000000000001E-2</v>
      </c>
      <c r="Z23" s="244">
        <v>0.217</v>
      </c>
      <c r="AA23" s="244">
        <v>38.241999999999997</v>
      </c>
      <c r="AB23" s="244">
        <v>96.037999999999997</v>
      </c>
      <c r="AC23" s="121" t="s">
        <v>149</v>
      </c>
    </row>
    <row r="24" spans="1:29" ht="15" customHeight="1" x14ac:dyDescent="0.2">
      <c r="A24" s="117" t="s">
        <v>150</v>
      </c>
      <c r="B24" s="246">
        <v>83.572000000000003</v>
      </c>
      <c r="C24" s="246">
        <v>26.869</v>
      </c>
      <c r="D24" s="246">
        <v>15.244</v>
      </c>
      <c r="E24" s="246">
        <v>32.252000000000002</v>
      </c>
      <c r="F24" s="246">
        <v>309.41899999999998</v>
      </c>
      <c r="G24" s="246">
        <v>2.5840000000000001</v>
      </c>
      <c r="H24" s="246">
        <v>33.286999999999999</v>
      </c>
      <c r="I24" s="246">
        <v>52.152999999999999</v>
      </c>
      <c r="J24" s="246">
        <v>124.193</v>
      </c>
      <c r="K24" s="246">
        <v>240.19399999999999</v>
      </c>
      <c r="L24" s="246">
        <v>2.1829999999999998</v>
      </c>
      <c r="M24" s="246">
        <v>490.82</v>
      </c>
      <c r="N24" s="246">
        <v>6.0490000000000004</v>
      </c>
      <c r="O24" s="246">
        <v>17.709</v>
      </c>
      <c r="P24" s="246">
        <v>18.129000000000001</v>
      </c>
      <c r="Q24" s="246">
        <v>24.617000000000001</v>
      </c>
      <c r="R24" s="246">
        <v>46.024999999999999</v>
      </c>
      <c r="S24" s="245"/>
      <c r="T24" s="246">
        <v>54.468000000000004</v>
      </c>
      <c r="U24" s="246">
        <v>68.316999999999993</v>
      </c>
      <c r="V24" s="246">
        <v>146.00200000000001</v>
      </c>
      <c r="W24" s="246">
        <v>39.488</v>
      </c>
      <c r="X24" s="246">
        <v>19.434000000000001</v>
      </c>
      <c r="Y24" s="246">
        <v>0.81699999999999995</v>
      </c>
      <c r="Z24" s="246">
        <v>12.295999999999999</v>
      </c>
      <c r="AA24" s="246">
        <v>3.5000000000000003E-2</v>
      </c>
      <c r="AB24" s="246">
        <v>7.4340000000000002</v>
      </c>
      <c r="AC24" s="121" t="s">
        <v>150</v>
      </c>
    </row>
    <row r="25" spans="1:29" ht="15" customHeight="1" x14ac:dyDescent="0.2">
      <c r="A25" s="117" t="s">
        <v>160</v>
      </c>
      <c r="B25" s="244">
        <v>138.91900000000001</v>
      </c>
      <c r="C25" s="244">
        <v>241.35499999999999</v>
      </c>
      <c r="D25" s="244">
        <v>269.53399999999999</v>
      </c>
      <c r="E25" s="244">
        <v>637.44799999999998</v>
      </c>
      <c r="F25" s="244">
        <v>1360.191</v>
      </c>
      <c r="G25" s="244">
        <v>40.689</v>
      </c>
      <c r="H25" s="244">
        <v>446.45400000000001</v>
      </c>
      <c r="I25" s="244">
        <v>1473.202</v>
      </c>
      <c r="J25" s="244">
        <v>4607.1710000000003</v>
      </c>
      <c r="K25" s="244">
        <v>1532.6759999999999</v>
      </c>
      <c r="L25" s="244">
        <v>432.59100000000001</v>
      </c>
      <c r="M25" s="244">
        <v>2098.8229999999999</v>
      </c>
      <c r="N25" s="244">
        <v>59.164999999999999</v>
      </c>
      <c r="O25" s="244">
        <v>103.94799999999999</v>
      </c>
      <c r="P25" s="244">
        <v>71.453000000000003</v>
      </c>
      <c r="Q25" s="244">
        <v>96.1</v>
      </c>
      <c r="R25" s="244">
        <v>339.64299999999997</v>
      </c>
      <c r="S25" s="244">
        <v>54.808</v>
      </c>
      <c r="T25" s="245">
        <v>2.31</v>
      </c>
      <c r="U25" s="244">
        <v>390.77800000000002</v>
      </c>
      <c r="V25" s="244">
        <v>754.49800000000005</v>
      </c>
      <c r="W25" s="244">
        <v>1162.027</v>
      </c>
      <c r="X25" s="244">
        <v>384.24400000000003</v>
      </c>
      <c r="Y25" s="244">
        <v>22.419</v>
      </c>
      <c r="Z25" s="244">
        <v>3.9980000000000002</v>
      </c>
      <c r="AA25" s="244">
        <v>234.24700000000001</v>
      </c>
      <c r="AB25" s="244">
        <v>528.86599999999999</v>
      </c>
      <c r="AC25" s="121" t="s">
        <v>160</v>
      </c>
    </row>
    <row r="26" spans="1:29" ht="15" customHeight="1" x14ac:dyDescent="0.2">
      <c r="A26" s="117" t="s">
        <v>122</v>
      </c>
      <c r="B26" s="246">
        <v>192.196</v>
      </c>
      <c r="C26" s="246">
        <v>227.84299999999999</v>
      </c>
      <c r="D26" s="246">
        <v>35.93</v>
      </c>
      <c r="E26" s="246">
        <v>143.108</v>
      </c>
      <c r="F26" s="246">
        <v>1742.7560000000001</v>
      </c>
      <c r="G26" s="246">
        <v>26.192</v>
      </c>
      <c r="H26" s="246">
        <v>49.625999999999998</v>
      </c>
      <c r="I26" s="246">
        <v>968.85699999999997</v>
      </c>
      <c r="J26" s="246">
        <v>1006.306</v>
      </c>
      <c r="K26" s="246">
        <v>427.84800000000001</v>
      </c>
      <c r="L26" s="246">
        <v>154.816</v>
      </c>
      <c r="M26" s="246">
        <v>731.62</v>
      </c>
      <c r="N26" s="246">
        <v>163.268</v>
      </c>
      <c r="O26" s="246">
        <v>49.290999999999997</v>
      </c>
      <c r="P26" s="246">
        <v>21.463999999999999</v>
      </c>
      <c r="Q26" s="246">
        <v>40.906999999999996</v>
      </c>
      <c r="R26" s="246">
        <v>6.5410000000000004</v>
      </c>
      <c r="S26" s="246">
        <v>68.869</v>
      </c>
      <c r="T26" s="246">
        <v>391.12099999999998</v>
      </c>
      <c r="U26" s="245">
        <v>114.309</v>
      </c>
      <c r="V26" s="246">
        <v>130.40100000000001</v>
      </c>
      <c r="W26" s="246">
        <v>210.4</v>
      </c>
      <c r="X26" s="246">
        <v>246.148</v>
      </c>
      <c r="Y26" s="246">
        <v>8.0000000000000002E-3</v>
      </c>
      <c r="Z26" s="246">
        <v>22.22</v>
      </c>
      <c r="AA26" s="246">
        <v>46.951999999999998</v>
      </c>
      <c r="AB26" s="246">
        <v>138.96100000000001</v>
      </c>
      <c r="AC26" s="121" t="s">
        <v>122</v>
      </c>
    </row>
    <row r="27" spans="1:29" ht="15" customHeight="1" x14ac:dyDescent="0.2">
      <c r="A27" s="117" t="s">
        <v>152</v>
      </c>
      <c r="B27" s="244">
        <v>207.90700000000001</v>
      </c>
      <c r="C27" s="244">
        <v>378.48200000000003</v>
      </c>
      <c r="D27" s="244">
        <v>83.31</v>
      </c>
      <c r="E27" s="244">
        <v>263.08800000000002</v>
      </c>
      <c r="F27" s="244">
        <v>1371.133</v>
      </c>
      <c r="G27" s="244">
        <v>59.652999999999999</v>
      </c>
      <c r="H27" s="244">
        <v>491.34699999999998</v>
      </c>
      <c r="I27" s="244">
        <v>1492.278</v>
      </c>
      <c r="J27" s="244">
        <v>1307.662</v>
      </c>
      <c r="K27" s="244">
        <v>626.29899999999998</v>
      </c>
      <c r="L27" s="244">
        <v>222.19499999999999</v>
      </c>
      <c r="M27" s="244">
        <v>1222.837</v>
      </c>
      <c r="N27" s="244">
        <v>242.767</v>
      </c>
      <c r="O27" s="244">
        <v>41.747</v>
      </c>
      <c r="P27" s="244">
        <v>88.52</v>
      </c>
      <c r="Q27" s="244">
        <v>13.21</v>
      </c>
      <c r="R27" s="244">
        <v>88.641999999999996</v>
      </c>
      <c r="S27" s="244">
        <v>147.12299999999999</v>
      </c>
      <c r="T27" s="244">
        <v>755.54399999999998</v>
      </c>
      <c r="U27" s="244">
        <v>130.47300000000001</v>
      </c>
      <c r="V27" s="245">
        <v>740.49</v>
      </c>
      <c r="W27" s="244">
        <v>283.154</v>
      </c>
      <c r="X27" s="244">
        <v>69.575000000000003</v>
      </c>
      <c r="Y27" s="244">
        <v>20.504999999999999</v>
      </c>
      <c r="Z27" s="244">
        <v>1.607</v>
      </c>
      <c r="AA27" s="244">
        <v>79.481999999999999</v>
      </c>
      <c r="AB27" s="244">
        <v>532.36300000000006</v>
      </c>
      <c r="AC27" s="121" t="s">
        <v>152</v>
      </c>
    </row>
    <row r="28" spans="1:29" ht="15" customHeight="1" x14ac:dyDescent="0.2">
      <c r="A28" s="117" t="s">
        <v>153</v>
      </c>
      <c r="B28" s="246">
        <v>808.19100000000003</v>
      </c>
      <c r="C28" s="246">
        <v>12.486000000000001</v>
      </c>
      <c r="D28" s="246">
        <v>76.385999999999996</v>
      </c>
      <c r="E28" s="246">
        <v>169.566</v>
      </c>
      <c r="F28" s="246">
        <v>2054.181</v>
      </c>
      <c r="G28" s="246">
        <v>0.98</v>
      </c>
      <c r="H28" s="246">
        <v>440.18400000000003</v>
      </c>
      <c r="I28" s="246">
        <v>30.811</v>
      </c>
      <c r="J28" s="246">
        <v>1904.4680000000001</v>
      </c>
      <c r="K28" s="246">
        <v>3788.3539999999998</v>
      </c>
      <c r="L28" s="246">
        <v>14.93</v>
      </c>
      <c r="M28" s="246">
        <v>917.16300000000001</v>
      </c>
      <c r="N28" s="246">
        <v>0.17199999999999999</v>
      </c>
      <c r="O28" s="246">
        <v>17.826000000000001</v>
      </c>
      <c r="P28" s="246">
        <v>18.870999999999999</v>
      </c>
      <c r="Q28" s="246">
        <v>510.71300000000002</v>
      </c>
      <c r="R28" s="246">
        <v>88.989000000000004</v>
      </c>
      <c r="S28" s="246">
        <v>39.920999999999999</v>
      </c>
      <c r="T28" s="246">
        <v>1163.345</v>
      </c>
      <c r="U28" s="246">
        <v>210.63900000000001</v>
      </c>
      <c r="V28" s="246">
        <v>283.19400000000002</v>
      </c>
      <c r="W28" s="245">
        <v>3123.826</v>
      </c>
      <c r="X28" s="246">
        <v>47.640999999999998</v>
      </c>
      <c r="Y28" s="246">
        <v>2.1549999999999998</v>
      </c>
      <c r="Z28" s="246">
        <v>8.5000000000000006E-2</v>
      </c>
      <c r="AA28" s="246">
        <v>33.597999999999999</v>
      </c>
      <c r="AB28" s="246">
        <v>105.676</v>
      </c>
      <c r="AC28" s="121" t="s">
        <v>153</v>
      </c>
    </row>
    <row r="29" spans="1:29" ht="15" customHeight="1" x14ac:dyDescent="0.2">
      <c r="A29" s="117" t="s">
        <v>154</v>
      </c>
      <c r="B29" s="244">
        <v>298.565</v>
      </c>
      <c r="C29" s="244">
        <v>18.202000000000002</v>
      </c>
      <c r="D29" s="244">
        <v>26.445</v>
      </c>
      <c r="E29" s="244">
        <v>123.039</v>
      </c>
      <c r="F29" s="244">
        <v>1183.1569999999999</v>
      </c>
      <c r="G29" s="244" t="s">
        <v>285</v>
      </c>
      <c r="H29" s="244">
        <v>171.32</v>
      </c>
      <c r="I29" s="244">
        <v>423.99099999999999</v>
      </c>
      <c r="J29" s="244">
        <v>1009.676</v>
      </c>
      <c r="K29" s="244">
        <v>589.726</v>
      </c>
      <c r="L29" s="244">
        <v>10.34</v>
      </c>
      <c r="M29" s="244">
        <v>1707.125</v>
      </c>
      <c r="N29" s="244">
        <v>103.01</v>
      </c>
      <c r="O29" s="244" t="s">
        <v>285</v>
      </c>
      <c r="P29" s="244">
        <v>0.02</v>
      </c>
      <c r="Q29" s="244">
        <v>9.1449999999999996</v>
      </c>
      <c r="R29" s="244">
        <v>27.024000000000001</v>
      </c>
      <c r="S29" s="244">
        <v>19.798999999999999</v>
      </c>
      <c r="T29" s="244">
        <v>384.96100000000001</v>
      </c>
      <c r="U29" s="244">
        <v>246.65899999999999</v>
      </c>
      <c r="V29" s="244">
        <v>70.463999999999999</v>
      </c>
      <c r="W29" s="244">
        <v>46.838999999999999</v>
      </c>
      <c r="X29" s="245">
        <v>678.29700000000003</v>
      </c>
      <c r="Y29" s="244">
        <v>4.0000000000000001E-3</v>
      </c>
      <c r="Z29" s="244">
        <v>0.17499999999999999</v>
      </c>
      <c r="AA29" s="244">
        <v>19.231999999999999</v>
      </c>
      <c r="AB29" s="244">
        <v>96.308000000000007</v>
      </c>
      <c r="AC29" s="121" t="s">
        <v>154</v>
      </c>
    </row>
    <row r="30" spans="1:29" ht="15" customHeight="1" x14ac:dyDescent="0.2">
      <c r="A30" s="117" t="s">
        <v>155</v>
      </c>
      <c r="B30" s="246">
        <v>35.481999999999999</v>
      </c>
      <c r="C30" s="246">
        <v>2.3E-2</v>
      </c>
      <c r="D30" s="246">
        <v>0.22900000000000001</v>
      </c>
      <c r="E30" s="246">
        <v>5.5E-2</v>
      </c>
      <c r="F30" s="246">
        <v>77.067999999999998</v>
      </c>
      <c r="G30" s="246">
        <v>0.13300000000000001</v>
      </c>
      <c r="H30" s="246" t="s">
        <v>285</v>
      </c>
      <c r="I30" s="246">
        <v>44.988</v>
      </c>
      <c r="J30" s="246">
        <v>5.3879999999999999</v>
      </c>
      <c r="K30" s="246">
        <v>35.448</v>
      </c>
      <c r="L30" s="246">
        <v>2.3530000000000002</v>
      </c>
      <c r="M30" s="246">
        <v>0.35599999999999998</v>
      </c>
      <c r="N30" s="246">
        <v>0.11700000000000001</v>
      </c>
      <c r="O30" s="246">
        <v>0.12</v>
      </c>
      <c r="P30" s="239">
        <v>0.36499999999999999</v>
      </c>
      <c r="Q30" s="239">
        <v>4.2000000000000003E-2</v>
      </c>
      <c r="R30" s="246">
        <v>5.7000000000000002E-2</v>
      </c>
      <c r="S30" s="246">
        <v>0.50900000000000001</v>
      </c>
      <c r="T30" s="246">
        <v>22.626000000000001</v>
      </c>
      <c r="U30" s="246">
        <v>6.2E-2</v>
      </c>
      <c r="V30" s="246">
        <v>20.719000000000001</v>
      </c>
      <c r="W30" s="246">
        <v>1.8009999999999999</v>
      </c>
      <c r="X30" s="246"/>
      <c r="Y30" s="245"/>
      <c r="Z30" s="246">
        <v>0.40300000000000002</v>
      </c>
      <c r="AA30" s="246">
        <v>1.2090000000000001</v>
      </c>
      <c r="AB30" s="246"/>
      <c r="AC30" s="121" t="s">
        <v>155</v>
      </c>
    </row>
    <row r="31" spans="1:29" ht="15" customHeight="1" x14ac:dyDescent="0.2">
      <c r="A31" s="117" t="s">
        <v>156</v>
      </c>
      <c r="B31" s="244">
        <v>16.667999999999999</v>
      </c>
      <c r="C31" s="244">
        <v>25.797000000000001</v>
      </c>
      <c r="D31" s="244">
        <v>25.170999999999999</v>
      </c>
      <c r="E31" s="244">
        <v>4.782</v>
      </c>
      <c r="F31" s="244">
        <v>0.4</v>
      </c>
      <c r="G31" s="244">
        <v>7.8E-2</v>
      </c>
      <c r="H31" s="244">
        <v>33.642000000000003</v>
      </c>
      <c r="I31" s="244">
        <v>96.201999999999998</v>
      </c>
      <c r="J31" s="244">
        <v>33.831000000000003</v>
      </c>
      <c r="K31" s="244">
        <v>0.437</v>
      </c>
      <c r="L31" s="244">
        <v>5.5629999999999997</v>
      </c>
      <c r="M31" s="244">
        <v>46.125</v>
      </c>
      <c r="N31" s="244">
        <v>26.337</v>
      </c>
      <c r="O31" s="244">
        <v>0.20899999999999999</v>
      </c>
      <c r="P31" s="244">
        <v>1.6E-2</v>
      </c>
      <c r="Q31" s="244">
        <v>0.151</v>
      </c>
      <c r="R31" s="244">
        <v>0.27600000000000002</v>
      </c>
      <c r="S31" s="244">
        <v>12.307</v>
      </c>
      <c r="T31" s="244">
        <v>3.9969999999999999</v>
      </c>
      <c r="U31" s="244">
        <v>21.867999999999999</v>
      </c>
      <c r="V31" s="244">
        <v>1.909</v>
      </c>
      <c r="W31" s="244">
        <v>1.2999999999999999E-2</v>
      </c>
      <c r="X31" s="244">
        <v>0.27900000000000003</v>
      </c>
      <c r="Y31" s="244">
        <v>0.26100000000000001</v>
      </c>
      <c r="Z31" s="245">
        <v>0.93899999999999995</v>
      </c>
      <c r="AA31" s="244">
        <v>6.0999999999999999E-2</v>
      </c>
      <c r="AB31" s="244">
        <v>6.0880000000000001</v>
      </c>
      <c r="AC31" s="121" t="s">
        <v>156</v>
      </c>
    </row>
    <row r="32" spans="1:29" ht="15" customHeight="1" x14ac:dyDescent="0.2">
      <c r="A32" s="117" t="s">
        <v>157</v>
      </c>
      <c r="B32" s="246">
        <v>54.113999999999997</v>
      </c>
      <c r="C32" s="246">
        <v>3.3279999999999998</v>
      </c>
      <c r="D32" s="246">
        <v>29.567</v>
      </c>
      <c r="E32" s="246">
        <v>162.286</v>
      </c>
      <c r="F32" s="246">
        <v>530.49099999999999</v>
      </c>
      <c r="G32" s="246">
        <v>105.524</v>
      </c>
      <c r="H32" s="246">
        <v>27.757000000000001</v>
      </c>
      <c r="I32" s="246">
        <v>110.946</v>
      </c>
      <c r="J32" s="246">
        <v>370.97500000000002</v>
      </c>
      <c r="K32" s="246">
        <v>167.49600000000001</v>
      </c>
      <c r="L32" s="246">
        <v>14.298999999999999</v>
      </c>
      <c r="M32" s="246">
        <v>101.66200000000001</v>
      </c>
      <c r="N32" s="246">
        <v>8.1170000000000009</v>
      </c>
      <c r="O32" s="246">
        <v>87.921999999999997</v>
      </c>
      <c r="P32" s="246">
        <v>25.981000000000002</v>
      </c>
      <c r="Q32" s="246">
        <v>0.30399999999999999</v>
      </c>
      <c r="R32" s="246">
        <v>35.103000000000002</v>
      </c>
      <c r="S32" s="246">
        <v>3.1E-2</v>
      </c>
      <c r="T32" s="246">
        <v>234.208</v>
      </c>
      <c r="U32" s="246">
        <v>45.334000000000003</v>
      </c>
      <c r="V32" s="246">
        <v>81.435000000000002</v>
      </c>
      <c r="W32" s="246">
        <v>33.713000000000001</v>
      </c>
      <c r="X32" s="246">
        <v>19.012</v>
      </c>
      <c r="Y32" s="246">
        <v>1.2290000000000001</v>
      </c>
      <c r="Z32" s="246">
        <v>0.20799999999999999</v>
      </c>
      <c r="AA32" s="245">
        <v>868.33199999999999</v>
      </c>
      <c r="AB32" s="246">
        <v>331.14800000000002</v>
      </c>
      <c r="AC32" s="121" t="s">
        <v>157</v>
      </c>
    </row>
    <row r="33" spans="1:29" s="176" customFormat="1" ht="15" customHeight="1" x14ac:dyDescent="0.2">
      <c r="A33" s="683" t="s">
        <v>158</v>
      </c>
      <c r="B33" s="684">
        <v>149.298</v>
      </c>
      <c r="C33" s="684">
        <v>3.774</v>
      </c>
      <c r="D33" s="684">
        <v>59.384999999999998</v>
      </c>
      <c r="E33" s="684">
        <v>418.95800000000003</v>
      </c>
      <c r="F33" s="684">
        <v>955.75400000000002</v>
      </c>
      <c r="G33" s="684">
        <v>81.733000000000004</v>
      </c>
      <c r="H33" s="684">
        <v>49.703000000000003</v>
      </c>
      <c r="I33" s="684">
        <v>399.18799999999999</v>
      </c>
      <c r="J33" s="684">
        <v>1316.7</v>
      </c>
      <c r="K33" s="684">
        <v>424.01</v>
      </c>
      <c r="L33" s="684">
        <v>123.06</v>
      </c>
      <c r="M33" s="684">
        <v>178.815</v>
      </c>
      <c r="N33" s="684">
        <v>69.209000000000003</v>
      </c>
      <c r="O33" s="684">
        <v>83.855000000000004</v>
      </c>
      <c r="P33" s="684">
        <v>60.210999999999999</v>
      </c>
      <c r="Q33" s="684">
        <v>10.452999999999999</v>
      </c>
      <c r="R33" s="684">
        <v>96.11</v>
      </c>
      <c r="S33" s="684">
        <v>7.5650000000000004</v>
      </c>
      <c r="T33" s="684">
        <v>529.69399999999996</v>
      </c>
      <c r="U33" s="684">
        <v>138.714</v>
      </c>
      <c r="V33" s="684">
        <v>532.40499999999997</v>
      </c>
      <c r="W33" s="684">
        <v>105.611</v>
      </c>
      <c r="X33" s="684">
        <v>95.99</v>
      </c>
      <c r="Y33" s="684">
        <v>0.215</v>
      </c>
      <c r="Z33" s="684">
        <v>6.085</v>
      </c>
      <c r="AA33" s="684">
        <v>330.42399999999998</v>
      </c>
      <c r="AB33" s="685">
        <v>2212.3359999999998</v>
      </c>
      <c r="AC33" s="686" t="s">
        <v>158</v>
      </c>
    </row>
    <row r="34" spans="1:29" ht="12" customHeight="1" x14ac:dyDescent="0.2">
      <c r="A34" s="19" t="s">
        <v>662</v>
      </c>
    </row>
    <row r="35" spans="1:29" x14ac:dyDescent="0.2">
      <c r="A35" s="715" t="s">
        <v>301</v>
      </c>
      <c r="B35" s="3"/>
      <c r="C35" s="716"/>
      <c r="D35" s="716"/>
      <c r="E35" s="716"/>
      <c r="F35" s="716"/>
      <c r="G35" s="716"/>
      <c r="H35" s="716"/>
      <c r="I35" s="716"/>
      <c r="J35" s="716"/>
      <c r="K35" s="716"/>
    </row>
    <row r="36" spans="1:29" ht="11.25" customHeight="1" x14ac:dyDescent="0.2"/>
  </sheetData>
  <mergeCells count="3">
    <mergeCell ref="A2:AC2"/>
    <mergeCell ref="A3:AC3"/>
    <mergeCell ref="A4:AC4"/>
  </mergeCells>
  <phoneticPr fontId="6" type="noConversion"/>
  <printOptions horizontalCentered="1" verticalCentered="1"/>
  <pageMargins left="0.47244094488188981" right="0.47244094488188981" top="0.39370078740157483" bottom="0.39370078740157483" header="0" footer="0"/>
  <pageSetup paperSize="9" scale="60"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8"/>
  <dimension ref="A1:Y64"/>
  <sheetViews>
    <sheetView workbookViewId="0">
      <selection activeCell="S29" sqref="S29"/>
    </sheetView>
  </sheetViews>
  <sheetFormatPr defaultRowHeight="12.75" x14ac:dyDescent="0.2"/>
  <cols>
    <col min="7" max="7" width="9.140625" style="322"/>
    <col min="8" max="8" width="9.140625" style="399"/>
    <col min="9" max="9" width="9.140625" style="428"/>
    <col min="10" max="10" width="9.140625" style="457"/>
    <col min="11" max="11" width="9.140625" style="644"/>
    <col min="13" max="13" width="9.140625" style="725"/>
    <col min="14" max="14" width="9.140625" style="796"/>
    <col min="15" max="15" width="9.140625" style="867"/>
  </cols>
  <sheetData>
    <row r="1" spans="1:21" ht="15.75" x14ac:dyDescent="0.2">
      <c r="B1" s="230"/>
      <c r="C1" s="230"/>
      <c r="D1" s="230"/>
      <c r="E1" s="230"/>
      <c r="K1" s="35"/>
      <c r="O1" s="35" t="s">
        <v>336</v>
      </c>
    </row>
    <row r="2" spans="1:21" ht="15.75" customHeight="1" x14ac:dyDescent="0.25">
      <c r="B2" s="1154" t="s">
        <v>398</v>
      </c>
      <c r="C2" s="1154"/>
      <c r="D2" s="1154"/>
      <c r="E2" s="1154"/>
      <c r="F2" s="1154"/>
      <c r="G2" s="1154"/>
      <c r="H2" s="1154"/>
      <c r="I2" s="1154"/>
      <c r="J2" s="1154"/>
      <c r="K2" s="1154"/>
      <c r="L2" s="1154"/>
      <c r="M2" s="1154"/>
      <c r="N2" s="1154"/>
      <c r="O2" s="868"/>
    </row>
    <row r="3" spans="1:21" ht="15.75" customHeight="1" x14ac:dyDescent="0.25">
      <c r="B3" s="1154"/>
      <c r="C3" s="1154"/>
      <c r="D3" s="1154"/>
      <c r="E3" s="1154"/>
      <c r="F3" s="1154"/>
      <c r="G3" s="1154"/>
      <c r="H3" s="1154"/>
      <c r="I3" s="1154"/>
      <c r="J3" s="1154"/>
      <c r="K3" s="1154"/>
      <c r="L3" s="1154"/>
      <c r="M3" s="1154"/>
      <c r="N3" s="1154"/>
      <c r="O3" s="868"/>
    </row>
    <row r="4" spans="1:21" ht="25.5" customHeight="1" x14ac:dyDescent="0.25">
      <c r="B4" s="1154"/>
      <c r="C4" s="1154"/>
      <c r="D4" s="1154"/>
      <c r="E4" s="1154"/>
      <c r="F4" s="1154"/>
      <c r="G4" s="1154"/>
      <c r="H4" s="1154"/>
      <c r="I4" s="1154"/>
      <c r="J4" s="1154"/>
      <c r="K4" s="1154"/>
      <c r="L4" s="1154"/>
      <c r="M4" s="1154"/>
      <c r="N4" s="1154"/>
      <c r="O4" s="1032"/>
      <c r="Q4" s="656"/>
    </row>
    <row r="5" spans="1:21" ht="15" x14ac:dyDescent="0.2">
      <c r="B5" s="230"/>
      <c r="C5" s="234"/>
      <c r="D5" s="56"/>
      <c r="E5" s="56"/>
      <c r="F5" s="56"/>
      <c r="G5" s="56"/>
      <c r="H5" s="56"/>
      <c r="I5" s="56"/>
      <c r="J5" s="56"/>
      <c r="K5" s="56"/>
      <c r="L5" s="56"/>
      <c r="M5" s="56"/>
      <c r="N5" s="56"/>
      <c r="O5" s="233"/>
      <c r="Q5" s="657"/>
    </row>
    <row r="6" spans="1:21" ht="18.75" customHeight="1" x14ac:dyDescent="0.2">
      <c r="B6" s="230"/>
      <c r="C6" s="229">
        <v>2006</v>
      </c>
      <c r="D6" s="228">
        <v>2008</v>
      </c>
      <c r="E6" s="228">
        <v>2010</v>
      </c>
      <c r="F6" s="321">
        <v>2012</v>
      </c>
      <c r="G6" s="398">
        <v>2013</v>
      </c>
      <c r="H6" s="426">
        <v>2014</v>
      </c>
      <c r="I6" s="455">
        <v>2015</v>
      </c>
      <c r="J6" s="528">
        <v>2016</v>
      </c>
      <c r="K6" s="646">
        <v>2017</v>
      </c>
      <c r="L6" s="726">
        <v>2018</v>
      </c>
      <c r="M6" s="797">
        <v>2019</v>
      </c>
      <c r="N6" s="899">
        <v>2020</v>
      </c>
      <c r="O6" s="900">
        <v>2021</v>
      </c>
      <c r="Q6" s="657"/>
    </row>
    <row r="7" spans="1:21" ht="6" customHeight="1" x14ac:dyDescent="0.2">
      <c r="B7" s="562"/>
      <c r="C7" s="45"/>
      <c r="D7" s="58"/>
      <c r="E7" s="58"/>
      <c r="F7" s="58"/>
      <c r="G7" s="58"/>
      <c r="H7" s="58"/>
      <c r="I7" s="58"/>
      <c r="J7" s="58"/>
      <c r="K7" s="58"/>
      <c r="L7" s="724"/>
      <c r="M7" s="795"/>
      <c r="N7" s="58"/>
      <c r="O7" s="59"/>
      <c r="P7" s="1"/>
      <c r="Q7" s="657"/>
    </row>
    <row r="8" spans="1:21" ht="15.75" customHeight="1" x14ac:dyDescent="0.2">
      <c r="A8" s="530"/>
      <c r="B8" s="327" t="s">
        <v>106</v>
      </c>
      <c r="C8" s="648">
        <v>2.9999999999999997E-4</v>
      </c>
      <c r="D8" s="648">
        <v>6.0999999999999999E-2</v>
      </c>
      <c r="E8" s="648">
        <v>0.1182</v>
      </c>
      <c r="F8" s="648">
        <v>0.13389999999999999</v>
      </c>
      <c r="G8" s="648">
        <v>0.18540000000000001</v>
      </c>
      <c r="H8" s="648">
        <v>0.24299999999999999</v>
      </c>
      <c r="I8" s="648">
        <v>0.251</v>
      </c>
      <c r="J8" s="648">
        <v>0.48599999999999999</v>
      </c>
      <c r="K8" s="648">
        <v>0.27100000000000002</v>
      </c>
      <c r="L8" s="705">
        <v>0.182</v>
      </c>
      <c r="M8" s="705">
        <v>0.19199999999999995</v>
      </c>
      <c r="N8" s="648">
        <v>0.35499999999999998</v>
      </c>
      <c r="O8" s="774">
        <v>0.42000000000000004</v>
      </c>
      <c r="P8" s="1"/>
      <c r="Q8" s="657"/>
    </row>
    <row r="9" spans="1:21" ht="15" x14ac:dyDescent="0.2">
      <c r="A9" s="530"/>
      <c r="B9" s="560" t="s">
        <v>89</v>
      </c>
      <c r="C9" s="649">
        <v>3.1800000000000002E-2</v>
      </c>
      <c r="D9" s="649">
        <v>0.14319999999999999</v>
      </c>
      <c r="E9" s="649">
        <v>0.216</v>
      </c>
      <c r="F9" s="649">
        <v>0.36499999999999999</v>
      </c>
      <c r="G9" s="649">
        <v>0.44700000000000006</v>
      </c>
      <c r="H9" s="649">
        <v>0.48799999999999999</v>
      </c>
      <c r="I9" s="649">
        <v>0.51400000000000001</v>
      </c>
      <c r="J9" s="649">
        <v>0.54499999999999993</v>
      </c>
      <c r="K9" s="649">
        <v>0.58600000000000008</v>
      </c>
      <c r="L9" s="649">
        <v>0.52700000000000002</v>
      </c>
      <c r="M9" s="649">
        <v>0.42800000000000005</v>
      </c>
      <c r="N9" s="649">
        <v>0.45699999999999996</v>
      </c>
      <c r="O9" s="650">
        <v>0.54699999999999993</v>
      </c>
      <c r="Q9" s="657"/>
    </row>
    <row r="10" spans="1:21" s="236" customFormat="1" ht="15" x14ac:dyDescent="0.2">
      <c r="A10" s="530"/>
      <c r="B10" s="327" t="s">
        <v>91</v>
      </c>
      <c r="C10" s="651"/>
      <c r="D10" s="651"/>
      <c r="E10" s="651">
        <v>0.13159999999999999</v>
      </c>
      <c r="F10" s="651">
        <v>0.20620000000000005</v>
      </c>
      <c r="G10" s="651">
        <v>0.23669999999999999</v>
      </c>
      <c r="H10" s="651">
        <v>0.30099999999999999</v>
      </c>
      <c r="I10" s="651">
        <v>0.33499999999999996</v>
      </c>
      <c r="J10" s="651">
        <v>0.34899999999999998</v>
      </c>
      <c r="K10" s="651">
        <v>0.36799999999999999</v>
      </c>
      <c r="L10" s="651">
        <v>0.35099999999999998</v>
      </c>
      <c r="M10" s="651">
        <v>0.39800000000000002</v>
      </c>
      <c r="N10" s="651">
        <v>0.41300000000000003</v>
      </c>
      <c r="O10" s="652">
        <v>0.43600000000000005</v>
      </c>
      <c r="Q10" s="657"/>
      <c r="U10" s="1"/>
    </row>
    <row r="11" spans="1:21" ht="15" x14ac:dyDescent="0.2">
      <c r="A11" s="530"/>
      <c r="B11" s="560" t="s">
        <v>102</v>
      </c>
      <c r="C11" s="649"/>
      <c r="D11" s="649"/>
      <c r="E11" s="649">
        <v>0.25</v>
      </c>
      <c r="F11" s="649">
        <v>0.27</v>
      </c>
      <c r="G11" s="649">
        <v>0.25</v>
      </c>
      <c r="H11" s="649">
        <v>0.24</v>
      </c>
      <c r="I11" s="649">
        <v>0.29000000000000004</v>
      </c>
      <c r="J11" s="649">
        <v>0.26100000000000001</v>
      </c>
      <c r="K11" s="649">
        <v>0.17700000000000005</v>
      </c>
      <c r="L11" s="649">
        <v>0.26300000000000001</v>
      </c>
      <c r="M11" s="649">
        <v>0.38</v>
      </c>
      <c r="N11" s="649">
        <v>0.36799999999999999</v>
      </c>
      <c r="O11" s="650">
        <v>0.21899999999999997</v>
      </c>
      <c r="Q11" s="657"/>
    </row>
    <row r="12" spans="1:21" ht="14.25" customHeight="1" x14ac:dyDescent="0.2">
      <c r="A12" s="530"/>
      <c r="B12" s="31" t="s">
        <v>107</v>
      </c>
      <c r="C12" s="651">
        <v>0.16400000000000001</v>
      </c>
      <c r="D12" s="651">
        <v>0.22</v>
      </c>
      <c r="E12" s="651">
        <v>0.25</v>
      </c>
      <c r="F12" s="651">
        <v>0.28599999999999998</v>
      </c>
      <c r="G12" s="651">
        <v>0.32600000000000001</v>
      </c>
      <c r="H12" s="651">
        <v>0.34100000000000003</v>
      </c>
      <c r="I12" s="651">
        <v>0.40899999999999992</v>
      </c>
      <c r="J12" s="651">
        <v>0.45499999999999996</v>
      </c>
      <c r="K12" s="651">
        <v>0.47499999999999998</v>
      </c>
      <c r="L12" s="651">
        <v>0.51300000000000001</v>
      </c>
      <c r="M12" s="651">
        <v>0.54</v>
      </c>
      <c r="N12" s="651">
        <v>0.54699999999999993</v>
      </c>
      <c r="O12" s="652">
        <v>0.57600000000000007</v>
      </c>
      <c r="Q12" s="657"/>
    </row>
    <row r="13" spans="1:21" ht="15" x14ac:dyDescent="0.2">
      <c r="A13" s="530"/>
      <c r="B13" s="560" t="s">
        <v>92</v>
      </c>
      <c r="C13" s="649">
        <v>0.30599999999999999</v>
      </c>
      <c r="D13" s="649">
        <v>0.49</v>
      </c>
      <c r="E13" s="649">
        <v>0.45</v>
      </c>
      <c r="F13" s="649">
        <v>0.3</v>
      </c>
      <c r="G13" s="649">
        <v>0.35</v>
      </c>
      <c r="H13" s="649">
        <v>0.30499999999999999</v>
      </c>
      <c r="I13" s="649">
        <v>0.29000000000000004</v>
      </c>
      <c r="J13" s="649">
        <v>0.20099999999999996</v>
      </c>
      <c r="K13" s="649">
        <v>0.23699999999999999</v>
      </c>
      <c r="L13" s="649">
        <v>1.4E-2</v>
      </c>
      <c r="M13" s="649">
        <v>0</v>
      </c>
      <c r="N13" s="649">
        <v>2.0000000000000018E-3</v>
      </c>
      <c r="O13" s="650">
        <v>9.000000000000008E-3</v>
      </c>
      <c r="Q13" s="657"/>
    </row>
    <row r="14" spans="1:21" ht="15" x14ac:dyDescent="0.2">
      <c r="A14" s="530"/>
      <c r="B14" s="31" t="s">
        <v>110</v>
      </c>
      <c r="C14" s="651">
        <v>0</v>
      </c>
      <c r="D14" s="651">
        <v>0</v>
      </c>
      <c r="E14" s="651">
        <v>0</v>
      </c>
      <c r="F14" s="651">
        <v>0</v>
      </c>
      <c r="G14" s="653">
        <v>0</v>
      </c>
      <c r="H14" s="653">
        <v>0</v>
      </c>
      <c r="I14" s="653"/>
      <c r="J14" s="651">
        <v>0</v>
      </c>
      <c r="K14" s="651">
        <v>0</v>
      </c>
      <c r="L14" s="651">
        <v>0</v>
      </c>
      <c r="M14" s="651">
        <v>0</v>
      </c>
      <c r="N14" s="651">
        <v>0</v>
      </c>
      <c r="O14" s="652">
        <v>0</v>
      </c>
      <c r="Q14" s="657"/>
    </row>
    <row r="15" spans="1:21" ht="15" x14ac:dyDescent="0.2">
      <c r="A15" s="530"/>
      <c r="B15" s="560" t="s">
        <v>103</v>
      </c>
      <c r="C15" s="649">
        <v>0</v>
      </c>
      <c r="D15" s="649">
        <v>0</v>
      </c>
      <c r="E15" s="649"/>
      <c r="F15" s="649">
        <v>0</v>
      </c>
      <c r="G15" s="649">
        <v>0</v>
      </c>
      <c r="H15" s="649">
        <v>0</v>
      </c>
      <c r="I15" s="649">
        <v>0</v>
      </c>
      <c r="J15" s="649">
        <v>0</v>
      </c>
      <c r="K15" s="649">
        <v>0</v>
      </c>
      <c r="L15" s="649">
        <v>0</v>
      </c>
      <c r="M15" s="649">
        <v>0.03</v>
      </c>
      <c r="N15" s="649">
        <v>3.0000000000000027E-2</v>
      </c>
      <c r="O15" s="650">
        <v>3.400000000000003E-2</v>
      </c>
      <c r="Q15" s="657"/>
    </row>
    <row r="16" spans="1:21" ht="15" x14ac:dyDescent="0.2">
      <c r="A16" s="530"/>
      <c r="B16" s="31" t="s">
        <v>108</v>
      </c>
      <c r="C16" s="651">
        <v>4.9000000000000002E-2</v>
      </c>
      <c r="D16" s="651">
        <v>0.05</v>
      </c>
      <c r="E16" s="651">
        <v>8.0799999999999997E-2</v>
      </c>
      <c r="F16" s="651">
        <v>0.16830000000000001</v>
      </c>
      <c r="G16" s="651">
        <v>0.1905</v>
      </c>
      <c r="H16" s="651">
        <v>0.20499999999999999</v>
      </c>
      <c r="I16" s="651">
        <v>0.26</v>
      </c>
      <c r="J16" s="651">
        <v>0.29499999999999993</v>
      </c>
      <c r="K16" s="651">
        <v>0.30800000000000005</v>
      </c>
      <c r="L16" s="651">
        <v>0.34300000000000003</v>
      </c>
      <c r="M16" s="651">
        <v>0.37</v>
      </c>
      <c r="N16" s="651">
        <v>0.38300000000000001</v>
      </c>
      <c r="O16" s="652">
        <v>0.41</v>
      </c>
      <c r="Q16" s="657"/>
    </row>
    <row r="17" spans="1:25" ht="15" x14ac:dyDescent="0.2">
      <c r="A17" s="530"/>
      <c r="B17" s="560" t="s">
        <v>109</v>
      </c>
      <c r="C17" s="649">
        <v>6.0000000000000001E-3</v>
      </c>
      <c r="D17" s="649">
        <v>0.1</v>
      </c>
      <c r="E17" s="649">
        <v>0.2</v>
      </c>
      <c r="F17" s="649">
        <v>0.32</v>
      </c>
      <c r="G17" s="649">
        <v>0.36</v>
      </c>
      <c r="H17" s="649">
        <v>0.37</v>
      </c>
      <c r="I17" s="649">
        <v>0.25600000000000001</v>
      </c>
      <c r="J17" s="649">
        <v>0.41000000000000003</v>
      </c>
      <c r="K17" s="649">
        <v>0.43000000000000005</v>
      </c>
      <c r="L17" s="649">
        <v>0.46</v>
      </c>
      <c r="M17" s="649">
        <v>0.47</v>
      </c>
      <c r="N17" s="649">
        <v>0.47599999999999998</v>
      </c>
      <c r="O17" s="650">
        <v>0.51</v>
      </c>
      <c r="Q17" s="657"/>
    </row>
    <row r="18" spans="1:25" ht="15" x14ac:dyDescent="0.2">
      <c r="A18" s="530"/>
      <c r="B18" s="327" t="s">
        <v>126</v>
      </c>
      <c r="C18" s="651">
        <v>0</v>
      </c>
      <c r="D18" s="651">
        <v>0</v>
      </c>
      <c r="E18" s="651">
        <v>0</v>
      </c>
      <c r="F18" s="651">
        <v>0</v>
      </c>
      <c r="G18" s="651">
        <v>0</v>
      </c>
      <c r="H18" s="651">
        <v>5.1999999999999824E-3</v>
      </c>
      <c r="I18" s="651">
        <v>2.0000000000000018E-2</v>
      </c>
      <c r="J18" s="651">
        <v>0.14699999999999991</v>
      </c>
      <c r="K18" s="651">
        <v>0.23899999999999999</v>
      </c>
      <c r="L18" s="651">
        <v>0.32</v>
      </c>
      <c r="M18" s="651">
        <v>0.38</v>
      </c>
      <c r="N18" s="651">
        <v>0.45599999999999996</v>
      </c>
      <c r="O18" s="652">
        <v>0.45899999999999996</v>
      </c>
      <c r="Q18" s="657"/>
      <c r="R18" s="714"/>
      <c r="S18" s="714"/>
      <c r="T18" s="714"/>
      <c r="U18" s="714"/>
      <c r="V18" s="714"/>
      <c r="W18" s="714"/>
      <c r="X18" s="714"/>
      <c r="Y18" s="714"/>
    </row>
    <row r="19" spans="1:25" ht="15" x14ac:dyDescent="0.2">
      <c r="A19" s="530"/>
      <c r="B19" s="560" t="s">
        <v>111</v>
      </c>
      <c r="C19" s="649">
        <v>0.115</v>
      </c>
      <c r="D19" s="649"/>
      <c r="E19" s="649">
        <v>0.24099999999999999</v>
      </c>
      <c r="F19" s="649">
        <v>0.16800000000000004</v>
      </c>
      <c r="G19" s="649">
        <v>7.5999999999999956E-2</v>
      </c>
      <c r="H19" s="649">
        <v>0.41</v>
      </c>
      <c r="I19" s="649">
        <v>0.41199999999999998</v>
      </c>
      <c r="J19" s="649">
        <v>0.55099999999999993</v>
      </c>
      <c r="K19" s="649">
        <v>0.55400000000000005</v>
      </c>
      <c r="L19" s="649">
        <v>0.56999999999999995</v>
      </c>
      <c r="M19" s="649">
        <v>0.56999999999999995</v>
      </c>
      <c r="N19" s="649">
        <v>0.59200000000000008</v>
      </c>
      <c r="O19" s="650">
        <v>0.624</v>
      </c>
      <c r="Q19" s="657"/>
      <c r="R19" s="714"/>
      <c r="S19" s="714"/>
      <c r="T19" s="714"/>
      <c r="U19" s="714"/>
      <c r="V19" s="714"/>
      <c r="W19" s="714"/>
      <c r="X19" s="714"/>
      <c r="Y19" s="714"/>
    </row>
    <row r="20" spans="1:25" ht="15" x14ac:dyDescent="0.2">
      <c r="A20" s="530"/>
      <c r="B20" s="327" t="s">
        <v>90</v>
      </c>
      <c r="C20" s="651" t="s">
        <v>121</v>
      </c>
      <c r="D20" s="651" t="s">
        <v>121</v>
      </c>
      <c r="E20" s="651" t="s">
        <v>121</v>
      </c>
      <c r="F20" s="651" t="s">
        <v>121</v>
      </c>
      <c r="G20" s="651" t="s">
        <v>121</v>
      </c>
      <c r="H20" s="651" t="s">
        <v>121</v>
      </c>
      <c r="I20" s="651" t="s">
        <v>121</v>
      </c>
      <c r="J20" s="651" t="s">
        <v>121</v>
      </c>
      <c r="K20" s="651" t="s">
        <v>121</v>
      </c>
      <c r="L20" s="651" t="s">
        <v>121</v>
      </c>
      <c r="M20" s="808" t="s">
        <v>121</v>
      </c>
      <c r="N20" s="808" t="s">
        <v>121</v>
      </c>
      <c r="O20" s="734" t="s">
        <v>121</v>
      </c>
      <c r="Q20" s="657"/>
      <c r="R20" s="714"/>
      <c r="S20" s="714"/>
      <c r="T20" s="714"/>
      <c r="U20" s="714"/>
      <c r="V20" s="714"/>
      <c r="W20" s="714"/>
      <c r="X20" s="714"/>
      <c r="Y20" s="714"/>
    </row>
    <row r="21" spans="1:25" ht="15" x14ac:dyDescent="0.2">
      <c r="A21" s="530"/>
      <c r="B21" s="560" t="s">
        <v>94</v>
      </c>
      <c r="C21" s="649">
        <v>0.106</v>
      </c>
      <c r="D21" s="649">
        <v>9.5699999999999993E-2</v>
      </c>
      <c r="E21" s="649">
        <v>0.23300000000000001</v>
      </c>
      <c r="F21" s="649">
        <v>0.22600000000000001</v>
      </c>
      <c r="G21" s="649">
        <v>0.23300000000000001</v>
      </c>
      <c r="H21" s="649">
        <v>0.215</v>
      </c>
      <c r="I21" s="649">
        <v>0.31099999999999994</v>
      </c>
      <c r="J21" s="649">
        <v>0.255</v>
      </c>
      <c r="K21" s="649">
        <v>0.33599999999999997</v>
      </c>
      <c r="L21" s="649">
        <v>0.316</v>
      </c>
      <c r="M21" s="649">
        <v>0.31</v>
      </c>
      <c r="N21" s="649">
        <v>0.24399999999999999</v>
      </c>
      <c r="O21" s="650">
        <v>0.29699999999999999</v>
      </c>
      <c r="Q21" s="657"/>
      <c r="R21" s="714"/>
      <c r="S21" s="714"/>
      <c r="T21" s="714"/>
      <c r="U21" s="714"/>
      <c r="V21" s="714"/>
      <c r="W21" s="714"/>
      <c r="X21" s="714"/>
      <c r="Y21" s="714"/>
    </row>
    <row r="22" spans="1:25" ht="15" x14ac:dyDescent="0.2">
      <c r="A22" s="530"/>
      <c r="B22" s="31" t="s">
        <v>95</v>
      </c>
      <c r="C22" s="651">
        <v>0</v>
      </c>
      <c r="D22" s="651">
        <v>0</v>
      </c>
      <c r="E22" s="651">
        <v>0</v>
      </c>
      <c r="F22" s="651">
        <v>0</v>
      </c>
      <c r="G22" s="651">
        <v>0</v>
      </c>
      <c r="H22" s="651">
        <v>0</v>
      </c>
      <c r="I22" s="651">
        <v>0</v>
      </c>
      <c r="J22" s="651">
        <v>0</v>
      </c>
      <c r="K22" s="651">
        <v>0</v>
      </c>
      <c r="L22" s="651">
        <v>0</v>
      </c>
      <c r="M22" s="651">
        <v>0</v>
      </c>
      <c r="N22" s="651">
        <v>1.0000000000000009E-3</v>
      </c>
      <c r="O22" s="652">
        <v>1.0000000000000009E-3</v>
      </c>
      <c r="Q22" s="657"/>
      <c r="R22" s="714"/>
      <c r="S22" s="714"/>
      <c r="T22" s="714"/>
      <c r="U22" s="714"/>
      <c r="V22" s="714"/>
      <c r="W22" s="714"/>
      <c r="X22" s="714"/>
      <c r="Y22" s="714"/>
    </row>
    <row r="23" spans="1:25" s="236" customFormat="1" ht="15" x14ac:dyDescent="0.2">
      <c r="A23" s="530"/>
      <c r="B23" s="561" t="s">
        <v>112</v>
      </c>
      <c r="C23" s="649">
        <v>0</v>
      </c>
      <c r="D23" s="649"/>
      <c r="E23" s="649">
        <v>0</v>
      </c>
      <c r="F23" s="649">
        <v>0</v>
      </c>
      <c r="G23" s="649"/>
      <c r="H23" s="649">
        <v>0</v>
      </c>
      <c r="I23" s="649">
        <v>0</v>
      </c>
      <c r="J23" s="649">
        <v>0</v>
      </c>
      <c r="K23" s="649">
        <v>0</v>
      </c>
      <c r="L23" s="649">
        <v>0</v>
      </c>
      <c r="M23" s="649">
        <v>0</v>
      </c>
      <c r="N23" s="649">
        <v>0</v>
      </c>
      <c r="O23" s="650">
        <v>0</v>
      </c>
      <c r="Q23" s="657"/>
      <c r="R23" s="714"/>
      <c r="S23" s="714"/>
      <c r="T23" s="714"/>
      <c r="U23" s="714"/>
      <c r="V23" s="714"/>
      <c r="W23" s="714"/>
      <c r="X23" s="714"/>
      <c r="Y23" s="714"/>
    </row>
    <row r="24" spans="1:25" s="236" customFormat="1" ht="15" x14ac:dyDescent="0.2">
      <c r="A24" s="563"/>
      <c r="B24" s="327" t="s">
        <v>93</v>
      </c>
      <c r="C24" s="651">
        <v>0.09</v>
      </c>
      <c r="D24" s="651">
        <v>0.14399999999999999</v>
      </c>
      <c r="E24" s="651">
        <v>0.19470000000000001</v>
      </c>
      <c r="F24" s="651">
        <v>0.318</v>
      </c>
      <c r="G24" s="651">
        <v>0.34799999999999998</v>
      </c>
      <c r="H24" s="651">
        <v>0.376</v>
      </c>
      <c r="I24" s="651">
        <v>0.39600000000000002</v>
      </c>
      <c r="J24" s="651">
        <v>0.42099999999999993</v>
      </c>
      <c r="K24" s="651">
        <v>0.47499999999999998</v>
      </c>
      <c r="L24" s="651">
        <v>0.50600000000000001</v>
      </c>
      <c r="M24" s="651">
        <v>0.51</v>
      </c>
      <c r="N24" s="651">
        <v>0.55000000000000004</v>
      </c>
      <c r="O24" s="652">
        <v>0.54899999999999993</v>
      </c>
      <c r="Q24" s="657"/>
      <c r="R24" s="714"/>
      <c r="S24" s="714"/>
      <c r="T24" s="714"/>
      <c r="U24" s="714"/>
      <c r="V24" s="714"/>
      <c r="W24" s="714"/>
      <c r="X24" s="714"/>
      <c r="Y24" s="714"/>
    </row>
    <row r="25" spans="1:25" ht="15" x14ac:dyDescent="0.2">
      <c r="A25" s="530"/>
      <c r="B25" s="560" t="s">
        <v>96</v>
      </c>
      <c r="C25" s="649" t="s">
        <v>121</v>
      </c>
      <c r="D25" s="649" t="s">
        <v>121</v>
      </c>
      <c r="E25" s="649" t="s">
        <v>121</v>
      </c>
      <c r="F25" s="649" t="s">
        <v>121</v>
      </c>
      <c r="G25" s="649" t="s">
        <v>121</v>
      </c>
      <c r="H25" s="649" t="s">
        <v>121</v>
      </c>
      <c r="I25" s="649" t="s">
        <v>121</v>
      </c>
      <c r="J25" s="649" t="s">
        <v>121</v>
      </c>
      <c r="K25" s="649" t="s">
        <v>121</v>
      </c>
      <c r="L25" s="649" t="s">
        <v>121</v>
      </c>
      <c r="M25" s="649" t="s">
        <v>121</v>
      </c>
      <c r="N25" s="649" t="s">
        <v>121</v>
      </c>
      <c r="O25" s="775" t="s">
        <v>121</v>
      </c>
      <c r="Q25" s="657"/>
      <c r="R25" s="714"/>
      <c r="S25" s="714"/>
      <c r="T25" s="714"/>
      <c r="U25" s="714"/>
      <c r="V25" s="714"/>
      <c r="W25" s="714"/>
      <c r="X25" s="714"/>
      <c r="Y25" s="714"/>
    </row>
    <row r="26" spans="1:25" ht="15" x14ac:dyDescent="0.2">
      <c r="A26" s="530"/>
      <c r="B26" s="31" t="s">
        <v>104</v>
      </c>
      <c r="C26" s="651">
        <v>0.14000000000000001</v>
      </c>
      <c r="D26" s="651">
        <v>0.25</v>
      </c>
      <c r="E26" s="651">
        <v>0.4</v>
      </c>
      <c r="F26" s="651">
        <v>0.36</v>
      </c>
      <c r="G26" s="651">
        <v>0.41399999999999998</v>
      </c>
      <c r="H26" s="651">
        <v>0.41</v>
      </c>
      <c r="I26" s="651"/>
      <c r="J26" s="651">
        <v>0.44999999999999996</v>
      </c>
      <c r="K26" s="651">
        <v>0.56499999999999995</v>
      </c>
      <c r="L26" s="651">
        <v>0.59</v>
      </c>
      <c r="M26" s="651">
        <v>0.51</v>
      </c>
      <c r="N26" s="651">
        <v>0.58000000000000007</v>
      </c>
      <c r="O26" s="652">
        <v>0.53</v>
      </c>
      <c r="Q26" s="657"/>
      <c r="R26" s="714"/>
      <c r="S26" s="714"/>
      <c r="T26" s="714"/>
      <c r="U26" s="714"/>
      <c r="V26" s="714"/>
      <c r="W26" s="714"/>
      <c r="X26" s="714"/>
      <c r="Y26" s="714"/>
    </row>
    <row r="27" spans="1:25" s="236" customFormat="1" ht="15" x14ac:dyDescent="0.2">
      <c r="A27" s="530"/>
      <c r="B27" s="561" t="s">
        <v>113</v>
      </c>
      <c r="C27" s="649">
        <v>0.1</v>
      </c>
      <c r="D27" s="649">
        <v>0.14000000000000001</v>
      </c>
      <c r="E27" s="649">
        <v>0.14599999999999999</v>
      </c>
      <c r="F27" s="649">
        <v>0.17599999999999999</v>
      </c>
      <c r="G27" s="649">
        <v>0.19300000000000006</v>
      </c>
      <c r="H27" s="649">
        <v>0.214</v>
      </c>
      <c r="I27" s="649">
        <v>0.23599999999999999</v>
      </c>
      <c r="J27" s="649">
        <v>0.26100000000000001</v>
      </c>
      <c r="K27" s="649">
        <v>0.245</v>
      </c>
      <c r="L27" s="649">
        <v>0.307</v>
      </c>
      <c r="M27" s="649">
        <v>0.32</v>
      </c>
      <c r="N27" s="649">
        <v>0.33099999999999996</v>
      </c>
      <c r="O27" s="650">
        <v>0.36599999999999999</v>
      </c>
      <c r="Q27" s="657"/>
      <c r="R27" s="714"/>
      <c r="S27" s="714"/>
      <c r="T27" s="714"/>
      <c r="U27" s="714"/>
      <c r="V27" s="714"/>
      <c r="W27" s="714"/>
      <c r="X27" s="714"/>
      <c r="Y27" s="714"/>
    </row>
    <row r="28" spans="1:25" ht="15" x14ac:dyDescent="0.2">
      <c r="A28" s="530"/>
      <c r="B28" s="31" t="s">
        <v>97</v>
      </c>
      <c r="C28" s="651">
        <v>0.16900000000000001</v>
      </c>
      <c r="D28" s="651">
        <v>0.2397</v>
      </c>
      <c r="E28" s="651">
        <v>0.35820000000000002</v>
      </c>
      <c r="F28" s="651">
        <v>0.32929999999999998</v>
      </c>
      <c r="G28" s="651">
        <v>0.3453</v>
      </c>
      <c r="H28" s="651">
        <v>0.36299999999999999</v>
      </c>
      <c r="I28" s="651">
        <v>0.38100000000000001</v>
      </c>
      <c r="J28" s="651">
        <v>0.48599999999999999</v>
      </c>
      <c r="K28" s="651">
        <v>0.42900000000000005</v>
      </c>
      <c r="L28" s="651">
        <v>0.45900000000000002</v>
      </c>
      <c r="M28" s="651">
        <v>0.5069999999999999</v>
      </c>
      <c r="N28" s="651">
        <v>0.54499999999999993</v>
      </c>
      <c r="O28" s="652">
        <v>0.54099999999999993</v>
      </c>
      <c r="Q28" s="657"/>
    </row>
    <row r="29" spans="1:25" ht="15" x14ac:dyDescent="0.2">
      <c r="A29" s="530"/>
      <c r="B29" s="560" t="s">
        <v>114</v>
      </c>
      <c r="C29" s="649">
        <v>0</v>
      </c>
      <c r="D29" s="649"/>
      <c r="E29" s="649">
        <v>0.09</v>
      </c>
      <c r="F29" s="649">
        <v>0.10999999999999999</v>
      </c>
      <c r="G29" s="649">
        <v>0.13400000000000001</v>
      </c>
      <c r="H29" s="649">
        <v>0.113</v>
      </c>
      <c r="I29" s="649">
        <v>0.11799999999999999</v>
      </c>
      <c r="J29" s="649">
        <v>0.15399999999999991</v>
      </c>
      <c r="K29" s="649">
        <v>0.14200000000000002</v>
      </c>
      <c r="L29" s="649">
        <v>0.13600000000000001</v>
      </c>
      <c r="M29" s="649">
        <v>0.17900000000000005</v>
      </c>
      <c r="N29" s="649">
        <v>0.19299999999999995</v>
      </c>
      <c r="O29" s="650">
        <v>0.19300000000000006</v>
      </c>
      <c r="Q29" s="657"/>
    </row>
    <row r="30" spans="1:25" ht="15" x14ac:dyDescent="0.2">
      <c r="A30" s="530"/>
      <c r="B30" s="327" t="s">
        <v>98</v>
      </c>
      <c r="C30" s="651">
        <v>0.26700000000000002</v>
      </c>
      <c r="D30" s="651">
        <v>0.40989999999999999</v>
      </c>
      <c r="E30" s="651">
        <v>0.54700000000000004</v>
      </c>
      <c r="F30" s="651">
        <v>0.53680000000000005</v>
      </c>
      <c r="G30" s="651">
        <v>0.57600000000000007</v>
      </c>
      <c r="H30" s="651">
        <v>0.42799999999999999</v>
      </c>
      <c r="I30" s="651">
        <v>0.60199999999999998</v>
      </c>
      <c r="J30" s="651">
        <v>0.629</v>
      </c>
      <c r="K30" s="651">
        <v>0.63400000000000001</v>
      </c>
      <c r="L30" s="651">
        <v>0.63900000000000001</v>
      </c>
      <c r="M30" s="651">
        <v>0.71</v>
      </c>
      <c r="N30" s="651">
        <v>0.78400000000000003</v>
      </c>
      <c r="O30" s="1046">
        <f>N30</f>
        <v>0.78400000000000003</v>
      </c>
      <c r="P30" s="1047"/>
      <c r="Q30" s="657"/>
    </row>
    <row r="31" spans="1:25" x14ac:dyDescent="0.2">
      <c r="A31" s="530"/>
      <c r="B31" s="560" t="s">
        <v>100</v>
      </c>
      <c r="C31" s="649">
        <v>0</v>
      </c>
      <c r="D31" s="649">
        <v>0</v>
      </c>
      <c r="E31" s="649">
        <v>0</v>
      </c>
      <c r="F31" s="649">
        <v>9.5000000000000001E-2</v>
      </c>
      <c r="G31" s="649">
        <v>9.1899999999999996E-2</v>
      </c>
      <c r="H31" s="649">
        <v>9.9000000000000005E-2</v>
      </c>
      <c r="I31" s="649">
        <v>0.121</v>
      </c>
      <c r="J31" s="649">
        <v>0.13</v>
      </c>
      <c r="K31" s="649">
        <v>0.13300000000000001</v>
      </c>
      <c r="L31" s="649">
        <v>0.14799999999999999</v>
      </c>
      <c r="M31" s="649">
        <v>0.16800000000000004</v>
      </c>
      <c r="N31" s="649">
        <v>0.18799999999999994</v>
      </c>
      <c r="O31" s="650">
        <v>0.22199999999999998</v>
      </c>
      <c r="Q31" s="428"/>
    </row>
    <row r="32" spans="1:25" s="236" customFormat="1" ht="15" customHeight="1" x14ac:dyDescent="0.2">
      <c r="A32" s="530"/>
      <c r="B32" s="327" t="s">
        <v>99</v>
      </c>
      <c r="C32" s="651">
        <v>2.9000000000000001E-2</v>
      </c>
      <c r="D32" s="651">
        <v>0.02</v>
      </c>
      <c r="E32" s="651">
        <v>2.0299999999999999E-2</v>
      </c>
      <c r="F32" s="651">
        <v>0.1176</v>
      </c>
      <c r="G32" s="651">
        <v>0.13469999999999999</v>
      </c>
      <c r="H32" s="651">
        <v>0.1</v>
      </c>
      <c r="I32" s="651">
        <v>0.17599999999999999</v>
      </c>
      <c r="J32" s="651">
        <v>0.19899999999999995</v>
      </c>
      <c r="K32" s="651">
        <v>0.22099999999999997</v>
      </c>
      <c r="L32" s="651">
        <v>0.246</v>
      </c>
      <c r="M32" s="651">
        <v>0.27800000000000002</v>
      </c>
      <c r="N32" s="651">
        <v>0.29500000000000004</v>
      </c>
      <c r="O32" s="652">
        <v>0.29099999999999993</v>
      </c>
      <c r="Q32" s="428"/>
    </row>
    <row r="33" spans="1:17" x14ac:dyDescent="0.2">
      <c r="A33" s="530"/>
      <c r="B33" s="560" t="s">
        <v>115</v>
      </c>
      <c r="C33" s="649">
        <v>0</v>
      </c>
      <c r="D33" s="649">
        <v>0</v>
      </c>
      <c r="E33" s="649">
        <v>0</v>
      </c>
      <c r="F33" s="649">
        <v>0</v>
      </c>
      <c r="G33" s="649">
        <v>0</v>
      </c>
      <c r="H33" s="649">
        <v>0</v>
      </c>
      <c r="I33" s="649">
        <v>0</v>
      </c>
      <c r="J33" s="649">
        <v>1.0000000000000009E-3</v>
      </c>
      <c r="K33" s="649">
        <v>4.0000000000000036E-3</v>
      </c>
      <c r="L33" s="649">
        <v>1.2999999999999999E-2</v>
      </c>
      <c r="M33" s="649">
        <v>0.02</v>
      </c>
      <c r="N33" s="649">
        <v>2.200000000000002E-2</v>
      </c>
      <c r="O33" s="650">
        <v>4.4000000000000039E-2</v>
      </c>
      <c r="Q33" s="428"/>
    </row>
    <row r="34" spans="1:17" ht="15" customHeight="1" x14ac:dyDescent="0.2">
      <c r="A34" s="682"/>
      <c r="B34" s="696" t="s">
        <v>116</v>
      </c>
      <c r="C34" s="654">
        <v>0.32500000000000001</v>
      </c>
      <c r="D34" s="654"/>
      <c r="E34" s="654">
        <v>0.4</v>
      </c>
      <c r="F34" s="654"/>
      <c r="G34" s="654">
        <v>0.56000000000000005</v>
      </c>
      <c r="H34" s="697">
        <v>0.55000000000000004</v>
      </c>
      <c r="I34" s="654">
        <v>0.48</v>
      </c>
      <c r="J34" s="654">
        <v>0.45999999999999996</v>
      </c>
      <c r="K34" s="654">
        <v>0.45999999999999996</v>
      </c>
      <c r="L34" s="654">
        <v>0.48</v>
      </c>
      <c r="M34" s="654">
        <v>0.51</v>
      </c>
      <c r="N34" s="654">
        <v>0.51</v>
      </c>
      <c r="O34" s="655">
        <v>0.51100000000000001</v>
      </c>
      <c r="Q34" s="428"/>
    </row>
    <row r="35" spans="1:17" x14ac:dyDescent="0.2">
      <c r="A35" s="682"/>
      <c r="B35" s="703" t="s">
        <v>117</v>
      </c>
      <c r="C35" s="706"/>
      <c r="D35" s="706">
        <v>0.21</v>
      </c>
      <c r="E35" s="706">
        <v>0.25</v>
      </c>
      <c r="F35" s="706">
        <v>0.38</v>
      </c>
      <c r="G35" s="706">
        <v>0.42</v>
      </c>
      <c r="H35" s="706">
        <v>0.47</v>
      </c>
      <c r="I35" s="706">
        <v>0.42199999999999993</v>
      </c>
      <c r="J35" s="706">
        <v>0.498</v>
      </c>
      <c r="K35" s="706">
        <v>0.51100000000000001</v>
      </c>
      <c r="L35" s="706">
        <v>0.51500000000000001</v>
      </c>
      <c r="M35" s="706">
        <v>0.56000000000000005</v>
      </c>
      <c r="N35" s="706">
        <v>0.55800000000000005</v>
      </c>
      <c r="O35" s="776">
        <v>0.55100000000000005</v>
      </c>
      <c r="Q35" s="428"/>
    </row>
    <row r="36" spans="1:17" x14ac:dyDescent="0.2">
      <c r="A36" s="530"/>
      <c r="B36" s="1195" t="s">
        <v>686</v>
      </c>
      <c r="C36" s="1195"/>
      <c r="D36" s="1195"/>
      <c r="E36" s="1195"/>
      <c r="F36" s="1195"/>
      <c r="G36" s="1195"/>
      <c r="H36" s="1195"/>
      <c r="I36" s="1195"/>
      <c r="J36" s="1195"/>
      <c r="K36" s="645"/>
      <c r="O36" s="86"/>
      <c r="Q36" s="428"/>
    </row>
    <row r="37" spans="1:17" ht="15" customHeight="1" x14ac:dyDescent="0.2">
      <c r="B37" s="1207" t="s">
        <v>430</v>
      </c>
      <c r="C37" s="1207"/>
      <c r="D37" s="1207"/>
      <c r="E37" s="1207"/>
      <c r="F37" s="1207"/>
      <c r="G37" s="1207"/>
      <c r="H37" s="1207"/>
      <c r="I37" s="1207"/>
      <c r="J37" s="1207"/>
      <c r="K37" s="1207"/>
      <c r="L37" s="1207"/>
      <c r="M37" s="1207"/>
      <c r="N37" s="1207"/>
      <c r="O37" s="869"/>
      <c r="Q37" s="428"/>
    </row>
    <row r="38" spans="1:17" ht="27.75" customHeight="1" x14ac:dyDescent="0.2">
      <c r="Q38" s="428"/>
    </row>
    <row r="39" spans="1:17" x14ac:dyDescent="0.2">
      <c r="Q39" s="428"/>
    </row>
    <row r="40" spans="1:17" x14ac:dyDescent="0.2">
      <c r="Q40" s="428"/>
    </row>
    <row r="41" spans="1:17" x14ac:dyDescent="0.2">
      <c r="Q41" s="428"/>
    </row>
    <row r="42" spans="1:17" x14ac:dyDescent="0.2">
      <c r="Q42" s="428"/>
    </row>
    <row r="64" ht="12.75" customHeight="1" x14ac:dyDescent="0.2"/>
  </sheetData>
  <mergeCells count="3">
    <mergeCell ref="B36:J36"/>
    <mergeCell ref="B37:N37"/>
    <mergeCell ref="B2:N4"/>
  </mergeCells>
  <conditionalFormatting sqref="Q4:Q30">
    <cfRule type="containsText" dxfId="2" priority="10" operator="containsText" text="FALSCH">
      <formula>NOT(ISERROR(SEARCH("FALSCH",Q4)))</formula>
    </cfRule>
    <cfRule type="containsText" dxfId="1" priority="11" operator="containsText" text="NULL">
      <formula>NOT(ISERROR(SEARCH("NULL",Q4)))</formula>
    </cfRule>
  </conditionalFormatting>
  <conditionalFormatting sqref="Q4:Q30">
    <cfRule type="expression" dxfId="0" priority="12">
      <formula>OR(ISBLANK(Q4),Q4="")</formula>
    </cfRule>
  </conditionalFormatting>
  <dataValidations disablePrompts="1" count="1">
    <dataValidation type="list" allowBlank="1" showInputMessage="1" showErrorMessage="1" sqref="Q4" xr:uid="{00000000-0002-0000-1300-000000000000}">
      <formula1>#REF!</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54"/>
  <dimension ref="A1:T46"/>
  <sheetViews>
    <sheetView workbookViewId="0">
      <selection activeCell="N16" sqref="N16"/>
    </sheetView>
  </sheetViews>
  <sheetFormatPr defaultRowHeight="12.75" x14ac:dyDescent="0.2"/>
  <cols>
    <col min="1" max="1" width="4.28515625" customWidth="1"/>
    <col min="2" max="2" width="8.28515625" customWidth="1"/>
    <col min="3" max="7" width="10.7109375" customWidth="1"/>
    <col min="8" max="8" width="5.140625" customWidth="1"/>
  </cols>
  <sheetData>
    <row r="1" spans="1:11" ht="14.25" customHeight="1" x14ac:dyDescent="0.2">
      <c r="A1" s="1"/>
      <c r="B1" s="20"/>
      <c r="C1" s="1209"/>
      <c r="D1" s="1209"/>
      <c r="E1" s="21"/>
      <c r="F1" s="11"/>
      <c r="H1" s="10" t="s">
        <v>300</v>
      </c>
    </row>
    <row r="2" spans="1:11" ht="30" customHeight="1" x14ac:dyDescent="0.2">
      <c r="B2" s="1118" t="s">
        <v>399</v>
      </c>
      <c r="C2" s="1118"/>
      <c r="D2" s="1118"/>
      <c r="E2" s="1118"/>
      <c r="F2" s="1118"/>
      <c r="G2" s="1118"/>
    </row>
    <row r="3" spans="1:11" ht="12.75" customHeight="1" x14ac:dyDescent="0.2">
      <c r="B3" s="83"/>
      <c r="C3" s="1087" t="s">
        <v>54</v>
      </c>
      <c r="D3" s="1090"/>
      <c r="E3" s="1090"/>
      <c r="F3" s="1090"/>
      <c r="G3" s="1210"/>
    </row>
    <row r="4" spans="1:11" ht="12.75" customHeight="1" x14ac:dyDescent="0.2">
      <c r="B4" s="83"/>
      <c r="C4" s="1214" t="s">
        <v>77</v>
      </c>
      <c r="D4" s="1215"/>
      <c r="E4" s="1215"/>
      <c r="F4" s="1215"/>
      <c r="G4" s="1216"/>
    </row>
    <row r="5" spans="1:11" ht="11.25" customHeight="1" x14ac:dyDescent="0.2">
      <c r="B5" s="31"/>
      <c r="C5" s="1223" t="s">
        <v>80</v>
      </c>
      <c r="D5" s="1224"/>
      <c r="E5" s="89" t="s">
        <v>122</v>
      </c>
      <c r="F5" s="90" t="s">
        <v>123</v>
      </c>
      <c r="G5" s="91" t="s">
        <v>130</v>
      </c>
    </row>
    <row r="6" spans="1:11" ht="23.25" customHeight="1" x14ac:dyDescent="0.2">
      <c r="B6" s="16"/>
      <c r="C6" s="1217" t="s">
        <v>78</v>
      </c>
      <c r="D6" s="1219" t="s">
        <v>81</v>
      </c>
      <c r="E6" s="1221" t="s">
        <v>79</v>
      </c>
      <c r="F6" s="143" t="s">
        <v>185</v>
      </c>
      <c r="G6" s="53"/>
    </row>
    <row r="7" spans="1:11" ht="12.75" customHeight="1" x14ac:dyDescent="0.2">
      <c r="B7" s="16"/>
      <c r="C7" s="1218"/>
      <c r="D7" s="1220"/>
      <c r="E7" s="1222"/>
      <c r="F7" s="144"/>
      <c r="G7" s="94"/>
      <c r="K7" s="707"/>
    </row>
    <row r="8" spans="1:11" ht="12.75" customHeight="1" x14ac:dyDescent="0.2">
      <c r="B8" s="80">
        <v>1985</v>
      </c>
      <c r="C8" s="167">
        <v>11.2</v>
      </c>
      <c r="D8" s="167">
        <v>2.8</v>
      </c>
      <c r="E8" s="167">
        <v>4.7</v>
      </c>
      <c r="F8" s="167">
        <v>7.5</v>
      </c>
      <c r="G8" s="168">
        <f>SUM(C8:F8)</f>
        <v>26.2</v>
      </c>
      <c r="K8" s="707"/>
    </row>
    <row r="9" spans="1:11" ht="12.75" customHeight="1" x14ac:dyDescent="0.2">
      <c r="B9" s="79">
        <v>1990</v>
      </c>
      <c r="C9" s="169">
        <v>13.6</v>
      </c>
      <c r="D9" s="169">
        <v>4.3</v>
      </c>
      <c r="E9" s="169">
        <v>5.5</v>
      </c>
      <c r="F9" s="169">
        <v>7.2</v>
      </c>
      <c r="G9" s="160">
        <f t="shared" ref="G9:G24" si="0">SUM(C9:F9)</f>
        <v>30.599999999999998</v>
      </c>
      <c r="K9" s="707"/>
    </row>
    <row r="10" spans="1:11" ht="12.75" customHeight="1" x14ac:dyDescent="0.2">
      <c r="B10" s="79">
        <v>1994</v>
      </c>
      <c r="C10" s="169">
        <v>13.2</v>
      </c>
      <c r="D10" s="169">
        <v>4.7</v>
      </c>
      <c r="E10" s="169">
        <v>8.3000000000000007</v>
      </c>
      <c r="F10" s="169">
        <v>7.7</v>
      </c>
      <c r="G10" s="160">
        <f t="shared" si="0"/>
        <v>33.9</v>
      </c>
      <c r="K10" s="707"/>
    </row>
    <row r="11" spans="1:11" ht="12.75" customHeight="1" x14ac:dyDescent="0.2">
      <c r="B11" s="79">
        <v>1995</v>
      </c>
      <c r="C11" s="169">
        <v>13.6</v>
      </c>
      <c r="D11" s="169">
        <v>4.4000000000000004</v>
      </c>
      <c r="E11" s="169">
        <v>8.4</v>
      </c>
      <c r="F11" s="169">
        <v>8</v>
      </c>
      <c r="G11" s="160">
        <f t="shared" si="0"/>
        <v>34.4</v>
      </c>
      <c r="K11" s="707"/>
    </row>
    <row r="12" spans="1:11" ht="12.75" customHeight="1" x14ac:dyDescent="0.2">
      <c r="B12" s="79">
        <v>1996</v>
      </c>
      <c r="C12" s="169">
        <v>11.7</v>
      </c>
      <c r="D12" s="169">
        <v>4</v>
      </c>
      <c r="E12" s="169">
        <v>7.9</v>
      </c>
      <c r="F12" s="169">
        <v>9.6999999999999993</v>
      </c>
      <c r="G12" s="160">
        <f t="shared" si="0"/>
        <v>33.299999999999997</v>
      </c>
      <c r="K12" s="707"/>
    </row>
    <row r="13" spans="1:11" ht="12.75" customHeight="1" x14ac:dyDescent="0.2">
      <c r="B13" s="79">
        <v>1997</v>
      </c>
      <c r="C13" s="169">
        <v>13.7</v>
      </c>
      <c r="D13" s="169">
        <v>4.3</v>
      </c>
      <c r="E13" s="169">
        <v>7.8</v>
      </c>
      <c r="F13" s="169">
        <v>10.1</v>
      </c>
      <c r="G13" s="160">
        <f t="shared" si="0"/>
        <v>35.9</v>
      </c>
      <c r="K13" s="707"/>
    </row>
    <row r="14" spans="1:11" ht="12.75" customHeight="1" x14ac:dyDescent="0.2">
      <c r="B14" s="79">
        <v>1998</v>
      </c>
      <c r="C14" s="169">
        <v>15</v>
      </c>
      <c r="D14" s="169">
        <v>4.3</v>
      </c>
      <c r="E14" s="169">
        <v>8.6</v>
      </c>
      <c r="F14" s="169">
        <v>9.3000000000000007</v>
      </c>
      <c r="G14" s="160">
        <f t="shared" si="0"/>
        <v>37.200000000000003</v>
      </c>
      <c r="K14" s="707"/>
    </row>
    <row r="15" spans="1:11" ht="12.75" customHeight="1" x14ac:dyDescent="0.2">
      <c r="B15" s="79">
        <v>1999</v>
      </c>
      <c r="C15" s="169">
        <v>14.9</v>
      </c>
      <c r="D15" s="169">
        <v>3.5</v>
      </c>
      <c r="E15" s="169">
        <v>8.3000000000000007</v>
      </c>
      <c r="F15" s="169">
        <v>8.4</v>
      </c>
      <c r="G15" s="160">
        <f t="shared" si="0"/>
        <v>35.1</v>
      </c>
      <c r="K15" s="707"/>
    </row>
    <row r="16" spans="1:11" ht="12.75" customHeight="1" x14ac:dyDescent="0.2">
      <c r="B16" s="79">
        <v>2000</v>
      </c>
      <c r="C16" s="169">
        <v>16.8</v>
      </c>
      <c r="D16" s="169">
        <v>3.8</v>
      </c>
      <c r="E16" s="169">
        <v>8.6999999999999993</v>
      </c>
      <c r="F16" s="169">
        <v>8.6</v>
      </c>
      <c r="G16" s="160">
        <f t="shared" si="0"/>
        <v>37.9</v>
      </c>
    </row>
    <row r="17" spans="2:12" ht="12.75" customHeight="1" x14ac:dyDescent="0.2">
      <c r="B17" s="79">
        <v>2001</v>
      </c>
      <c r="C17" s="169">
        <v>15.8</v>
      </c>
      <c r="D17" s="169">
        <v>4.8</v>
      </c>
      <c r="E17" s="169">
        <v>10.7</v>
      </c>
      <c r="F17" s="169">
        <v>8.6</v>
      </c>
      <c r="G17" s="160">
        <f t="shared" si="0"/>
        <v>39.9</v>
      </c>
    </row>
    <row r="18" spans="2:12" ht="12.75" customHeight="1" x14ac:dyDescent="0.2">
      <c r="B18" s="79">
        <v>2002</v>
      </c>
      <c r="C18" s="169">
        <v>14.2</v>
      </c>
      <c r="D18" s="169">
        <v>4.8</v>
      </c>
      <c r="E18" s="169">
        <v>10.5</v>
      </c>
      <c r="F18" s="169">
        <v>8.6</v>
      </c>
      <c r="G18" s="160">
        <f t="shared" si="0"/>
        <v>38.1</v>
      </c>
    </row>
    <row r="19" spans="2:12" ht="12.75" customHeight="1" x14ac:dyDescent="0.2">
      <c r="B19" s="79">
        <v>2003</v>
      </c>
      <c r="C19" s="169">
        <v>14.3</v>
      </c>
      <c r="D19" s="169">
        <v>5.6</v>
      </c>
      <c r="E19" s="169">
        <v>10.7</v>
      </c>
      <c r="F19" s="169">
        <v>7.8</v>
      </c>
      <c r="G19" s="160">
        <f t="shared" si="0"/>
        <v>38.4</v>
      </c>
    </row>
    <row r="20" spans="2:12" ht="12.75" customHeight="1" x14ac:dyDescent="0.2">
      <c r="B20" s="79">
        <v>2004</v>
      </c>
      <c r="C20" s="169">
        <v>16.100000000000001</v>
      </c>
      <c r="D20" s="169">
        <v>6.8</v>
      </c>
      <c r="E20" s="169">
        <v>10.7</v>
      </c>
      <c r="F20" s="169">
        <v>6.4</v>
      </c>
      <c r="G20" s="160">
        <f t="shared" si="0"/>
        <v>40</v>
      </c>
    </row>
    <row r="21" spans="2:12" ht="12.75" customHeight="1" x14ac:dyDescent="0.2">
      <c r="B21" s="79">
        <v>2005</v>
      </c>
      <c r="C21" s="169">
        <v>15.6</v>
      </c>
      <c r="D21" s="169">
        <v>8.1</v>
      </c>
      <c r="E21" s="169">
        <v>10</v>
      </c>
      <c r="F21" s="169">
        <v>5.2</v>
      </c>
      <c r="G21" s="160">
        <f t="shared" si="0"/>
        <v>38.900000000000006</v>
      </c>
    </row>
    <row r="22" spans="2:12" ht="12.75" customHeight="1" x14ac:dyDescent="0.2">
      <c r="B22" s="79">
        <v>2006</v>
      </c>
      <c r="C22" s="169">
        <v>16.2</v>
      </c>
      <c r="D22" s="169">
        <v>9</v>
      </c>
      <c r="E22" s="169">
        <v>11.6</v>
      </c>
      <c r="F22" s="169">
        <v>4.8</v>
      </c>
      <c r="G22" s="160">
        <f t="shared" si="0"/>
        <v>41.599999999999994</v>
      </c>
    </row>
    <row r="23" spans="2:12" ht="12.75" customHeight="1" x14ac:dyDescent="0.2">
      <c r="B23" s="79">
        <v>2007</v>
      </c>
      <c r="C23" s="169">
        <v>15.5</v>
      </c>
      <c r="D23" s="169">
        <v>9.6999999999999993</v>
      </c>
      <c r="E23" s="169">
        <v>13.3</v>
      </c>
      <c r="F23" s="169">
        <v>5.7</v>
      </c>
      <c r="G23" s="160">
        <f t="shared" si="0"/>
        <v>44.2</v>
      </c>
    </row>
    <row r="24" spans="2:12" ht="12.75" customHeight="1" x14ac:dyDescent="0.2">
      <c r="B24" s="79">
        <v>2008</v>
      </c>
      <c r="C24" s="169">
        <v>15.5</v>
      </c>
      <c r="D24" s="169">
        <v>9.9</v>
      </c>
      <c r="E24" s="169">
        <v>14</v>
      </c>
      <c r="F24" s="169">
        <v>4.5999999999999996</v>
      </c>
      <c r="G24" s="160">
        <f t="shared" si="0"/>
        <v>44</v>
      </c>
    </row>
    <row r="25" spans="2:12" ht="15" customHeight="1" x14ac:dyDescent="0.2">
      <c r="B25" s="79">
        <v>2009</v>
      </c>
      <c r="C25" s="169">
        <v>11.6</v>
      </c>
      <c r="D25" s="169">
        <v>9.1999999999999993</v>
      </c>
      <c r="E25" s="169">
        <v>13.1</v>
      </c>
      <c r="F25" s="169">
        <v>2.4</v>
      </c>
      <c r="G25" s="160">
        <f t="shared" ref="G25:G31" si="1">SUM(C25:F25)</f>
        <v>36.299999999999997</v>
      </c>
    </row>
    <row r="26" spans="2:12" s="187" customFormat="1" ht="15" customHeight="1" x14ac:dyDescent="0.2">
      <c r="B26" s="79">
        <v>2010</v>
      </c>
      <c r="C26" s="169">
        <v>14.4</v>
      </c>
      <c r="D26" s="169">
        <v>9.6</v>
      </c>
      <c r="E26" s="169">
        <v>14.4</v>
      </c>
      <c r="F26" s="169">
        <v>3</v>
      </c>
      <c r="G26" s="160">
        <f t="shared" si="1"/>
        <v>41.4</v>
      </c>
    </row>
    <row r="27" spans="2:12" s="210" customFormat="1" ht="15" customHeight="1" x14ac:dyDescent="0.2">
      <c r="B27" s="79">
        <v>2011</v>
      </c>
      <c r="C27" s="169">
        <v>14.4</v>
      </c>
      <c r="D27" s="169">
        <v>11.3</v>
      </c>
      <c r="E27" s="169">
        <v>14.1</v>
      </c>
      <c r="F27" s="169">
        <v>3.4</v>
      </c>
      <c r="G27" s="160">
        <f t="shared" si="1"/>
        <v>43.2</v>
      </c>
      <c r="J27" s="1"/>
    </row>
    <row r="28" spans="2:12" ht="12" customHeight="1" x14ac:dyDescent="0.2">
      <c r="B28" s="79">
        <v>2012</v>
      </c>
      <c r="C28" s="169">
        <v>13.9</v>
      </c>
      <c r="D28" s="169">
        <v>9.8000000000000007</v>
      </c>
      <c r="E28" s="169">
        <v>11.2</v>
      </c>
      <c r="F28" s="169">
        <v>3.4</v>
      </c>
      <c r="G28" s="160">
        <f t="shared" si="1"/>
        <v>38.300000000000004</v>
      </c>
    </row>
    <row r="29" spans="2:12" s="322" customFormat="1" ht="12" customHeight="1" x14ac:dyDescent="0.2">
      <c r="B29" s="79">
        <v>2013</v>
      </c>
      <c r="C29" s="169">
        <f>15.0445</f>
        <v>15.044499999999999</v>
      </c>
      <c r="D29" s="169">
        <v>10.130100000000001</v>
      </c>
      <c r="E29" s="169">
        <f>11.7016</f>
        <v>11.701599999999999</v>
      </c>
      <c r="F29" s="169">
        <v>3.2448000000000001</v>
      </c>
      <c r="G29" s="160">
        <f t="shared" si="1"/>
        <v>40.120999999999995</v>
      </c>
      <c r="J29" s="707"/>
    </row>
    <row r="30" spans="2:12" s="402" customFormat="1" ht="13.5" customHeight="1" x14ac:dyDescent="0.2">
      <c r="B30" s="420">
        <v>2014</v>
      </c>
      <c r="C30" s="169">
        <f>15.5863</f>
        <v>15.5863</v>
      </c>
      <c r="D30" s="169">
        <v>10.4625</v>
      </c>
      <c r="E30" s="169">
        <v>11.9261</v>
      </c>
      <c r="F30" s="169">
        <v>3.2989000000000002</v>
      </c>
      <c r="G30" s="81">
        <f t="shared" si="1"/>
        <v>41.273800000000001</v>
      </c>
      <c r="J30" s="1"/>
    </row>
    <row r="31" spans="2:12" ht="12.75" customHeight="1" x14ac:dyDescent="0.2">
      <c r="B31" s="420">
        <v>2015</v>
      </c>
      <c r="C31" s="169">
        <v>15.2506</v>
      </c>
      <c r="D31" s="169">
        <v>11.6882</v>
      </c>
      <c r="E31" s="169">
        <v>12.560700000000001</v>
      </c>
      <c r="F31" s="169">
        <v>3.1655000000000002</v>
      </c>
      <c r="G31" s="81">
        <f t="shared" si="1"/>
        <v>42.664999999999999</v>
      </c>
      <c r="J31" s="1"/>
    </row>
    <row r="32" spans="2:12" s="457" customFormat="1" ht="12.75" customHeight="1" x14ac:dyDescent="0.2">
      <c r="B32" s="420">
        <v>2016</v>
      </c>
      <c r="C32" s="169">
        <v>15.309200000000001</v>
      </c>
      <c r="D32" s="169">
        <v>13.5351</v>
      </c>
      <c r="E32" s="169">
        <v>13.402100000000001</v>
      </c>
      <c r="F32" s="169">
        <v>2.9182000000000001</v>
      </c>
      <c r="G32" s="81">
        <v>45.1646</v>
      </c>
      <c r="L32" s="1"/>
    </row>
    <row r="33" spans="1:20" ht="12.75" customHeight="1" x14ac:dyDescent="0.2">
      <c r="B33" s="420">
        <v>2017</v>
      </c>
      <c r="C33" s="169">
        <v>13.561999999999999</v>
      </c>
      <c r="D33" s="169">
        <v>13.589</v>
      </c>
      <c r="E33" s="169">
        <v>13.81</v>
      </c>
      <c r="F33" s="169">
        <v>2.7389999999999999</v>
      </c>
      <c r="G33" s="81">
        <f>SUM(C33:F33)</f>
        <v>43.699999999999996</v>
      </c>
    </row>
    <row r="34" spans="1:20" ht="15" customHeight="1" x14ac:dyDescent="0.2">
      <c r="B34" s="420">
        <v>2018</v>
      </c>
      <c r="C34" s="169">
        <v>15.32</v>
      </c>
      <c r="D34" s="169">
        <v>12.608000000000001</v>
      </c>
      <c r="E34" s="169">
        <v>14.048</v>
      </c>
      <c r="F34" s="169">
        <v>2.6349999999999998</v>
      </c>
      <c r="G34" s="160">
        <f>SUM(C34:F34)</f>
        <v>44.610999999999997</v>
      </c>
    </row>
    <row r="35" spans="1:20" s="810" customFormat="1" ht="15" customHeight="1" x14ac:dyDescent="0.2">
      <c r="B35" s="420">
        <v>2019</v>
      </c>
      <c r="C35" s="169">
        <v>15.11</v>
      </c>
      <c r="D35" s="828">
        <f>11.538</f>
        <v>11.538</v>
      </c>
      <c r="E35" s="169">
        <f>13.78</f>
        <v>13.78</v>
      </c>
      <c r="F35" s="828">
        <f>2.863</f>
        <v>2.863</v>
      </c>
      <c r="G35" s="81">
        <f>SUM(C35:F35)</f>
        <v>43.290999999999997</v>
      </c>
    </row>
    <row r="36" spans="1:20" s="750" customFormat="1" ht="15" customHeight="1" x14ac:dyDescent="0.2">
      <c r="A36" s="1"/>
      <c r="B36" s="420">
        <v>2020</v>
      </c>
      <c r="C36" s="169">
        <f>15291.2/1000</f>
        <v>15.2912</v>
      </c>
      <c r="D36" s="828">
        <f>9716.4/1000</f>
        <v>9.7164000000000001</v>
      </c>
      <c r="E36" s="169">
        <v>13.6</v>
      </c>
      <c r="F36" s="828">
        <f>2406/1000</f>
        <v>2.4060000000000001</v>
      </c>
      <c r="G36" s="81">
        <f>SUM(C36:F36)</f>
        <v>41.013599999999997</v>
      </c>
    </row>
    <row r="37" spans="1:20" s="891" customFormat="1" ht="15" customHeight="1" x14ac:dyDescent="0.2">
      <c r="A37" s="892"/>
      <c r="B37" s="983">
        <v>2021</v>
      </c>
      <c r="C37" s="770">
        <f>17913.5/1000</f>
        <v>17.913499999999999</v>
      </c>
      <c r="D37" s="770">
        <f>10442/1000</f>
        <v>10.442</v>
      </c>
      <c r="E37" s="829">
        <f>14911.8/1000</f>
        <v>14.911799999999999</v>
      </c>
      <c r="F37" s="829">
        <f>2677.3/1000</f>
        <v>2.6773000000000002</v>
      </c>
      <c r="G37" s="544">
        <f>SUM(C37:F37)</f>
        <v>45.944600000000001</v>
      </c>
      <c r="H37" s="502"/>
    </row>
    <row r="38" spans="1:20" ht="18" customHeight="1" x14ac:dyDescent="0.2">
      <c r="B38" s="1"/>
      <c r="D38" s="733"/>
      <c r="E38" s="733"/>
      <c r="F38" s="733"/>
      <c r="G38" s="733"/>
      <c r="H38" s="92"/>
    </row>
    <row r="39" spans="1:20" ht="20.100000000000001" customHeight="1" x14ac:dyDescent="0.2">
      <c r="B39" s="170"/>
      <c r="C39" s="1211" t="s">
        <v>227</v>
      </c>
      <c r="D39" s="1212"/>
      <c r="E39" s="1212"/>
      <c r="F39" s="1212"/>
      <c r="G39" s="1213"/>
    </row>
    <row r="40" spans="1:20" ht="17.25" customHeight="1" x14ac:dyDescent="0.2">
      <c r="B40" s="125" t="s">
        <v>1</v>
      </c>
      <c r="C40" s="984">
        <f>(POWER((C16/C8),1/15)-1)</f>
        <v>2.7399659063716442E-2</v>
      </c>
      <c r="D40" s="984">
        <f>(POWER((D16/D8),1/15)-1)</f>
        <v>2.056743010068951E-2</v>
      </c>
      <c r="E40" s="984">
        <f>(POWER((E16/E8),1/15)-1)</f>
        <v>4.1904929963260784E-2</v>
      </c>
      <c r="F40" s="984">
        <f>(POWER((F16/F8),1/15)-1)</f>
        <v>9.1656955838732568E-3</v>
      </c>
      <c r="G40" s="830">
        <f>(POWER((G16/G8),1/15)-1)</f>
        <v>2.4918174951352734E-2</v>
      </c>
    </row>
    <row r="41" spans="1:20" ht="12.75" customHeight="1" x14ac:dyDescent="0.2">
      <c r="B41" s="221" t="s">
        <v>655</v>
      </c>
      <c r="C41" s="985">
        <f>(POWER((C37/C16),1/21)-1)</f>
        <v>3.0606615332946507E-3</v>
      </c>
      <c r="D41" s="985">
        <f t="shared" ref="D41:G41" si="2">(POWER((D37/D16),1/21)-1)</f>
        <v>4.9312306334502898E-2</v>
      </c>
      <c r="E41" s="985">
        <f t="shared" si="2"/>
        <v>2.5990577379234603E-2</v>
      </c>
      <c r="F41" s="985">
        <f t="shared" si="2"/>
        <v>-5.4053446171150599E-2</v>
      </c>
      <c r="G41" s="831">
        <f t="shared" si="2"/>
        <v>9.2080984917277675E-3</v>
      </c>
    </row>
    <row r="42" spans="1:20" x14ac:dyDescent="0.2">
      <c r="B42" s="190" t="s">
        <v>656</v>
      </c>
      <c r="C42" s="986">
        <f>(C37/C36-1)</f>
        <v>0.17149079208956786</v>
      </c>
      <c r="D42" s="986">
        <f t="shared" ref="D42:G42" si="3">(D37/D36-1)</f>
        <v>7.4677864229550028E-2</v>
      </c>
      <c r="E42" s="986">
        <f t="shared" si="3"/>
        <v>9.6455882352941114E-2</v>
      </c>
      <c r="F42" s="986">
        <f t="shared" si="3"/>
        <v>0.11275976724854542</v>
      </c>
      <c r="G42" s="831">
        <f t="shared" si="3"/>
        <v>0.12022841203893364</v>
      </c>
      <c r="T42" s="192"/>
    </row>
    <row r="43" spans="1:20" x14ac:dyDescent="0.2">
      <c r="B43" s="1205" t="s">
        <v>324</v>
      </c>
      <c r="C43" s="1208"/>
      <c r="D43" s="1208"/>
      <c r="E43" s="1208"/>
      <c r="F43" s="1208"/>
      <c r="G43" s="1208"/>
      <c r="T43" s="192"/>
    </row>
    <row r="44" spans="1:20" ht="15.75" x14ac:dyDescent="0.2">
      <c r="B44" s="11"/>
      <c r="C44" s="11"/>
      <c r="D44" s="11"/>
      <c r="E44" s="11"/>
      <c r="F44" s="11"/>
      <c r="G44" s="11"/>
      <c r="T44" s="192"/>
    </row>
    <row r="46" spans="1:20" x14ac:dyDescent="0.2">
      <c r="C46" s="193"/>
    </row>
  </sheetData>
  <mergeCells count="10">
    <mergeCell ref="B43:G43"/>
    <mergeCell ref="C1:D1"/>
    <mergeCell ref="B2:G2"/>
    <mergeCell ref="C3:G3"/>
    <mergeCell ref="C39:G39"/>
    <mergeCell ref="C4:G4"/>
    <mergeCell ref="C6:C7"/>
    <mergeCell ref="D6:D7"/>
    <mergeCell ref="E6:E7"/>
    <mergeCell ref="C5:D5"/>
  </mergeCells>
  <phoneticPr fontId="6" type="noConversion"/>
  <printOptions horizontalCentered="1"/>
  <pageMargins left="0.6692913385826772" right="0.6692913385826772" top="0.51181102362204722" bottom="0.27559055118110237"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A47"/>
  <sheetViews>
    <sheetView zoomScaleNormal="100" workbookViewId="0">
      <selection activeCell="AM16" sqref="AM16"/>
    </sheetView>
  </sheetViews>
  <sheetFormatPr defaultRowHeight="12.75" x14ac:dyDescent="0.2"/>
  <cols>
    <col min="1" max="1" width="5.42578125" style="891" customWidth="1"/>
    <col min="2" max="2" width="22.140625" style="891" customWidth="1"/>
    <col min="3" max="3" width="4.28515625" style="743" customWidth="1"/>
    <col min="4" max="4" width="7.5703125" style="891" customWidth="1"/>
    <col min="5" max="5" width="6.42578125" style="891" customWidth="1"/>
    <col min="6" max="7" width="8.28515625" style="891" customWidth="1"/>
    <col min="8" max="8" width="7.5703125" style="891" customWidth="1"/>
    <col min="9" max="9" width="7.7109375" style="891" customWidth="1"/>
    <col min="10" max="10" width="7.5703125" style="891" customWidth="1"/>
    <col min="11" max="19" width="7.140625" style="891" customWidth="1"/>
    <col min="20" max="21" width="6.5703125" style="891" customWidth="1"/>
    <col min="22" max="24" width="7.28515625" style="891" customWidth="1"/>
    <col min="25" max="25" width="6.140625" style="891" customWidth="1"/>
    <col min="26" max="26" width="6.85546875" style="891" customWidth="1"/>
    <col min="27" max="27" width="7" style="665" customWidth="1"/>
    <col min="28" max="16384" width="9.140625" style="891"/>
  </cols>
  <sheetData>
    <row r="1" spans="1:27" ht="14.25" customHeight="1" x14ac:dyDescent="0.2">
      <c r="C1" s="1063"/>
      <c r="D1" s="1063"/>
      <c r="E1" s="1063"/>
      <c r="F1" s="1063"/>
      <c r="G1" s="1063"/>
      <c r="H1" s="1063"/>
      <c r="I1" s="1063"/>
      <c r="J1" s="1063"/>
      <c r="K1" s="1063"/>
      <c r="L1" s="1063"/>
      <c r="M1" s="1063"/>
      <c r="N1" s="1063"/>
      <c r="O1" s="1063"/>
      <c r="P1" s="1063"/>
      <c r="Q1" s="1063"/>
      <c r="R1" s="1063"/>
      <c r="S1" s="1063"/>
      <c r="T1" s="1063"/>
      <c r="U1" s="1063"/>
      <c r="V1" s="1063"/>
      <c r="W1" s="1063"/>
      <c r="X1" s="1063"/>
      <c r="Y1" s="1063"/>
      <c r="Z1" s="1063"/>
      <c r="AA1" s="1063" t="s">
        <v>250</v>
      </c>
    </row>
    <row r="2" spans="1:27" ht="30" customHeight="1" x14ac:dyDescent="0.2">
      <c r="B2" s="1079" t="s">
        <v>419</v>
      </c>
      <c r="C2" s="1079"/>
      <c r="D2" s="1079"/>
      <c r="E2" s="1079"/>
      <c r="F2" s="1079"/>
      <c r="G2" s="1079"/>
      <c r="H2" s="1079"/>
      <c r="I2" s="1079"/>
      <c r="J2" s="1079"/>
      <c r="K2" s="1079"/>
      <c r="L2" s="1079"/>
      <c r="M2" s="1079"/>
      <c r="N2" s="1079"/>
      <c r="O2" s="1079"/>
      <c r="P2" s="1079"/>
      <c r="Q2" s="1079"/>
      <c r="R2" s="1079"/>
      <c r="S2" s="1079"/>
      <c r="T2" s="1079"/>
      <c r="U2" s="1079"/>
      <c r="V2" s="1079"/>
      <c r="W2" s="1079"/>
      <c r="X2" s="1079"/>
      <c r="Y2" s="1079"/>
      <c r="Z2" s="1079"/>
      <c r="AA2" s="1079"/>
    </row>
    <row r="3" spans="1:27" ht="15" customHeight="1" x14ac:dyDescent="0.2">
      <c r="B3" s="1080" t="s">
        <v>224</v>
      </c>
      <c r="C3" s="1080"/>
      <c r="D3" s="1080"/>
      <c r="E3" s="1080"/>
      <c r="F3" s="1080"/>
      <c r="G3" s="1080"/>
      <c r="H3" s="1080"/>
      <c r="I3" s="1080"/>
      <c r="J3" s="1080"/>
      <c r="K3" s="1080"/>
      <c r="L3" s="1080"/>
      <c r="M3" s="1080"/>
      <c r="N3" s="1080"/>
      <c r="O3" s="1080"/>
      <c r="P3" s="1080"/>
      <c r="Q3" s="1080"/>
      <c r="R3" s="1080"/>
      <c r="S3" s="1080"/>
      <c r="T3" s="1080"/>
      <c r="U3" s="1080"/>
      <c r="V3" s="1080"/>
      <c r="W3" s="1080"/>
      <c r="X3" s="1080"/>
      <c r="Y3" s="1080"/>
      <c r="Z3" s="1080"/>
      <c r="AA3" s="1080"/>
    </row>
    <row r="4" spans="1:27" ht="12" customHeight="1" x14ac:dyDescent="0.2">
      <c r="B4" s="1081" t="s">
        <v>297</v>
      </c>
      <c r="C4" s="1081"/>
      <c r="D4" s="1081"/>
      <c r="E4" s="1081"/>
      <c r="F4" s="1081"/>
      <c r="G4" s="1081"/>
      <c r="H4" s="1081"/>
      <c r="I4" s="1081"/>
      <c r="J4" s="1081"/>
      <c r="K4" s="1081"/>
      <c r="L4" s="1081"/>
      <c r="M4" s="1081"/>
      <c r="N4" s="1081"/>
      <c r="O4" s="1081"/>
      <c r="P4" s="1081"/>
      <c r="Q4" s="1081"/>
      <c r="R4" s="1081"/>
      <c r="S4" s="1081"/>
      <c r="T4" s="1081"/>
      <c r="U4" s="1081"/>
      <c r="V4" s="1081"/>
      <c r="W4" s="1081"/>
      <c r="X4" s="1081"/>
      <c r="Y4" s="1081"/>
      <c r="Z4" s="1081"/>
      <c r="AA4" s="154"/>
    </row>
    <row r="5" spans="1:27" ht="12" customHeight="1" x14ac:dyDescent="0.2">
      <c r="A5" s="1083" t="s">
        <v>225</v>
      </c>
      <c r="B5" s="1084" t="s">
        <v>4</v>
      </c>
      <c r="C5" s="738"/>
      <c r="D5" s="1087">
        <v>1990</v>
      </c>
      <c r="E5" s="1090">
        <v>2000</v>
      </c>
      <c r="F5" s="878"/>
      <c r="G5" s="878"/>
      <c r="H5" s="878"/>
      <c r="I5" s="878"/>
      <c r="J5" s="1090">
        <v>2005</v>
      </c>
      <c r="K5" s="1090">
        <v>2006</v>
      </c>
      <c r="L5" s="1090">
        <v>2007</v>
      </c>
      <c r="M5" s="1090">
        <v>2008</v>
      </c>
      <c r="N5" s="878"/>
      <c r="O5" s="878"/>
      <c r="P5" s="878"/>
      <c r="Q5" s="878"/>
      <c r="R5" s="878"/>
      <c r="S5" s="878"/>
      <c r="T5" s="878"/>
      <c r="U5" s="878"/>
      <c r="V5" s="878"/>
      <c r="W5" s="878"/>
      <c r="X5" s="878"/>
      <c r="Y5" s="878"/>
      <c r="Z5" s="897"/>
      <c r="AA5" s="60" t="s">
        <v>213</v>
      </c>
    </row>
    <row r="6" spans="1:27" ht="12" customHeight="1" x14ac:dyDescent="0.2">
      <c r="A6" s="1083"/>
      <c r="B6" s="1085"/>
      <c r="C6" s="739"/>
      <c r="D6" s="1088"/>
      <c r="E6" s="1091"/>
      <c r="F6" s="928">
        <v>2001</v>
      </c>
      <c r="G6" s="928">
        <v>2002</v>
      </c>
      <c r="H6" s="928">
        <v>2003</v>
      </c>
      <c r="I6" s="928">
        <v>2004</v>
      </c>
      <c r="J6" s="1091"/>
      <c r="K6" s="1091"/>
      <c r="L6" s="1091"/>
      <c r="M6" s="1091"/>
      <c r="N6" s="928">
        <v>2009</v>
      </c>
      <c r="O6" s="928">
        <v>2010</v>
      </c>
      <c r="P6" s="928">
        <v>2011</v>
      </c>
      <c r="Q6" s="928">
        <v>2012</v>
      </c>
      <c r="R6" s="928">
        <v>2013</v>
      </c>
      <c r="S6" s="928">
        <v>2014</v>
      </c>
      <c r="T6" s="928">
        <v>2015</v>
      </c>
      <c r="U6" s="928">
        <v>2016</v>
      </c>
      <c r="V6" s="928">
        <v>2017</v>
      </c>
      <c r="W6" s="928">
        <v>2018</v>
      </c>
      <c r="X6" s="928">
        <v>2019</v>
      </c>
      <c r="Y6" s="928">
        <v>2020</v>
      </c>
      <c r="Z6" s="531">
        <v>2021</v>
      </c>
      <c r="AA6" s="100" t="s">
        <v>552</v>
      </c>
    </row>
    <row r="7" spans="1:27" ht="12" customHeight="1" x14ac:dyDescent="0.2">
      <c r="A7" s="1083"/>
      <c r="B7" s="1086"/>
      <c r="C7" s="740"/>
      <c r="D7" s="1089"/>
      <c r="E7" s="1092"/>
      <c r="F7" s="879"/>
      <c r="G7" s="879"/>
      <c r="H7" s="879"/>
      <c r="I7" s="879"/>
      <c r="J7" s="1092"/>
      <c r="K7" s="1092"/>
      <c r="L7" s="1092"/>
      <c r="M7" s="1092"/>
      <c r="N7" s="879"/>
      <c r="O7" s="879"/>
      <c r="P7" s="879"/>
      <c r="Q7" s="879"/>
      <c r="R7" s="879"/>
      <c r="S7" s="879"/>
      <c r="T7" s="879"/>
      <c r="U7" s="879"/>
      <c r="V7" s="879"/>
      <c r="W7" s="879"/>
      <c r="X7" s="879"/>
      <c r="Y7" s="879"/>
      <c r="Z7" s="532"/>
      <c r="AA7" s="664" t="s">
        <v>119</v>
      </c>
    </row>
    <row r="8" spans="1:27" ht="12.95" customHeight="1" x14ac:dyDescent="0.2">
      <c r="A8" s="149">
        <v>1</v>
      </c>
      <c r="B8" s="939" t="s">
        <v>567</v>
      </c>
      <c r="C8" s="940" t="s">
        <v>110</v>
      </c>
      <c r="D8" s="941">
        <v>0.39900000000000002</v>
      </c>
      <c r="E8" s="941">
        <v>4.7720000000000002</v>
      </c>
      <c r="F8" s="941">
        <v>4.9889999999999999</v>
      </c>
      <c r="G8" s="942">
        <v>7.2519999999999998</v>
      </c>
      <c r="H8" s="941">
        <v>10.849805000000002</v>
      </c>
      <c r="I8" s="941">
        <v>16.775273000000002</v>
      </c>
      <c r="J8" s="942">
        <v>31.205019999999998</v>
      </c>
      <c r="K8" s="941">
        <v>30.301518000000002</v>
      </c>
      <c r="L8" s="941">
        <v>40.117581999999999</v>
      </c>
      <c r="M8" s="942">
        <v>50.858527000000002</v>
      </c>
      <c r="N8" s="941">
        <v>63.076487999999991</v>
      </c>
      <c r="O8" s="941">
        <v>72.149288999999996</v>
      </c>
      <c r="P8" s="942">
        <v>85.690343999999996</v>
      </c>
      <c r="Q8" s="941">
        <v>94.262383</v>
      </c>
      <c r="R8" s="941">
        <v>96.323750000000004</v>
      </c>
      <c r="S8" s="942">
        <v>103.73291400000001</v>
      </c>
      <c r="T8" s="941">
        <v>130.56391577599999</v>
      </c>
      <c r="U8" s="941">
        <v>148.64424959999999</v>
      </c>
      <c r="V8" s="941">
        <v>162.54438604800001</v>
      </c>
      <c r="W8" s="942">
        <v>176.95139430399999</v>
      </c>
      <c r="X8" s="941">
        <v>182.55600000000001</v>
      </c>
      <c r="Y8" s="941">
        <v>34.981998591999997</v>
      </c>
      <c r="Z8" s="943">
        <v>120.562999296</v>
      </c>
      <c r="AA8" s="944">
        <f>Z8/Y8*100-100</f>
        <v>244.64297109534346</v>
      </c>
    </row>
    <row r="9" spans="1:27" ht="12.95" customHeight="1" x14ac:dyDescent="0.2">
      <c r="A9" s="149">
        <v>2</v>
      </c>
      <c r="B9" s="425" t="s">
        <v>455</v>
      </c>
      <c r="C9" s="741" t="s">
        <v>101</v>
      </c>
      <c r="D9" s="945">
        <v>5.7889999999999997</v>
      </c>
      <c r="E9" s="945">
        <v>17.396000000000001</v>
      </c>
      <c r="F9" s="945">
        <v>15.679</v>
      </c>
      <c r="G9" s="945">
        <v>16.594000000000001</v>
      </c>
      <c r="H9" s="945">
        <v>16.112000000000002</v>
      </c>
      <c r="I9" s="945">
        <v>18.595000000000002</v>
      </c>
      <c r="J9" s="945">
        <v>21.318000000000001</v>
      </c>
      <c r="K9" s="945">
        <v>24.334800999999999</v>
      </c>
      <c r="L9" s="945">
        <v>30.252000000000002</v>
      </c>
      <c r="M9" s="945">
        <v>34.265999999999998</v>
      </c>
      <c r="N9" s="945">
        <v>40.129391000000005</v>
      </c>
      <c r="O9" s="945">
        <v>47.949897999999997</v>
      </c>
      <c r="P9" s="945">
        <v>58.940902000000001</v>
      </c>
      <c r="Q9" s="945">
        <v>74.658007999999995</v>
      </c>
      <c r="R9" s="945">
        <v>92.000281000000001</v>
      </c>
      <c r="S9" s="945">
        <v>106.913336</v>
      </c>
      <c r="T9" s="945">
        <v>119.371923456</v>
      </c>
      <c r="U9" s="945">
        <v>126.90303385599999</v>
      </c>
      <c r="V9" s="945">
        <v>136.92737126399999</v>
      </c>
      <c r="W9" s="945">
        <v>149.13134592</v>
      </c>
      <c r="X9" s="945">
        <v>153.18623846400001</v>
      </c>
      <c r="Y9" s="945">
        <v>53.252476928</v>
      </c>
      <c r="Z9" s="533">
        <v>86.707650560000005</v>
      </c>
      <c r="AA9" s="718">
        <f t="shared" ref="AA9:AA37" si="0">Z9/Y9*100-100</f>
        <v>62.823694900113424</v>
      </c>
    </row>
    <row r="10" spans="1:27" ht="12.95" customHeight="1" x14ac:dyDescent="0.2">
      <c r="A10" s="149">
        <v>3</v>
      </c>
      <c r="B10" s="946" t="s">
        <v>557</v>
      </c>
      <c r="C10" s="940" t="s">
        <v>109</v>
      </c>
      <c r="D10" s="941">
        <v>36.78</v>
      </c>
      <c r="E10" s="941">
        <v>91.847999999999999</v>
      </c>
      <c r="F10" s="941">
        <v>93.355000000000004</v>
      </c>
      <c r="G10" s="941">
        <v>94.827999999999989</v>
      </c>
      <c r="H10" s="941">
        <v>99.932000000000002</v>
      </c>
      <c r="I10" s="941">
        <v>105.281547</v>
      </c>
      <c r="J10" s="941">
        <v>115.16304700000001</v>
      </c>
      <c r="K10" s="941">
        <v>123.45803099999999</v>
      </c>
      <c r="L10" s="941">
        <v>128.87774199999998</v>
      </c>
      <c r="M10" s="941">
        <v>131.848906</v>
      </c>
      <c r="N10" s="941">
        <v>125.657242</v>
      </c>
      <c r="O10" s="941">
        <v>125.165469</v>
      </c>
      <c r="P10" s="941">
        <v>133.03629699999999</v>
      </c>
      <c r="Q10" s="941">
        <v>135.82395300000002</v>
      </c>
      <c r="R10" s="941">
        <v>136.43534399999999</v>
      </c>
      <c r="S10" s="941">
        <v>136.47481200000001</v>
      </c>
      <c r="T10" s="941">
        <v>142.486994944</v>
      </c>
      <c r="U10" s="941">
        <v>140.44700671999999</v>
      </c>
      <c r="V10" s="941">
        <v>144.941006848</v>
      </c>
      <c r="W10" s="941">
        <v>147.72900659199999</v>
      </c>
      <c r="X10" s="941">
        <v>154.032996352</v>
      </c>
      <c r="Y10" s="941">
        <v>47.338999807999997</v>
      </c>
      <c r="Z10" s="943">
        <v>60.180000767999999</v>
      </c>
      <c r="AA10" s="944">
        <f t="shared" si="0"/>
        <v>27.125627943305105</v>
      </c>
    </row>
    <row r="11" spans="1:27" ht="12.95" customHeight="1" x14ac:dyDescent="0.2">
      <c r="A11" s="149">
        <v>4</v>
      </c>
      <c r="B11" s="425" t="s">
        <v>371</v>
      </c>
      <c r="C11" s="741" t="s">
        <v>107</v>
      </c>
      <c r="D11" s="945">
        <v>41.966700000000003</v>
      </c>
      <c r="E11" s="945">
        <v>92.16</v>
      </c>
      <c r="F11" s="945">
        <v>90.38900000000001</v>
      </c>
      <c r="G11" s="945">
        <v>88.570000000000007</v>
      </c>
      <c r="H11" s="945">
        <v>90.707999999999998</v>
      </c>
      <c r="I11" s="945">
        <v>104.06399999999999</v>
      </c>
      <c r="J11" s="945">
        <v>108.18499999999999</v>
      </c>
      <c r="K11" s="945">
        <v>110.33</v>
      </c>
      <c r="L11" s="945">
        <v>117.65600000000001</v>
      </c>
      <c r="M11" s="945">
        <v>126.01400000000001</v>
      </c>
      <c r="N11" s="945">
        <v>123.02467200000001</v>
      </c>
      <c r="O11" s="945">
        <v>129.66800000000001</v>
      </c>
      <c r="P11" s="945">
        <v>147.84800000000001</v>
      </c>
      <c r="Q11" s="945">
        <v>149.887</v>
      </c>
      <c r="R11" s="945">
        <v>153.334</v>
      </c>
      <c r="S11" s="945">
        <v>156.82599999999999</v>
      </c>
      <c r="T11" s="945">
        <v>146.31700070400001</v>
      </c>
      <c r="U11" s="945">
        <v>145.87800780800001</v>
      </c>
      <c r="V11" s="945">
        <v>153.168003072</v>
      </c>
      <c r="W11" s="945">
        <v>160.07400652800001</v>
      </c>
      <c r="X11" s="945">
        <v>175.71930112000001</v>
      </c>
      <c r="Y11" s="945">
        <v>40.064</v>
      </c>
      <c r="Z11" s="533">
        <v>50.067001343999998</v>
      </c>
      <c r="AA11" s="718">
        <f t="shared" si="0"/>
        <v>24.967555271565487</v>
      </c>
    </row>
    <row r="12" spans="1:27" ht="12.95" customHeight="1" x14ac:dyDescent="0.2">
      <c r="A12" s="149">
        <v>5</v>
      </c>
      <c r="B12" s="946" t="s">
        <v>558</v>
      </c>
      <c r="C12" s="940" t="s">
        <v>93</v>
      </c>
      <c r="D12" s="941"/>
      <c r="E12" s="941"/>
      <c r="F12" s="941"/>
      <c r="G12" s="941"/>
      <c r="H12" s="941"/>
      <c r="I12" s="941"/>
      <c r="J12" s="941"/>
      <c r="K12" s="941"/>
      <c r="L12" s="941">
        <v>4.8044579999999995</v>
      </c>
      <c r="M12" s="941">
        <v>7.2707520000000008</v>
      </c>
      <c r="N12" s="941">
        <v>9.8903999999999996</v>
      </c>
      <c r="O12" s="941">
        <v>12.2784</v>
      </c>
      <c r="P12" s="941">
        <v>13.976759999999999</v>
      </c>
      <c r="Q12" s="941">
        <v>16.441187999999997</v>
      </c>
      <c r="R12" s="941">
        <v>18.017150000000001</v>
      </c>
      <c r="S12" s="941">
        <v>20.867031000000001</v>
      </c>
      <c r="T12" s="941">
        <v>30.786117632</v>
      </c>
      <c r="U12" s="941">
        <v>37.627830271999997</v>
      </c>
      <c r="V12" s="941">
        <v>47.209680896000002</v>
      </c>
      <c r="W12" s="941">
        <v>55.993954303999999</v>
      </c>
      <c r="X12" s="941">
        <v>65.698201600000004</v>
      </c>
      <c r="Y12" s="941">
        <v>16.69156864</v>
      </c>
      <c r="Z12" s="943">
        <v>43.679178751999999</v>
      </c>
      <c r="AA12" s="944">
        <f t="shared" si="0"/>
        <v>161.68408550486004</v>
      </c>
    </row>
    <row r="13" spans="1:27" ht="12.95" customHeight="1" x14ac:dyDescent="0.2">
      <c r="A13" s="149">
        <v>6</v>
      </c>
      <c r="B13" s="425" t="s">
        <v>559</v>
      </c>
      <c r="C13" s="741" t="s">
        <v>104</v>
      </c>
      <c r="D13" s="945">
        <v>26.41</v>
      </c>
      <c r="E13" s="945">
        <v>60.335999999999999</v>
      </c>
      <c r="F13" s="945">
        <v>60.047000000000004</v>
      </c>
      <c r="G13" s="945">
        <v>58.446999999999996</v>
      </c>
      <c r="H13" s="945">
        <v>59.416999999999994</v>
      </c>
      <c r="I13" s="945">
        <v>63.027300999999994</v>
      </c>
      <c r="J13" s="945">
        <v>68.322226999999998</v>
      </c>
      <c r="K13" s="945">
        <v>71.769203000000005</v>
      </c>
      <c r="L13" s="945">
        <v>74.496234000000001</v>
      </c>
      <c r="M13" s="945">
        <v>77.529523000000012</v>
      </c>
      <c r="N13" s="945">
        <v>73.471952999999985</v>
      </c>
      <c r="O13" s="945">
        <v>76.064561999999995</v>
      </c>
      <c r="P13" s="945">
        <v>84.216999999999999</v>
      </c>
      <c r="Q13" s="945">
        <v>86.281382999999991</v>
      </c>
      <c r="R13" s="945">
        <v>89.039000000000001</v>
      </c>
      <c r="S13" s="945">
        <v>91.477358999999993</v>
      </c>
      <c r="T13" s="945">
        <v>93.227892736000001</v>
      </c>
      <c r="U13" s="945">
        <v>97.735999488000004</v>
      </c>
      <c r="V13" s="945">
        <v>103.48699648</v>
      </c>
      <c r="W13" s="945">
        <v>107.67600025599999</v>
      </c>
      <c r="X13" s="945">
        <v>109.47600384</v>
      </c>
      <c r="Y13" s="945">
        <v>33.873000447999999</v>
      </c>
      <c r="Z13" s="533">
        <v>40.911998976</v>
      </c>
      <c r="AA13" s="718">
        <f t="shared" si="0"/>
        <v>20.780558069563071</v>
      </c>
    </row>
    <row r="14" spans="1:27" ht="12.95" customHeight="1" x14ac:dyDescent="0.2">
      <c r="A14" s="149">
        <v>7</v>
      </c>
      <c r="B14" s="946" t="s">
        <v>372</v>
      </c>
      <c r="C14" s="940" t="s">
        <v>105</v>
      </c>
      <c r="D14" s="941">
        <v>66.965000000000003</v>
      </c>
      <c r="E14" s="941">
        <v>119.38499999999999</v>
      </c>
      <c r="F14" s="941">
        <v>123.19699999999999</v>
      </c>
      <c r="G14" s="941">
        <v>106.27</v>
      </c>
      <c r="H14" s="941">
        <v>100.11200000000001</v>
      </c>
      <c r="I14" s="941">
        <v>103.092</v>
      </c>
      <c r="J14" s="941">
        <v>107.89200000000001</v>
      </c>
      <c r="K14" s="941">
        <v>111.85899999999999</v>
      </c>
      <c r="L14" s="941">
        <v>112.851</v>
      </c>
      <c r="M14" s="941">
        <v>118.337</v>
      </c>
      <c r="N14" s="941">
        <v>112.371</v>
      </c>
      <c r="O14" s="941">
        <v>106.08200000000001</v>
      </c>
      <c r="P14" s="941">
        <v>117.348</v>
      </c>
      <c r="Q14" s="941">
        <v>126.43600000000001</v>
      </c>
      <c r="R14" s="941">
        <v>131.333</v>
      </c>
      <c r="S14" s="941">
        <v>138.43100000000001</v>
      </c>
      <c r="T14" s="941">
        <v>142.01600409599999</v>
      </c>
      <c r="U14" s="941">
        <v>144.39900774399999</v>
      </c>
      <c r="V14" s="941">
        <v>147.34100070400001</v>
      </c>
      <c r="W14" s="941">
        <v>152.177000448</v>
      </c>
      <c r="X14" s="941">
        <v>155.5800064</v>
      </c>
      <c r="Y14" s="941">
        <v>39.117000703999999</v>
      </c>
      <c r="Z14" s="943">
        <v>30.698000384</v>
      </c>
      <c r="AA14" s="944">
        <f t="shared" si="0"/>
        <v>-21.522612082932767</v>
      </c>
    </row>
    <row r="15" spans="1:27" ht="12.95" customHeight="1" x14ac:dyDescent="0.2">
      <c r="A15" s="149">
        <v>8</v>
      </c>
      <c r="B15" s="425" t="s">
        <v>373</v>
      </c>
      <c r="C15" s="741" t="s">
        <v>108</v>
      </c>
      <c r="D15" s="945">
        <v>22.11</v>
      </c>
      <c r="E15" s="945">
        <v>40.048999999999999</v>
      </c>
      <c r="F15" s="945">
        <v>41.39</v>
      </c>
      <c r="G15" s="945">
        <v>40.47</v>
      </c>
      <c r="H15" s="945">
        <v>42.1</v>
      </c>
      <c r="I15" s="945">
        <v>45.923999999999999</v>
      </c>
      <c r="J15" s="945">
        <v>49.06</v>
      </c>
      <c r="K15" s="945">
        <v>52.493000000000002</v>
      </c>
      <c r="L15" s="945">
        <v>54.228999999999999</v>
      </c>
      <c r="M15" s="945">
        <v>52.884999999999998</v>
      </c>
      <c r="N15" s="945">
        <v>49.612000000000002</v>
      </c>
      <c r="O15" s="945">
        <v>51.242000000000004</v>
      </c>
      <c r="P15" s="945">
        <v>51.268000000000001</v>
      </c>
      <c r="Q15" s="945">
        <v>49.663000000000004</v>
      </c>
      <c r="R15" s="945">
        <v>41.492999999999995</v>
      </c>
      <c r="S15" s="945">
        <v>42.686</v>
      </c>
      <c r="T15" s="947">
        <v>48.568999935999997</v>
      </c>
      <c r="U15" s="947">
        <v>51.071000576000003</v>
      </c>
      <c r="V15" s="947">
        <v>54.940999679999997</v>
      </c>
      <c r="W15" s="947">
        <v>58.274000895999997</v>
      </c>
      <c r="X15" s="947">
        <v>63.991001087999997</v>
      </c>
      <c r="Y15" s="947">
        <v>17.75699968</v>
      </c>
      <c r="Z15" s="857">
        <v>27.975999487999999</v>
      </c>
      <c r="AA15" s="718">
        <f t="shared" si="0"/>
        <v>57.549135508009414</v>
      </c>
    </row>
    <row r="16" spans="1:27" ht="12.95" customHeight="1" x14ac:dyDescent="0.2">
      <c r="A16" s="149">
        <v>9</v>
      </c>
      <c r="B16" s="425" t="s">
        <v>570</v>
      </c>
      <c r="C16" s="741" t="s">
        <v>105</v>
      </c>
      <c r="D16" s="945"/>
      <c r="E16" s="945">
        <v>3.9260000000000002</v>
      </c>
      <c r="F16" s="945">
        <v>5.9030000000000005</v>
      </c>
      <c r="G16" s="945">
        <v>9.2080000000000002</v>
      </c>
      <c r="H16" s="945">
        <v>17.734999999999999</v>
      </c>
      <c r="I16" s="945">
        <v>21.565999999999999</v>
      </c>
      <c r="J16" s="945">
        <v>27.448</v>
      </c>
      <c r="K16" s="945">
        <v>31.621000000000002</v>
      </c>
      <c r="L16" s="945">
        <v>36.975999999999999</v>
      </c>
      <c r="M16" s="945">
        <v>47.69</v>
      </c>
      <c r="N16" s="945">
        <v>50.565999999999995</v>
      </c>
      <c r="O16" s="945">
        <v>56.128</v>
      </c>
      <c r="P16" s="945">
        <v>61.346999999999994</v>
      </c>
      <c r="Q16" s="945">
        <v>65.227000000000004</v>
      </c>
      <c r="R16" s="945">
        <v>67.572999999999993</v>
      </c>
      <c r="S16" s="945">
        <v>72.933000000000007</v>
      </c>
      <c r="T16" s="945">
        <v>77.619003391999996</v>
      </c>
      <c r="U16" s="945">
        <v>81.495998463999996</v>
      </c>
      <c r="V16" s="945">
        <v>89.685000192000004</v>
      </c>
      <c r="W16" s="945">
        <v>98.521997311999996</v>
      </c>
      <c r="X16" s="945">
        <v>107.741003776</v>
      </c>
      <c r="Y16" s="945">
        <v>58.914000895999997</v>
      </c>
      <c r="Z16" s="533">
        <v>23.594000384000001</v>
      </c>
      <c r="AA16" s="718">
        <f t="shared" si="0"/>
        <v>-59.951794097891714</v>
      </c>
    </row>
    <row r="17" spans="1:27" ht="12.95" customHeight="1" x14ac:dyDescent="0.2">
      <c r="A17" s="149">
        <v>10</v>
      </c>
      <c r="B17" s="946" t="s">
        <v>325</v>
      </c>
      <c r="C17" s="940" t="s">
        <v>101</v>
      </c>
      <c r="D17" s="941"/>
      <c r="E17" s="941"/>
      <c r="F17" s="941"/>
      <c r="G17" s="941"/>
      <c r="H17" s="941"/>
      <c r="I17" s="941"/>
      <c r="J17" s="941"/>
      <c r="K17" s="941"/>
      <c r="L17" s="941">
        <v>4.6471179999999999</v>
      </c>
      <c r="M17" s="941">
        <v>5.2699720000000001</v>
      </c>
      <c r="N17" s="941">
        <v>5.9414579999999999</v>
      </c>
      <c r="O17" s="941">
        <v>10.661601000000001</v>
      </c>
      <c r="P17" s="941">
        <v>11.561693</v>
      </c>
      <c r="Q17" s="941">
        <v>12.703925999999999</v>
      </c>
      <c r="R17" s="941">
        <v>16.231280999999999</v>
      </c>
      <c r="S17" s="941">
        <v>18.298826000000002</v>
      </c>
      <c r="T17" s="941">
        <v>21.223415807999999</v>
      </c>
      <c r="U17" s="941">
        <v>24.720777215999998</v>
      </c>
      <c r="V17" s="941">
        <v>28.910376960000001</v>
      </c>
      <c r="W17" s="941">
        <v>30.03611136</v>
      </c>
      <c r="X17" s="941">
        <v>35.063656448000003</v>
      </c>
      <c r="Y17" s="941">
        <v>15.30400768</v>
      </c>
      <c r="Z17" s="943">
        <v>22.624094207999999</v>
      </c>
      <c r="AA17" s="944">
        <f t="shared" si="0"/>
        <v>47.831173905945121</v>
      </c>
    </row>
    <row r="18" spans="1:27" ht="12.95" customHeight="1" x14ac:dyDescent="0.2">
      <c r="A18" s="149">
        <v>11</v>
      </c>
      <c r="B18" s="425" t="s">
        <v>375</v>
      </c>
      <c r="C18" s="741" t="s">
        <v>108</v>
      </c>
      <c r="D18" s="945"/>
      <c r="E18" s="945"/>
      <c r="F18" s="945"/>
      <c r="G18" s="945"/>
      <c r="H18" s="945"/>
      <c r="I18" s="945">
        <v>0.315</v>
      </c>
      <c r="J18" s="945">
        <v>1.661497</v>
      </c>
      <c r="K18" s="945">
        <v>3.2527779999999997</v>
      </c>
      <c r="L18" s="945">
        <v>5.4770000000000003</v>
      </c>
      <c r="M18" s="945">
        <v>5.883</v>
      </c>
      <c r="N18" s="945">
        <v>7.5</v>
      </c>
      <c r="O18" s="945">
        <v>9.9320000000000004</v>
      </c>
      <c r="P18" s="945">
        <v>10.82</v>
      </c>
      <c r="Q18" s="945">
        <v>13.693</v>
      </c>
      <c r="R18" s="945">
        <v>17.108999999999998</v>
      </c>
      <c r="S18" s="945">
        <v>21.445</v>
      </c>
      <c r="T18" s="945">
        <v>24.775000064</v>
      </c>
      <c r="U18" s="945">
        <v>28.046000127999999</v>
      </c>
      <c r="V18" s="945">
        <v>29.124999167999999</v>
      </c>
      <c r="W18" s="945">
        <v>31.972999168000001</v>
      </c>
      <c r="X18" s="945">
        <v>33.410000896</v>
      </c>
      <c r="Y18" s="945">
        <v>9.1789998080000004</v>
      </c>
      <c r="Z18" s="533">
        <v>15.553999872</v>
      </c>
      <c r="AA18" s="718">
        <f t="shared" si="0"/>
        <v>69.452012172871378</v>
      </c>
    </row>
    <row r="19" spans="1:27" ht="12.95" customHeight="1" x14ac:dyDescent="0.2">
      <c r="A19" s="149">
        <v>12</v>
      </c>
      <c r="B19" s="946" t="s">
        <v>531</v>
      </c>
      <c r="C19" s="940" t="s">
        <v>326</v>
      </c>
      <c r="D19" s="941"/>
      <c r="E19" s="941">
        <v>3.4809999999999999</v>
      </c>
      <c r="F19" s="941">
        <v>3.1680000000000001</v>
      </c>
      <c r="G19" s="941">
        <v>23.612000000000002</v>
      </c>
      <c r="H19" s="941">
        <v>25.058999999999997</v>
      </c>
      <c r="I19" s="941">
        <v>21.303000000000001</v>
      </c>
      <c r="J19" s="941">
        <v>21.164394000000001</v>
      </c>
      <c r="K19" s="941">
        <v>22.749980000000001</v>
      </c>
      <c r="L19" s="941">
        <v>25.852229999999999</v>
      </c>
      <c r="M19" s="941">
        <v>28.866</v>
      </c>
      <c r="N19" s="941">
        <v>27.511000000000003</v>
      </c>
      <c r="O19" s="941">
        <v>29.521999999999998</v>
      </c>
      <c r="P19" s="941">
        <v>31.606000000000002</v>
      </c>
      <c r="Q19" s="941">
        <v>33.527000000000001</v>
      </c>
      <c r="R19" s="941">
        <v>35.092999999999996</v>
      </c>
      <c r="S19" s="941">
        <v>35.716999999999999</v>
      </c>
      <c r="T19" s="941">
        <v>40.047345663999998</v>
      </c>
      <c r="U19" s="941">
        <v>42.289999872000003</v>
      </c>
      <c r="V19" s="941">
        <v>45.593001983999997</v>
      </c>
      <c r="W19" s="941">
        <v>50.303029248000001</v>
      </c>
      <c r="X19" s="941">
        <v>53.12</v>
      </c>
      <c r="Y19" s="941">
        <v>13.068999679999999</v>
      </c>
      <c r="Z19" s="943">
        <v>15.006999552</v>
      </c>
      <c r="AA19" s="944">
        <f t="shared" si="0"/>
        <v>14.828984003770373</v>
      </c>
    </row>
    <row r="20" spans="1:27" ht="12.95" customHeight="1" x14ac:dyDescent="0.2">
      <c r="A20" s="149">
        <v>13</v>
      </c>
      <c r="B20" s="425" t="s">
        <v>456</v>
      </c>
      <c r="C20" s="741" t="s">
        <v>114</v>
      </c>
      <c r="D20" s="945">
        <v>6.85</v>
      </c>
      <c r="E20" s="945">
        <v>10.414</v>
      </c>
      <c r="F20" s="945">
        <v>10.456</v>
      </c>
      <c r="G20" s="945">
        <v>11.382999999999999</v>
      </c>
      <c r="H20" s="945">
        <v>12.013342</v>
      </c>
      <c r="I20" s="945">
        <v>13.641408</v>
      </c>
      <c r="J20" s="945">
        <v>14.536</v>
      </c>
      <c r="K20" s="945">
        <v>16.649000000000001</v>
      </c>
      <c r="L20" s="945">
        <v>19.134999999999998</v>
      </c>
      <c r="M20" s="945">
        <v>21.918679999999998</v>
      </c>
      <c r="N20" s="945">
        <v>21.07499</v>
      </c>
      <c r="O20" s="945">
        <v>23.650740000000003</v>
      </c>
      <c r="P20" s="945">
        <v>25.97</v>
      </c>
      <c r="Q20" s="945">
        <v>27.225999999999999</v>
      </c>
      <c r="R20" s="945">
        <v>28.151683999999999</v>
      </c>
      <c r="S20" s="945">
        <v>30.118641</v>
      </c>
      <c r="T20" s="945">
        <v>29.552336896</v>
      </c>
      <c r="U20" s="945">
        <v>28.536025087999999</v>
      </c>
      <c r="V20" s="945">
        <v>34.710999039999997</v>
      </c>
      <c r="W20" s="945">
        <v>38.047997952000003</v>
      </c>
      <c r="X20" s="945">
        <v>42.0649984</v>
      </c>
      <c r="Y20" s="945">
        <v>11.876174848</v>
      </c>
      <c r="Z20" s="533">
        <v>14.917000192</v>
      </c>
      <c r="AA20" s="718">
        <f t="shared" si="0"/>
        <v>25.60441710330737</v>
      </c>
    </row>
    <row r="21" spans="1:27" ht="12.95" customHeight="1" x14ac:dyDescent="0.2">
      <c r="A21" s="149">
        <v>14</v>
      </c>
      <c r="B21" s="946" t="s">
        <v>560</v>
      </c>
      <c r="C21" s="940" t="s">
        <v>101</v>
      </c>
      <c r="D21" s="941"/>
      <c r="E21" s="941"/>
      <c r="F21" s="941"/>
      <c r="G21" s="941"/>
      <c r="H21" s="941"/>
      <c r="I21" s="941"/>
      <c r="J21" s="941"/>
      <c r="K21" s="941"/>
      <c r="L21" s="941"/>
      <c r="M21" s="941">
        <v>1.0229999999999999</v>
      </c>
      <c r="N21" s="941">
        <v>1.6950000000000001</v>
      </c>
      <c r="O21" s="941">
        <v>3.6640000000000001</v>
      </c>
      <c r="P21" s="941">
        <v>3.9910000000000001</v>
      </c>
      <c r="Q21" s="941">
        <v>3.1909999999999998</v>
      </c>
      <c r="R21" s="941">
        <v>4.8369999999999997</v>
      </c>
      <c r="S21" s="941">
        <v>6.5190000000000001</v>
      </c>
      <c r="T21" s="941">
        <v>7.1960002559999996</v>
      </c>
      <c r="U21" s="941">
        <v>8.0979998720000008</v>
      </c>
      <c r="V21" s="941">
        <v>9.4590003199999995</v>
      </c>
      <c r="W21" s="941">
        <v>10.673999872</v>
      </c>
      <c r="X21" s="941">
        <v>9.8069995520000006</v>
      </c>
      <c r="Y21" s="941">
        <v>5.7030000640000003</v>
      </c>
      <c r="Z21" s="943">
        <v>12.401000448</v>
      </c>
      <c r="AA21" s="944">
        <f t="shared" si="0"/>
        <v>117.44696315682873</v>
      </c>
    </row>
    <row r="22" spans="1:27" ht="12.95" customHeight="1" x14ac:dyDescent="0.2">
      <c r="A22" s="149">
        <v>15</v>
      </c>
      <c r="B22" s="425" t="s">
        <v>295</v>
      </c>
      <c r="C22" s="741" t="s">
        <v>108</v>
      </c>
      <c r="D22" s="945"/>
      <c r="E22" s="945">
        <v>8.8310000000000013</v>
      </c>
      <c r="F22" s="945">
        <v>9.3699999999999992</v>
      </c>
      <c r="G22" s="945">
        <v>9.0329999999999995</v>
      </c>
      <c r="H22" s="945">
        <v>10.366525999999999</v>
      </c>
      <c r="I22" s="945">
        <v>11.630321</v>
      </c>
      <c r="J22" s="945">
        <v>13.442390999999999</v>
      </c>
      <c r="K22" s="945">
        <v>14.604621999999999</v>
      </c>
      <c r="L22" s="945">
        <v>17.064513999999999</v>
      </c>
      <c r="M22" s="945">
        <v>17.030971000000001</v>
      </c>
      <c r="N22" s="945">
        <v>16.223369999999999</v>
      </c>
      <c r="O22" s="945">
        <v>17.180085999999999</v>
      </c>
      <c r="P22" s="945">
        <v>17.712580000000003</v>
      </c>
      <c r="Q22" s="945">
        <v>17.579300999999997</v>
      </c>
      <c r="R22" s="945">
        <v>19.426959</v>
      </c>
      <c r="S22" s="945">
        <v>21.979509999999998</v>
      </c>
      <c r="T22" s="945">
        <v>22.501750783999999</v>
      </c>
      <c r="U22" s="945">
        <v>23.812911104000001</v>
      </c>
      <c r="V22" s="945">
        <v>25.354999807999999</v>
      </c>
      <c r="W22" s="945">
        <v>28.147488767999999</v>
      </c>
      <c r="X22" s="945">
        <v>30.690787327999999</v>
      </c>
      <c r="Y22" s="945">
        <v>9.0741104640000003</v>
      </c>
      <c r="Z22" s="533">
        <v>11.927124992</v>
      </c>
      <c r="AA22" s="718">
        <f t="shared" si="0"/>
        <v>31.44125850482925</v>
      </c>
    </row>
    <row r="23" spans="1:27" ht="12.95" customHeight="1" x14ac:dyDescent="0.2">
      <c r="A23" s="149">
        <v>16</v>
      </c>
      <c r="B23" s="946" t="s">
        <v>296</v>
      </c>
      <c r="C23" s="940" t="s">
        <v>101</v>
      </c>
      <c r="D23" s="941"/>
      <c r="E23" s="941">
        <v>1.9690000000000001</v>
      </c>
      <c r="F23" s="941">
        <v>2.6860000000000004</v>
      </c>
      <c r="G23" s="941">
        <v>2.5830000000000002</v>
      </c>
      <c r="H23" s="941">
        <v>2.7389999999999999</v>
      </c>
      <c r="I23" s="941">
        <v>3.097</v>
      </c>
      <c r="J23" s="941">
        <v>3.9380000000000002</v>
      </c>
      <c r="K23" s="941">
        <v>5.0618999999999996</v>
      </c>
      <c r="L23" s="941">
        <v>6.0510000000000002</v>
      </c>
      <c r="M23" s="941">
        <v>7.9569999999999999</v>
      </c>
      <c r="N23" s="941">
        <v>9.0960000000000001</v>
      </c>
      <c r="O23" s="941">
        <v>10.84</v>
      </c>
      <c r="P23" s="941">
        <v>12.045914000000002</v>
      </c>
      <c r="Q23" s="941">
        <v>10.398</v>
      </c>
      <c r="R23" s="941">
        <v>9.7765939999999993</v>
      </c>
      <c r="S23" s="941">
        <v>10.10699</v>
      </c>
      <c r="T23" s="941">
        <v>12.209980416000001</v>
      </c>
      <c r="U23" s="941">
        <v>11.808126976</v>
      </c>
      <c r="V23" s="941">
        <v>13.791409152</v>
      </c>
      <c r="W23" s="941">
        <v>15.205301248</v>
      </c>
      <c r="X23" s="941">
        <v>17.138701311999998</v>
      </c>
      <c r="Y23" s="941">
        <v>6.2460098559999997</v>
      </c>
      <c r="Z23" s="943">
        <v>11.894211584000001</v>
      </c>
      <c r="AA23" s="944">
        <f t="shared" si="0"/>
        <v>90.428959579278654</v>
      </c>
    </row>
    <row r="24" spans="1:27" ht="12.95" customHeight="1" x14ac:dyDescent="0.2">
      <c r="A24" s="149">
        <v>17</v>
      </c>
      <c r="B24" s="425" t="s">
        <v>572</v>
      </c>
      <c r="C24" s="741" t="s">
        <v>107</v>
      </c>
      <c r="D24" s="945"/>
      <c r="E24" s="945"/>
      <c r="F24" s="945"/>
      <c r="G24" s="945">
        <v>0.185</v>
      </c>
      <c r="H24" s="945">
        <v>1.8930039999999999</v>
      </c>
      <c r="I24" s="945">
        <v>2.9297240000000002</v>
      </c>
      <c r="J24" s="945">
        <v>4.5194650000000003</v>
      </c>
      <c r="K24" s="945">
        <v>5.9556509999999996</v>
      </c>
      <c r="L24" s="945">
        <v>7.0747819999999999</v>
      </c>
      <c r="M24" s="945">
        <v>6.8109459999999995</v>
      </c>
      <c r="N24" s="945">
        <v>6.2402579999999999</v>
      </c>
      <c r="O24" s="945">
        <v>6.9658819999999997</v>
      </c>
      <c r="P24" s="945">
        <v>6.7920449999999999</v>
      </c>
      <c r="Q24" s="945">
        <v>7.0304190000000002</v>
      </c>
      <c r="R24" s="945">
        <v>8.1368290000000005</v>
      </c>
      <c r="S24" s="945">
        <v>13.032978</v>
      </c>
      <c r="T24" s="945">
        <v>15.870000127999999</v>
      </c>
      <c r="U24" s="945">
        <v>20.106999808000001</v>
      </c>
      <c r="V24" s="945">
        <v>42.632900608</v>
      </c>
      <c r="W24" s="945">
        <v>52.634001408000003</v>
      </c>
      <c r="X24" s="945">
        <v>26.599290880000002</v>
      </c>
      <c r="Y24" s="945">
        <v>7.5010001920000002</v>
      </c>
      <c r="Z24" s="533">
        <v>10.24</v>
      </c>
      <c r="AA24" s="718">
        <f t="shared" si="0"/>
        <v>36.515127821503199</v>
      </c>
    </row>
    <row r="25" spans="1:27" ht="12.95" customHeight="1" x14ac:dyDescent="0.2">
      <c r="A25" s="149">
        <v>18</v>
      </c>
      <c r="B25" s="946" t="s">
        <v>292</v>
      </c>
      <c r="C25" s="940" t="s">
        <v>107</v>
      </c>
      <c r="D25" s="941"/>
      <c r="E25" s="941"/>
      <c r="F25" s="941">
        <v>21.353000000000002</v>
      </c>
      <c r="G25" s="941">
        <v>17.405999999999999</v>
      </c>
      <c r="H25" s="941">
        <v>20.107666000000002</v>
      </c>
      <c r="I25" s="941">
        <v>21.5199</v>
      </c>
      <c r="J25" s="941">
        <v>22.244609000000001</v>
      </c>
      <c r="K25" s="941">
        <v>22.945349999999998</v>
      </c>
      <c r="L25" s="941">
        <v>22.675288999999999</v>
      </c>
      <c r="M25" s="941">
        <v>21.752351999999998</v>
      </c>
      <c r="N25" s="941">
        <v>19.159234000000001</v>
      </c>
      <c r="O25" s="941">
        <v>19.887816000000001</v>
      </c>
      <c r="P25" s="941">
        <v>21.55735</v>
      </c>
      <c r="Q25" s="941">
        <v>23.778856999999999</v>
      </c>
      <c r="R25" s="941">
        <v>24.620635</v>
      </c>
      <c r="S25" s="941">
        <v>25.916127000000003</v>
      </c>
      <c r="T25" s="941">
        <v>27.902644223999999</v>
      </c>
      <c r="U25" s="941">
        <v>27.286116352000001</v>
      </c>
      <c r="V25" s="941">
        <v>28.592369664</v>
      </c>
      <c r="W25" s="941">
        <v>31.555090432</v>
      </c>
      <c r="X25" s="941">
        <v>31.995000831999999</v>
      </c>
      <c r="Y25" s="941">
        <v>7.641987072</v>
      </c>
      <c r="Z25" s="943">
        <v>9.7449103360000002</v>
      </c>
      <c r="AA25" s="944">
        <f t="shared" si="0"/>
        <v>27.518016507840542</v>
      </c>
    </row>
    <row r="26" spans="1:27" ht="12.95" customHeight="1" x14ac:dyDescent="0.2">
      <c r="A26" s="149">
        <v>19</v>
      </c>
      <c r="B26" s="425" t="s">
        <v>561</v>
      </c>
      <c r="C26" s="741" t="s">
        <v>97</v>
      </c>
      <c r="D26" s="945"/>
      <c r="E26" s="945"/>
      <c r="F26" s="945">
        <v>5.8239999999999998</v>
      </c>
      <c r="G26" s="945">
        <v>5.8689999999999998</v>
      </c>
      <c r="H26" s="945">
        <v>6.19</v>
      </c>
      <c r="I26" s="945">
        <v>6.8220000000000001</v>
      </c>
      <c r="J26" s="945">
        <v>6.2839999999999998</v>
      </c>
      <c r="K26" s="945">
        <v>6.7812000000000001</v>
      </c>
      <c r="L26" s="945">
        <v>7.2880000000000003</v>
      </c>
      <c r="M26" s="945">
        <v>6.7480000000000002</v>
      </c>
      <c r="N26" s="945">
        <v>6.9470000000000001</v>
      </c>
      <c r="O26" s="945">
        <v>7.5540000000000003</v>
      </c>
      <c r="P26" s="945">
        <v>7.2436099999999994</v>
      </c>
      <c r="Q26" s="945">
        <v>7.2966760000000006</v>
      </c>
      <c r="R26" s="945">
        <v>7.0774999999999997</v>
      </c>
      <c r="S26" s="945">
        <v>8.045399999999999</v>
      </c>
      <c r="T26" s="945">
        <v>7.2323061759999998</v>
      </c>
      <c r="U26" s="945">
        <v>9.3184604160000006</v>
      </c>
      <c r="V26" s="945">
        <v>12.660235264000001</v>
      </c>
      <c r="W26" s="945">
        <v>16.640660480000001</v>
      </c>
      <c r="X26" s="945">
        <v>20.114980864</v>
      </c>
      <c r="Y26" s="945">
        <v>5.5773250560000003</v>
      </c>
      <c r="Z26" s="533">
        <v>8.3602606080000008</v>
      </c>
      <c r="AA26" s="718">
        <f t="shared" si="0"/>
        <v>49.89731679716536</v>
      </c>
    </row>
    <row r="27" spans="1:27" ht="12.95" customHeight="1" x14ac:dyDescent="0.2">
      <c r="A27" s="149">
        <v>20</v>
      </c>
      <c r="B27" s="946" t="s">
        <v>374</v>
      </c>
      <c r="C27" s="940" t="s">
        <v>116</v>
      </c>
      <c r="D27" s="941"/>
      <c r="E27" s="941">
        <v>22.921999999999997</v>
      </c>
      <c r="F27" s="941">
        <v>22.956</v>
      </c>
      <c r="G27" s="941">
        <v>23.212</v>
      </c>
      <c r="H27" s="941">
        <v>21.901</v>
      </c>
      <c r="I27" s="941">
        <v>26.443000000000001</v>
      </c>
      <c r="J27" s="941">
        <v>27.724</v>
      </c>
      <c r="K27" s="941">
        <v>30.732000000000003</v>
      </c>
      <c r="L27" s="941">
        <v>30.882000000000001</v>
      </c>
      <c r="M27" s="941">
        <v>27.89</v>
      </c>
      <c r="N27" s="941">
        <v>23.241</v>
      </c>
      <c r="O27" s="941">
        <v>23.496758</v>
      </c>
      <c r="P27" s="941">
        <v>26.373999999999999</v>
      </c>
      <c r="Q27" s="941">
        <v>27.798000000000002</v>
      </c>
      <c r="R27" s="941">
        <v>32.658000000000001</v>
      </c>
      <c r="S27" s="941">
        <v>34.594000000000001</v>
      </c>
      <c r="T27" s="941">
        <v>33.780000768000001</v>
      </c>
      <c r="U27" s="941">
        <v>36.940001279999997</v>
      </c>
      <c r="V27" s="941">
        <v>40.078000127999999</v>
      </c>
      <c r="W27" s="941">
        <v>39.945998336000002</v>
      </c>
      <c r="X27" s="941">
        <v>39.374999551999998</v>
      </c>
      <c r="Y27" s="941">
        <v>14.126999551999999</v>
      </c>
      <c r="Z27" s="943">
        <v>8.2560000000000002</v>
      </c>
      <c r="AA27" s="944">
        <f t="shared" si="0"/>
        <v>-41.558715496446844</v>
      </c>
    </row>
    <row r="28" spans="1:27" ht="12.95" customHeight="1" x14ac:dyDescent="0.2">
      <c r="A28" s="149">
        <v>21</v>
      </c>
      <c r="B28" s="425" t="s">
        <v>562</v>
      </c>
      <c r="C28" s="741" t="s">
        <v>105</v>
      </c>
      <c r="D28" s="945"/>
      <c r="E28" s="945"/>
      <c r="F28" s="945">
        <v>1.2E-2</v>
      </c>
      <c r="G28" s="945">
        <v>0.14699999999999999</v>
      </c>
      <c r="H28" s="945">
        <v>0.87339999999999995</v>
      </c>
      <c r="I28" s="945">
        <v>1.682617</v>
      </c>
      <c r="J28" s="945">
        <v>3.1051570000000002</v>
      </c>
      <c r="K28" s="945">
        <v>3.9399699999999998</v>
      </c>
      <c r="L28" s="945">
        <v>5.6650069999999992</v>
      </c>
      <c r="M28" s="945">
        <v>5.6881059999999994</v>
      </c>
      <c r="N28" s="945">
        <v>5.36937</v>
      </c>
      <c r="O28" s="945">
        <v>6.218909</v>
      </c>
      <c r="P28" s="945">
        <v>8.0482449999999996</v>
      </c>
      <c r="Q28" s="945">
        <v>9.4048089999999984</v>
      </c>
      <c r="R28" s="945">
        <v>10.807283</v>
      </c>
      <c r="S28" s="945">
        <v>12.255212999999999</v>
      </c>
      <c r="T28" s="945">
        <v>12.222045184000001</v>
      </c>
      <c r="U28" s="945">
        <v>14.260875263999999</v>
      </c>
      <c r="V28" s="945">
        <v>20.670302207999999</v>
      </c>
      <c r="W28" s="945">
        <v>26.511173631999998</v>
      </c>
      <c r="X28" s="945">
        <v>32.047435776</v>
      </c>
      <c r="Y28" s="945">
        <v>7.0603883520000004</v>
      </c>
      <c r="Z28" s="533">
        <v>7.686327296</v>
      </c>
      <c r="AA28" s="718">
        <f t="shared" si="0"/>
        <v>8.865503040249763</v>
      </c>
    </row>
    <row r="29" spans="1:27" ht="12.95" customHeight="1" x14ac:dyDescent="0.2">
      <c r="A29" s="149">
        <v>22</v>
      </c>
      <c r="B29" s="946" t="s">
        <v>563</v>
      </c>
      <c r="C29" s="940" t="s">
        <v>104</v>
      </c>
      <c r="D29" s="941"/>
      <c r="E29" s="941">
        <v>7.9210000000000003</v>
      </c>
      <c r="F29" s="941">
        <v>8.27</v>
      </c>
      <c r="G29" s="941">
        <v>7.4569999999999999</v>
      </c>
      <c r="H29" s="941">
        <v>8.3149999999999995</v>
      </c>
      <c r="I29" s="941">
        <v>8.0913609999999991</v>
      </c>
      <c r="J29" s="941">
        <v>8.7259200000000003</v>
      </c>
      <c r="K29" s="941">
        <v>9.5749999999999993</v>
      </c>
      <c r="L29" s="941">
        <v>10.468</v>
      </c>
      <c r="M29" s="941">
        <v>11.159000000000001</v>
      </c>
      <c r="N29" s="941">
        <v>10.41</v>
      </c>
      <c r="O29" s="941">
        <v>10.643889999999999</v>
      </c>
      <c r="P29" s="941">
        <v>10.738</v>
      </c>
      <c r="Q29" s="941">
        <v>11.250287</v>
      </c>
      <c r="R29" s="941">
        <v>12.253652000000001</v>
      </c>
      <c r="S29" s="941">
        <v>12.755124</v>
      </c>
      <c r="T29" s="941">
        <v>12.593205248</v>
      </c>
      <c r="U29" s="941">
        <v>13.776297983999999</v>
      </c>
      <c r="V29" s="941">
        <v>15.889087487999999</v>
      </c>
      <c r="W29" s="941">
        <v>16.746529792</v>
      </c>
      <c r="X29" s="941">
        <v>17.634205695999999</v>
      </c>
      <c r="Y29" s="941">
        <v>5.3382451199999998</v>
      </c>
      <c r="Z29" s="943">
        <v>7.45974016</v>
      </c>
      <c r="AA29" s="944">
        <f t="shared" si="0"/>
        <v>39.741431731033003</v>
      </c>
    </row>
    <row r="30" spans="1:27" ht="12.95" customHeight="1" x14ac:dyDescent="0.2">
      <c r="A30" s="149">
        <v>23</v>
      </c>
      <c r="B30" s="425" t="s">
        <v>377</v>
      </c>
      <c r="C30" s="741" t="s">
        <v>106</v>
      </c>
      <c r="D30" s="945"/>
      <c r="E30" s="945">
        <v>3.4180000000000001</v>
      </c>
      <c r="F30" s="945">
        <v>2.1310000000000002</v>
      </c>
      <c r="G30" s="945">
        <v>2.9710000000000001</v>
      </c>
      <c r="H30" s="945">
        <v>4.0209999999999999</v>
      </c>
      <c r="I30" s="945">
        <v>4.55</v>
      </c>
      <c r="J30" s="945">
        <v>4.5590999999999999</v>
      </c>
      <c r="K30" s="945">
        <v>4.8506000000000009</v>
      </c>
      <c r="L30" s="945">
        <v>7.0693999999999999</v>
      </c>
      <c r="M30" s="945">
        <v>7.3647</v>
      </c>
      <c r="N30" s="945">
        <v>6.8537020000000002</v>
      </c>
      <c r="O30" s="945">
        <v>7.3129</v>
      </c>
      <c r="P30" s="945">
        <v>8.4863700000000009</v>
      </c>
      <c r="Q30" s="945">
        <v>9.2292079999999999</v>
      </c>
      <c r="R30" s="945">
        <v>9.7721219999999995</v>
      </c>
      <c r="S30" s="945">
        <v>10.75577</v>
      </c>
      <c r="T30" s="945">
        <v>11.832509440000001</v>
      </c>
      <c r="U30" s="945">
        <v>12.693728256</v>
      </c>
      <c r="V30" s="945">
        <v>15.257102336000001</v>
      </c>
      <c r="W30" s="945">
        <v>17.247543296</v>
      </c>
      <c r="X30" s="945">
        <v>17.92813056</v>
      </c>
      <c r="Y30" s="945">
        <v>4.4280002559999998</v>
      </c>
      <c r="Z30" s="533">
        <v>7.0729999360000004</v>
      </c>
      <c r="AA30" s="718">
        <f t="shared" si="0"/>
        <v>59.733503321640285</v>
      </c>
    </row>
    <row r="31" spans="1:27" ht="12.95" customHeight="1" x14ac:dyDescent="0.2">
      <c r="A31" s="149">
        <v>24</v>
      </c>
      <c r="B31" s="946" t="s">
        <v>376</v>
      </c>
      <c r="C31" s="940" t="s">
        <v>113</v>
      </c>
      <c r="D31" s="941"/>
      <c r="E31" s="941">
        <v>17.966999999999999</v>
      </c>
      <c r="F31" s="941">
        <v>8.14</v>
      </c>
      <c r="G31" s="941">
        <v>17.978999999999999</v>
      </c>
      <c r="H31" s="941">
        <v>17.965000000000003</v>
      </c>
      <c r="I31" s="941">
        <v>21.276800999999999</v>
      </c>
      <c r="J31" s="941">
        <v>22.893599999999996</v>
      </c>
      <c r="K31" s="941">
        <v>23.371800999999998</v>
      </c>
      <c r="L31" s="941">
        <v>20.05</v>
      </c>
      <c r="M31" s="941">
        <v>18.889599999999998</v>
      </c>
      <c r="N31" s="941">
        <v>16.821250000000003</v>
      </c>
      <c r="O31" s="941">
        <v>17.4941</v>
      </c>
      <c r="P31" s="941">
        <v>17.792099999999998</v>
      </c>
      <c r="Q31" s="941">
        <v>17.952099999999998</v>
      </c>
      <c r="R31" s="941">
        <v>17.705099999999998</v>
      </c>
      <c r="S31" s="941">
        <v>18.427900000000001</v>
      </c>
      <c r="T31" s="941">
        <v>18.189801471999999</v>
      </c>
      <c r="U31" s="941">
        <v>18.609000448</v>
      </c>
      <c r="V31" s="941">
        <v>20.017999872000001</v>
      </c>
      <c r="W31" s="941">
        <v>21.973000192000001</v>
      </c>
      <c r="X31" s="941">
        <v>23.050000384000001</v>
      </c>
      <c r="Y31" s="941">
        <v>4.4120002559999998</v>
      </c>
      <c r="Z31" s="943">
        <v>7.0109998080000002</v>
      </c>
      <c r="AA31" s="944">
        <f t="shared" si="0"/>
        <v>58.907511359854311</v>
      </c>
    </row>
    <row r="32" spans="1:27" ht="12.95" customHeight="1" x14ac:dyDescent="0.2">
      <c r="A32" s="149">
        <v>25</v>
      </c>
      <c r="B32" s="425" t="s">
        <v>564</v>
      </c>
      <c r="C32" s="741" t="s">
        <v>109</v>
      </c>
      <c r="D32" s="945"/>
      <c r="E32" s="945"/>
      <c r="F32" s="945"/>
      <c r="G32" s="945"/>
      <c r="H32" s="945"/>
      <c r="I32" s="945"/>
      <c r="J32" s="945"/>
      <c r="K32" s="945"/>
      <c r="L32" s="945">
        <v>0.57259799999999994</v>
      </c>
      <c r="M32" s="945">
        <v>1.9980020000000001</v>
      </c>
      <c r="N32" s="945">
        <v>2.4311030000000002</v>
      </c>
      <c r="O32" s="945">
        <v>2.7643840000000002</v>
      </c>
      <c r="P32" s="945">
        <v>2.9208279999999998</v>
      </c>
      <c r="Q32" s="945">
        <v>3.1389960000000001</v>
      </c>
      <c r="R32" s="945">
        <v>4.0363920000000002</v>
      </c>
      <c r="S32" s="945">
        <v>4.9089300000000007</v>
      </c>
      <c r="T32" s="945">
        <v>6.0579998719999999</v>
      </c>
      <c r="U32" s="945">
        <v>7.6189998079999999</v>
      </c>
      <c r="V32" s="945">
        <v>8.8449996800000008</v>
      </c>
      <c r="W32" s="945">
        <v>10.876999680000001</v>
      </c>
      <c r="X32" s="945">
        <v>11.928000512000001</v>
      </c>
      <c r="Y32" s="945">
        <v>4.0679999999999996</v>
      </c>
      <c r="Z32" s="533">
        <v>6.9949998080000002</v>
      </c>
      <c r="AA32" s="718">
        <f t="shared" si="0"/>
        <v>71.951814355948898</v>
      </c>
    </row>
    <row r="33" spans="1:27" ht="12.95" customHeight="1" x14ac:dyDescent="0.2">
      <c r="A33" s="149">
        <v>26</v>
      </c>
      <c r="B33" s="946" t="s">
        <v>125</v>
      </c>
      <c r="C33" s="940" t="s">
        <v>105</v>
      </c>
      <c r="D33" s="941"/>
      <c r="E33" s="941">
        <v>31.315000000000001</v>
      </c>
      <c r="F33" s="941">
        <v>28.41</v>
      </c>
      <c r="G33" s="941">
        <v>27.004000000000001</v>
      </c>
      <c r="H33" s="941">
        <v>26.931000000000001</v>
      </c>
      <c r="I33" s="941">
        <v>30.222000000000001</v>
      </c>
      <c r="J33" s="941">
        <v>32.117899999999999</v>
      </c>
      <c r="K33" s="941">
        <v>35.278601999999999</v>
      </c>
      <c r="L33" s="941">
        <v>40.545898000000001</v>
      </c>
      <c r="M33" s="941">
        <v>41.179000000000002</v>
      </c>
      <c r="N33" s="941">
        <v>39.256788999999998</v>
      </c>
      <c r="O33" s="941">
        <v>38.157602000000004</v>
      </c>
      <c r="P33" s="941">
        <v>37.999679999999998</v>
      </c>
      <c r="Q33" s="941">
        <v>39.406444999999998</v>
      </c>
      <c r="R33" s="941">
        <v>39.538277000000008</v>
      </c>
      <c r="S33" s="941">
        <v>37.664254</v>
      </c>
      <c r="T33" s="941">
        <v>37.156999167999999</v>
      </c>
      <c r="U33" s="941">
        <v>37.126000640000001</v>
      </c>
      <c r="V33" s="941">
        <v>36.138582016000001</v>
      </c>
      <c r="W33" s="941">
        <v>37.529141248000002</v>
      </c>
      <c r="X33" s="941">
        <v>39.643852799999998</v>
      </c>
      <c r="Y33" s="941">
        <v>7.793104896</v>
      </c>
      <c r="Z33" s="943">
        <v>6.9340098560000003</v>
      </c>
      <c r="AA33" s="944">
        <f t="shared" si="0"/>
        <v>-11.023783863617069</v>
      </c>
    </row>
    <row r="34" spans="1:27" ht="12.95" customHeight="1" x14ac:dyDescent="0.2">
      <c r="A34" s="149">
        <v>27</v>
      </c>
      <c r="B34" s="425" t="s">
        <v>293</v>
      </c>
      <c r="C34" s="741" t="s">
        <v>117</v>
      </c>
      <c r="D34" s="945"/>
      <c r="E34" s="945"/>
      <c r="F34" s="945"/>
      <c r="G34" s="945">
        <v>0.13</v>
      </c>
      <c r="H34" s="945">
        <v>0.71800000000000008</v>
      </c>
      <c r="I34" s="945">
        <v>1.538</v>
      </c>
      <c r="J34" s="945">
        <v>2.7030000000000003</v>
      </c>
      <c r="K34" s="945">
        <v>4.2229999999999999</v>
      </c>
      <c r="L34" s="945">
        <v>5.5860000000000003</v>
      </c>
      <c r="M34" s="945">
        <v>9.0739999999999998</v>
      </c>
      <c r="N34" s="945">
        <v>10.602</v>
      </c>
      <c r="O34" s="945">
        <v>13.774000000000001</v>
      </c>
      <c r="P34" s="945">
        <v>17.421000000000003</v>
      </c>
      <c r="Q34" s="945">
        <v>20.353000000000002</v>
      </c>
      <c r="R34" s="945">
        <v>26.881</v>
      </c>
      <c r="S34" s="945">
        <v>37.614999999999995</v>
      </c>
      <c r="T34" s="945">
        <v>42.283999231999999</v>
      </c>
      <c r="U34" s="945">
        <v>50.797998079999999</v>
      </c>
      <c r="V34" s="945">
        <v>63.319998464000001</v>
      </c>
      <c r="W34" s="945">
        <v>85.123997696000004</v>
      </c>
      <c r="X34" s="945">
        <v>86.615998464</v>
      </c>
      <c r="Y34" s="945">
        <v>13.68</v>
      </c>
      <c r="Z34" s="533">
        <v>6.8690001919999997</v>
      </c>
      <c r="AA34" s="718">
        <f t="shared" si="0"/>
        <v>-49.788010292397665</v>
      </c>
    </row>
    <row r="35" spans="1:27" ht="12.95" customHeight="1" x14ac:dyDescent="0.2">
      <c r="A35" s="149">
        <v>28</v>
      </c>
      <c r="B35" s="946" t="s">
        <v>565</v>
      </c>
      <c r="C35" s="940" t="s">
        <v>566</v>
      </c>
      <c r="D35" s="941"/>
      <c r="E35" s="941">
        <v>0.48699999999999999</v>
      </c>
      <c r="F35" s="941">
        <v>1.6879999999999999</v>
      </c>
      <c r="G35" s="941">
        <v>1.7270000000000001</v>
      </c>
      <c r="H35" s="941">
        <v>2.0499999999999998</v>
      </c>
      <c r="I35" s="941">
        <v>2.3530000000000002</v>
      </c>
      <c r="J35" s="941">
        <v>2.6389999999999998</v>
      </c>
      <c r="K35" s="941">
        <v>2.9329999999999998</v>
      </c>
      <c r="L35" s="941">
        <v>2.8413000000000004</v>
      </c>
      <c r="M35" s="941">
        <v>4.3128299999999999</v>
      </c>
      <c r="N35" s="941">
        <v>4.5713200000000001</v>
      </c>
      <c r="O35" s="941">
        <v>5.7411180000000002</v>
      </c>
      <c r="P35" s="941">
        <v>6.7797600000000005</v>
      </c>
      <c r="Q35" s="941">
        <v>6.9029999999999996</v>
      </c>
      <c r="R35" s="941">
        <v>7.806</v>
      </c>
      <c r="S35" s="941">
        <v>8</v>
      </c>
      <c r="T35" s="941">
        <v>11.129909248000001</v>
      </c>
      <c r="U35" s="941">
        <v>11.748263936000001</v>
      </c>
      <c r="V35" s="941">
        <v>12.077782016</v>
      </c>
      <c r="W35" s="941">
        <v>11.925741567999999</v>
      </c>
      <c r="X35" s="941">
        <v>12.986626048</v>
      </c>
      <c r="Y35" s="941">
        <v>3.5183191040000001</v>
      </c>
      <c r="Z35" s="943">
        <v>6.422235648</v>
      </c>
      <c r="AA35" s="948">
        <f t="shared" si="0"/>
        <v>82.537042779846729</v>
      </c>
    </row>
    <row r="36" spans="1:27" ht="12.95" customHeight="1" x14ac:dyDescent="0.2">
      <c r="A36" s="910">
        <v>29</v>
      </c>
      <c r="B36" s="949" t="s">
        <v>664</v>
      </c>
      <c r="C36" s="741" t="s">
        <v>105</v>
      </c>
      <c r="D36" s="945"/>
      <c r="E36" s="945"/>
      <c r="F36" s="945"/>
      <c r="G36" s="945"/>
      <c r="H36" s="945"/>
      <c r="I36" s="945"/>
      <c r="J36" s="945"/>
      <c r="K36" s="945"/>
      <c r="L36" s="945"/>
      <c r="M36" s="945"/>
      <c r="N36" s="945"/>
      <c r="O36" s="945"/>
      <c r="P36" s="945"/>
      <c r="Q36" s="945"/>
      <c r="R36" s="945"/>
      <c r="S36" s="945"/>
      <c r="T36" s="945">
        <v>33.395386367999997</v>
      </c>
      <c r="U36" s="945">
        <v>34.414944255999998</v>
      </c>
      <c r="V36" s="945">
        <v>37.078089728000002</v>
      </c>
      <c r="W36" s="945">
        <v>39.162920960000001</v>
      </c>
      <c r="X36" s="945">
        <v>39.171207168000002</v>
      </c>
      <c r="Y36" s="945">
        <v>7.3778892799999998</v>
      </c>
      <c r="Z36" s="533">
        <v>6.2619340799999996</v>
      </c>
      <c r="AA36" s="718">
        <f t="shared" si="0"/>
        <v>-15.125670197100064</v>
      </c>
    </row>
    <row r="37" spans="1:27" ht="12.95" customHeight="1" x14ac:dyDescent="0.2">
      <c r="A37" s="959">
        <v>30</v>
      </c>
      <c r="B37" s="950" t="s">
        <v>571</v>
      </c>
      <c r="C37" s="951" t="s">
        <v>107</v>
      </c>
      <c r="D37" s="952"/>
      <c r="E37" s="952"/>
      <c r="F37" s="952">
        <v>16.68</v>
      </c>
      <c r="G37" s="952">
        <v>14.398999999999999</v>
      </c>
      <c r="H37" s="952">
        <v>15.221</v>
      </c>
      <c r="I37" s="952">
        <v>16.631</v>
      </c>
      <c r="J37" s="952">
        <v>18.625606999999999</v>
      </c>
      <c r="K37" s="952">
        <v>21.233190999999998</v>
      </c>
      <c r="L37" s="952">
        <v>18.079886999999999</v>
      </c>
      <c r="M37" s="952">
        <v>18.30857</v>
      </c>
      <c r="N37" s="952">
        <v>15.873816000000001</v>
      </c>
      <c r="O37" s="952">
        <v>10.708157</v>
      </c>
      <c r="P37" s="952">
        <v>11.400429000000001</v>
      </c>
      <c r="Q37" s="952">
        <v>11.428049999999999</v>
      </c>
      <c r="R37" s="952">
        <v>18</v>
      </c>
      <c r="S37" s="952">
        <v>18.5</v>
      </c>
      <c r="T37" s="952">
        <v>11.209580544</v>
      </c>
      <c r="U37" s="952">
        <v>10.99493376</v>
      </c>
      <c r="V37" s="952">
        <v>11.654585343999999</v>
      </c>
      <c r="W37" s="952">
        <v>12.971610112</v>
      </c>
      <c r="X37" s="952">
        <v>14.144361472</v>
      </c>
      <c r="Y37" s="952">
        <v>4.2029140480000002</v>
      </c>
      <c r="Z37" s="953">
        <v>5.8639866879999998</v>
      </c>
      <c r="AA37" s="1064">
        <f t="shared" si="0"/>
        <v>39.521927430099083</v>
      </c>
    </row>
    <row r="38" spans="1:27" ht="12.95" customHeight="1" x14ac:dyDescent="0.2">
      <c r="A38" s="149"/>
      <c r="B38" s="954" t="s">
        <v>532</v>
      </c>
      <c r="C38" s="955"/>
      <c r="D38" s="954"/>
      <c r="E38" s="954"/>
      <c r="F38" s="954"/>
      <c r="G38" s="954"/>
      <c r="H38" s="954"/>
      <c r="I38" s="954"/>
      <c r="J38" s="956"/>
      <c r="K38" s="956"/>
      <c r="L38" s="956"/>
      <c r="M38" s="956"/>
      <c r="N38" s="956"/>
      <c r="O38" s="956"/>
      <c r="P38" s="956"/>
      <c r="Q38" s="956"/>
      <c r="R38" s="956"/>
      <c r="S38" s="956"/>
      <c r="T38" s="956"/>
      <c r="U38" s="956"/>
      <c r="V38" s="956"/>
      <c r="W38" s="956"/>
      <c r="X38" s="956"/>
      <c r="Y38" s="956"/>
      <c r="Z38" s="956"/>
      <c r="AA38" s="956"/>
    </row>
    <row r="39" spans="1:27" ht="12.95" customHeight="1" x14ac:dyDescent="0.2">
      <c r="A39" s="149"/>
      <c r="B39" s="19" t="s">
        <v>421</v>
      </c>
      <c r="C39" s="957"/>
      <c r="D39" s="956"/>
      <c r="E39" s="956"/>
      <c r="F39" s="956"/>
      <c r="G39" s="956"/>
      <c r="H39" s="956"/>
      <c r="I39" s="956"/>
      <c r="J39" s="956"/>
      <c r="K39" s="956"/>
      <c r="L39" s="956"/>
      <c r="M39" s="956"/>
      <c r="N39" s="956"/>
      <c r="O39" s="956"/>
      <c r="P39" s="956"/>
      <c r="Q39" s="956"/>
      <c r="R39" s="956"/>
      <c r="S39" s="956"/>
      <c r="T39" s="958"/>
      <c r="U39" s="956"/>
      <c r="V39" s="956"/>
      <c r="W39" s="956"/>
      <c r="X39" s="956"/>
      <c r="Y39" s="956"/>
      <c r="Z39" s="956"/>
    </row>
    <row r="40" spans="1:27" ht="12.95" customHeight="1" x14ac:dyDescent="0.2">
      <c r="A40" s="149"/>
      <c r="B40" s="954" t="s">
        <v>201</v>
      </c>
      <c r="C40" s="742"/>
      <c r="D40" s="956"/>
      <c r="E40" s="956"/>
      <c r="F40" s="956"/>
      <c r="G40" s="956"/>
      <c r="H40" s="956"/>
      <c r="I40" s="956"/>
      <c r="J40" s="956"/>
      <c r="K40" s="956"/>
      <c r="L40" s="956"/>
      <c r="M40" s="956"/>
      <c r="N40" s="956"/>
      <c r="O40" s="956"/>
      <c r="P40" s="956"/>
      <c r="Q40" s="956"/>
      <c r="R40" s="956"/>
      <c r="S40" s="956"/>
      <c r="T40" s="956"/>
      <c r="U40" s="956"/>
    </row>
    <row r="41" spans="1:27" ht="12.95" customHeight="1" x14ac:dyDescent="0.2">
      <c r="B41" s="1082" t="s">
        <v>568</v>
      </c>
      <c r="C41" s="1082"/>
      <c r="D41" s="1082"/>
      <c r="E41" s="1082"/>
      <c r="F41" s="1082"/>
      <c r="G41" s="1082"/>
      <c r="H41" s="1082"/>
      <c r="I41" s="1082"/>
      <c r="J41" s="1082"/>
      <c r="K41" s="1082"/>
      <c r="L41" s="1082"/>
      <c r="M41" s="1082"/>
      <c r="N41" s="1082"/>
      <c r="O41" s="1082"/>
      <c r="P41" s="1082"/>
      <c r="Q41" s="1082"/>
      <c r="R41" s="1082"/>
      <c r="S41" s="1082"/>
      <c r="T41" s="1082"/>
      <c r="U41" s="1082"/>
      <c r="V41" s="1082"/>
      <c r="W41" s="1082"/>
      <c r="X41" s="1082"/>
      <c r="Y41" s="1082"/>
      <c r="Z41" s="1082"/>
      <c r="AA41" s="1082"/>
    </row>
    <row r="42" spans="1:27" ht="12" customHeight="1" x14ac:dyDescent="0.2">
      <c r="B42" s="701" t="s">
        <v>569</v>
      </c>
      <c r="D42" s="114"/>
      <c r="E42" s="114"/>
    </row>
    <row r="43" spans="1:27" ht="12.75" customHeight="1" x14ac:dyDescent="0.2">
      <c r="B43" s="3" t="s">
        <v>573</v>
      </c>
      <c r="D43" s="114"/>
      <c r="E43" s="114"/>
    </row>
    <row r="44" spans="1:27" ht="11.25" customHeight="1" x14ac:dyDescent="0.2">
      <c r="B44" s="3" t="s">
        <v>663</v>
      </c>
    </row>
    <row r="45" spans="1:27" ht="12.75" customHeight="1" x14ac:dyDescent="0.2"/>
    <row r="47" spans="1:27" ht="12" customHeight="1" x14ac:dyDescent="0.2"/>
  </sheetData>
  <sortState xmlns:xlrd2="http://schemas.microsoft.com/office/spreadsheetml/2017/richdata2" ref="A104:B119">
    <sortCondition ref="A104"/>
  </sortState>
  <mergeCells count="12">
    <mergeCell ref="B2:AA2"/>
    <mergeCell ref="B3:AA3"/>
    <mergeCell ref="B4:Z4"/>
    <mergeCell ref="B41:AA41"/>
    <mergeCell ref="A5:A7"/>
    <mergeCell ref="B5:B7"/>
    <mergeCell ref="D5:D7"/>
    <mergeCell ref="E5:E7"/>
    <mergeCell ref="M5:M7"/>
    <mergeCell ref="J5:J7"/>
    <mergeCell ref="K5:K7"/>
    <mergeCell ref="L5:L7"/>
  </mergeCells>
  <phoneticPr fontId="6" type="noConversion"/>
  <pageMargins left="0.75" right="0.41" top="1" bottom="1" header="0.5" footer="0.5"/>
  <pageSetup paperSize="9" scale="9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2"/>
  <dimension ref="A1:AG103"/>
  <sheetViews>
    <sheetView zoomScaleNormal="100" workbookViewId="0">
      <selection activeCell="F10" sqref="F10"/>
    </sheetView>
  </sheetViews>
  <sheetFormatPr defaultRowHeight="12.75" x14ac:dyDescent="0.2"/>
  <cols>
    <col min="1" max="1" width="2.7109375" style="297" customWidth="1"/>
    <col min="2" max="2" width="3.7109375" style="345" customWidth="1"/>
    <col min="3" max="3" width="1.140625" style="297" customWidth="1"/>
    <col min="4" max="4" width="22.28515625" style="297" customWidth="1"/>
    <col min="5" max="5" width="3.42578125" style="297" customWidth="1"/>
    <col min="6" max="9" width="6.7109375" style="345" customWidth="1"/>
    <col min="10" max="17" width="6.7109375" style="297" customWidth="1"/>
    <col min="18" max="18" width="7.28515625" style="297" customWidth="1"/>
    <col min="19" max="19" width="6.85546875" style="297" customWidth="1"/>
    <col min="20" max="23" width="7" style="297" customWidth="1"/>
    <col min="24" max="27" width="6.28515625" style="297" customWidth="1"/>
    <col min="28" max="28" width="8.42578125" style="579" customWidth="1"/>
    <col min="29" max="29" width="9.140625" style="297"/>
    <col min="30" max="32" width="9.140625" style="297" customWidth="1"/>
    <col min="33" max="16384" width="9.140625" style="297"/>
  </cols>
  <sheetData>
    <row r="1" spans="1:33" ht="14.25" customHeight="1" x14ac:dyDescent="0.2">
      <c r="C1" s="1096"/>
      <c r="D1" s="1096"/>
      <c r="E1" s="346"/>
      <c r="F1" s="347"/>
      <c r="G1" s="347"/>
      <c r="H1" s="347"/>
      <c r="I1" s="347"/>
      <c r="J1" s="348"/>
      <c r="K1" s="349"/>
      <c r="L1" s="349"/>
      <c r="M1" s="349"/>
      <c r="N1" s="349"/>
      <c r="O1" s="349"/>
      <c r="P1" s="349"/>
      <c r="Q1" s="349"/>
      <c r="R1" s="349"/>
      <c r="S1" s="349"/>
      <c r="T1" s="349"/>
      <c r="U1" s="349"/>
      <c r="V1" s="349"/>
      <c r="W1" s="349"/>
      <c r="X1" s="349"/>
      <c r="Y1" s="349"/>
      <c r="Z1" s="349"/>
      <c r="AA1" s="349"/>
      <c r="AB1" s="573" t="s">
        <v>265</v>
      </c>
    </row>
    <row r="2" spans="1:33" ht="20.25" customHeight="1" x14ac:dyDescent="0.2">
      <c r="C2" s="1097" t="s">
        <v>387</v>
      </c>
      <c r="D2" s="1097"/>
      <c r="E2" s="1097"/>
      <c r="F2" s="1097"/>
      <c r="G2" s="1097"/>
      <c r="H2" s="1097"/>
      <c r="I2" s="1097"/>
      <c r="J2" s="1097"/>
      <c r="K2" s="1097"/>
      <c r="L2" s="1097"/>
      <c r="M2" s="1097"/>
      <c r="N2" s="1097"/>
      <c r="O2" s="1097"/>
      <c r="P2" s="1097"/>
      <c r="Q2" s="1097"/>
      <c r="R2" s="1097"/>
      <c r="S2" s="1097"/>
      <c r="T2" s="1097"/>
      <c r="U2" s="1097"/>
      <c r="V2" s="1097"/>
      <c r="W2" s="1097"/>
      <c r="X2" s="568"/>
      <c r="Y2" s="721"/>
      <c r="Z2" s="784"/>
      <c r="AA2" s="882"/>
      <c r="AB2" s="574"/>
    </row>
    <row r="3" spans="1:33" ht="12.75" customHeight="1" x14ac:dyDescent="0.2">
      <c r="C3" s="1098" t="s">
        <v>228</v>
      </c>
      <c r="D3" s="1098"/>
      <c r="E3" s="1098"/>
      <c r="F3" s="1098"/>
      <c r="G3" s="1098"/>
      <c r="H3" s="1098"/>
      <c r="I3" s="1098"/>
      <c r="J3" s="1098"/>
      <c r="K3" s="1098"/>
      <c r="L3" s="1098"/>
      <c r="M3" s="1098"/>
      <c r="N3" s="1098"/>
      <c r="O3" s="1098"/>
      <c r="P3" s="1098"/>
      <c r="Q3" s="1098"/>
      <c r="R3" s="1098"/>
      <c r="S3" s="1098"/>
      <c r="T3" s="1098"/>
      <c r="U3" s="1098"/>
      <c r="V3" s="1098"/>
      <c r="W3" s="1098"/>
      <c r="X3" s="569"/>
      <c r="Y3" s="722"/>
      <c r="Z3" s="785"/>
      <c r="AA3" s="883"/>
      <c r="AB3" s="574"/>
      <c r="AF3" s="891"/>
    </row>
    <row r="4" spans="1:33" ht="12.75" customHeight="1" x14ac:dyDescent="0.2">
      <c r="C4" s="1099" t="s">
        <v>183</v>
      </c>
      <c r="D4" s="1099"/>
      <c r="E4" s="1099"/>
      <c r="F4" s="1099"/>
      <c r="G4" s="1099"/>
      <c r="H4" s="1099"/>
      <c r="I4" s="1099"/>
      <c r="J4" s="1099"/>
      <c r="K4" s="1099"/>
      <c r="L4" s="1099"/>
      <c r="M4" s="1099"/>
      <c r="N4" s="1099"/>
      <c r="O4" s="1099"/>
      <c r="P4" s="1099"/>
      <c r="Q4" s="1099"/>
      <c r="R4" s="1099"/>
      <c r="S4" s="1099"/>
      <c r="T4" s="1099"/>
      <c r="U4" s="1099"/>
      <c r="V4" s="1099"/>
      <c r="W4" s="1099"/>
      <c r="X4" s="570"/>
      <c r="Y4" s="723"/>
      <c r="Z4" s="786"/>
      <c r="AA4" s="884"/>
      <c r="AB4" s="574"/>
      <c r="AF4" s="891"/>
    </row>
    <row r="5" spans="1:33" ht="13.5" customHeight="1" x14ac:dyDescent="0.2">
      <c r="D5" s="350"/>
      <c r="E5" s="350"/>
      <c r="F5" s="350"/>
      <c r="G5" s="350"/>
      <c r="H5" s="350"/>
      <c r="I5" s="350"/>
      <c r="J5" s="350"/>
      <c r="K5" s="350"/>
      <c r="N5" s="350"/>
      <c r="O5" s="350"/>
      <c r="P5" s="350"/>
      <c r="Q5" s="350"/>
      <c r="R5" s="350"/>
      <c r="U5" s="350"/>
      <c r="W5" s="350"/>
      <c r="Y5" s="737"/>
      <c r="Z5" s="737" t="s">
        <v>212</v>
      </c>
      <c r="AA5" s="737"/>
      <c r="AB5" s="548"/>
      <c r="AF5" s="891"/>
    </row>
    <row r="6" spans="1:33" s="351" customFormat="1" ht="12.75" customHeight="1" x14ac:dyDescent="0.2">
      <c r="B6" s="1095" t="s">
        <v>173</v>
      </c>
      <c r="C6" s="352"/>
      <c r="D6" s="353"/>
      <c r="E6" s="354"/>
      <c r="F6" s="352"/>
      <c r="G6" s="355"/>
      <c r="H6" s="355"/>
      <c r="I6" s="355"/>
      <c r="J6" s="353"/>
      <c r="K6" s="353"/>
      <c r="L6" s="353"/>
      <c r="M6" s="353"/>
      <c r="N6" s="353"/>
      <c r="O6" s="353"/>
      <c r="P6" s="353"/>
      <c r="Q6" s="353"/>
      <c r="R6" s="353"/>
      <c r="S6" s="353"/>
      <c r="T6" s="353"/>
      <c r="U6" s="353"/>
      <c r="V6" s="353"/>
      <c r="W6" s="353"/>
      <c r="X6" s="353"/>
      <c r="Y6" s="353"/>
      <c r="Z6" s="353"/>
      <c r="AA6" s="353"/>
      <c r="AB6" s="575" t="s">
        <v>213</v>
      </c>
      <c r="AF6" s="891"/>
      <c r="AG6" s="297"/>
    </row>
    <row r="7" spans="1:33" s="351" customFormat="1" ht="12.75" customHeight="1" x14ac:dyDescent="0.2">
      <c r="B7" s="1095"/>
      <c r="C7" s="356"/>
      <c r="D7" s="357" t="s">
        <v>221</v>
      </c>
      <c r="E7" s="358"/>
      <c r="F7" s="356">
        <v>2000</v>
      </c>
      <c r="G7" s="359">
        <v>2001</v>
      </c>
      <c r="H7" s="359">
        <v>2002</v>
      </c>
      <c r="I7" s="359">
        <v>2003</v>
      </c>
      <c r="J7" s="359">
        <v>2004</v>
      </c>
      <c r="K7" s="359">
        <v>2005</v>
      </c>
      <c r="L7" s="359">
        <v>2006</v>
      </c>
      <c r="M7" s="359">
        <v>2007</v>
      </c>
      <c r="N7" s="359">
        <v>2008</v>
      </c>
      <c r="O7" s="359">
        <v>2009</v>
      </c>
      <c r="P7" s="359">
        <v>2010</v>
      </c>
      <c r="Q7" s="359">
        <v>2011</v>
      </c>
      <c r="R7" s="359">
        <v>2012</v>
      </c>
      <c r="S7" s="359">
        <v>2013</v>
      </c>
      <c r="T7" s="359">
        <v>2014</v>
      </c>
      <c r="U7" s="359">
        <v>2015</v>
      </c>
      <c r="V7" s="359">
        <v>2016</v>
      </c>
      <c r="W7" s="359">
        <v>2017</v>
      </c>
      <c r="X7" s="359">
        <v>2018</v>
      </c>
      <c r="Y7" s="359">
        <v>2019</v>
      </c>
      <c r="Z7" s="359">
        <v>2020</v>
      </c>
      <c r="AA7" s="359">
        <v>2021</v>
      </c>
      <c r="AB7" s="576" t="s">
        <v>637</v>
      </c>
      <c r="AF7" s="891"/>
      <c r="AG7" s="297"/>
    </row>
    <row r="8" spans="1:33" s="351" customFormat="1" ht="12.75" customHeight="1" x14ac:dyDescent="0.2">
      <c r="B8" s="1095"/>
      <c r="C8" s="360"/>
      <c r="D8" s="361"/>
      <c r="E8" s="362"/>
      <c r="F8" s="363"/>
      <c r="G8" s="364"/>
      <c r="H8" s="364"/>
      <c r="I8" s="364"/>
      <c r="J8" s="364"/>
      <c r="K8" s="364"/>
      <c r="L8" s="364"/>
      <c r="M8" s="364"/>
      <c r="N8" s="364"/>
      <c r="O8" s="364"/>
      <c r="P8" s="364"/>
      <c r="Q8" s="364"/>
      <c r="R8" s="364"/>
      <c r="S8" s="364"/>
      <c r="T8" s="364"/>
      <c r="U8" s="364"/>
      <c r="V8" s="364"/>
      <c r="W8" s="364"/>
      <c r="X8" s="364"/>
      <c r="Y8" s="364"/>
      <c r="Z8" s="364"/>
      <c r="AA8" s="364"/>
      <c r="AB8" s="577" t="s">
        <v>120</v>
      </c>
      <c r="AF8" s="891"/>
      <c r="AG8" s="297"/>
    </row>
    <row r="9" spans="1:33" s="351" customFormat="1" ht="6" customHeight="1" x14ac:dyDescent="0.2">
      <c r="B9" s="488"/>
      <c r="C9" s="489"/>
      <c r="D9" s="490"/>
      <c r="E9" s="491"/>
      <c r="F9" s="492"/>
      <c r="G9" s="492"/>
      <c r="H9" s="492"/>
      <c r="I9" s="492"/>
      <c r="J9" s="492"/>
      <c r="K9" s="492"/>
      <c r="L9" s="492"/>
      <c r="M9" s="492"/>
      <c r="N9" s="492"/>
      <c r="O9" s="492"/>
      <c r="P9" s="492"/>
      <c r="Q9" s="492"/>
      <c r="R9" s="492"/>
      <c r="S9" s="492"/>
      <c r="T9" s="492"/>
      <c r="U9" s="492"/>
      <c r="V9" s="492"/>
      <c r="W9" s="492"/>
      <c r="X9" s="736"/>
      <c r="Y9" s="816"/>
      <c r="Z9" s="816"/>
      <c r="AA9" s="816"/>
      <c r="AB9" s="581"/>
      <c r="AF9" s="891"/>
      <c r="AG9" s="297"/>
    </row>
    <row r="10" spans="1:33" ht="12.75" customHeight="1" x14ac:dyDescent="0.2">
      <c r="A10" s="365"/>
      <c r="B10" s="366">
        <v>1</v>
      </c>
      <c r="C10" s="438"/>
      <c r="D10" s="439" t="s">
        <v>641</v>
      </c>
      <c r="E10" s="870" t="s">
        <v>109</v>
      </c>
      <c r="F10" s="572">
        <v>64.288678000000004</v>
      </c>
      <c r="G10" s="440">
        <v>47.917842999999998</v>
      </c>
      <c r="H10" s="440">
        <v>48.257964000000001</v>
      </c>
      <c r="I10" s="440">
        <v>48.008164000000001</v>
      </c>
      <c r="J10" s="440">
        <v>50.951315999999998</v>
      </c>
      <c r="K10" s="440">
        <v>53.381115999999999</v>
      </c>
      <c r="L10" s="440">
        <v>56.448698999999998</v>
      </c>
      <c r="M10" s="440">
        <v>59.549883000000001</v>
      </c>
      <c r="N10" s="440">
        <v>60.495596999999997</v>
      </c>
      <c r="O10" s="440">
        <v>57.688772</v>
      </c>
      <c r="P10" s="440">
        <v>57.932285</v>
      </c>
      <c r="Q10" s="440">
        <v>60.713647999999999</v>
      </c>
      <c r="R10" s="440">
        <v>61.377229</v>
      </c>
      <c r="S10" s="440">
        <v>61.889854999999997</v>
      </c>
      <c r="T10" s="440">
        <v>63.648567</v>
      </c>
      <c r="U10" s="440">
        <v>65.674222999999998</v>
      </c>
      <c r="V10" s="440">
        <v>65.859945999999994</v>
      </c>
      <c r="W10" s="440">
        <v>69.418254000000005</v>
      </c>
      <c r="X10" s="440">
        <v>72.196444</v>
      </c>
      <c r="Y10" s="370">
        <v>76.136815999999996</v>
      </c>
      <c r="Z10" s="370">
        <v>22.242298999999999</v>
      </c>
      <c r="AA10" s="370">
        <v>26.187007999999999</v>
      </c>
      <c r="AB10" s="859">
        <f>AA10/Z10*100-100</f>
        <v>17.735167574179272</v>
      </c>
      <c r="AF10" s="891"/>
    </row>
    <row r="11" spans="1:33" ht="12.75" customHeight="1" x14ac:dyDescent="0.2">
      <c r="A11" s="367"/>
      <c r="B11" s="366">
        <v>2</v>
      </c>
      <c r="C11" s="371"/>
      <c r="D11" s="422" t="s">
        <v>642</v>
      </c>
      <c r="E11" s="871" t="s">
        <v>104</v>
      </c>
      <c r="F11" s="372">
        <v>39.269545999999998</v>
      </c>
      <c r="G11" s="372">
        <v>39.309441</v>
      </c>
      <c r="H11" s="372">
        <v>40.587561999999998</v>
      </c>
      <c r="I11" s="372">
        <v>39.807305999999997</v>
      </c>
      <c r="J11" s="372">
        <v>42.424660000000003</v>
      </c>
      <c r="K11" s="372">
        <v>44.076594999999998</v>
      </c>
      <c r="L11" s="372">
        <v>45.997954999999997</v>
      </c>
      <c r="M11" s="372">
        <v>47.756988</v>
      </c>
      <c r="N11" s="372">
        <v>47.404170999999998</v>
      </c>
      <c r="O11" s="372">
        <v>43.531964000000002</v>
      </c>
      <c r="P11" s="372">
        <v>45.146033000000003</v>
      </c>
      <c r="Q11" s="372">
        <v>49.690392000000003</v>
      </c>
      <c r="R11" s="372">
        <v>50.988292999999999</v>
      </c>
      <c r="S11" s="372">
        <v>52.543411999999996</v>
      </c>
      <c r="T11" s="372">
        <v>54.957121999999998</v>
      </c>
      <c r="U11" s="372">
        <v>58.167814999999997</v>
      </c>
      <c r="V11" s="372">
        <v>63.549632000000003</v>
      </c>
      <c r="W11" s="372">
        <v>68.421666000000002</v>
      </c>
      <c r="X11" s="372">
        <v>70.979498000000007</v>
      </c>
      <c r="Y11" s="372">
        <v>71.689635999999993</v>
      </c>
      <c r="Z11" s="372">
        <v>20.884509999999999</v>
      </c>
      <c r="AA11" s="372">
        <v>25.49081</v>
      </c>
      <c r="AB11" s="860">
        <f t="shared" ref="AB11:AB59" si="0">AA11/Z11*100-100</f>
        <v>22.056059730393486</v>
      </c>
      <c r="AF11" s="891"/>
    </row>
    <row r="12" spans="1:33" ht="12.75" customHeight="1" x14ac:dyDescent="0.2">
      <c r="A12" s="367"/>
      <c r="B12" s="366">
        <v>3</v>
      </c>
      <c r="C12" s="368"/>
      <c r="D12" s="421" t="s">
        <v>19</v>
      </c>
      <c r="E12" s="872" t="s">
        <v>107</v>
      </c>
      <c r="F12" s="370">
        <v>48.964607000000001</v>
      </c>
      <c r="G12" s="370">
        <v>48.196902000000001</v>
      </c>
      <c r="H12" s="370">
        <v>48.081117999999996</v>
      </c>
      <c r="I12" s="370">
        <v>48.023282999999999</v>
      </c>
      <c r="J12" s="370">
        <v>50.700406000000001</v>
      </c>
      <c r="K12" s="370">
        <v>51.789378999999997</v>
      </c>
      <c r="L12" s="370">
        <v>52.402684999999998</v>
      </c>
      <c r="M12" s="370">
        <v>53.853748000000003</v>
      </c>
      <c r="N12" s="370">
        <v>53.188606</v>
      </c>
      <c r="O12" s="370">
        <v>50.573039999999999</v>
      </c>
      <c r="P12" s="370">
        <v>52.645924999999998</v>
      </c>
      <c r="Q12" s="370">
        <v>56.274597999999997</v>
      </c>
      <c r="R12" s="370">
        <v>57.25665</v>
      </c>
      <c r="S12" s="370">
        <v>57.877724999999998</v>
      </c>
      <c r="T12" s="370">
        <v>59.414039000000002</v>
      </c>
      <c r="U12" s="370">
        <v>60.889153999999998</v>
      </c>
      <c r="V12" s="370">
        <v>60.668733000000003</v>
      </c>
      <c r="W12" s="370">
        <v>64.390214999999998</v>
      </c>
      <c r="X12" s="370">
        <v>69.385941000000003</v>
      </c>
      <c r="Y12" s="370">
        <v>70.435867000000002</v>
      </c>
      <c r="Z12" s="370">
        <v>18.738019000000001</v>
      </c>
      <c r="AA12" s="370">
        <v>24.765459</v>
      </c>
      <c r="AB12" s="861">
        <f t="shared" si="0"/>
        <v>32.166900887441727</v>
      </c>
      <c r="AF12" s="891"/>
      <c r="AG12" s="351"/>
    </row>
    <row r="13" spans="1:33" ht="12.75" customHeight="1" x14ac:dyDescent="0.2">
      <c r="A13" s="367"/>
      <c r="B13" s="366">
        <v>4</v>
      </c>
      <c r="C13" s="371"/>
      <c r="D13" s="422" t="s">
        <v>453</v>
      </c>
      <c r="E13" s="871" t="s">
        <v>108</v>
      </c>
      <c r="F13" s="372">
        <v>24.380255999999999</v>
      </c>
      <c r="G13" s="372">
        <v>33.863722000000003</v>
      </c>
      <c r="H13" s="372">
        <v>33.696258</v>
      </c>
      <c r="I13" s="372">
        <v>35.369822999999997</v>
      </c>
      <c r="J13" s="372">
        <v>38.154969999999999</v>
      </c>
      <c r="K13" s="372">
        <v>41.724707000000002</v>
      </c>
      <c r="L13" s="372">
        <v>45.063806</v>
      </c>
      <c r="M13" s="372">
        <v>51.208323</v>
      </c>
      <c r="N13" s="372">
        <v>50.365595999999996</v>
      </c>
      <c r="O13" s="372">
        <v>47.943506999999997</v>
      </c>
      <c r="P13" s="372">
        <v>49.797421999999997</v>
      </c>
      <c r="Q13" s="372">
        <v>49.531672</v>
      </c>
      <c r="R13" s="372">
        <v>45.124079000000002</v>
      </c>
      <c r="S13" s="372">
        <v>39.661394000000001</v>
      </c>
      <c r="T13" s="372">
        <v>41.540612000000003</v>
      </c>
      <c r="U13" s="372">
        <v>46.296726999999997</v>
      </c>
      <c r="V13" s="372">
        <v>49.177700000000002</v>
      </c>
      <c r="W13" s="372">
        <v>52.022815000000001</v>
      </c>
      <c r="X13" s="372">
        <v>56.477891</v>
      </c>
      <c r="Y13" s="372">
        <v>59.747242</v>
      </c>
      <c r="Z13" s="372">
        <v>16.494572000000002</v>
      </c>
      <c r="AA13" s="372">
        <v>23.193459000000001</v>
      </c>
      <c r="AB13" s="860">
        <f t="shared" si="0"/>
        <v>40.612675491064579</v>
      </c>
      <c r="AF13" s="891"/>
      <c r="AG13" s="351"/>
    </row>
    <row r="14" spans="1:33" ht="12.75" customHeight="1" x14ac:dyDescent="0.2">
      <c r="A14" s="367"/>
      <c r="B14" s="366">
        <v>5</v>
      </c>
      <c r="C14" s="368"/>
      <c r="D14" s="421" t="s">
        <v>454</v>
      </c>
      <c r="E14" s="872" t="s">
        <v>108</v>
      </c>
      <c r="F14" s="370">
        <v>14.391045999999999</v>
      </c>
      <c r="G14" s="370">
        <v>20.534275000000001</v>
      </c>
      <c r="H14" s="370">
        <v>21.164324000000001</v>
      </c>
      <c r="I14" s="370">
        <v>22.492000999999998</v>
      </c>
      <c r="J14" s="370">
        <v>24.354275000000001</v>
      </c>
      <c r="K14" s="370">
        <v>27.017206999999999</v>
      </c>
      <c r="L14" s="370">
        <v>29.895309000000001</v>
      </c>
      <c r="M14" s="370">
        <v>32.742863999999997</v>
      </c>
      <c r="N14" s="370">
        <v>30.364331</v>
      </c>
      <c r="O14" s="370">
        <v>27.287410000000001</v>
      </c>
      <c r="P14" s="370">
        <v>29.180857</v>
      </c>
      <c r="Q14" s="370">
        <v>34.314371000000001</v>
      </c>
      <c r="R14" s="370">
        <v>35.071308000000002</v>
      </c>
      <c r="S14" s="370">
        <v>35.17651</v>
      </c>
      <c r="T14" s="370">
        <v>37.416843999999998</v>
      </c>
      <c r="U14" s="370">
        <v>39.424619</v>
      </c>
      <c r="V14" s="370">
        <v>43.74973</v>
      </c>
      <c r="W14" s="370">
        <v>46.801734000000003</v>
      </c>
      <c r="X14" s="370">
        <v>49.594338</v>
      </c>
      <c r="Y14" s="370">
        <v>51.734144000000001</v>
      </c>
      <c r="Z14" s="370">
        <v>12.440832</v>
      </c>
      <c r="AA14" s="370">
        <v>18.475486</v>
      </c>
      <c r="AB14" s="861">
        <f t="shared" si="0"/>
        <v>48.506836198736551</v>
      </c>
      <c r="AF14" s="891"/>
      <c r="AG14" s="351"/>
    </row>
    <row r="15" spans="1:33" ht="12.75" customHeight="1" x14ac:dyDescent="0.2">
      <c r="A15" s="367"/>
      <c r="B15" s="366">
        <v>6</v>
      </c>
      <c r="C15" s="371"/>
      <c r="D15" s="422" t="s">
        <v>643</v>
      </c>
      <c r="E15" s="871" t="s">
        <v>109</v>
      </c>
      <c r="F15" s="372">
        <v>23.83</v>
      </c>
      <c r="G15" s="372">
        <v>22.991242</v>
      </c>
      <c r="H15" s="372">
        <v>23.143632</v>
      </c>
      <c r="I15" s="372">
        <v>22.448820000000001</v>
      </c>
      <c r="J15" s="372">
        <v>24.049423999999998</v>
      </c>
      <c r="K15" s="372">
        <v>24.850325999999999</v>
      </c>
      <c r="L15" s="372">
        <v>25.603532000000001</v>
      </c>
      <c r="M15" s="372">
        <v>26.415520000000001</v>
      </c>
      <c r="N15" s="372">
        <v>26.187660000000001</v>
      </c>
      <c r="O15" s="372">
        <v>25.087342</v>
      </c>
      <c r="P15" s="372">
        <v>25.1571</v>
      </c>
      <c r="Q15" s="372">
        <v>27.099081000000002</v>
      </c>
      <c r="R15" s="372">
        <v>27.188689</v>
      </c>
      <c r="S15" s="372">
        <v>28.248908</v>
      </c>
      <c r="T15" s="372">
        <v>28.842068999999999</v>
      </c>
      <c r="U15" s="372">
        <v>29.663148</v>
      </c>
      <c r="V15" s="372">
        <v>31.235738000000001</v>
      </c>
      <c r="W15" s="372">
        <v>32.039569999999998</v>
      </c>
      <c r="X15" s="372">
        <v>33.114935000000003</v>
      </c>
      <c r="Y15" s="372">
        <v>31.853674999999999</v>
      </c>
      <c r="Z15" s="372">
        <v>10.782724</v>
      </c>
      <c r="AA15" s="372">
        <v>15.719099</v>
      </c>
      <c r="AB15" s="860">
        <f t="shared" si="0"/>
        <v>45.780407622415254</v>
      </c>
      <c r="AF15" s="891"/>
      <c r="AG15" s="351"/>
    </row>
    <row r="16" spans="1:33" ht="12.75" customHeight="1" x14ac:dyDescent="0.2">
      <c r="A16" s="367"/>
      <c r="B16" s="366">
        <v>7</v>
      </c>
      <c r="C16" s="368"/>
      <c r="D16" s="421" t="s">
        <v>353</v>
      </c>
      <c r="E16" s="872" t="s">
        <v>108</v>
      </c>
      <c r="F16" s="369">
        <v>16.869672999999999</v>
      </c>
      <c r="G16" s="370">
        <v>19.115435000000002</v>
      </c>
      <c r="H16" s="370">
        <v>17.758972</v>
      </c>
      <c r="I16" s="370">
        <v>19.114792999999999</v>
      </c>
      <c r="J16" s="370">
        <v>20.362628000000001</v>
      </c>
      <c r="K16" s="370">
        <v>21.215385000000001</v>
      </c>
      <c r="L16" s="370">
        <v>22.396943</v>
      </c>
      <c r="M16" s="370">
        <v>23.166658000000002</v>
      </c>
      <c r="N16" s="370">
        <v>22.806550999999999</v>
      </c>
      <c r="O16" s="370">
        <v>21.173030000000001</v>
      </c>
      <c r="P16" s="370">
        <v>21.079371999999999</v>
      </c>
      <c r="Q16" s="370">
        <v>22.702784000000001</v>
      </c>
      <c r="R16" s="370">
        <v>22.610288000000001</v>
      </c>
      <c r="S16" s="370">
        <v>22.741199000000002</v>
      </c>
      <c r="T16" s="370">
        <v>23.078298</v>
      </c>
      <c r="U16" s="370">
        <v>23.716664999999999</v>
      </c>
      <c r="V16" s="370">
        <v>26.230221</v>
      </c>
      <c r="W16" s="370">
        <v>27.951267999999999</v>
      </c>
      <c r="X16" s="370">
        <v>29.068736000000001</v>
      </c>
      <c r="Y16" s="370">
        <v>29.621269000000002</v>
      </c>
      <c r="Z16" s="370">
        <v>6.0980639999999999</v>
      </c>
      <c r="AA16" s="370">
        <v>14.474126999999999</v>
      </c>
      <c r="AB16" s="861">
        <f t="shared" si="0"/>
        <v>137.35610187102006</v>
      </c>
      <c r="AF16" s="891"/>
    </row>
    <row r="17" spans="1:32" ht="12.75" customHeight="1" x14ac:dyDescent="0.2">
      <c r="A17" s="367"/>
      <c r="B17" s="366">
        <v>8</v>
      </c>
      <c r="C17" s="371"/>
      <c r="D17" s="422" t="s">
        <v>30</v>
      </c>
      <c r="E17" s="871" t="s">
        <v>103</v>
      </c>
      <c r="F17" s="373">
        <v>13.345670999999999</v>
      </c>
      <c r="G17" s="373">
        <v>12.7</v>
      </c>
      <c r="H17" s="373">
        <v>11.83</v>
      </c>
      <c r="I17" s="372">
        <v>12.226718999999999</v>
      </c>
      <c r="J17" s="372">
        <v>13.744882</v>
      </c>
      <c r="K17" s="372">
        <v>14.342931</v>
      </c>
      <c r="L17" s="372">
        <v>15.166388</v>
      </c>
      <c r="M17" s="372">
        <v>16.632798000000001</v>
      </c>
      <c r="N17" s="372">
        <v>16.449399</v>
      </c>
      <c r="O17" s="372">
        <v>16.211283000000002</v>
      </c>
      <c r="P17" s="372">
        <v>15.387981999999999</v>
      </c>
      <c r="Q17" s="372">
        <v>14.422831</v>
      </c>
      <c r="R17" s="372">
        <v>12.926582</v>
      </c>
      <c r="S17" s="372">
        <v>12.518727999999999</v>
      </c>
      <c r="T17" s="372">
        <v>15.19009</v>
      </c>
      <c r="U17" s="372">
        <v>18.089565</v>
      </c>
      <c r="V17" s="372">
        <v>20.008914000000001</v>
      </c>
      <c r="W17" s="372">
        <v>21.722646999999998</v>
      </c>
      <c r="X17" s="372">
        <v>24.130120999999999</v>
      </c>
      <c r="Y17" s="372">
        <v>25.572130999999999</v>
      </c>
      <c r="Z17" s="372">
        <v>8.7718860000000003</v>
      </c>
      <c r="AA17" s="372">
        <v>13.356385</v>
      </c>
      <c r="AB17" s="860">
        <f t="shared" si="0"/>
        <v>52.263549708694342</v>
      </c>
      <c r="AF17" s="891"/>
    </row>
    <row r="18" spans="1:32" ht="12.75" customHeight="1" x14ac:dyDescent="0.2">
      <c r="A18" s="367"/>
      <c r="B18" s="366">
        <v>9</v>
      </c>
      <c r="C18" s="368"/>
      <c r="D18" s="421" t="s">
        <v>22</v>
      </c>
      <c r="E18" s="872" t="s">
        <v>107</v>
      </c>
      <c r="F18" s="369">
        <v>22.869447000000001</v>
      </c>
      <c r="G18" s="370">
        <v>23.413775999999999</v>
      </c>
      <c r="H18" s="370">
        <v>22.878900999999999</v>
      </c>
      <c r="I18" s="370">
        <v>23.953104</v>
      </c>
      <c r="J18" s="370">
        <v>26.600988000000001</v>
      </c>
      <c r="K18" s="370">
        <v>28.447975</v>
      </c>
      <c r="L18" s="370">
        <v>30.606625000000001</v>
      </c>
      <c r="M18" s="370">
        <v>33.813249999999996</v>
      </c>
      <c r="N18" s="370">
        <v>34.399438000000004</v>
      </c>
      <c r="O18" s="370">
        <v>32.560093999999999</v>
      </c>
      <c r="P18" s="370">
        <v>34.516995999999999</v>
      </c>
      <c r="Q18" s="370">
        <v>37.59319</v>
      </c>
      <c r="R18" s="370">
        <v>38.186233999999999</v>
      </c>
      <c r="S18" s="370">
        <v>38.517814000000001</v>
      </c>
      <c r="T18" s="370">
        <v>39.571114999999999</v>
      </c>
      <c r="U18" s="370">
        <v>40.860798000000003</v>
      </c>
      <c r="V18" s="370">
        <v>42.159064000000001</v>
      </c>
      <c r="W18" s="370">
        <v>44.53537</v>
      </c>
      <c r="X18" s="370">
        <v>46.205919000000002</v>
      </c>
      <c r="Y18" s="370">
        <v>47.891776</v>
      </c>
      <c r="Z18" s="370">
        <v>11.09282</v>
      </c>
      <c r="AA18" s="370">
        <v>12.473832</v>
      </c>
      <c r="AB18" s="861">
        <f t="shared" si="0"/>
        <v>12.449602535694268</v>
      </c>
      <c r="AF18" s="891"/>
    </row>
    <row r="19" spans="1:32" ht="12.75" customHeight="1" x14ac:dyDescent="0.2">
      <c r="A19" s="367"/>
      <c r="B19" s="366">
        <v>10</v>
      </c>
      <c r="C19" s="371"/>
      <c r="D19" s="422" t="s">
        <v>87</v>
      </c>
      <c r="E19" s="871" t="s">
        <v>114</v>
      </c>
      <c r="F19" s="372">
        <v>9.2131450000000008</v>
      </c>
      <c r="G19" s="372">
        <v>9.2119540000000004</v>
      </c>
      <c r="H19" s="372">
        <v>9.2702259999999992</v>
      </c>
      <c r="I19" s="372">
        <v>9.5018360000000008</v>
      </c>
      <c r="J19" s="372">
        <v>10.393597</v>
      </c>
      <c r="K19" s="372">
        <v>11.236333999999999</v>
      </c>
      <c r="L19" s="372">
        <v>12.280557</v>
      </c>
      <c r="M19" s="372">
        <v>13.393179</v>
      </c>
      <c r="N19" s="372">
        <v>13.603616000000001</v>
      </c>
      <c r="O19" s="372">
        <v>13.265268000000001</v>
      </c>
      <c r="P19" s="372">
        <v>14.049796000000001</v>
      </c>
      <c r="Q19" s="372">
        <v>14.806035</v>
      </c>
      <c r="R19" s="372">
        <v>15.31476</v>
      </c>
      <c r="S19" s="372">
        <v>16.025483999999999</v>
      </c>
      <c r="T19" s="372">
        <v>18.158564999999999</v>
      </c>
      <c r="U19" s="372">
        <v>20.110793000000001</v>
      </c>
      <c r="V19" s="372">
        <v>22.462501</v>
      </c>
      <c r="W19" s="372">
        <v>26.676553999999999</v>
      </c>
      <c r="X19" s="372">
        <v>29.045703</v>
      </c>
      <c r="Y19" s="372">
        <v>31.190124999999998</v>
      </c>
      <c r="Z19" s="372">
        <v>9.2669619999999995</v>
      </c>
      <c r="AA19" s="372">
        <v>12.154747</v>
      </c>
      <c r="AB19" s="860">
        <f t="shared" si="0"/>
        <v>31.162154328462776</v>
      </c>
      <c r="AF19" s="891"/>
    </row>
    <row r="20" spans="1:32" ht="12.75" customHeight="1" x14ac:dyDescent="0.2">
      <c r="A20" s="367"/>
      <c r="B20" s="366">
        <v>11</v>
      </c>
      <c r="C20" s="368"/>
      <c r="D20" s="421" t="s">
        <v>23</v>
      </c>
      <c r="E20" s="872" t="s">
        <v>111</v>
      </c>
      <c r="F20" s="369"/>
      <c r="G20" s="370">
        <v>24.334436</v>
      </c>
      <c r="H20" s="370">
        <v>24.204778000000001</v>
      </c>
      <c r="I20" s="370">
        <v>25.473178000000001</v>
      </c>
      <c r="J20" s="370">
        <v>27.160143000000001</v>
      </c>
      <c r="K20" s="370">
        <v>27.782292999999999</v>
      </c>
      <c r="L20" s="370">
        <v>28.949569</v>
      </c>
      <c r="M20" s="370">
        <v>32.404476000000003</v>
      </c>
      <c r="N20" s="370">
        <v>34.814929999999997</v>
      </c>
      <c r="O20" s="370">
        <v>33.415559000000002</v>
      </c>
      <c r="P20" s="370">
        <v>35.954489000000002</v>
      </c>
      <c r="Q20" s="370">
        <v>37.404513000000001</v>
      </c>
      <c r="R20" s="370">
        <v>36.741157999999999</v>
      </c>
      <c r="S20" s="370">
        <v>35.938018999999997</v>
      </c>
      <c r="T20" s="370">
        <v>38.244622</v>
      </c>
      <c r="U20" s="370">
        <v>40.231175</v>
      </c>
      <c r="V20" s="370">
        <v>41.569037999999999</v>
      </c>
      <c r="W20" s="370">
        <v>40.840699999999998</v>
      </c>
      <c r="X20" s="370">
        <v>42.894216999999998</v>
      </c>
      <c r="Y20" s="370">
        <v>43.397751</v>
      </c>
      <c r="Z20" s="370">
        <v>9.7732910000000004</v>
      </c>
      <c r="AA20" s="370">
        <v>11.586430999999999</v>
      </c>
      <c r="AB20" s="861">
        <f t="shared" si="0"/>
        <v>18.551990317284094</v>
      </c>
      <c r="AF20" s="891"/>
    </row>
    <row r="21" spans="1:32" ht="12.75" customHeight="1" x14ac:dyDescent="0.2">
      <c r="A21" s="367"/>
      <c r="B21" s="366">
        <v>12</v>
      </c>
      <c r="C21" s="371"/>
      <c r="D21" s="422" t="s">
        <v>25</v>
      </c>
      <c r="E21" s="871" t="s">
        <v>113</v>
      </c>
      <c r="F21" s="373">
        <v>11.924514</v>
      </c>
      <c r="G21" s="373">
        <v>11.836404</v>
      </c>
      <c r="H21" s="373">
        <v>11.911246</v>
      </c>
      <c r="I21" s="372">
        <v>12.709261</v>
      </c>
      <c r="J21" s="372">
        <v>14.710908</v>
      </c>
      <c r="K21" s="372">
        <v>15.802429</v>
      </c>
      <c r="L21" s="372">
        <v>16.808095000000002</v>
      </c>
      <c r="M21" s="372">
        <v>18.718131</v>
      </c>
      <c r="N21" s="372">
        <v>19.686792000000001</v>
      </c>
      <c r="O21" s="372">
        <v>18.044601</v>
      </c>
      <c r="P21" s="372">
        <v>19.61702</v>
      </c>
      <c r="Q21" s="372">
        <v>21.106076000000002</v>
      </c>
      <c r="R21" s="372">
        <v>22.195806999999999</v>
      </c>
      <c r="S21" s="372">
        <v>22.041163999999998</v>
      </c>
      <c r="T21" s="372">
        <v>22.472978999999999</v>
      </c>
      <c r="U21" s="372">
        <v>22.739587</v>
      </c>
      <c r="V21" s="372">
        <v>23.318172000000001</v>
      </c>
      <c r="W21" s="372">
        <v>24.333356999999999</v>
      </c>
      <c r="X21" s="372">
        <v>27.024787</v>
      </c>
      <c r="Y21" s="372">
        <v>31.634898</v>
      </c>
      <c r="Z21" s="372">
        <v>7.8480030000000003</v>
      </c>
      <c r="AA21" s="372">
        <v>10.466116</v>
      </c>
      <c r="AB21" s="860">
        <f t="shared" si="0"/>
        <v>33.360244638030849</v>
      </c>
      <c r="AF21" s="891"/>
    </row>
    <row r="22" spans="1:32" ht="12.75" customHeight="1" x14ac:dyDescent="0.2">
      <c r="A22" s="367"/>
      <c r="B22" s="366">
        <v>13</v>
      </c>
      <c r="C22" s="368"/>
      <c r="D22" s="421" t="s">
        <v>461</v>
      </c>
      <c r="E22" s="872" t="s">
        <v>107</v>
      </c>
      <c r="F22" s="370">
        <v>2.0906440000000002</v>
      </c>
      <c r="G22" s="370">
        <v>1.7821199999999999</v>
      </c>
      <c r="H22" s="370">
        <v>1.579812</v>
      </c>
      <c r="I22" s="370">
        <v>1.6473059999999999</v>
      </c>
      <c r="J22" s="370">
        <v>3.2939430000000001</v>
      </c>
      <c r="K22" s="370">
        <v>5.0021880000000003</v>
      </c>
      <c r="L22" s="370">
        <v>6.013172</v>
      </c>
      <c r="M22" s="370">
        <v>6.3062180000000003</v>
      </c>
      <c r="N22" s="370">
        <v>6.6152340000000001</v>
      </c>
      <c r="O22" s="370">
        <v>6.7674089999999998</v>
      </c>
      <c r="P22" s="370">
        <v>7.2548779999999997</v>
      </c>
      <c r="Q22" s="370">
        <v>7.0984550000000004</v>
      </c>
      <c r="R22" s="370">
        <v>7.0806589999999998</v>
      </c>
      <c r="S22" s="370">
        <v>6.7119920000000004</v>
      </c>
      <c r="T22" s="370">
        <v>7.273504</v>
      </c>
      <c r="U22" s="370">
        <v>8.508934</v>
      </c>
      <c r="V22" s="370">
        <v>11.625476000000001</v>
      </c>
      <c r="W22" s="370">
        <v>12.851748000000001</v>
      </c>
      <c r="X22" s="370">
        <v>12.713281</v>
      </c>
      <c r="Y22" s="370">
        <v>11.404275</v>
      </c>
      <c r="Z22" s="370">
        <v>3.218931</v>
      </c>
      <c r="AA22" s="370">
        <v>9.9293429999999994</v>
      </c>
      <c r="AB22" s="861">
        <f t="shared" si="0"/>
        <v>208.46709668520384</v>
      </c>
      <c r="AF22" s="891"/>
    </row>
    <row r="23" spans="1:32" ht="12.75" customHeight="1" x14ac:dyDescent="0.2">
      <c r="A23" s="367"/>
      <c r="B23" s="366">
        <v>14</v>
      </c>
      <c r="C23" s="371"/>
      <c r="D23" s="422" t="s">
        <v>644</v>
      </c>
      <c r="E23" s="871" t="s">
        <v>111</v>
      </c>
      <c r="F23" s="1051">
        <v>20.55</v>
      </c>
      <c r="G23" s="372">
        <v>18.457115000000002</v>
      </c>
      <c r="H23" s="372">
        <v>17.330079999999999</v>
      </c>
      <c r="I23" s="372">
        <v>17.483346999999998</v>
      </c>
      <c r="J23" s="372">
        <v>18.418892</v>
      </c>
      <c r="K23" s="372">
        <v>19.485333000000001</v>
      </c>
      <c r="L23" s="372">
        <v>21.619523999999998</v>
      </c>
      <c r="M23" s="372">
        <v>23.631886000000002</v>
      </c>
      <c r="N23" s="372">
        <v>19.012378999999999</v>
      </c>
      <c r="O23" s="372">
        <v>17.348392</v>
      </c>
      <c r="P23" s="372">
        <v>18.712893999999999</v>
      </c>
      <c r="Q23" s="372">
        <v>19.087098000000001</v>
      </c>
      <c r="R23" s="372">
        <v>18.329205000000002</v>
      </c>
      <c r="S23" s="372">
        <v>17.781144000000001</v>
      </c>
      <c r="T23" s="372">
        <v>18.662723</v>
      </c>
      <c r="U23" s="372">
        <v>18.444835999999999</v>
      </c>
      <c r="V23" s="372">
        <v>19.311565000000002</v>
      </c>
      <c r="W23" s="372">
        <v>22.037241000000002</v>
      </c>
      <c r="X23" s="372">
        <v>24.147919000000002</v>
      </c>
      <c r="Y23" s="372">
        <v>28.705272999999998</v>
      </c>
      <c r="Z23" s="372">
        <v>7.2054999999999998</v>
      </c>
      <c r="AA23" s="372">
        <v>9.5782450000000008</v>
      </c>
      <c r="AB23" s="860">
        <f t="shared" si="0"/>
        <v>32.929637082784012</v>
      </c>
      <c r="AF23" s="891"/>
    </row>
    <row r="24" spans="1:32" ht="12.75" customHeight="1" x14ac:dyDescent="0.2">
      <c r="A24" s="367"/>
      <c r="B24" s="366">
        <v>15</v>
      </c>
      <c r="C24" s="368"/>
      <c r="D24" s="421" t="s">
        <v>645</v>
      </c>
      <c r="E24" s="872" t="s">
        <v>106</v>
      </c>
      <c r="F24" s="370">
        <v>21.596747000000001</v>
      </c>
      <c r="G24" s="369">
        <v>18.457115000000002</v>
      </c>
      <c r="H24" s="370">
        <v>13.558961999999999</v>
      </c>
      <c r="I24" s="370">
        <v>15.095879</v>
      </c>
      <c r="J24" s="370">
        <v>15.445213000000001</v>
      </c>
      <c r="K24" s="370">
        <v>15.950856999999999</v>
      </c>
      <c r="L24" s="370">
        <v>16.592518999999999</v>
      </c>
      <c r="M24" s="370">
        <v>17.744942999999999</v>
      </c>
      <c r="N24" s="370">
        <v>18.368539999999999</v>
      </c>
      <c r="O24" s="370">
        <v>16.785139999999998</v>
      </c>
      <c r="P24" s="370">
        <v>16.980274000000001</v>
      </c>
      <c r="Q24" s="370">
        <v>18.613385999999998</v>
      </c>
      <c r="R24" s="370">
        <v>18.815367999999999</v>
      </c>
      <c r="S24" s="370">
        <v>18.984862</v>
      </c>
      <c r="T24" s="370">
        <v>21.753658999999999</v>
      </c>
      <c r="U24" s="370">
        <v>23.269439999999999</v>
      </c>
      <c r="V24" s="370">
        <v>21.769268</v>
      </c>
      <c r="W24" s="370">
        <v>24.775653999999999</v>
      </c>
      <c r="X24" s="370">
        <v>25.636972</v>
      </c>
      <c r="Y24" s="370">
        <v>26.287165999999999</v>
      </c>
      <c r="Z24" s="370">
        <v>6.714696</v>
      </c>
      <c r="AA24" s="370">
        <v>9.3314020000000006</v>
      </c>
      <c r="AB24" s="861">
        <f t="shared" si="0"/>
        <v>38.969835715570753</v>
      </c>
      <c r="AF24" s="891"/>
    </row>
    <row r="25" spans="1:32" ht="12.75" customHeight="1" x14ac:dyDescent="0.2">
      <c r="A25" s="367"/>
      <c r="B25" s="366">
        <v>16</v>
      </c>
      <c r="C25" s="371"/>
      <c r="D25" s="422" t="s">
        <v>26</v>
      </c>
      <c r="E25" s="871" t="s">
        <v>102</v>
      </c>
      <c r="F25" s="373">
        <v>18.11</v>
      </c>
      <c r="G25" s="373">
        <v>18.03</v>
      </c>
      <c r="H25" s="373">
        <v>18.190000000000001</v>
      </c>
      <c r="I25" s="373">
        <v>17.68</v>
      </c>
      <c r="J25" s="372">
        <v>18.889472999999999</v>
      </c>
      <c r="K25" s="372">
        <v>19.822281</v>
      </c>
      <c r="L25" s="372">
        <v>20.694178999999998</v>
      </c>
      <c r="M25" s="372">
        <v>21.293405</v>
      </c>
      <c r="N25" s="372">
        <v>21.686516000000001</v>
      </c>
      <c r="O25" s="372">
        <v>19.604528999999999</v>
      </c>
      <c r="P25" s="372">
        <v>21.385918</v>
      </c>
      <c r="Q25" s="372">
        <v>22.606860999999999</v>
      </c>
      <c r="R25" s="372">
        <v>23.221872999999999</v>
      </c>
      <c r="S25" s="372">
        <v>23.970082999999999</v>
      </c>
      <c r="T25" s="372">
        <v>25.531832999999999</v>
      </c>
      <c r="U25" s="372">
        <v>26.512226999999999</v>
      </c>
      <c r="V25" s="372">
        <v>28.945913000000001</v>
      </c>
      <c r="W25" s="372">
        <v>29.100429999999999</v>
      </c>
      <c r="X25" s="372">
        <v>30.191524999999999</v>
      </c>
      <c r="Y25" s="372">
        <v>30.120542</v>
      </c>
      <c r="Z25" s="372">
        <v>7.4908099999999997</v>
      </c>
      <c r="AA25" s="372">
        <v>9.1477620000000002</v>
      </c>
      <c r="AB25" s="860">
        <f t="shared" si="0"/>
        <v>22.119797458485806</v>
      </c>
      <c r="AF25" s="891"/>
    </row>
    <row r="26" spans="1:32" ht="12.75" customHeight="1" x14ac:dyDescent="0.2">
      <c r="A26" s="365"/>
      <c r="B26" s="366">
        <v>17</v>
      </c>
      <c r="C26" s="368"/>
      <c r="D26" s="421" t="s">
        <v>495</v>
      </c>
      <c r="E26" s="872" t="s">
        <v>108</v>
      </c>
      <c r="F26" s="370">
        <v>8.2605149999999998</v>
      </c>
      <c r="G26" s="370">
        <v>9.8072479999999995</v>
      </c>
      <c r="H26" s="370">
        <v>10.300188</v>
      </c>
      <c r="I26" s="370">
        <v>11.409941999999999</v>
      </c>
      <c r="J26" s="370">
        <v>11.929639999999999</v>
      </c>
      <c r="K26" s="370">
        <v>12.606593999999999</v>
      </c>
      <c r="L26" s="370">
        <v>13.035617</v>
      </c>
      <c r="M26" s="370">
        <v>13.568619999999999</v>
      </c>
      <c r="N26" s="370">
        <v>12.753603999999999</v>
      </c>
      <c r="O26" s="370">
        <v>11.600675000000001</v>
      </c>
      <c r="P26" s="370">
        <v>12.022663</v>
      </c>
      <c r="Q26" s="370">
        <v>12.759548000000001</v>
      </c>
      <c r="R26" s="370">
        <v>12.522551</v>
      </c>
      <c r="S26" s="370">
        <v>12.871054000000001</v>
      </c>
      <c r="T26" s="370">
        <v>13.697196</v>
      </c>
      <c r="U26" s="370">
        <v>14.360396</v>
      </c>
      <c r="V26" s="370">
        <v>16.619546</v>
      </c>
      <c r="W26" s="370">
        <v>18.574881000000001</v>
      </c>
      <c r="X26" s="370">
        <v>18.92728</v>
      </c>
      <c r="Y26" s="370">
        <v>19.597999000000002</v>
      </c>
      <c r="Z26" s="370">
        <v>5.073677</v>
      </c>
      <c r="AA26" s="370">
        <v>8.7469110000000008</v>
      </c>
      <c r="AB26" s="861">
        <f t="shared" si="0"/>
        <v>72.397868449252883</v>
      </c>
      <c r="AF26" s="891"/>
    </row>
    <row r="27" spans="1:32" ht="12.75" customHeight="1" x14ac:dyDescent="0.2">
      <c r="A27" s="367"/>
      <c r="B27" s="366">
        <v>18</v>
      </c>
      <c r="C27" s="371"/>
      <c r="D27" s="422" t="s">
        <v>355</v>
      </c>
      <c r="E27" s="871" t="s">
        <v>110</v>
      </c>
      <c r="F27" s="372">
        <v>13.656344000000001</v>
      </c>
      <c r="G27" s="372">
        <v>14.128835</v>
      </c>
      <c r="H27" s="372">
        <v>14.838698000000001</v>
      </c>
      <c r="I27" s="373"/>
      <c r="J27" s="372">
        <v>17.032388000000001</v>
      </c>
      <c r="K27" s="372">
        <v>18.325980999999999</v>
      </c>
      <c r="L27" s="372">
        <v>21.062514</v>
      </c>
      <c r="M27" s="372">
        <v>23.204324</v>
      </c>
      <c r="N27" s="372">
        <v>23.379477000000001</v>
      </c>
      <c r="O27" s="372">
        <v>20.469488999999999</v>
      </c>
      <c r="P27" s="372">
        <v>18.408087999999999</v>
      </c>
      <c r="Q27" s="372">
        <v>18.719711</v>
      </c>
      <c r="R27" s="372">
        <v>19.077659000000001</v>
      </c>
      <c r="S27" s="372">
        <v>20.135843999999999</v>
      </c>
      <c r="T27" s="372">
        <v>21.685742999999999</v>
      </c>
      <c r="U27" s="372">
        <v>24.924299999999999</v>
      </c>
      <c r="V27" s="372">
        <v>27.709122000000001</v>
      </c>
      <c r="W27" s="372">
        <v>29.356401999999999</v>
      </c>
      <c r="X27" s="372">
        <v>31.225279</v>
      </c>
      <c r="Y27" s="372">
        <v>32.653249000000002</v>
      </c>
      <c r="Z27" s="372">
        <v>7.2623300000000004</v>
      </c>
      <c r="AA27" s="372">
        <v>8.2617740000000008</v>
      </c>
      <c r="AB27" s="860">
        <f t="shared" si="0"/>
        <v>13.762029541483244</v>
      </c>
      <c r="AF27" s="891"/>
    </row>
    <row r="28" spans="1:32" ht="12.75" customHeight="1" x14ac:dyDescent="0.2">
      <c r="A28" s="367"/>
      <c r="B28" s="366">
        <v>19</v>
      </c>
      <c r="C28" s="368"/>
      <c r="D28" s="421" t="s">
        <v>28</v>
      </c>
      <c r="E28" s="872" t="s">
        <v>107</v>
      </c>
      <c r="F28" s="370">
        <v>15.911464</v>
      </c>
      <c r="G28" s="370">
        <v>15.294392999999999</v>
      </c>
      <c r="H28" s="370">
        <v>14.589302999999999</v>
      </c>
      <c r="I28" s="370">
        <v>14.12445</v>
      </c>
      <c r="J28" s="370">
        <v>15.091635999999999</v>
      </c>
      <c r="K28" s="370">
        <v>15.390326999999999</v>
      </c>
      <c r="L28" s="370">
        <v>16.509003</v>
      </c>
      <c r="M28" s="370">
        <v>17.780438</v>
      </c>
      <c r="N28" s="370">
        <v>18.103363999999999</v>
      </c>
      <c r="O28" s="370">
        <v>17.723958</v>
      </c>
      <c r="P28" s="370">
        <v>18.907817999999999</v>
      </c>
      <c r="Q28" s="370">
        <v>20.296102000000001</v>
      </c>
      <c r="R28" s="370">
        <v>20.799029000000001</v>
      </c>
      <c r="S28" s="370">
        <v>21.196194999999999</v>
      </c>
      <c r="T28" s="370">
        <v>21.816953999999999</v>
      </c>
      <c r="U28" s="370">
        <v>22.448170000000001</v>
      </c>
      <c r="V28" s="370">
        <v>23.496699</v>
      </c>
      <c r="W28" s="370">
        <v>24.610242</v>
      </c>
      <c r="X28" s="370">
        <v>24.256316999999999</v>
      </c>
      <c r="Y28" s="370">
        <v>25.476454</v>
      </c>
      <c r="Z28" s="370">
        <v>6.5617979999999996</v>
      </c>
      <c r="AA28" s="370">
        <v>7.9387999999999996</v>
      </c>
      <c r="AB28" s="861">
        <f t="shared" si="0"/>
        <v>20.985132428642288</v>
      </c>
      <c r="AF28" s="891"/>
    </row>
    <row r="29" spans="1:32" ht="12.75" customHeight="1" x14ac:dyDescent="0.2">
      <c r="A29" s="367"/>
      <c r="B29" s="366">
        <v>20</v>
      </c>
      <c r="C29" s="371"/>
      <c r="D29" s="422" t="s">
        <v>29</v>
      </c>
      <c r="E29" s="871" t="s">
        <v>116</v>
      </c>
      <c r="F29" s="372">
        <v>18.61</v>
      </c>
      <c r="G29" s="372">
        <v>18.489999999999998</v>
      </c>
      <c r="H29" s="372">
        <v>16.64</v>
      </c>
      <c r="I29" s="372">
        <v>15.29</v>
      </c>
      <c r="J29" s="372">
        <v>16.245809000000001</v>
      </c>
      <c r="K29" s="372">
        <v>17.158574999999999</v>
      </c>
      <c r="L29" s="372">
        <v>17.538931999999999</v>
      </c>
      <c r="M29" s="372">
        <v>17.904012999999999</v>
      </c>
      <c r="N29" s="372">
        <v>18.125983000000002</v>
      </c>
      <c r="O29" s="372">
        <v>16.057959</v>
      </c>
      <c r="P29" s="372">
        <v>16.956527999999999</v>
      </c>
      <c r="Q29" s="372">
        <v>19.057058000000001</v>
      </c>
      <c r="R29" s="372">
        <v>19.685471</v>
      </c>
      <c r="S29" s="372">
        <v>20.673548</v>
      </c>
      <c r="T29" s="372">
        <v>22.425940000000001</v>
      </c>
      <c r="U29" s="372">
        <v>23.154108000000001</v>
      </c>
      <c r="V29" s="372">
        <v>24.696871000000002</v>
      </c>
      <c r="W29" s="372">
        <v>26.587527999999999</v>
      </c>
      <c r="X29" s="372">
        <v>26.841388999999999</v>
      </c>
      <c r="Y29" s="372">
        <v>25.633469000000002</v>
      </c>
      <c r="Z29" s="372">
        <v>6.5331010000000003</v>
      </c>
      <c r="AA29" s="372">
        <v>7.4929050000000004</v>
      </c>
      <c r="AB29" s="860">
        <f t="shared" si="0"/>
        <v>14.691399995193706</v>
      </c>
      <c r="AF29" s="891"/>
    </row>
    <row r="30" spans="1:32" ht="12.75" customHeight="1" x14ac:dyDescent="0.2">
      <c r="A30" s="367"/>
      <c r="B30" s="366">
        <v>21</v>
      </c>
      <c r="C30" s="368"/>
      <c r="D30" s="421" t="s">
        <v>319</v>
      </c>
      <c r="E30" s="872" t="s">
        <v>97</v>
      </c>
      <c r="F30" s="369">
        <v>4.33</v>
      </c>
      <c r="G30" s="369">
        <v>4.71</v>
      </c>
      <c r="H30" s="369">
        <v>4.9400000000000004</v>
      </c>
      <c r="I30" s="369">
        <v>5.17</v>
      </c>
      <c r="J30" s="370">
        <v>6.0918859999999997</v>
      </c>
      <c r="K30" s="370">
        <v>7.0803250000000002</v>
      </c>
      <c r="L30" s="370">
        <v>8.1168759999999995</v>
      </c>
      <c r="M30" s="370">
        <v>9.2280110000000004</v>
      </c>
      <c r="N30" s="370">
        <v>9.4802400000000002</v>
      </c>
      <c r="O30" s="370">
        <v>8.3332680000000003</v>
      </c>
      <c r="P30" s="370">
        <v>8.7278079999999996</v>
      </c>
      <c r="Q30" s="370">
        <v>9.3513400000000004</v>
      </c>
      <c r="R30" s="370">
        <v>9.6045099999999994</v>
      </c>
      <c r="S30" s="370">
        <v>10.693507</v>
      </c>
      <c r="T30" s="370">
        <v>10.597882999999999</v>
      </c>
      <c r="U30" s="370">
        <v>11.214411</v>
      </c>
      <c r="V30" s="370">
        <v>12.843933</v>
      </c>
      <c r="W30" s="370">
        <v>15.757009999999999</v>
      </c>
      <c r="X30" s="370">
        <v>17.772396000000001</v>
      </c>
      <c r="Y30" s="370">
        <v>18.867505999999999</v>
      </c>
      <c r="Z30" s="370">
        <v>5.4718939999999998</v>
      </c>
      <c r="AA30" s="370">
        <v>7.4400560000000002</v>
      </c>
      <c r="AB30" s="861">
        <f t="shared" si="0"/>
        <v>35.968569566588826</v>
      </c>
      <c r="AF30" s="891"/>
    </row>
    <row r="31" spans="1:32" ht="12.75" customHeight="1" x14ac:dyDescent="0.2">
      <c r="A31" s="367"/>
      <c r="B31" s="366">
        <v>22</v>
      </c>
      <c r="C31" s="371"/>
      <c r="D31" s="422" t="s">
        <v>459</v>
      </c>
      <c r="E31" s="871" t="s">
        <v>98</v>
      </c>
      <c r="F31" s="372"/>
      <c r="G31" s="372">
        <v>1.945956</v>
      </c>
      <c r="H31" s="372">
        <v>2.0291009999999998</v>
      </c>
      <c r="I31" s="372">
        <v>2.2460170000000002</v>
      </c>
      <c r="J31" s="372">
        <v>2.6004010000000002</v>
      </c>
      <c r="K31" s="372">
        <v>2.9770660000000002</v>
      </c>
      <c r="L31" s="372">
        <v>3.4983499999999998</v>
      </c>
      <c r="M31" s="372">
        <v>4.9377570000000004</v>
      </c>
      <c r="N31" s="372">
        <v>5.0633080000000001</v>
      </c>
      <c r="O31" s="372">
        <v>4.480734</v>
      </c>
      <c r="P31" s="372">
        <v>4.9169559999999999</v>
      </c>
      <c r="Q31" s="372">
        <v>5.0281659999999997</v>
      </c>
      <c r="R31" s="372">
        <v>7.0885150000000001</v>
      </c>
      <c r="S31" s="372">
        <v>7.6073440000000003</v>
      </c>
      <c r="T31" s="372">
        <v>8.2836850000000002</v>
      </c>
      <c r="U31" s="372">
        <v>9.2742869999999993</v>
      </c>
      <c r="V31" s="372">
        <v>10.978933</v>
      </c>
      <c r="W31" s="372">
        <v>12.802865000000001</v>
      </c>
      <c r="X31" s="372">
        <v>13.818913</v>
      </c>
      <c r="Y31" s="372">
        <v>14.694182</v>
      </c>
      <c r="Z31" s="372">
        <v>4.4506309999999996</v>
      </c>
      <c r="AA31" s="372">
        <v>6.8876169999999997</v>
      </c>
      <c r="AB31" s="860">
        <f t="shared" si="0"/>
        <v>54.75596606413788</v>
      </c>
      <c r="AF31" s="891"/>
    </row>
    <row r="32" spans="1:32" ht="12.75" customHeight="1" x14ac:dyDescent="0.2">
      <c r="A32" s="367"/>
      <c r="B32" s="366">
        <v>23</v>
      </c>
      <c r="C32" s="368"/>
      <c r="D32" s="421" t="s">
        <v>36</v>
      </c>
      <c r="E32" s="872" t="s">
        <v>108</v>
      </c>
      <c r="F32" s="370">
        <v>7.6643480000000004</v>
      </c>
      <c r="G32" s="370">
        <v>9.0849220000000006</v>
      </c>
      <c r="H32" s="370">
        <v>8.7724240000000009</v>
      </c>
      <c r="I32" s="370">
        <v>8.9378980000000006</v>
      </c>
      <c r="J32" s="370">
        <v>9.2180339999999994</v>
      </c>
      <c r="K32" s="370">
        <v>9.6850900000000006</v>
      </c>
      <c r="L32" s="370">
        <v>9.9672269999999994</v>
      </c>
      <c r="M32" s="370">
        <v>10.042597000000001</v>
      </c>
      <c r="N32" s="370">
        <v>9.9789390000000004</v>
      </c>
      <c r="O32" s="370">
        <v>8.9266860000000001</v>
      </c>
      <c r="P32" s="370">
        <v>9.2808869999999999</v>
      </c>
      <c r="Q32" s="370">
        <v>10.339370000000001</v>
      </c>
      <c r="R32" s="370">
        <v>9.6607199999999995</v>
      </c>
      <c r="S32" s="370">
        <v>9.535031</v>
      </c>
      <c r="T32" s="370">
        <v>10.114582</v>
      </c>
      <c r="U32" s="370">
        <v>10.443794</v>
      </c>
      <c r="V32" s="370">
        <v>11.907368999999999</v>
      </c>
      <c r="W32" s="370">
        <v>12.892491</v>
      </c>
      <c r="X32" s="370">
        <v>13.371104000000001</v>
      </c>
      <c r="Y32" s="370">
        <v>13.097314000000001</v>
      </c>
      <c r="Z32" s="370">
        <v>5.0756350000000001</v>
      </c>
      <c r="AA32" s="370">
        <v>6.7889480000000004</v>
      </c>
      <c r="AB32" s="861">
        <f t="shared" si="0"/>
        <v>33.755638457060058</v>
      </c>
      <c r="AF32" s="891"/>
    </row>
    <row r="33" spans="1:32" ht="12.75" customHeight="1" x14ac:dyDescent="0.2">
      <c r="A33" s="367"/>
      <c r="B33" s="366">
        <v>24</v>
      </c>
      <c r="C33" s="371"/>
      <c r="D33" s="422" t="s">
        <v>247</v>
      </c>
      <c r="E33" s="871" t="s">
        <v>109</v>
      </c>
      <c r="F33" s="373">
        <v>9.3349419999999999</v>
      </c>
      <c r="G33" s="373">
        <v>8.9493510000000001</v>
      </c>
      <c r="H33" s="372">
        <v>9.1831759999999996</v>
      </c>
      <c r="I33" s="372">
        <v>9.1239609999999995</v>
      </c>
      <c r="J33" s="372">
        <v>9.3267419999999994</v>
      </c>
      <c r="K33" s="372">
        <v>9.7403099999999991</v>
      </c>
      <c r="L33" s="372">
        <v>9.9261979999999994</v>
      </c>
      <c r="M33" s="372">
        <v>10.380898999999999</v>
      </c>
      <c r="N33" s="372">
        <v>10.364596000000001</v>
      </c>
      <c r="O33" s="372">
        <v>9.8130310000000005</v>
      </c>
      <c r="P33" s="372">
        <v>9.5870759999999997</v>
      </c>
      <c r="Q33" s="372">
        <v>10.404775000000001</v>
      </c>
      <c r="R33" s="372">
        <v>11.177429999999999</v>
      </c>
      <c r="S33" s="372">
        <v>11.539859</v>
      </c>
      <c r="T33" s="372">
        <v>11.655417999999999</v>
      </c>
      <c r="U33" s="372">
        <v>12.0123</v>
      </c>
      <c r="V33" s="372">
        <v>12.419650000000001</v>
      </c>
      <c r="W33" s="372">
        <v>13.300234</v>
      </c>
      <c r="X33" s="372">
        <v>13.83602</v>
      </c>
      <c r="Y33" s="372">
        <v>14.467269</v>
      </c>
      <c r="Z33" s="372">
        <v>4.5743780000000003</v>
      </c>
      <c r="AA33" s="372">
        <v>6.5295719999999999</v>
      </c>
      <c r="AB33" s="860">
        <f t="shared" si="0"/>
        <v>42.742291957507661</v>
      </c>
      <c r="AF33" s="891"/>
    </row>
    <row r="34" spans="1:32" ht="12.75" customHeight="1" x14ac:dyDescent="0.2">
      <c r="A34" s="367"/>
      <c r="B34" s="366">
        <v>25</v>
      </c>
      <c r="C34" s="368"/>
      <c r="D34" s="421" t="s">
        <v>354</v>
      </c>
      <c r="E34" s="872" t="s">
        <v>111</v>
      </c>
      <c r="F34" s="369">
        <v>1.24</v>
      </c>
      <c r="G34" s="369">
        <v>1.1299999999999999</v>
      </c>
      <c r="H34" s="370">
        <v>1.233036</v>
      </c>
      <c r="I34" s="370">
        <v>2.8040120000000002</v>
      </c>
      <c r="J34" s="370">
        <v>3.2883559999999998</v>
      </c>
      <c r="K34" s="370">
        <v>4.2912879999999998</v>
      </c>
      <c r="L34" s="370">
        <v>5.181864</v>
      </c>
      <c r="M34" s="370">
        <v>5.6970020000000003</v>
      </c>
      <c r="N34" s="370">
        <v>6.4096140000000004</v>
      </c>
      <c r="O34" s="370">
        <v>7.1442490000000003</v>
      </c>
      <c r="P34" s="370">
        <v>7.6604770000000002</v>
      </c>
      <c r="Q34" s="370">
        <v>8.4106839999999998</v>
      </c>
      <c r="R34" s="370">
        <v>8.8765540000000005</v>
      </c>
      <c r="S34" s="370">
        <v>8.9532530000000001</v>
      </c>
      <c r="T34" s="370">
        <v>8.7434130000000003</v>
      </c>
      <c r="U34" s="370">
        <v>10.396349000000001</v>
      </c>
      <c r="V34" s="370">
        <v>11.154684</v>
      </c>
      <c r="W34" s="370">
        <v>12.330653999999999</v>
      </c>
      <c r="X34" s="370">
        <v>12.930984</v>
      </c>
      <c r="Y34" s="370">
        <v>13.844025999999999</v>
      </c>
      <c r="Z34" s="370">
        <v>3.8315640000000002</v>
      </c>
      <c r="AA34" s="370">
        <v>6.4650730000000003</v>
      </c>
      <c r="AB34" s="861">
        <f t="shared" si="0"/>
        <v>68.731959064235895</v>
      </c>
      <c r="AF34" s="891"/>
    </row>
    <row r="35" spans="1:32" ht="12.75" customHeight="1" x14ac:dyDescent="0.2">
      <c r="A35" s="367"/>
      <c r="B35" s="366">
        <v>26</v>
      </c>
      <c r="C35" s="371"/>
      <c r="D35" s="422" t="s">
        <v>462</v>
      </c>
      <c r="E35" s="871" t="s">
        <v>111</v>
      </c>
      <c r="F35" s="372">
        <v>3.97</v>
      </c>
      <c r="G35" s="372">
        <v>3.9050440000000002</v>
      </c>
      <c r="H35" s="372">
        <v>4.0605510000000002</v>
      </c>
      <c r="I35" s="372">
        <v>4.7776230000000002</v>
      </c>
      <c r="J35" s="372">
        <v>5.0714329999999999</v>
      </c>
      <c r="K35" s="372">
        <v>5.1699169999999999</v>
      </c>
      <c r="L35" s="372">
        <v>5.3701119999999998</v>
      </c>
      <c r="M35" s="372">
        <v>6.0518710000000002</v>
      </c>
      <c r="N35" s="372">
        <v>6.0177670000000001</v>
      </c>
      <c r="O35" s="372">
        <v>5.9023060000000003</v>
      </c>
      <c r="P35" s="372">
        <v>6.2989660000000001</v>
      </c>
      <c r="Q35" s="372">
        <v>6.7712380000000003</v>
      </c>
      <c r="R35" s="372">
        <v>6.1435310000000003</v>
      </c>
      <c r="S35" s="372">
        <v>6.3674929999999996</v>
      </c>
      <c r="T35" s="372">
        <v>7.2842979999999997</v>
      </c>
      <c r="U35" s="372">
        <v>7.0916399999999999</v>
      </c>
      <c r="V35" s="372">
        <v>7.9017809999999997</v>
      </c>
      <c r="W35" s="372">
        <v>9.1097450000000002</v>
      </c>
      <c r="X35" s="372">
        <v>9.9043919999999996</v>
      </c>
      <c r="Y35" s="372">
        <v>10.200929</v>
      </c>
      <c r="Z35" s="372">
        <v>3.6483219999999998</v>
      </c>
      <c r="AA35" s="372">
        <v>6.1139650000000003</v>
      </c>
      <c r="AB35" s="860">
        <f t="shared" si="0"/>
        <v>67.582932646844228</v>
      </c>
      <c r="AF35" s="891"/>
    </row>
    <row r="36" spans="1:32" ht="12.75" customHeight="1" x14ac:dyDescent="0.2">
      <c r="A36" s="367"/>
      <c r="B36" s="366">
        <v>27</v>
      </c>
      <c r="C36" s="368"/>
      <c r="D36" s="421" t="s">
        <v>186</v>
      </c>
      <c r="E36" s="872" t="s">
        <v>108</v>
      </c>
      <c r="F36" s="369">
        <v>5.2857219999999998</v>
      </c>
      <c r="G36" s="369">
        <v>6.5054679999999996</v>
      </c>
      <c r="H36" s="370">
        <v>6.9718840000000002</v>
      </c>
      <c r="I36" s="370">
        <v>8.1566580000000002</v>
      </c>
      <c r="J36" s="370">
        <v>8.5320540000000005</v>
      </c>
      <c r="K36" s="370">
        <v>8.9311530000000001</v>
      </c>
      <c r="L36" s="370">
        <v>8.8609100000000005</v>
      </c>
      <c r="M36" s="370">
        <v>9.0852240000000002</v>
      </c>
      <c r="N36" s="370">
        <v>9.5561159999999994</v>
      </c>
      <c r="O36" s="370">
        <v>9.1085790000000006</v>
      </c>
      <c r="P36" s="370">
        <v>9.3679830000000006</v>
      </c>
      <c r="Q36" s="370">
        <v>9.8923020000000008</v>
      </c>
      <c r="R36" s="370">
        <v>8.8362390000000008</v>
      </c>
      <c r="S36" s="370">
        <v>9.6199770000000004</v>
      </c>
      <c r="T36" s="370">
        <v>10.053020999999999</v>
      </c>
      <c r="U36" s="370">
        <v>10.561246000000001</v>
      </c>
      <c r="V36" s="370">
        <v>12.308944</v>
      </c>
      <c r="W36" s="370">
        <v>13.66976</v>
      </c>
      <c r="X36" s="370">
        <v>13.933975</v>
      </c>
      <c r="Y36" s="370">
        <v>15.000477</v>
      </c>
      <c r="Z36" s="370">
        <v>3.7232639999999999</v>
      </c>
      <c r="AA36" s="370">
        <v>5.8133299999999997</v>
      </c>
      <c r="AB36" s="861">
        <f t="shared" si="0"/>
        <v>56.135315680005505</v>
      </c>
      <c r="AF36" s="891"/>
    </row>
    <row r="37" spans="1:32" ht="12.75" customHeight="1" x14ac:dyDescent="0.2">
      <c r="A37" s="367"/>
      <c r="B37" s="366">
        <v>28</v>
      </c>
      <c r="C37" s="371"/>
      <c r="D37" s="422" t="s">
        <v>42</v>
      </c>
      <c r="E37" s="871" t="s">
        <v>114</v>
      </c>
      <c r="F37" s="372">
        <v>2.7316370000000001</v>
      </c>
      <c r="G37" s="372">
        <v>2.6825109999999999</v>
      </c>
      <c r="H37" s="372">
        <v>2.5737990000000002</v>
      </c>
      <c r="I37" s="372">
        <v>2.6059459999999999</v>
      </c>
      <c r="J37" s="372">
        <v>2.7020460000000002</v>
      </c>
      <c r="K37" s="372">
        <v>3.1082580000000002</v>
      </c>
      <c r="L37" s="372">
        <v>3.4027419999999999</v>
      </c>
      <c r="M37" s="372">
        <v>3.9868579999999998</v>
      </c>
      <c r="N37" s="372">
        <v>4.5348220000000001</v>
      </c>
      <c r="O37" s="372">
        <v>4.5085329999999999</v>
      </c>
      <c r="P37" s="372">
        <v>5.2796219999999998</v>
      </c>
      <c r="Q37" s="372">
        <v>6.0045000000000002</v>
      </c>
      <c r="R37" s="372">
        <v>6.0509279999999999</v>
      </c>
      <c r="S37" s="372">
        <v>6.3738510000000002</v>
      </c>
      <c r="T37" s="372">
        <v>6.93241</v>
      </c>
      <c r="U37" s="372">
        <v>8.0885169999999995</v>
      </c>
      <c r="V37" s="372">
        <v>9.3773809999999997</v>
      </c>
      <c r="W37" s="372">
        <v>10.78834</v>
      </c>
      <c r="X37" s="372">
        <v>11.940530000000001</v>
      </c>
      <c r="Y37" s="372">
        <v>13.192791</v>
      </c>
      <c r="Z37" s="372">
        <v>4.4490980000000002</v>
      </c>
      <c r="AA37" s="372">
        <v>5.7872469999999998</v>
      </c>
      <c r="AB37" s="860">
        <f t="shared" si="0"/>
        <v>30.076860523189197</v>
      </c>
      <c r="AF37" s="891"/>
    </row>
    <row r="38" spans="1:32" ht="12.75" customHeight="1" x14ac:dyDescent="0.2">
      <c r="A38" s="367"/>
      <c r="B38" s="366">
        <v>29</v>
      </c>
      <c r="C38" s="368"/>
      <c r="D38" s="421" t="s">
        <v>218</v>
      </c>
      <c r="E38" s="872" t="s">
        <v>107</v>
      </c>
      <c r="F38" s="370">
        <v>9.8249790000000008</v>
      </c>
      <c r="G38" s="369">
        <v>9.3711099999999998</v>
      </c>
      <c r="H38" s="369">
        <v>8.7897200000000009</v>
      </c>
      <c r="I38" s="370">
        <v>9.3638829999999995</v>
      </c>
      <c r="J38" s="370">
        <v>9.7636299999999991</v>
      </c>
      <c r="K38" s="370">
        <v>10.573252</v>
      </c>
      <c r="L38" s="370">
        <v>11.873649</v>
      </c>
      <c r="M38" s="370">
        <v>12.689176</v>
      </c>
      <c r="N38" s="370">
        <v>12.781995</v>
      </c>
      <c r="O38" s="370">
        <v>12.178134</v>
      </c>
      <c r="P38" s="370">
        <v>12.883603000000001</v>
      </c>
      <c r="Q38" s="370">
        <v>13.527381</v>
      </c>
      <c r="R38" s="370">
        <v>13.674529</v>
      </c>
      <c r="S38" s="370">
        <v>13.481873</v>
      </c>
      <c r="T38" s="370">
        <v>14.739041</v>
      </c>
      <c r="U38" s="370">
        <v>15.581450999999999</v>
      </c>
      <c r="V38" s="370">
        <v>16.190625000000001</v>
      </c>
      <c r="W38" s="370">
        <v>17.589357</v>
      </c>
      <c r="X38" s="370">
        <v>17.198167999999999</v>
      </c>
      <c r="Y38" s="370">
        <v>17.274028999999999</v>
      </c>
      <c r="Z38" s="370">
        <v>4.5557280000000002</v>
      </c>
      <c r="AA38" s="370">
        <v>5.3137239999999997</v>
      </c>
      <c r="AB38" s="861">
        <f t="shared" si="0"/>
        <v>16.63830676458295</v>
      </c>
      <c r="AF38" s="891"/>
    </row>
    <row r="39" spans="1:32" ht="12.75" customHeight="1" x14ac:dyDescent="0.2">
      <c r="A39" s="367"/>
      <c r="B39" s="366">
        <v>30</v>
      </c>
      <c r="C39" s="371"/>
      <c r="D39" s="422" t="s">
        <v>479</v>
      </c>
      <c r="E39" s="871" t="s">
        <v>103</v>
      </c>
      <c r="F39" s="373">
        <v>5.1506369999999997</v>
      </c>
      <c r="G39" s="373">
        <v>5.0477259999999999</v>
      </c>
      <c r="H39" s="373">
        <v>4.7917290000000001</v>
      </c>
      <c r="I39" s="372">
        <v>4.833507</v>
      </c>
      <c r="J39" s="372">
        <v>4.7542080000000002</v>
      </c>
      <c r="K39" s="372">
        <v>4.9746420000000002</v>
      </c>
      <c r="L39" s="372">
        <v>5.3811999999999998</v>
      </c>
      <c r="M39" s="372">
        <v>5.4828809999999999</v>
      </c>
      <c r="N39" s="372">
        <v>5.4752239999999999</v>
      </c>
      <c r="O39" s="372">
        <v>5.0966579999999997</v>
      </c>
      <c r="P39" s="372">
        <v>4.9526180000000002</v>
      </c>
      <c r="Q39" s="372">
        <v>5.2940849999999999</v>
      </c>
      <c r="R39" s="372">
        <v>5.1139070000000002</v>
      </c>
      <c r="S39" s="372">
        <v>5.8196919999999999</v>
      </c>
      <c r="T39" s="372">
        <v>6.0649559999999996</v>
      </c>
      <c r="U39" s="372">
        <v>6.0950810000000004</v>
      </c>
      <c r="V39" s="372">
        <v>6.7612839999999998</v>
      </c>
      <c r="W39" s="372">
        <v>7.359674</v>
      </c>
      <c r="X39" s="372">
        <v>7.9997579999999999</v>
      </c>
      <c r="Y39" s="372">
        <v>7.8435870000000003</v>
      </c>
      <c r="Z39" s="372">
        <v>2.3681679999999998</v>
      </c>
      <c r="AA39" s="372">
        <v>4.9751659999999998</v>
      </c>
      <c r="AB39" s="860">
        <f t="shared" si="0"/>
        <v>110.08501086071595</v>
      </c>
      <c r="AF39" s="891"/>
    </row>
    <row r="40" spans="1:32" ht="12.75" customHeight="1" x14ac:dyDescent="0.2">
      <c r="A40" s="367"/>
      <c r="B40" s="366">
        <v>31</v>
      </c>
      <c r="C40" s="368"/>
      <c r="D40" s="421" t="s">
        <v>266</v>
      </c>
      <c r="E40" s="872" t="s">
        <v>108</v>
      </c>
      <c r="F40" s="370">
        <v>3.8396729999999999</v>
      </c>
      <c r="G40" s="370">
        <v>4.3837060000000001</v>
      </c>
      <c r="H40" s="370">
        <v>4.0422710000000004</v>
      </c>
      <c r="I40" s="370">
        <v>4.1003629999999998</v>
      </c>
      <c r="J40" s="370">
        <v>4.1129509999999998</v>
      </c>
      <c r="K40" s="370">
        <v>4.4156849999999999</v>
      </c>
      <c r="L40" s="370">
        <v>4.3875869999999999</v>
      </c>
      <c r="M40" s="370">
        <v>4.7185350000000001</v>
      </c>
      <c r="N40" s="370">
        <v>4.6159140000000001</v>
      </c>
      <c r="O40" s="370">
        <v>4.5412460000000001</v>
      </c>
      <c r="P40" s="370">
        <v>5.009233</v>
      </c>
      <c r="Q40" s="370">
        <v>5.6129110000000004</v>
      </c>
      <c r="R40" s="370">
        <v>5.5224669999999998</v>
      </c>
      <c r="S40" s="370">
        <v>5.7032400000000001</v>
      </c>
      <c r="T40" s="370">
        <v>6.190188</v>
      </c>
      <c r="U40" s="370">
        <v>6.4530180000000001</v>
      </c>
      <c r="V40" s="370">
        <v>7.3948619999999998</v>
      </c>
      <c r="W40" s="370">
        <v>7.8876229999999996</v>
      </c>
      <c r="X40" s="370">
        <v>8.0843100000000003</v>
      </c>
      <c r="Y40" s="370">
        <v>8.1249169999999999</v>
      </c>
      <c r="Z40" s="370">
        <v>2.1032009999999999</v>
      </c>
      <c r="AA40" s="370">
        <v>4.8265130000000003</v>
      </c>
      <c r="AB40" s="861">
        <f t="shared" si="0"/>
        <v>129.484152964933</v>
      </c>
      <c r="AF40" s="891"/>
    </row>
    <row r="41" spans="1:32" ht="12.75" customHeight="1" x14ac:dyDescent="0.2">
      <c r="A41" s="367"/>
      <c r="B41" s="366">
        <v>32</v>
      </c>
      <c r="C41" s="371"/>
      <c r="D41" s="422" t="s">
        <v>38</v>
      </c>
      <c r="E41" s="871" t="s">
        <v>109</v>
      </c>
      <c r="F41" s="373">
        <v>6.329034</v>
      </c>
      <c r="G41" s="372">
        <v>5.8318089999999998</v>
      </c>
      <c r="H41" s="372">
        <v>5.3605479999999996</v>
      </c>
      <c r="I41" s="372">
        <v>5.2341119999999997</v>
      </c>
      <c r="J41" s="372">
        <v>5.6049810000000004</v>
      </c>
      <c r="K41" s="372">
        <v>5.6999110000000002</v>
      </c>
      <c r="L41" s="372">
        <v>5.9581590000000002</v>
      </c>
      <c r="M41" s="372">
        <v>6.8040969999999996</v>
      </c>
      <c r="N41" s="372">
        <v>6.8100069999999997</v>
      </c>
      <c r="O41" s="372">
        <v>7.1348649999999996</v>
      </c>
      <c r="P41" s="372">
        <v>7.3364859999999998</v>
      </c>
      <c r="Q41" s="372">
        <v>7.2234239999999996</v>
      </c>
      <c r="R41" s="372">
        <v>8.1719819999999999</v>
      </c>
      <c r="S41" s="372">
        <v>8.2122890000000002</v>
      </c>
      <c r="T41" s="372">
        <v>8.1262109999999996</v>
      </c>
      <c r="U41" s="372">
        <v>8.1903009999999998</v>
      </c>
      <c r="V41" s="372">
        <v>8.3949999999999996</v>
      </c>
      <c r="W41" s="372">
        <v>8.9196720000000003</v>
      </c>
      <c r="X41" s="372">
        <v>9.3276990000000009</v>
      </c>
      <c r="Y41" s="372">
        <v>10.117073</v>
      </c>
      <c r="Z41" s="372">
        <v>3.3369770000000001</v>
      </c>
      <c r="AA41" s="372">
        <v>4.6362800000000002</v>
      </c>
      <c r="AB41" s="860">
        <f t="shared" si="0"/>
        <v>38.936528480717726</v>
      </c>
      <c r="AF41" s="891"/>
    </row>
    <row r="42" spans="1:32" ht="12.75" customHeight="1" x14ac:dyDescent="0.2">
      <c r="A42" s="365"/>
      <c r="B42" s="366">
        <v>33</v>
      </c>
      <c r="C42" s="368"/>
      <c r="D42" s="421" t="s">
        <v>608</v>
      </c>
      <c r="E42" s="872" t="s">
        <v>111</v>
      </c>
      <c r="F42" s="370"/>
      <c r="G42" s="370">
        <v>3.9590610000000002</v>
      </c>
      <c r="H42" s="370">
        <v>4.1410530000000003</v>
      </c>
      <c r="I42" s="370">
        <v>4.598071</v>
      </c>
      <c r="J42" s="370">
        <v>4.6080560000000004</v>
      </c>
      <c r="K42" s="370">
        <v>4.5519639999999999</v>
      </c>
      <c r="L42" s="370">
        <v>5.01844</v>
      </c>
      <c r="M42" s="370">
        <v>5.7231480000000001</v>
      </c>
      <c r="N42" s="370">
        <v>5.6293829999999998</v>
      </c>
      <c r="O42" s="370">
        <v>5.2893879999999998</v>
      </c>
      <c r="P42" s="370">
        <v>5.535984</v>
      </c>
      <c r="Q42" s="370">
        <v>5.728402</v>
      </c>
      <c r="R42" s="370">
        <v>5.757879</v>
      </c>
      <c r="S42" s="370">
        <v>5.40008</v>
      </c>
      <c r="T42" s="370">
        <v>5.8910030000000004</v>
      </c>
      <c r="U42" s="370">
        <v>6.1321709999999996</v>
      </c>
      <c r="V42" s="370">
        <v>6.7536820000000004</v>
      </c>
      <c r="W42" s="370">
        <v>8.5522229999999997</v>
      </c>
      <c r="X42" s="370">
        <v>9.9036380000000008</v>
      </c>
      <c r="Y42" s="370">
        <v>10.834496</v>
      </c>
      <c r="Z42" s="370">
        <v>2.7713100000000002</v>
      </c>
      <c r="AA42" s="370">
        <v>4.6158849999999996</v>
      </c>
      <c r="AB42" s="861">
        <f t="shared" si="0"/>
        <v>66.559677553214868</v>
      </c>
      <c r="AF42" s="891"/>
    </row>
    <row r="43" spans="1:32" ht="12.75" customHeight="1" x14ac:dyDescent="0.2">
      <c r="A43" s="367"/>
      <c r="B43" s="366">
        <v>34</v>
      </c>
      <c r="C43" s="371"/>
      <c r="D43" s="422" t="s">
        <v>646</v>
      </c>
      <c r="E43" s="871" t="s">
        <v>111</v>
      </c>
      <c r="F43" s="373"/>
      <c r="G43" s="373">
        <v>3.1767820000000002</v>
      </c>
      <c r="H43" s="372">
        <v>3.5137070000000001</v>
      </c>
      <c r="I43" s="372">
        <v>3.6322239999999999</v>
      </c>
      <c r="J43" s="372">
        <v>3.7585190000000002</v>
      </c>
      <c r="K43" s="372">
        <v>3.8093759999999999</v>
      </c>
      <c r="L43" s="372">
        <v>4.2465549999999999</v>
      </c>
      <c r="M43" s="372">
        <v>4.4865310000000003</v>
      </c>
      <c r="N43" s="372">
        <v>4.4248000000000003</v>
      </c>
      <c r="O43" s="372">
        <v>4.3521450000000002</v>
      </c>
      <c r="P43" s="372">
        <v>4.3410739999999999</v>
      </c>
      <c r="Q43" s="372">
        <v>4.9661619999999997</v>
      </c>
      <c r="R43" s="372">
        <v>4.5818490000000001</v>
      </c>
      <c r="S43" s="372">
        <v>4.3332430000000004</v>
      </c>
      <c r="T43" s="372">
        <v>4.5536909999999997</v>
      </c>
      <c r="U43" s="372">
        <v>4.8923040000000002</v>
      </c>
      <c r="V43" s="372">
        <v>5.3098039999999997</v>
      </c>
      <c r="W43" s="372">
        <v>5.7530460000000003</v>
      </c>
      <c r="X43" s="372">
        <v>6.6573770000000003</v>
      </c>
      <c r="Y43" s="372">
        <v>7.0564669999999996</v>
      </c>
      <c r="Z43" s="372">
        <v>2.7118679999999999</v>
      </c>
      <c r="AA43" s="372">
        <v>4.5970519999999997</v>
      </c>
      <c r="AB43" s="860">
        <f t="shared" si="0"/>
        <v>69.516067891210042</v>
      </c>
      <c r="AF43" s="891"/>
    </row>
    <row r="44" spans="1:32" ht="12.75" customHeight="1" x14ac:dyDescent="0.2">
      <c r="A44" s="367"/>
      <c r="B44" s="366">
        <v>35</v>
      </c>
      <c r="C44" s="368"/>
      <c r="D44" s="421" t="s">
        <v>647</v>
      </c>
      <c r="E44" s="872" t="s">
        <v>93</v>
      </c>
      <c r="F44" s="369">
        <v>4.68</v>
      </c>
      <c r="G44" s="369">
        <v>4.58</v>
      </c>
      <c r="H44" s="370">
        <v>4.4688210000000002</v>
      </c>
      <c r="I44" s="370">
        <v>5.0103970000000002</v>
      </c>
      <c r="J44" s="370">
        <v>6.3803720000000004</v>
      </c>
      <c r="K44" s="370">
        <v>7.9180830000000002</v>
      </c>
      <c r="L44" s="370">
        <v>8.2459199999999999</v>
      </c>
      <c r="M44" s="370">
        <v>8.5802610000000001</v>
      </c>
      <c r="N44" s="370">
        <v>8.4290819999999993</v>
      </c>
      <c r="O44" s="370">
        <v>8.0810670000000009</v>
      </c>
      <c r="P44" s="370">
        <v>8.1745099999999997</v>
      </c>
      <c r="Q44" s="370">
        <v>8.8848369999999992</v>
      </c>
      <c r="R44" s="370">
        <v>8.429843</v>
      </c>
      <c r="S44" s="370">
        <v>8.441319</v>
      </c>
      <c r="T44" s="370">
        <v>9.0548479999999998</v>
      </c>
      <c r="U44" s="370">
        <v>10.228351999999999</v>
      </c>
      <c r="V44" s="370">
        <v>11.37541</v>
      </c>
      <c r="W44" s="370">
        <v>13.031687</v>
      </c>
      <c r="X44" s="370">
        <v>14.800518</v>
      </c>
      <c r="Y44" s="370">
        <v>16.099519000000001</v>
      </c>
      <c r="Z44" s="370">
        <v>3.8399450000000002</v>
      </c>
      <c r="AA44" s="370">
        <v>4.590249</v>
      </c>
      <c r="AB44" s="861">
        <f t="shared" si="0"/>
        <v>19.539446528531016</v>
      </c>
      <c r="AF44" s="891"/>
    </row>
    <row r="45" spans="1:32" ht="12.75" customHeight="1" x14ac:dyDescent="0.2">
      <c r="A45" s="367"/>
      <c r="B45" s="366">
        <v>36</v>
      </c>
      <c r="C45" s="371"/>
      <c r="D45" s="422" t="s">
        <v>648</v>
      </c>
      <c r="E45" s="871" t="s">
        <v>109</v>
      </c>
      <c r="F45" s="372">
        <v>5.9151769999999999</v>
      </c>
      <c r="G45" s="372">
        <v>6.0470649999999999</v>
      </c>
      <c r="H45" s="372">
        <v>5.7245670000000004</v>
      </c>
      <c r="I45" s="372">
        <v>5.8584639999999997</v>
      </c>
      <c r="J45" s="372">
        <v>6.1247930000000004</v>
      </c>
      <c r="K45" s="372">
        <v>6.4625130000000004</v>
      </c>
      <c r="L45" s="372">
        <v>6.6611820000000002</v>
      </c>
      <c r="M45" s="372">
        <v>7.1925860000000004</v>
      </c>
      <c r="N45" s="372">
        <v>7.7967079999999997</v>
      </c>
      <c r="O45" s="372">
        <v>7.5728330000000001</v>
      </c>
      <c r="P45" s="372">
        <v>7.7924179999999996</v>
      </c>
      <c r="Q45" s="372">
        <v>8.3175729999999994</v>
      </c>
      <c r="R45" s="372">
        <v>8.3654460000000004</v>
      </c>
      <c r="S45" s="372">
        <v>8.5001029999999993</v>
      </c>
      <c r="T45" s="372">
        <v>8.3994999999999997</v>
      </c>
      <c r="U45" s="372">
        <v>8.6350789999999993</v>
      </c>
      <c r="V45" s="372">
        <v>9.5045959999999994</v>
      </c>
      <c r="W45" s="372">
        <v>10.229723</v>
      </c>
      <c r="X45" s="372">
        <v>10.975607999999999</v>
      </c>
      <c r="Y45" s="372">
        <v>11.689945</v>
      </c>
      <c r="Z45" s="372">
        <v>3.539768</v>
      </c>
      <c r="AA45" s="372">
        <v>4.5043049999999996</v>
      </c>
      <c r="AB45" s="860">
        <f t="shared" si="0"/>
        <v>27.248593693145978</v>
      </c>
      <c r="AF45" s="891"/>
    </row>
    <row r="46" spans="1:32" ht="12.75" customHeight="1" x14ac:dyDescent="0.2">
      <c r="A46" s="367"/>
      <c r="B46" s="366">
        <v>37</v>
      </c>
      <c r="C46" s="368"/>
      <c r="D46" s="421" t="s">
        <v>41</v>
      </c>
      <c r="E46" s="872" t="s">
        <v>108</v>
      </c>
      <c r="F46" s="369">
        <v>8.0075470000000006</v>
      </c>
      <c r="G46" s="369">
        <v>8.9585260000000009</v>
      </c>
      <c r="H46" s="370">
        <v>8.8053120000000007</v>
      </c>
      <c r="I46" s="370">
        <v>8.6572580000000006</v>
      </c>
      <c r="J46" s="370">
        <v>8.3704789999999996</v>
      </c>
      <c r="K46" s="370">
        <v>8.7823759999999993</v>
      </c>
      <c r="L46" s="370">
        <v>8.5266459999999995</v>
      </c>
      <c r="M46" s="370">
        <v>8.324999</v>
      </c>
      <c r="N46" s="370">
        <v>8.0524280000000008</v>
      </c>
      <c r="O46" s="370">
        <v>6.940588</v>
      </c>
      <c r="P46" s="370">
        <v>7.1918069999999998</v>
      </c>
      <c r="Q46" s="370">
        <v>8.5072600000000005</v>
      </c>
      <c r="R46" s="370">
        <v>8.3840760000000003</v>
      </c>
      <c r="S46" s="370">
        <v>8.5656149999999993</v>
      </c>
      <c r="T46" s="370">
        <v>9.0545380000000009</v>
      </c>
      <c r="U46" s="370">
        <v>8.9979049999999994</v>
      </c>
      <c r="V46" s="370">
        <v>10.316675999999999</v>
      </c>
      <c r="W46" s="370">
        <v>11.116505999999999</v>
      </c>
      <c r="X46" s="370">
        <v>10.933341</v>
      </c>
      <c r="Y46" s="370">
        <v>11.064159999999999</v>
      </c>
      <c r="Z46" s="370">
        <v>3.3472200000000001</v>
      </c>
      <c r="AA46" s="370">
        <v>4.501188</v>
      </c>
      <c r="AB46" s="861">
        <f t="shared" si="0"/>
        <v>34.475415419362918</v>
      </c>
      <c r="AF46" s="891"/>
    </row>
    <row r="47" spans="1:32" ht="12.75" customHeight="1" x14ac:dyDescent="0.2">
      <c r="A47" s="367"/>
      <c r="B47" s="366">
        <v>38</v>
      </c>
      <c r="C47" s="371"/>
      <c r="D47" s="422" t="s">
        <v>649</v>
      </c>
      <c r="E47" s="871" t="s">
        <v>91</v>
      </c>
      <c r="F47" s="373">
        <v>5.55</v>
      </c>
      <c r="G47" s="373">
        <v>6.08</v>
      </c>
      <c r="H47" s="373">
        <v>6.2909459999999999</v>
      </c>
      <c r="I47" s="373">
        <v>7.4317289999999998</v>
      </c>
      <c r="J47" s="373">
        <v>9.573385</v>
      </c>
      <c r="K47" s="373">
        <v>10.721313</v>
      </c>
      <c r="L47" s="373">
        <v>11.513002999999999</v>
      </c>
      <c r="M47" s="372">
        <v>12.359044000000001</v>
      </c>
      <c r="N47" s="372">
        <v>12.586897</v>
      </c>
      <c r="O47" s="372">
        <v>11.601652</v>
      </c>
      <c r="P47" s="372">
        <v>11.514436</v>
      </c>
      <c r="Q47" s="372">
        <v>11.724178999999999</v>
      </c>
      <c r="R47" s="372">
        <v>10.774119000000001</v>
      </c>
      <c r="S47" s="372">
        <v>10.950044999999999</v>
      </c>
      <c r="T47" s="372">
        <v>11.129966</v>
      </c>
      <c r="U47" s="372">
        <v>11.867665000000001</v>
      </c>
      <c r="V47" s="372">
        <v>12.989556</v>
      </c>
      <c r="W47" s="372">
        <v>15.371502</v>
      </c>
      <c r="X47" s="372">
        <v>16.810234999999999</v>
      </c>
      <c r="Y47" s="372">
        <v>17.839064</v>
      </c>
      <c r="Z47" s="372">
        <v>3.6542289999999999</v>
      </c>
      <c r="AA47" s="372">
        <v>4.3698240000000004</v>
      </c>
      <c r="AB47" s="860">
        <f t="shared" si="0"/>
        <v>19.582653413346577</v>
      </c>
      <c r="AF47" s="891"/>
    </row>
    <row r="48" spans="1:32" ht="12.75" customHeight="1" x14ac:dyDescent="0.2">
      <c r="A48" s="367"/>
      <c r="B48" s="366">
        <v>39</v>
      </c>
      <c r="C48" s="368"/>
      <c r="D48" s="421" t="s">
        <v>37</v>
      </c>
      <c r="E48" s="872" t="s">
        <v>111</v>
      </c>
      <c r="F48" s="370"/>
      <c r="G48" s="369">
        <v>7.1316040000000003</v>
      </c>
      <c r="H48" s="370">
        <v>7.79366</v>
      </c>
      <c r="I48" s="370">
        <v>8.7304379999999995</v>
      </c>
      <c r="J48" s="370">
        <v>8.9448799999999995</v>
      </c>
      <c r="K48" s="370">
        <v>9.0854520000000001</v>
      </c>
      <c r="L48" s="370">
        <v>9.6926520000000007</v>
      </c>
      <c r="M48" s="370">
        <v>9.9123380000000001</v>
      </c>
      <c r="N48" s="370">
        <v>9.2640560000000001</v>
      </c>
      <c r="O48" s="370">
        <v>8.2932780000000008</v>
      </c>
      <c r="P48" s="370">
        <v>8.2953749999999999</v>
      </c>
      <c r="Q48" s="370">
        <v>9.0617490000000007</v>
      </c>
      <c r="R48" s="370">
        <v>9.1756189999999993</v>
      </c>
      <c r="S48" s="370">
        <v>8.9836939999999998</v>
      </c>
      <c r="T48" s="370">
        <v>8.9842849999999999</v>
      </c>
      <c r="U48" s="370">
        <v>9.6387630000000009</v>
      </c>
      <c r="V48" s="370">
        <v>9.6362210000000008</v>
      </c>
      <c r="W48" s="370">
        <v>9.5030649999999994</v>
      </c>
      <c r="X48" s="370">
        <v>9.2137039999999999</v>
      </c>
      <c r="Y48" s="370">
        <v>6.5366530000000003</v>
      </c>
      <c r="Z48" s="370">
        <v>2.2671109999999999</v>
      </c>
      <c r="AA48" s="370">
        <v>4.3376239999999999</v>
      </c>
      <c r="AB48" s="861">
        <f t="shared" si="0"/>
        <v>91.328258739867636</v>
      </c>
      <c r="AF48" s="891"/>
    </row>
    <row r="49" spans="1:33" ht="12.75" customHeight="1" x14ac:dyDescent="0.2">
      <c r="A49" s="367"/>
      <c r="B49" s="366">
        <v>40</v>
      </c>
      <c r="C49" s="397"/>
      <c r="D49" s="422" t="s">
        <v>31</v>
      </c>
      <c r="E49" s="871" t="s">
        <v>115</v>
      </c>
      <c r="F49" s="373">
        <v>10.003007</v>
      </c>
      <c r="G49" s="372">
        <v>10.024666</v>
      </c>
      <c r="H49" s="372">
        <v>9.6057109999999994</v>
      </c>
      <c r="I49" s="372">
        <v>9.7072529999999997</v>
      </c>
      <c r="J49" s="372">
        <v>10.728671</v>
      </c>
      <c r="K49" s="372">
        <v>11.127421</v>
      </c>
      <c r="L49" s="372">
        <v>12.141833</v>
      </c>
      <c r="M49" s="372">
        <v>13.144854</v>
      </c>
      <c r="N49" s="372">
        <v>13.434514</v>
      </c>
      <c r="O49" s="372">
        <v>12.601591000000001</v>
      </c>
      <c r="P49" s="372">
        <v>12.86073</v>
      </c>
      <c r="Q49" s="372">
        <v>14.871292</v>
      </c>
      <c r="R49" s="372">
        <v>14.850815000000001</v>
      </c>
      <c r="S49" s="372">
        <v>15.271303</v>
      </c>
      <c r="T49" s="372">
        <v>15.944623999999999</v>
      </c>
      <c r="U49" s="372">
        <v>16.417808999999998</v>
      </c>
      <c r="V49" s="372">
        <v>17.180865000000001</v>
      </c>
      <c r="W49" s="372">
        <v>18.981214999999999</v>
      </c>
      <c r="X49" s="372">
        <v>20.990359999999999</v>
      </c>
      <c r="Y49" s="372">
        <v>22.04917</v>
      </c>
      <c r="Z49" s="372">
        <v>5.0833139999999997</v>
      </c>
      <c r="AA49" s="372">
        <v>4.295255</v>
      </c>
      <c r="AB49" s="860">
        <f t="shared" si="0"/>
        <v>-15.502858961693093</v>
      </c>
      <c r="AF49" s="891"/>
    </row>
    <row r="50" spans="1:33" s="374" customFormat="1" ht="12.75" customHeight="1" x14ac:dyDescent="0.2">
      <c r="A50" s="367"/>
      <c r="B50" s="366">
        <v>41</v>
      </c>
      <c r="C50" s="494"/>
      <c r="D50" s="495" t="s">
        <v>665</v>
      </c>
      <c r="E50" s="873" t="s">
        <v>107</v>
      </c>
      <c r="F50" s="794">
        <v>6.192399</v>
      </c>
      <c r="G50" s="794">
        <v>5.6310609999999999</v>
      </c>
      <c r="H50" s="493">
        <v>5.2909699999999997</v>
      </c>
      <c r="I50" s="493">
        <v>7.6745039999999998</v>
      </c>
      <c r="J50" s="493">
        <v>8.2492529999999995</v>
      </c>
      <c r="K50" s="493">
        <v>9.3852799999999998</v>
      </c>
      <c r="L50" s="493">
        <v>9.8110009999999992</v>
      </c>
      <c r="M50" s="493">
        <v>10.403637</v>
      </c>
      <c r="N50" s="493">
        <v>10.296276000000001</v>
      </c>
      <c r="O50" s="493">
        <v>9.6957360000000001</v>
      </c>
      <c r="P50" s="493">
        <v>9.7858809999999998</v>
      </c>
      <c r="Q50" s="493">
        <v>9.5974590000000006</v>
      </c>
      <c r="R50" s="493">
        <v>9.2561509999999991</v>
      </c>
      <c r="S50" s="493">
        <v>9.050656</v>
      </c>
      <c r="T50" s="493">
        <v>9.4176230000000007</v>
      </c>
      <c r="U50" s="493">
        <v>10.313148999999999</v>
      </c>
      <c r="V50" s="493">
        <v>11.878984000000001</v>
      </c>
      <c r="W50" s="493">
        <v>12.36594</v>
      </c>
      <c r="X50" s="493">
        <v>12.937346</v>
      </c>
      <c r="Y50" s="493">
        <v>12.350828999999999</v>
      </c>
      <c r="Z50" s="493">
        <v>3.075977</v>
      </c>
      <c r="AA50" s="493">
        <v>4.2471800000000002</v>
      </c>
      <c r="AB50" s="862">
        <f t="shared" si="0"/>
        <v>38.075804858098763</v>
      </c>
      <c r="AC50" s="297"/>
      <c r="AF50" s="891"/>
      <c r="AG50" s="297"/>
    </row>
    <row r="51" spans="1:33" s="374" customFormat="1" ht="12.75" customHeight="1" x14ac:dyDescent="0.2">
      <c r="A51" s="367"/>
      <c r="B51" s="366">
        <v>42</v>
      </c>
      <c r="C51" s="371"/>
      <c r="D51" s="422" t="s">
        <v>40</v>
      </c>
      <c r="E51" s="871" t="s">
        <v>111</v>
      </c>
      <c r="F51" s="373">
        <v>3.5247890000000002</v>
      </c>
      <c r="G51" s="373">
        <v>3.440051</v>
      </c>
      <c r="H51" s="372">
        <v>3.3843139999999998</v>
      </c>
      <c r="I51" s="372">
        <v>3.527428</v>
      </c>
      <c r="J51" s="372">
        <v>2.8631069999999998</v>
      </c>
      <c r="K51" s="372">
        <v>3.6347119999999999</v>
      </c>
      <c r="L51" s="372">
        <v>3.954094</v>
      </c>
      <c r="M51" s="372">
        <v>4.240551</v>
      </c>
      <c r="N51" s="372">
        <v>4.3422510000000001</v>
      </c>
      <c r="O51" s="372">
        <v>4.7649220000000003</v>
      </c>
      <c r="P51" s="372">
        <v>5.454949</v>
      </c>
      <c r="Q51" s="372">
        <v>5.8208130000000002</v>
      </c>
      <c r="R51" s="372">
        <v>5.8798000000000004</v>
      </c>
      <c r="S51" s="372">
        <v>6.1272209999999996</v>
      </c>
      <c r="T51" s="372">
        <v>6.5192839999999999</v>
      </c>
      <c r="U51" s="372">
        <v>6.8578289999999997</v>
      </c>
      <c r="V51" s="372">
        <v>7.6620090000000003</v>
      </c>
      <c r="W51" s="372">
        <v>8.2206480000000006</v>
      </c>
      <c r="X51" s="372">
        <v>8.5617020000000004</v>
      </c>
      <c r="Y51" s="793">
        <v>9.4603929999999998</v>
      </c>
      <c r="Z51" s="372">
        <v>2.5214599999999998</v>
      </c>
      <c r="AA51" s="372">
        <v>4.1332009999999997</v>
      </c>
      <c r="AB51" s="860">
        <f t="shared" si="0"/>
        <v>63.92094262847715</v>
      </c>
      <c r="AC51" s="297"/>
      <c r="AF51" s="891"/>
      <c r="AG51" s="297"/>
    </row>
    <row r="52" spans="1:33" s="374" customFormat="1" ht="12.75" customHeight="1" x14ac:dyDescent="0.2">
      <c r="A52" s="367"/>
      <c r="B52" s="366">
        <v>43</v>
      </c>
      <c r="C52" s="368"/>
      <c r="D52" s="421" t="s">
        <v>463</v>
      </c>
      <c r="E52" s="872" t="s">
        <v>108</v>
      </c>
      <c r="F52" s="370">
        <v>1.4614750000000001</v>
      </c>
      <c r="G52" s="370">
        <v>2.2475869999999998</v>
      </c>
      <c r="H52" s="370">
        <v>2.1218140000000001</v>
      </c>
      <c r="I52" s="369">
        <v>2.4149430000000001</v>
      </c>
      <c r="J52" s="369">
        <v>3.0953020000000002</v>
      </c>
      <c r="K52" s="369">
        <v>4.8286600000000002</v>
      </c>
      <c r="L52" s="370">
        <v>4.9435159999999998</v>
      </c>
      <c r="M52" s="370">
        <v>5.8921580000000002</v>
      </c>
      <c r="N52" s="370">
        <v>5.7668540000000004</v>
      </c>
      <c r="O52" s="370">
        <v>4.7299930000000003</v>
      </c>
      <c r="P52" s="370">
        <v>4.9151509999999998</v>
      </c>
      <c r="Q52" s="370">
        <v>4.9672219999999996</v>
      </c>
      <c r="R52" s="370">
        <v>4.736504</v>
      </c>
      <c r="S52" s="370">
        <v>4.5921079999999996</v>
      </c>
      <c r="T52" s="370">
        <v>4.5857150000000004</v>
      </c>
      <c r="U52" s="370">
        <v>5.0386550000000003</v>
      </c>
      <c r="V52" s="370">
        <v>5.7807000000000004</v>
      </c>
      <c r="W52" s="370">
        <v>6.7250449999999997</v>
      </c>
      <c r="X52" s="370">
        <v>7.7500270000000002</v>
      </c>
      <c r="Y52" s="370">
        <v>8.4006679999999996</v>
      </c>
      <c r="Z52" s="370">
        <v>2.4346190000000001</v>
      </c>
      <c r="AA52" s="370">
        <v>3.9996589999999999</v>
      </c>
      <c r="AB52" s="861">
        <f t="shared" si="0"/>
        <v>64.282748142522479</v>
      </c>
      <c r="AC52" s="297"/>
      <c r="AF52" s="891"/>
      <c r="AG52" s="297"/>
    </row>
    <row r="53" spans="1:33" s="374" customFormat="1" ht="12.75" customHeight="1" x14ac:dyDescent="0.2">
      <c r="A53" s="367"/>
      <c r="B53" s="366">
        <v>44</v>
      </c>
      <c r="C53" s="371"/>
      <c r="D53" s="422" t="s">
        <v>356</v>
      </c>
      <c r="E53" s="871" t="s">
        <v>108</v>
      </c>
      <c r="F53" s="373">
        <v>1.217285</v>
      </c>
      <c r="G53" s="373">
        <v>2.4960879999999999</v>
      </c>
      <c r="H53" s="373">
        <v>2.4853960000000002</v>
      </c>
      <c r="I53" s="373">
        <v>2.908255</v>
      </c>
      <c r="J53" s="372">
        <v>3.3654289999999998</v>
      </c>
      <c r="K53" s="372">
        <v>4.0490050000000002</v>
      </c>
      <c r="L53" s="372">
        <v>3.9773909999999999</v>
      </c>
      <c r="M53" s="372">
        <v>4.1338869999999996</v>
      </c>
      <c r="N53" s="372">
        <v>4.2329999999999997</v>
      </c>
      <c r="O53" s="372">
        <v>4.0424600000000002</v>
      </c>
      <c r="P53" s="372">
        <v>4.070697</v>
      </c>
      <c r="Q53" s="372">
        <v>4.1178720000000002</v>
      </c>
      <c r="R53" s="372">
        <v>3.7163780000000002</v>
      </c>
      <c r="S53" s="372">
        <v>3.5279430000000001</v>
      </c>
      <c r="T53" s="372">
        <v>3.6432329999999999</v>
      </c>
      <c r="U53" s="372">
        <v>3.7023259999999998</v>
      </c>
      <c r="V53" s="372">
        <v>4.1070599999999997</v>
      </c>
      <c r="W53" s="372">
        <v>4.5411970000000004</v>
      </c>
      <c r="X53" s="372">
        <v>5.3863859999999999</v>
      </c>
      <c r="Y53" s="372">
        <v>5.8302339999999999</v>
      </c>
      <c r="Z53" s="372">
        <v>2.8023829999999998</v>
      </c>
      <c r="AA53" s="372">
        <v>3.8590119999999999</v>
      </c>
      <c r="AB53" s="860">
        <f t="shared" si="0"/>
        <v>37.7046606406048</v>
      </c>
      <c r="AC53" s="297"/>
      <c r="AF53" s="891"/>
      <c r="AG53" s="297"/>
    </row>
    <row r="54" spans="1:33" s="374" customFormat="1" ht="12.75" customHeight="1" x14ac:dyDescent="0.2">
      <c r="A54" s="367"/>
      <c r="B54" s="366">
        <v>45</v>
      </c>
      <c r="C54" s="368"/>
      <c r="D54" s="421" t="s">
        <v>39</v>
      </c>
      <c r="E54" s="872" t="s">
        <v>109</v>
      </c>
      <c r="F54" s="369">
        <v>5.2296750000000003</v>
      </c>
      <c r="G54" s="369">
        <v>5.1734960000000001</v>
      </c>
      <c r="H54" s="369">
        <v>5.2885030000000004</v>
      </c>
      <c r="I54" s="369">
        <v>5.2579089999999997</v>
      </c>
      <c r="J54" s="370">
        <v>5.5630899999999999</v>
      </c>
      <c r="K54" s="370">
        <v>5.7474150000000002</v>
      </c>
      <c r="L54" s="370">
        <v>5.8989900000000004</v>
      </c>
      <c r="M54" s="370">
        <v>6.111097</v>
      </c>
      <c r="N54" s="370">
        <v>6.2935480000000004</v>
      </c>
      <c r="O54" s="370">
        <v>6.2275020000000003</v>
      </c>
      <c r="P54" s="370">
        <v>6.3442239999999996</v>
      </c>
      <c r="Q54" s="370">
        <v>6.9382929999999998</v>
      </c>
      <c r="R54" s="370">
        <v>7.515161</v>
      </c>
      <c r="S54" s="370">
        <v>7.5317090000000002</v>
      </c>
      <c r="T54" s="370">
        <v>7.4930760000000003</v>
      </c>
      <c r="U54" s="370">
        <v>7.6495160000000002</v>
      </c>
      <c r="V54" s="370">
        <v>8.0707640000000005</v>
      </c>
      <c r="W54" s="370">
        <v>9.2362260000000003</v>
      </c>
      <c r="X54" s="370">
        <v>9.5937629999999992</v>
      </c>
      <c r="Y54" s="370">
        <v>9.6169119999999992</v>
      </c>
      <c r="Z54" s="370">
        <v>3.1286179999999999</v>
      </c>
      <c r="AA54" s="370">
        <v>3.8165779999999998</v>
      </c>
      <c r="AB54" s="861">
        <f t="shared" si="0"/>
        <v>21.989261712359891</v>
      </c>
      <c r="AC54" s="297"/>
      <c r="AF54" s="891"/>
      <c r="AG54" s="297"/>
    </row>
    <row r="55" spans="1:33" s="374" customFormat="1" ht="12.75" customHeight="1" x14ac:dyDescent="0.2">
      <c r="A55" s="367"/>
      <c r="B55" s="366">
        <v>46</v>
      </c>
      <c r="C55" s="371"/>
      <c r="D55" s="422" t="s">
        <v>650</v>
      </c>
      <c r="E55" s="871" t="s">
        <v>106</v>
      </c>
      <c r="F55" s="373">
        <v>0.25531700000000002</v>
      </c>
      <c r="G55" s="373">
        <v>0.77343099999999998</v>
      </c>
      <c r="H55" s="373">
        <v>1.2715959999999999</v>
      </c>
      <c r="I55" s="373">
        <v>1.804287</v>
      </c>
      <c r="J55" s="372">
        <v>2.0232899999999998</v>
      </c>
      <c r="K55" s="372">
        <v>1.863086</v>
      </c>
      <c r="L55" s="372">
        <v>2.1545830000000001</v>
      </c>
      <c r="M55" s="372">
        <v>2.443184</v>
      </c>
      <c r="N55" s="372">
        <v>2.941605</v>
      </c>
      <c r="O55" s="372">
        <v>3.9186100000000001</v>
      </c>
      <c r="P55" s="372">
        <v>5.1808199999999998</v>
      </c>
      <c r="Q55" s="372">
        <v>5.8826790000000004</v>
      </c>
      <c r="R55" s="372">
        <v>6.505668</v>
      </c>
      <c r="S55" s="372">
        <v>6.776014</v>
      </c>
      <c r="T55" s="372">
        <v>6.4246420000000004</v>
      </c>
      <c r="U55" s="372">
        <v>6.9445079999999999</v>
      </c>
      <c r="V55" s="372">
        <v>7.2913920000000001</v>
      </c>
      <c r="W55" s="372">
        <v>7.6883600000000003</v>
      </c>
      <c r="X55" s="372">
        <v>8.0167999999999999</v>
      </c>
      <c r="Y55" s="372">
        <v>8.1967180000000006</v>
      </c>
      <c r="Z55" s="372">
        <v>2.5312109999999999</v>
      </c>
      <c r="AA55" s="372">
        <v>3.7474729999999998</v>
      </c>
      <c r="AB55" s="860">
        <f t="shared" si="0"/>
        <v>48.050597125249539</v>
      </c>
      <c r="AC55" s="297"/>
      <c r="AF55" s="891"/>
      <c r="AG55" s="297"/>
    </row>
    <row r="56" spans="1:33" s="374" customFormat="1" ht="12.75" customHeight="1" x14ac:dyDescent="0.2">
      <c r="A56" s="367"/>
      <c r="B56" s="366">
        <v>47</v>
      </c>
      <c r="C56" s="368"/>
      <c r="D56" s="421" t="s">
        <v>651</v>
      </c>
      <c r="E56" s="872" t="s">
        <v>90</v>
      </c>
      <c r="F56" s="370"/>
      <c r="G56" s="369">
        <v>5.0007210000000004</v>
      </c>
      <c r="H56" s="369"/>
      <c r="I56" s="370">
        <v>4.5003080000000004</v>
      </c>
      <c r="J56" s="370">
        <v>4.7418570000000004</v>
      </c>
      <c r="K56" s="370">
        <v>5.0013019999999999</v>
      </c>
      <c r="L56" s="370">
        <v>4.8839740000000003</v>
      </c>
      <c r="M56" s="370">
        <v>5.260249</v>
      </c>
      <c r="N56" s="370">
        <v>5.4774520000000004</v>
      </c>
      <c r="O56" s="370">
        <v>5.156288</v>
      </c>
      <c r="P56" s="370">
        <v>5.3537400000000002</v>
      </c>
      <c r="Q56" s="370">
        <v>5.4312719999999999</v>
      </c>
      <c r="R56" s="370">
        <v>5.1122949999999996</v>
      </c>
      <c r="S56" s="370">
        <v>4.8545400000000001</v>
      </c>
      <c r="T56" s="370">
        <v>5.2364290000000002</v>
      </c>
      <c r="U56" s="370">
        <v>5.315766</v>
      </c>
      <c r="V56" s="370">
        <v>6.6279469999999998</v>
      </c>
      <c r="W56" s="370">
        <v>7.7235560000000003</v>
      </c>
      <c r="X56" s="370">
        <v>8.0571079999999995</v>
      </c>
      <c r="Y56" s="370">
        <v>8.2196540000000002</v>
      </c>
      <c r="Z56" s="370">
        <v>1.6386270000000001</v>
      </c>
      <c r="AA56" s="370">
        <v>3.583936</v>
      </c>
      <c r="AB56" s="861">
        <f t="shared" si="0"/>
        <v>118.71579071991368</v>
      </c>
      <c r="AC56" s="297"/>
      <c r="AF56" s="891"/>
    </row>
    <row r="57" spans="1:33" s="374" customFormat="1" ht="12.75" customHeight="1" x14ac:dyDescent="0.2">
      <c r="A57" s="367"/>
      <c r="B57" s="366">
        <v>48</v>
      </c>
      <c r="C57" s="371"/>
      <c r="D57" s="422" t="s">
        <v>652</v>
      </c>
      <c r="E57" s="871" t="s">
        <v>107</v>
      </c>
      <c r="F57" s="372">
        <v>7.9776509999999998</v>
      </c>
      <c r="G57" s="373">
        <v>7.5217000000000001</v>
      </c>
      <c r="H57" s="373">
        <v>7.0959789999999998</v>
      </c>
      <c r="I57" s="372">
        <v>7.4155389999999999</v>
      </c>
      <c r="J57" s="372">
        <v>8.6493909999999996</v>
      </c>
      <c r="K57" s="372">
        <v>9.2457460000000005</v>
      </c>
      <c r="L57" s="372">
        <v>10.018605000000001</v>
      </c>
      <c r="M57" s="372">
        <v>10.268806</v>
      </c>
      <c r="N57" s="372">
        <v>9.8742780000000003</v>
      </c>
      <c r="O57" s="372">
        <v>8.8753539999999997</v>
      </c>
      <c r="P57" s="372">
        <v>9.1353919999999995</v>
      </c>
      <c r="Q57" s="372">
        <v>9.5348980000000001</v>
      </c>
      <c r="R57" s="372">
        <v>9.6766210000000008</v>
      </c>
      <c r="S57" s="372">
        <v>9.5449059999999992</v>
      </c>
      <c r="T57" s="372">
        <v>9.6892359999999993</v>
      </c>
      <c r="U57" s="372">
        <v>10.486575999999999</v>
      </c>
      <c r="V57" s="372">
        <v>10.598755000000001</v>
      </c>
      <c r="W57" s="372">
        <v>10.941508000000001</v>
      </c>
      <c r="X57" s="372">
        <v>11.795731999999999</v>
      </c>
      <c r="Y57" s="372">
        <v>12.700428</v>
      </c>
      <c r="Z57" s="372">
        <v>3.198299</v>
      </c>
      <c r="AA57" s="372">
        <v>3.5673469999999998</v>
      </c>
      <c r="AB57" s="860">
        <f t="shared" si="0"/>
        <v>11.538883637833734</v>
      </c>
      <c r="AC57" s="297"/>
      <c r="AF57" s="891"/>
    </row>
    <row r="58" spans="1:33" s="374" customFormat="1" ht="12.75" customHeight="1" x14ac:dyDescent="0.2">
      <c r="A58" s="365"/>
      <c r="B58" s="366">
        <v>49</v>
      </c>
      <c r="C58" s="368"/>
      <c r="D58" s="421" t="s">
        <v>653</v>
      </c>
      <c r="E58" s="872" t="s">
        <v>103</v>
      </c>
      <c r="F58" s="369">
        <v>3.5467759999999999</v>
      </c>
      <c r="G58" s="369">
        <v>3.4308190000000001</v>
      </c>
      <c r="H58" s="369">
        <v>3.2574360000000002</v>
      </c>
      <c r="I58" s="370">
        <v>3.1621790000000001</v>
      </c>
      <c r="J58" s="370">
        <v>3.926714</v>
      </c>
      <c r="K58" s="370">
        <v>3.9715500000000001</v>
      </c>
      <c r="L58" s="370">
        <v>4.086462</v>
      </c>
      <c r="M58" s="370">
        <v>4.3952010000000001</v>
      </c>
      <c r="N58" s="370">
        <v>4.3582179999999999</v>
      </c>
      <c r="O58" s="370">
        <v>4.2080479999999998</v>
      </c>
      <c r="P58" s="370">
        <v>3.9693209999999999</v>
      </c>
      <c r="Q58" s="370">
        <v>4.0081040000000003</v>
      </c>
      <c r="R58" s="370">
        <v>4.0747470000000003</v>
      </c>
      <c r="S58" s="370">
        <v>4.1109770000000001</v>
      </c>
      <c r="T58" s="370">
        <v>5.0206</v>
      </c>
      <c r="U58" s="370">
        <v>5.3968230000000004</v>
      </c>
      <c r="V58" s="370">
        <v>5.7354820000000002</v>
      </c>
      <c r="W58" s="370">
        <v>6.3469579999999999</v>
      </c>
      <c r="X58" s="370">
        <v>6.4123060000000001</v>
      </c>
      <c r="Y58" s="370">
        <v>6.6790589999999996</v>
      </c>
      <c r="Z58" s="370">
        <v>2.325752</v>
      </c>
      <c r="AA58" s="370">
        <v>3.46638</v>
      </c>
      <c r="AB58" s="861">
        <f t="shared" si="0"/>
        <v>49.043406175722936</v>
      </c>
      <c r="AC58" s="297"/>
      <c r="AF58" s="891"/>
    </row>
    <row r="59" spans="1:33" s="374" customFormat="1" ht="12.75" customHeight="1" x14ac:dyDescent="0.2">
      <c r="A59" s="367"/>
      <c r="B59" s="580">
        <v>50</v>
      </c>
      <c r="C59" s="397"/>
      <c r="D59" s="423" t="s">
        <v>654</v>
      </c>
      <c r="E59" s="871" t="s">
        <v>108</v>
      </c>
      <c r="F59" s="375">
        <v>1.2068989999999999</v>
      </c>
      <c r="G59" s="375">
        <v>2.1501739999999998</v>
      </c>
      <c r="H59" s="375">
        <v>2.0072540000000001</v>
      </c>
      <c r="I59" s="375">
        <v>2.240138</v>
      </c>
      <c r="J59" s="375">
        <v>2.6414949999999999</v>
      </c>
      <c r="K59" s="375">
        <v>3.773028</v>
      </c>
      <c r="L59" s="375">
        <v>3.8409070000000001</v>
      </c>
      <c r="M59" s="375">
        <v>4.4726889999999999</v>
      </c>
      <c r="N59" s="375">
        <v>4.362876</v>
      </c>
      <c r="O59" s="375">
        <v>4.0347109999999997</v>
      </c>
      <c r="P59" s="375">
        <v>4.2094760000000004</v>
      </c>
      <c r="Q59" s="375">
        <v>4.9400620000000002</v>
      </c>
      <c r="R59" s="375">
        <v>4.2674219999999998</v>
      </c>
      <c r="S59" s="375">
        <v>3.6712410000000002</v>
      </c>
      <c r="T59" s="375">
        <v>3.8617300000000001</v>
      </c>
      <c r="U59" s="375">
        <v>4.2880219999999998</v>
      </c>
      <c r="V59" s="375">
        <v>4.6111690000000003</v>
      </c>
      <c r="W59" s="375">
        <v>5.0900350000000003</v>
      </c>
      <c r="X59" s="375">
        <v>6.3624850000000004</v>
      </c>
      <c r="Y59" s="375">
        <v>7.5225419999999996</v>
      </c>
      <c r="Z59" s="375">
        <v>2.31047</v>
      </c>
      <c r="AA59" s="375">
        <v>3.4385520000000001</v>
      </c>
      <c r="AB59" s="863">
        <f t="shared" si="0"/>
        <v>48.82478456764207</v>
      </c>
      <c r="AC59" s="297"/>
      <c r="AF59" s="891"/>
    </row>
    <row r="60" spans="1:33" s="374" customFormat="1" ht="13.5" customHeight="1" x14ac:dyDescent="0.2">
      <c r="A60" s="367"/>
      <c r="B60" s="1094" t="s">
        <v>381</v>
      </c>
      <c r="C60" s="1094"/>
      <c r="D60" s="1094"/>
      <c r="E60" s="1094"/>
      <c r="F60" s="1094"/>
      <c r="G60" s="1094"/>
      <c r="H60" s="1094"/>
      <c r="I60" s="1094"/>
      <c r="J60" s="1094"/>
      <c r="K60" s="1094"/>
      <c r="L60" s="1094"/>
      <c r="M60" s="1094"/>
      <c r="N60" s="376"/>
      <c r="O60" s="376"/>
      <c r="P60" s="376"/>
      <c r="Q60" s="376"/>
      <c r="R60" s="376"/>
      <c r="S60" s="376"/>
      <c r="T60" s="376"/>
      <c r="U60" s="376"/>
      <c r="V60" s="376"/>
      <c r="W60" s="376"/>
      <c r="X60" s="376"/>
      <c r="Y60" s="376"/>
      <c r="Z60" s="376"/>
      <c r="AA60" s="376"/>
      <c r="AB60" s="578"/>
      <c r="AC60" s="297"/>
      <c r="AF60" s="891"/>
    </row>
    <row r="61" spans="1:33" s="374" customFormat="1" ht="42" customHeight="1" x14ac:dyDescent="0.2">
      <c r="A61" s="367"/>
      <c r="B61" s="1093" t="s">
        <v>534</v>
      </c>
      <c r="C61" s="1093"/>
      <c r="D61" s="1093"/>
      <c r="E61" s="1093"/>
      <c r="F61" s="1093"/>
      <c r="G61" s="1093"/>
      <c r="H61" s="1093"/>
      <c r="I61" s="1093"/>
      <c r="J61" s="1093"/>
      <c r="K61" s="1093"/>
      <c r="L61" s="1093"/>
      <c r="M61" s="1093"/>
      <c r="N61" s="1093"/>
      <c r="O61" s="864"/>
      <c r="P61" s="864"/>
      <c r="Q61" s="864"/>
      <c r="R61" s="864"/>
      <c r="S61" s="864"/>
      <c r="T61" s="864"/>
      <c r="U61" s="864"/>
      <c r="V61" s="864"/>
      <c r="W61" s="864"/>
      <c r="X61" s="864"/>
      <c r="Y61" s="864"/>
      <c r="Z61" s="864"/>
      <c r="AA61" s="864"/>
      <c r="AB61" s="864"/>
      <c r="AF61" s="891"/>
    </row>
    <row r="62" spans="1:33" x14ac:dyDescent="0.2">
      <c r="AF62" s="891"/>
      <c r="AG62" s="374"/>
    </row>
    <row r="63" spans="1:33" x14ac:dyDescent="0.2">
      <c r="AF63" s="891"/>
      <c r="AG63" s="374"/>
    </row>
    <row r="64" spans="1:33" x14ac:dyDescent="0.2">
      <c r="AF64" s="891"/>
      <c r="AG64" s="374"/>
    </row>
    <row r="65" spans="32:33" x14ac:dyDescent="0.2">
      <c r="AF65" s="891"/>
      <c r="AG65" s="374"/>
    </row>
    <row r="66" spans="32:33" x14ac:dyDescent="0.2">
      <c r="AF66" s="891"/>
      <c r="AG66" s="374"/>
    </row>
    <row r="67" spans="32:33" x14ac:dyDescent="0.2">
      <c r="AF67" s="891"/>
      <c r="AG67" s="374"/>
    </row>
    <row r="68" spans="32:33" x14ac:dyDescent="0.2">
      <c r="AF68" s="891"/>
    </row>
    <row r="69" spans="32:33" x14ac:dyDescent="0.2">
      <c r="AF69" s="891"/>
    </row>
    <row r="70" spans="32:33" x14ac:dyDescent="0.2">
      <c r="AF70" s="891"/>
    </row>
    <row r="71" spans="32:33" x14ac:dyDescent="0.2">
      <c r="AF71" s="891"/>
    </row>
    <row r="72" spans="32:33" x14ac:dyDescent="0.2">
      <c r="AF72" s="891"/>
    </row>
    <row r="73" spans="32:33" x14ac:dyDescent="0.2">
      <c r="AF73" s="891"/>
    </row>
    <row r="74" spans="32:33" x14ac:dyDescent="0.2">
      <c r="AF74" s="891"/>
    </row>
    <row r="75" spans="32:33" x14ac:dyDescent="0.2">
      <c r="AF75" s="891"/>
    </row>
    <row r="76" spans="32:33" x14ac:dyDescent="0.2">
      <c r="AF76" s="891"/>
    </row>
    <row r="77" spans="32:33" x14ac:dyDescent="0.2">
      <c r="AF77" s="891"/>
    </row>
    <row r="78" spans="32:33" x14ac:dyDescent="0.2">
      <c r="AF78" s="891"/>
    </row>
    <row r="79" spans="32:33" x14ac:dyDescent="0.2">
      <c r="AF79" s="891"/>
    </row>
    <row r="80" spans="32:33" x14ac:dyDescent="0.2">
      <c r="AF80" s="891"/>
    </row>
    <row r="81" spans="32:32" x14ac:dyDescent="0.2">
      <c r="AF81" s="891"/>
    </row>
    <row r="82" spans="32:32" x14ac:dyDescent="0.2">
      <c r="AF82" s="891"/>
    </row>
    <row r="83" spans="32:32" x14ac:dyDescent="0.2">
      <c r="AF83" s="891"/>
    </row>
    <row r="84" spans="32:32" x14ac:dyDescent="0.2">
      <c r="AF84" s="891"/>
    </row>
    <row r="85" spans="32:32" x14ac:dyDescent="0.2">
      <c r="AF85" s="891"/>
    </row>
    <row r="86" spans="32:32" x14ac:dyDescent="0.2">
      <c r="AF86" s="891"/>
    </row>
    <row r="87" spans="32:32" x14ac:dyDescent="0.2">
      <c r="AF87" s="891"/>
    </row>
    <row r="88" spans="32:32" x14ac:dyDescent="0.2">
      <c r="AF88" s="891"/>
    </row>
    <row r="89" spans="32:32" x14ac:dyDescent="0.2">
      <c r="AF89" s="891"/>
    </row>
    <row r="90" spans="32:32" x14ac:dyDescent="0.2">
      <c r="AF90" s="891"/>
    </row>
    <row r="91" spans="32:32" x14ac:dyDescent="0.2">
      <c r="AF91" s="891"/>
    </row>
    <row r="92" spans="32:32" x14ac:dyDescent="0.2">
      <c r="AF92" s="891"/>
    </row>
    <row r="93" spans="32:32" x14ac:dyDescent="0.2">
      <c r="AF93" s="891"/>
    </row>
    <row r="94" spans="32:32" x14ac:dyDescent="0.2">
      <c r="AF94" s="891"/>
    </row>
    <row r="95" spans="32:32" x14ac:dyDescent="0.2">
      <c r="AF95" s="891"/>
    </row>
    <row r="96" spans="32:32" x14ac:dyDescent="0.2">
      <c r="AF96" s="891"/>
    </row>
    <row r="97" spans="32:32" x14ac:dyDescent="0.2">
      <c r="AF97" s="891"/>
    </row>
    <row r="98" spans="32:32" x14ac:dyDescent="0.2">
      <c r="AF98" s="891"/>
    </row>
    <row r="99" spans="32:32" x14ac:dyDescent="0.2">
      <c r="AF99" s="891"/>
    </row>
    <row r="100" spans="32:32" x14ac:dyDescent="0.2">
      <c r="AF100" s="891"/>
    </row>
    <row r="101" spans="32:32" x14ac:dyDescent="0.2">
      <c r="AF101" s="891"/>
    </row>
    <row r="102" spans="32:32" x14ac:dyDescent="0.2">
      <c r="AF102" s="891"/>
    </row>
    <row r="103" spans="32:32" x14ac:dyDescent="0.2">
      <c r="AF103" s="891"/>
    </row>
  </sheetData>
  <mergeCells count="7">
    <mergeCell ref="B61:N61"/>
    <mergeCell ref="B60:M60"/>
    <mergeCell ref="B6:B8"/>
    <mergeCell ref="C1:D1"/>
    <mergeCell ref="C2:W2"/>
    <mergeCell ref="C3:W3"/>
    <mergeCell ref="C4:W4"/>
  </mergeCells>
  <printOptions horizontalCentered="1"/>
  <pageMargins left="0.6692913385826772" right="0.6692913385826772" top="0.51181102362204722" bottom="0.27559055118110237" header="0" footer="0"/>
  <pageSetup paperSize="9" scale="8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W95"/>
  <sheetViews>
    <sheetView zoomScaleNormal="100" workbookViewId="0">
      <selection activeCell="A68" sqref="A68"/>
    </sheetView>
  </sheetViews>
  <sheetFormatPr defaultColWidth="9.140625" defaultRowHeight="12.75" x14ac:dyDescent="0.2"/>
  <cols>
    <col min="1" max="1" width="9.140625" style="479"/>
    <col min="2" max="2" width="2" style="479" customWidth="1"/>
    <col min="3" max="3" width="35.28515625" style="479" customWidth="1"/>
    <col min="4" max="16" width="9.140625" style="479"/>
    <col min="17" max="18" width="8.140625" style="479" customWidth="1"/>
    <col min="19" max="20" width="7.85546875" style="479" customWidth="1"/>
    <col min="21" max="23" width="9.140625" style="479" customWidth="1"/>
    <col min="24" max="16384" width="9.140625" style="479"/>
  </cols>
  <sheetData>
    <row r="1" spans="1:21" ht="14.25" customHeight="1" x14ac:dyDescent="0.2">
      <c r="A1" s="3"/>
      <c r="B1" s="3"/>
      <c r="C1" s="891"/>
      <c r="D1" s="891"/>
      <c r="E1" s="891"/>
      <c r="F1" s="891"/>
      <c r="G1" s="891"/>
      <c r="H1" s="891"/>
      <c r="I1" s="891"/>
      <c r="J1" s="891"/>
      <c r="K1" s="891"/>
      <c r="L1" s="891"/>
      <c r="M1" s="891"/>
      <c r="N1" s="891"/>
      <c r="O1" s="891"/>
      <c r="P1" s="891"/>
      <c r="Q1" s="891"/>
      <c r="R1" s="891"/>
      <c r="T1" s="35"/>
      <c r="U1" s="35" t="s">
        <v>251</v>
      </c>
    </row>
    <row r="2" spans="1:21" ht="30" customHeight="1" x14ac:dyDescent="0.2">
      <c r="A2" s="3"/>
      <c r="B2" s="3"/>
      <c r="C2" s="1079" t="s">
        <v>386</v>
      </c>
      <c r="D2" s="1079"/>
      <c r="E2" s="1079"/>
      <c r="F2" s="1079"/>
      <c r="G2" s="1079"/>
      <c r="H2" s="1079"/>
      <c r="I2" s="1079"/>
      <c r="J2" s="1079"/>
      <c r="K2" s="1079"/>
      <c r="L2" s="1079"/>
      <c r="M2" s="1079"/>
      <c r="N2" s="1079"/>
      <c r="O2" s="1079"/>
      <c r="P2" s="1079"/>
      <c r="Q2" s="1079"/>
      <c r="R2" s="1079"/>
      <c r="S2" s="1079"/>
      <c r="T2" s="1079"/>
      <c r="U2" s="1079"/>
    </row>
    <row r="3" spans="1:21" ht="31.5" customHeight="1" x14ac:dyDescent="0.2">
      <c r="A3" s="3"/>
      <c r="B3" s="3"/>
      <c r="C3" s="1079" t="s">
        <v>343</v>
      </c>
      <c r="D3" s="1079"/>
      <c r="E3" s="1079"/>
      <c r="F3" s="1079"/>
      <c r="G3" s="1079"/>
      <c r="H3" s="1079"/>
      <c r="I3" s="1079"/>
      <c r="J3" s="1079"/>
      <c r="K3" s="1079"/>
      <c r="L3" s="1079"/>
      <c r="M3" s="1079"/>
      <c r="N3" s="1079"/>
      <c r="O3" s="1079"/>
      <c r="P3" s="1079"/>
      <c r="Q3" s="1079"/>
      <c r="R3" s="1079"/>
      <c r="S3" s="1079"/>
      <c r="T3" s="1079"/>
      <c r="U3" s="1079"/>
    </row>
    <row r="4" spans="1:21" ht="12" customHeight="1" x14ac:dyDescent="0.2">
      <c r="A4" s="1101" t="s">
        <v>173</v>
      </c>
      <c r="B4" s="891"/>
      <c r="C4" s="114"/>
      <c r="D4" s="114"/>
      <c r="E4" s="114"/>
      <c r="F4" s="114"/>
      <c r="G4" s="114"/>
      <c r="H4" s="1081"/>
      <c r="I4" s="1081"/>
      <c r="J4" s="1081"/>
      <c r="K4" s="1081"/>
      <c r="L4" s="1081"/>
      <c r="M4" s="1081"/>
      <c r="N4" s="1081"/>
      <c r="O4" s="1081"/>
      <c r="P4" s="1081"/>
      <c r="Q4" s="1081"/>
      <c r="R4" s="903"/>
      <c r="S4" s="891"/>
      <c r="T4" s="891"/>
    </row>
    <row r="5" spans="1:21" ht="25.5" customHeight="1" x14ac:dyDescent="0.2">
      <c r="A5" s="1101"/>
      <c r="B5" s="894"/>
      <c r="C5" s="896"/>
      <c r="D5" s="895">
        <v>2005</v>
      </c>
      <c r="E5" s="895">
        <v>2006</v>
      </c>
      <c r="F5" s="895">
        <v>2007</v>
      </c>
      <c r="G5" s="895">
        <v>2008</v>
      </c>
      <c r="H5" s="895">
        <v>2009</v>
      </c>
      <c r="I5" s="895">
        <v>2010</v>
      </c>
      <c r="J5" s="895">
        <v>2011</v>
      </c>
      <c r="K5" s="895">
        <v>2012</v>
      </c>
      <c r="L5" s="895">
        <v>2013</v>
      </c>
      <c r="M5" s="895">
        <v>2014</v>
      </c>
      <c r="N5" s="895">
        <v>2015</v>
      </c>
      <c r="O5" s="895">
        <v>2016</v>
      </c>
      <c r="P5" s="895">
        <v>2017</v>
      </c>
      <c r="Q5" s="895">
        <v>2018</v>
      </c>
      <c r="R5" s="895">
        <v>2019</v>
      </c>
      <c r="S5" s="895">
        <v>2020</v>
      </c>
      <c r="T5" s="895">
        <v>2021</v>
      </c>
      <c r="U5" s="503" t="s">
        <v>536</v>
      </c>
    </row>
    <row r="6" spans="1:21" ht="12.75" customHeight="1" x14ac:dyDescent="0.2">
      <c r="A6" s="149">
        <v>1</v>
      </c>
      <c r="B6" s="504"/>
      <c r="C6" s="505" t="s">
        <v>344</v>
      </c>
      <c r="D6" s="506">
        <v>2262.9450000000002</v>
      </c>
      <c r="E6" s="506">
        <v>2318.9349999999999</v>
      </c>
      <c r="F6" s="506">
        <v>2311.8510000000001</v>
      </c>
      <c r="G6" s="507">
        <v>2280.46</v>
      </c>
      <c r="H6" s="507">
        <v>2139.3820000000001</v>
      </c>
      <c r="I6" s="507">
        <v>2104.6190000000001</v>
      </c>
      <c r="J6" s="507">
        <v>2235.761</v>
      </c>
      <c r="K6" s="507">
        <v>2175.0010000000002</v>
      </c>
      <c r="L6" s="904">
        <v>2160.2849999999999</v>
      </c>
      <c r="M6" s="904">
        <v>2072.1379999999999</v>
      </c>
      <c r="N6" s="904">
        <v>2113.2550000000001</v>
      </c>
      <c r="O6" s="904">
        <v>2124.7919999999999</v>
      </c>
      <c r="P6" s="904">
        <v>2170.5889999999999</v>
      </c>
      <c r="Q6" s="904">
        <v>2135.3389999999999</v>
      </c>
      <c r="R6" s="904">
        <v>2052.6489999999999</v>
      </c>
      <c r="S6" s="904">
        <v>818.56200000000001</v>
      </c>
      <c r="T6" s="904">
        <v>1392.9849999999999</v>
      </c>
      <c r="U6" s="817">
        <f>(T6/S6)-1</f>
        <v>0.7017464773590758</v>
      </c>
    </row>
    <row r="7" spans="1:21" ht="12.75" customHeight="1" x14ac:dyDescent="0.2">
      <c r="A7" s="149">
        <v>2</v>
      </c>
      <c r="B7" s="905"/>
      <c r="C7" s="906" t="s">
        <v>496</v>
      </c>
      <c r="D7" s="907">
        <v>1689.3430000000001</v>
      </c>
      <c r="E7" s="907">
        <v>1740.3150000000001</v>
      </c>
      <c r="F7" s="907">
        <v>1784.896</v>
      </c>
      <c r="G7" s="908">
        <v>1585.894</v>
      </c>
      <c r="H7" s="908">
        <v>1513.617</v>
      </c>
      <c r="I7" s="908">
        <v>1532.5409999999999</v>
      </c>
      <c r="J7" s="908">
        <v>1639.425</v>
      </c>
      <c r="K7" s="908">
        <v>1460.106</v>
      </c>
      <c r="L7" s="908">
        <v>1388.854</v>
      </c>
      <c r="M7" s="908">
        <v>1410.172</v>
      </c>
      <c r="N7" s="908">
        <v>1576.08</v>
      </c>
      <c r="O7" s="908">
        <v>1772.6210000000001</v>
      </c>
      <c r="P7" s="908">
        <v>1944.7280000000001</v>
      </c>
      <c r="Q7" s="908">
        <v>2035.723</v>
      </c>
      <c r="R7" s="908">
        <v>2173.9389999999999</v>
      </c>
      <c r="S7" s="908">
        <v>820.74199999999996</v>
      </c>
      <c r="T7" s="908">
        <v>1220.54</v>
      </c>
      <c r="U7" s="818">
        <f t="shared" ref="U7:U55" si="0">(T7/S7)-1</f>
        <v>0.48711775442221805</v>
      </c>
    </row>
    <row r="8" spans="1:21" ht="12.75" customHeight="1" x14ac:dyDescent="0.2">
      <c r="A8" s="149">
        <v>3</v>
      </c>
      <c r="B8" s="504"/>
      <c r="C8" s="231" t="s">
        <v>315</v>
      </c>
      <c r="D8" s="909">
        <v>1641.454</v>
      </c>
      <c r="E8" s="909">
        <v>1757.29</v>
      </c>
      <c r="F8" s="909">
        <v>1757.9639999999999</v>
      </c>
      <c r="G8" s="904">
        <v>1707.74</v>
      </c>
      <c r="H8" s="904">
        <v>1764.2570000000001</v>
      </c>
      <c r="I8" s="904">
        <v>1698.8979999999999</v>
      </c>
      <c r="J8" s="904">
        <v>1605.182</v>
      </c>
      <c r="K8" s="904">
        <v>1442.4960000000001</v>
      </c>
      <c r="L8" s="904">
        <v>1224.653</v>
      </c>
      <c r="M8" s="904">
        <v>1283.404</v>
      </c>
      <c r="N8" s="904">
        <v>1411.2429999999999</v>
      </c>
      <c r="O8" s="904">
        <v>1687.568</v>
      </c>
      <c r="P8" s="904">
        <v>1815.5889999999999</v>
      </c>
      <c r="Q8" s="904">
        <v>1967.28</v>
      </c>
      <c r="R8" s="904">
        <v>1995.104</v>
      </c>
      <c r="S8" s="904">
        <v>793.80499999999995</v>
      </c>
      <c r="T8" s="904">
        <v>1140.759</v>
      </c>
      <c r="U8" s="817">
        <f t="shared" si="0"/>
        <v>0.43707711591637755</v>
      </c>
    </row>
    <row r="9" spans="1:21" ht="12.75" customHeight="1" x14ac:dyDescent="0.2">
      <c r="A9" s="149">
        <v>4</v>
      </c>
      <c r="B9" s="905"/>
      <c r="C9" s="906" t="s">
        <v>268</v>
      </c>
      <c r="D9" s="907">
        <v>1368.6510000000001</v>
      </c>
      <c r="E9" s="907">
        <v>1371.6279999999999</v>
      </c>
      <c r="F9" s="907">
        <v>1534.183</v>
      </c>
      <c r="G9" s="908">
        <v>1668.671</v>
      </c>
      <c r="H9" s="908">
        <v>1635.6610000000001</v>
      </c>
      <c r="I9" s="908">
        <v>1717.7929999999999</v>
      </c>
      <c r="J9" s="908">
        <v>1841.5509999999999</v>
      </c>
      <c r="K9" s="908">
        <v>1694.4490000000001</v>
      </c>
      <c r="L9" s="908">
        <v>1566.8330000000001</v>
      </c>
      <c r="M9" s="908">
        <v>1869.8810000000001</v>
      </c>
      <c r="N9" s="908">
        <v>1987.739</v>
      </c>
      <c r="O9" s="908">
        <v>2054.4</v>
      </c>
      <c r="P9" s="908">
        <v>2014.0060000000001</v>
      </c>
      <c r="Q9" s="908">
        <v>1980.567</v>
      </c>
      <c r="R9" s="908">
        <v>1826.923</v>
      </c>
      <c r="S9" s="908">
        <v>649.39099999999996</v>
      </c>
      <c r="T9" s="908">
        <v>1059.7750000000001</v>
      </c>
      <c r="U9" s="818">
        <f t="shared" si="0"/>
        <v>0.63195209049709677</v>
      </c>
    </row>
    <row r="10" spans="1:21" ht="12.75" customHeight="1" x14ac:dyDescent="0.2">
      <c r="A10" s="149">
        <v>5</v>
      </c>
      <c r="B10" s="504"/>
      <c r="C10" s="231" t="s">
        <v>267</v>
      </c>
      <c r="D10" s="909">
        <v>2327.1219999999998</v>
      </c>
      <c r="E10" s="909">
        <v>2350.5030000000002</v>
      </c>
      <c r="F10" s="909">
        <v>2327.0709999999999</v>
      </c>
      <c r="G10" s="904">
        <v>2325.3090000000002</v>
      </c>
      <c r="H10" s="904">
        <v>2304.7660000000001</v>
      </c>
      <c r="I10" s="904">
        <v>2193.6750000000002</v>
      </c>
      <c r="J10" s="904">
        <v>2321.8029999999999</v>
      </c>
      <c r="K10" s="904">
        <v>2329.5219999999999</v>
      </c>
      <c r="L10" s="904">
        <v>2379.1080000000002</v>
      </c>
      <c r="M10" s="904">
        <v>2330.9490000000001</v>
      </c>
      <c r="N10" s="904">
        <v>2318.0929999999998</v>
      </c>
      <c r="O10" s="904">
        <v>2358.895</v>
      </c>
      <c r="P10" s="904">
        <v>2325.2240000000002</v>
      </c>
      <c r="Q10" s="904">
        <v>2282.4360000000001</v>
      </c>
      <c r="R10" s="904">
        <v>2217.8919999999998</v>
      </c>
      <c r="S10" s="904">
        <v>736.85799999999995</v>
      </c>
      <c r="T10" s="904">
        <v>1047.979</v>
      </c>
      <c r="U10" s="817">
        <f t="shared" si="0"/>
        <v>0.42222653482760597</v>
      </c>
    </row>
    <row r="11" spans="1:21" ht="12.75" customHeight="1" x14ac:dyDescent="0.2">
      <c r="A11" s="149">
        <v>6</v>
      </c>
      <c r="B11" s="905"/>
      <c r="C11" s="906" t="s">
        <v>314</v>
      </c>
      <c r="D11" s="907">
        <v>4358.3220000000001</v>
      </c>
      <c r="E11" s="907">
        <v>4442.3999999999996</v>
      </c>
      <c r="F11" s="907">
        <v>4627.3869999999997</v>
      </c>
      <c r="G11" s="908">
        <v>3497.6959999999999</v>
      </c>
      <c r="H11" s="908">
        <v>2942.4059999999999</v>
      </c>
      <c r="I11" s="908">
        <v>3083.8290000000002</v>
      </c>
      <c r="J11" s="908">
        <v>3102.4360000000001</v>
      </c>
      <c r="K11" s="908">
        <v>2550.1930000000002</v>
      </c>
      <c r="L11" s="908">
        <v>2213.194</v>
      </c>
      <c r="M11" s="908">
        <v>2204.7649999999999</v>
      </c>
      <c r="N11" s="908">
        <v>2251.739</v>
      </c>
      <c r="O11" s="908">
        <v>2328.7950000000001</v>
      </c>
      <c r="P11" s="908">
        <v>2342.0160000000001</v>
      </c>
      <c r="Q11" s="908">
        <v>2467.768</v>
      </c>
      <c r="R11" s="908">
        <v>2572.893</v>
      </c>
      <c r="S11" s="908">
        <v>754.149</v>
      </c>
      <c r="T11" s="908">
        <v>1013.023</v>
      </c>
      <c r="U11" s="818">
        <f t="shared" si="0"/>
        <v>0.34326638369871199</v>
      </c>
    </row>
    <row r="12" spans="1:21" ht="12.75" customHeight="1" x14ac:dyDescent="0.2">
      <c r="A12" s="149">
        <v>7</v>
      </c>
      <c r="B12" s="504"/>
      <c r="C12" s="231" t="s">
        <v>269</v>
      </c>
      <c r="D12" s="909">
        <v>1388.136</v>
      </c>
      <c r="E12" s="909">
        <v>1434.3630000000001</v>
      </c>
      <c r="F12" s="909">
        <v>1541.2809999999999</v>
      </c>
      <c r="G12" s="904">
        <v>1596.703</v>
      </c>
      <c r="H12" s="904">
        <v>1548.4639999999999</v>
      </c>
      <c r="I12" s="904">
        <v>1553.6849999999999</v>
      </c>
      <c r="J12" s="904">
        <v>1438.377</v>
      </c>
      <c r="K12" s="904">
        <v>1301.539</v>
      </c>
      <c r="L12" s="904">
        <v>1152.884</v>
      </c>
      <c r="M12" s="904">
        <v>1181.442</v>
      </c>
      <c r="N12" s="904">
        <v>1305.67</v>
      </c>
      <c r="O12" s="904">
        <v>1508.972</v>
      </c>
      <c r="P12" s="904">
        <v>1510.4490000000001</v>
      </c>
      <c r="Q12" s="904">
        <v>1616.5650000000001</v>
      </c>
      <c r="R12" s="904">
        <v>1659.106</v>
      </c>
      <c r="S12" s="904">
        <v>638.09199999999998</v>
      </c>
      <c r="T12" s="904">
        <v>937.08399999999995</v>
      </c>
      <c r="U12" s="817">
        <f t="shared" si="0"/>
        <v>0.46857193006651077</v>
      </c>
    </row>
    <row r="13" spans="1:21" ht="12.75" customHeight="1" x14ac:dyDescent="0.2">
      <c r="A13" s="149">
        <v>8</v>
      </c>
      <c r="B13" s="905"/>
      <c r="C13" s="906" t="s">
        <v>432</v>
      </c>
      <c r="D13" s="907">
        <v>308.36700000000002</v>
      </c>
      <c r="E13" s="907">
        <v>299.33100000000002</v>
      </c>
      <c r="F13" s="907">
        <v>379.31900000000002</v>
      </c>
      <c r="G13" s="908">
        <v>388.07499999999999</v>
      </c>
      <c r="H13" s="908">
        <v>439.50599999999997</v>
      </c>
      <c r="I13" s="908">
        <v>543.54499999999996</v>
      </c>
      <c r="J13" s="908">
        <v>725.44600000000003</v>
      </c>
      <c r="K13" s="908">
        <v>663.11699999999996</v>
      </c>
      <c r="L13" s="908">
        <v>600.97699999999998</v>
      </c>
      <c r="M13" s="908">
        <v>536.45699999999999</v>
      </c>
      <c r="N13" s="908">
        <v>380.16899999999998</v>
      </c>
      <c r="O13" s="908">
        <v>494.96800000000002</v>
      </c>
      <c r="P13" s="908">
        <v>954.52</v>
      </c>
      <c r="Q13" s="908">
        <v>1035.9459999999999</v>
      </c>
      <c r="R13" s="908">
        <v>1265.3440000000001</v>
      </c>
      <c r="S13" s="908">
        <v>509.14499999999998</v>
      </c>
      <c r="T13" s="908">
        <v>876.98099999999999</v>
      </c>
      <c r="U13" s="818">
        <f t="shared" si="0"/>
        <v>0.72245823881212634</v>
      </c>
    </row>
    <row r="14" spans="1:21" ht="12.75" customHeight="1" x14ac:dyDescent="0.2">
      <c r="A14" s="149">
        <v>9</v>
      </c>
      <c r="B14" s="504"/>
      <c r="C14" s="231" t="s">
        <v>270</v>
      </c>
      <c r="D14" s="909">
        <v>1359.373</v>
      </c>
      <c r="E14" s="909">
        <v>1170.1469999999999</v>
      </c>
      <c r="F14" s="909">
        <v>1191.002</v>
      </c>
      <c r="G14" s="904">
        <v>1333.5070000000001</v>
      </c>
      <c r="H14" s="904">
        <v>1342.6120000000001</v>
      </c>
      <c r="I14" s="904">
        <v>1319.681</v>
      </c>
      <c r="J14" s="904">
        <v>1337.05</v>
      </c>
      <c r="K14" s="904">
        <v>1167.731</v>
      </c>
      <c r="L14" s="904">
        <v>1102.701</v>
      </c>
      <c r="M14" s="904">
        <v>1094.8150000000001</v>
      </c>
      <c r="N14" s="904">
        <v>1149.454</v>
      </c>
      <c r="O14" s="904">
        <v>1305.1120000000001</v>
      </c>
      <c r="P14" s="904">
        <v>1380.9179999999999</v>
      </c>
      <c r="Q14" s="904">
        <v>1487.327</v>
      </c>
      <c r="R14" s="904">
        <v>1493.7550000000001</v>
      </c>
      <c r="S14" s="904">
        <v>617.73900000000003</v>
      </c>
      <c r="T14" s="904">
        <v>875.428</v>
      </c>
      <c r="U14" s="817">
        <f t="shared" si="0"/>
        <v>0.41714866634614278</v>
      </c>
    </row>
    <row r="15" spans="1:21" ht="12.75" customHeight="1" x14ac:dyDescent="0.2">
      <c r="A15" s="149">
        <v>10</v>
      </c>
      <c r="B15" s="905"/>
      <c r="C15" s="906" t="s">
        <v>361</v>
      </c>
      <c r="D15" s="907">
        <v>1054.32</v>
      </c>
      <c r="E15" s="907">
        <v>1060.9829999999999</v>
      </c>
      <c r="F15" s="907">
        <v>1156.9780000000001</v>
      </c>
      <c r="G15" s="908">
        <v>1125.6279999999999</v>
      </c>
      <c r="H15" s="908">
        <v>1205.4480000000001</v>
      </c>
      <c r="I15" s="908">
        <v>1176.3130000000001</v>
      </c>
      <c r="J15" s="908">
        <v>970.46199999999999</v>
      </c>
      <c r="K15" s="908">
        <v>970.79700000000003</v>
      </c>
      <c r="L15" s="908">
        <v>888.33399999999995</v>
      </c>
      <c r="M15" s="908">
        <v>1269.8969999999999</v>
      </c>
      <c r="N15" s="908">
        <v>1639.547</v>
      </c>
      <c r="O15" s="908">
        <v>1811.3520000000001</v>
      </c>
      <c r="P15" s="908">
        <v>1598.499</v>
      </c>
      <c r="Q15" s="908">
        <v>1543.931</v>
      </c>
      <c r="R15" s="908">
        <v>1354.8920000000001</v>
      </c>
      <c r="S15" s="908">
        <v>551.91399999999999</v>
      </c>
      <c r="T15" s="908">
        <v>826.64300000000003</v>
      </c>
      <c r="U15" s="818">
        <f t="shared" si="0"/>
        <v>0.49777501567273164</v>
      </c>
    </row>
    <row r="16" spans="1:21" ht="12.75" customHeight="1" x14ac:dyDescent="0.2">
      <c r="A16" s="149">
        <v>11</v>
      </c>
      <c r="B16" s="504"/>
      <c r="C16" s="231" t="s">
        <v>362</v>
      </c>
      <c r="D16" s="909">
        <v>843.01599999999996</v>
      </c>
      <c r="E16" s="909">
        <v>794.59400000000005</v>
      </c>
      <c r="F16" s="909">
        <v>851.86400000000003</v>
      </c>
      <c r="G16" s="904">
        <v>756.68499999999995</v>
      </c>
      <c r="H16" s="904">
        <v>709.86199999999997</v>
      </c>
      <c r="I16" s="904">
        <v>737.06399999999996</v>
      </c>
      <c r="J16" s="904">
        <v>873.37300000000005</v>
      </c>
      <c r="K16" s="904">
        <v>852.28</v>
      </c>
      <c r="L16" s="904">
        <v>813.26800000000003</v>
      </c>
      <c r="M16" s="904">
        <v>868.952</v>
      </c>
      <c r="N16" s="904">
        <v>938.78499999999997</v>
      </c>
      <c r="O16" s="904">
        <v>1017.497</v>
      </c>
      <c r="P16" s="904">
        <v>1058.7470000000001</v>
      </c>
      <c r="Q16" s="904">
        <v>1175.2670000000001</v>
      </c>
      <c r="R16" s="904">
        <v>1206.3150000000001</v>
      </c>
      <c r="S16" s="904">
        <v>473.50400000000002</v>
      </c>
      <c r="T16" s="904">
        <v>762.41099999999994</v>
      </c>
      <c r="U16" s="817">
        <f t="shared" si="0"/>
        <v>0.61014690477799527</v>
      </c>
    </row>
    <row r="17" spans="1:21" ht="12.75" customHeight="1" x14ac:dyDescent="0.2">
      <c r="A17" s="149">
        <v>12</v>
      </c>
      <c r="B17" s="905"/>
      <c r="C17" s="906" t="s">
        <v>360</v>
      </c>
      <c r="D17" s="907">
        <v>1106.6959999999999</v>
      </c>
      <c r="E17" s="907">
        <v>1173.739</v>
      </c>
      <c r="F17" s="907">
        <v>1226.558</v>
      </c>
      <c r="G17" s="908">
        <v>1255.3979999999999</v>
      </c>
      <c r="H17" s="908">
        <v>1372.277</v>
      </c>
      <c r="I17" s="908">
        <v>1406.8</v>
      </c>
      <c r="J17" s="908">
        <v>1492.0440000000001</v>
      </c>
      <c r="K17" s="908">
        <v>1360.374</v>
      </c>
      <c r="L17" s="908">
        <v>1264.106</v>
      </c>
      <c r="M17" s="908">
        <v>1475.9570000000001</v>
      </c>
      <c r="N17" s="908">
        <v>1476.9459999999999</v>
      </c>
      <c r="O17" s="908">
        <v>1589.6659999999999</v>
      </c>
      <c r="P17" s="908">
        <v>1589.075</v>
      </c>
      <c r="Q17" s="908">
        <v>1666.8589999999999</v>
      </c>
      <c r="R17" s="908">
        <v>1582.143</v>
      </c>
      <c r="S17" s="908">
        <v>551.36</v>
      </c>
      <c r="T17" s="908">
        <v>742.94200000000001</v>
      </c>
      <c r="U17" s="818">
        <f t="shared" si="0"/>
        <v>0.34747170632617519</v>
      </c>
    </row>
    <row r="18" spans="1:21" ht="12.75" customHeight="1" x14ac:dyDescent="0.2">
      <c r="A18" s="149">
        <v>13</v>
      </c>
      <c r="B18" s="504"/>
      <c r="C18" s="231" t="s">
        <v>666</v>
      </c>
      <c r="D18" s="909">
        <v>987.62199999999996</v>
      </c>
      <c r="E18" s="909">
        <v>1029.2950000000001</v>
      </c>
      <c r="F18" s="909">
        <v>1093.4639999999999</v>
      </c>
      <c r="G18" s="904">
        <v>1098.338</v>
      </c>
      <c r="H18" s="904">
        <v>991.10299999999995</v>
      </c>
      <c r="I18" s="904">
        <v>1033.7529999999999</v>
      </c>
      <c r="J18" s="904">
        <v>1103.866</v>
      </c>
      <c r="K18" s="904">
        <v>1073.518</v>
      </c>
      <c r="L18" s="904">
        <v>1111.663</v>
      </c>
      <c r="M18" s="904">
        <v>1127.8440000000001</v>
      </c>
      <c r="N18" s="904">
        <v>1159.56</v>
      </c>
      <c r="O18" s="904">
        <v>1214.595</v>
      </c>
      <c r="P18" s="904">
        <v>1223.03</v>
      </c>
      <c r="Q18" s="904">
        <v>1302.241</v>
      </c>
      <c r="R18" s="904">
        <v>1431.5050000000001</v>
      </c>
      <c r="S18" s="904">
        <v>723.66399999999999</v>
      </c>
      <c r="T18" s="904">
        <v>734.66399999999999</v>
      </c>
      <c r="U18" s="817">
        <f t="shared" si="0"/>
        <v>1.52004245064008E-2</v>
      </c>
    </row>
    <row r="19" spans="1:21" ht="12.75" customHeight="1" x14ac:dyDescent="0.2">
      <c r="A19" s="149">
        <v>14</v>
      </c>
      <c r="B19" s="905"/>
      <c r="C19" s="906" t="s">
        <v>272</v>
      </c>
      <c r="D19" s="907">
        <v>964.28899999999999</v>
      </c>
      <c r="E19" s="907">
        <v>1015.552</v>
      </c>
      <c r="F19" s="907">
        <v>1078.923</v>
      </c>
      <c r="G19" s="908">
        <v>1101.0039999999999</v>
      </c>
      <c r="H19" s="908">
        <v>1136.4780000000001</v>
      </c>
      <c r="I19" s="908">
        <v>1105.8510000000001</v>
      </c>
      <c r="J19" s="908">
        <v>1182.704</v>
      </c>
      <c r="K19" s="908">
        <v>1127.2950000000001</v>
      </c>
      <c r="L19" s="908">
        <v>990.70799999999997</v>
      </c>
      <c r="M19" s="908">
        <v>1023.272</v>
      </c>
      <c r="N19" s="908">
        <v>1169.1300000000001</v>
      </c>
      <c r="O19" s="908">
        <v>1203.9369999999999</v>
      </c>
      <c r="P19" s="908">
        <v>1152.6769999999999</v>
      </c>
      <c r="Q19" s="908">
        <v>1331.5129999999999</v>
      </c>
      <c r="R19" s="908">
        <v>1361.645</v>
      </c>
      <c r="S19" s="908">
        <v>460.76499999999999</v>
      </c>
      <c r="T19" s="908">
        <v>707.70699999999999</v>
      </c>
      <c r="U19" s="818">
        <f t="shared" si="0"/>
        <v>0.5359391446832984</v>
      </c>
    </row>
    <row r="20" spans="1:21" ht="12.75" customHeight="1" x14ac:dyDescent="0.2">
      <c r="A20" s="149">
        <v>15</v>
      </c>
      <c r="B20" s="504"/>
      <c r="C20" s="231" t="s">
        <v>433</v>
      </c>
      <c r="D20" s="909">
        <v>909.22699999999998</v>
      </c>
      <c r="E20" s="909">
        <v>886.91700000000003</v>
      </c>
      <c r="F20" s="909">
        <v>888.28200000000004</v>
      </c>
      <c r="G20" s="904">
        <v>880.62400000000002</v>
      </c>
      <c r="H20" s="904">
        <v>830.20699999999999</v>
      </c>
      <c r="I20" s="904">
        <v>789.03399999999999</v>
      </c>
      <c r="J20" s="904">
        <v>794.548</v>
      </c>
      <c r="K20" s="904">
        <v>806.89300000000003</v>
      </c>
      <c r="L20" s="904">
        <v>845.04399999999998</v>
      </c>
      <c r="M20" s="904">
        <v>793.86800000000005</v>
      </c>
      <c r="N20" s="904">
        <v>806.11300000000006</v>
      </c>
      <c r="O20" s="904">
        <v>850.43600000000004</v>
      </c>
      <c r="P20" s="904">
        <v>909.46600000000001</v>
      </c>
      <c r="Q20" s="904">
        <v>984.15800000000002</v>
      </c>
      <c r="R20" s="904">
        <v>1125.569</v>
      </c>
      <c r="S20" s="904">
        <v>744.15099999999995</v>
      </c>
      <c r="T20" s="904">
        <v>698.202</v>
      </c>
      <c r="U20" s="817">
        <f t="shared" si="0"/>
        <v>-6.174687664197176E-2</v>
      </c>
    </row>
    <row r="21" spans="1:21" ht="12.75" customHeight="1" x14ac:dyDescent="0.2">
      <c r="A21" s="149">
        <v>16</v>
      </c>
      <c r="B21" s="905"/>
      <c r="C21" s="906" t="s">
        <v>537</v>
      </c>
      <c r="D21" s="907">
        <v>980.54499999999996</v>
      </c>
      <c r="E21" s="907">
        <v>1031.6869999999999</v>
      </c>
      <c r="F21" s="907">
        <v>992.45100000000002</v>
      </c>
      <c r="G21" s="908">
        <v>930.12</v>
      </c>
      <c r="H21" s="908">
        <v>900.89200000000005</v>
      </c>
      <c r="I21" s="908">
        <v>911.92600000000004</v>
      </c>
      <c r="J21" s="908">
        <v>956.43200000000002</v>
      </c>
      <c r="K21" s="908">
        <v>997.15899999999999</v>
      </c>
      <c r="L21" s="908">
        <v>1102.9680000000001</v>
      </c>
      <c r="M21" s="908">
        <v>1172.2860000000001</v>
      </c>
      <c r="N21" s="908">
        <v>1214.0139999999999</v>
      </c>
      <c r="O21" s="908">
        <v>1284.8499999999999</v>
      </c>
      <c r="P21" s="908">
        <v>1276.4179999999999</v>
      </c>
      <c r="Q21" s="908">
        <v>1523.8679999999999</v>
      </c>
      <c r="R21" s="908">
        <v>1567.5409999999999</v>
      </c>
      <c r="S21" s="908">
        <v>283.50099999999998</v>
      </c>
      <c r="T21" s="908">
        <v>696.98199999999997</v>
      </c>
      <c r="U21" s="818">
        <f t="shared" si="0"/>
        <v>1.458481627930766</v>
      </c>
    </row>
    <row r="22" spans="1:21" ht="12.75" customHeight="1" x14ac:dyDescent="0.2">
      <c r="A22" s="149">
        <v>17</v>
      </c>
      <c r="B22" s="504"/>
      <c r="C22" s="231" t="s">
        <v>508</v>
      </c>
      <c r="D22" s="909">
        <v>257.48</v>
      </c>
      <c r="E22" s="909">
        <v>368.76499999999999</v>
      </c>
      <c r="F22" s="909">
        <v>448.95600000000002</v>
      </c>
      <c r="G22" s="904">
        <v>431.54599999999999</v>
      </c>
      <c r="H22" s="904">
        <v>392.73200000000003</v>
      </c>
      <c r="I22" s="904">
        <v>464.35300000000001</v>
      </c>
      <c r="J22" s="904">
        <v>460.81900000000002</v>
      </c>
      <c r="K22" s="904">
        <v>367.62799999999999</v>
      </c>
      <c r="L22" s="904">
        <v>294.39800000000002</v>
      </c>
      <c r="M22" s="904">
        <v>321.803</v>
      </c>
      <c r="N22" s="904">
        <v>304.62099999999998</v>
      </c>
      <c r="O22" s="904">
        <v>314.113</v>
      </c>
      <c r="P22" s="904">
        <v>369.14699999999999</v>
      </c>
      <c r="Q22" s="904">
        <v>676.20899999999995</v>
      </c>
      <c r="R22" s="904">
        <v>893.10599999999999</v>
      </c>
      <c r="S22" s="904">
        <v>356.09800000000001</v>
      </c>
      <c r="T22" s="904">
        <v>686.54399999999998</v>
      </c>
      <c r="U22" s="817">
        <f t="shared" si="0"/>
        <v>0.92796365045577334</v>
      </c>
    </row>
    <row r="23" spans="1:21" ht="12.75" customHeight="1" x14ac:dyDescent="0.2">
      <c r="A23" s="149">
        <v>18</v>
      </c>
      <c r="B23" s="905"/>
      <c r="C23" s="906" t="s">
        <v>499</v>
      </c>
      <c r="D23" s="907">
        <v>778.61699999999996</v>
      </c>
      <c r="E23" s="907">
        <v>848.35</v>
      </c>
      <c r="F23" s="907">
        <v>918.14800000000002</v>
      </c>
      <c r="G23" s="908">
        <v>895.49699999999996</v>
      </c>
      <c r="H23" s="908">
        <v>898.84299999999996</v>
      </c>
      <c r="I23" s="908">
        <v>798.59199999999998</v>
      </c>
      <c r="J23" s="908">
        <v>695.98900000000003</v>
      </c>
      <c r="K23" s="908">
        <v>638.60900000000004</v>
      </c>
      <c r="L23" s="908">
        <v>627.25699999999995</v>
      </c>
      <c r="M23" s="908">
        <v>650.42899999999997</v>
      </c>
      <c r="N23" s="908">
        <v>734.51900000000001</v>
      </c>
      <c r="O23" s="908">
        <v>814.13099999999997</v>
      </c>
      <c r="P23" s="908">
        <v>872.13400000000001</v>
      </c>
      <c r="Q23" s="908">
        <v>1023.159</v>
      </c>
      <c r="R23" s="908">
        <v>1008.596</v>
      </c>
      <c r="S23" s="908">
        <v>504.12</v>
      </c>
      <c r="T23" s="908">
        <v>650.4</v>
      </c>
      <c r="U23" s="818">
        <f t="shared" si="0"/>
        <v>0.29016900737919538</v>
      </c>
    </row>
    <row r="24" spans="1:21" ht="12.75" customHeight="1" x14ac:dyDescent="0.2">
      <c r="A24" s="149">
        <v>19</v>
      </c>
      <c r="B24" s="504"/>
      <c r="C24" s="231" t="s">
        <v>538</v>
      </c>
      <c r="D24" s="909">
        <v>719.80100000000004</v>
      </c>
      <c r="E24" s="909">
        <v>654.17399999999998</v>
      </c>
      <c r="F24" s="909">
        <v>716.13300000000004</v>
      </c>
      <c r="G24" s="904">
        <v>657.70899999999995</v>
      </c>
      <c r="H24" s="904">
        <v>664.822</v>
      </c>
      <c r="I24" s="904">
        <v>679.71400000000006</v>
      </c>
      <c r="J24" s="904">
        <v>689.48199999999997</v>
      </c>
      <c r="K24" s="904">
        <v>656.25400000000002</v>
      </c>
      <c r="L24" s="904">
        <v>621.06600000000003</v>
      </c>
      <c r="M24" s="904">
        <v>640.19899999999996</v>
      </c>
      <c r="N24" s="904">
        <v>619.43499999999995</v>
      </c>
      <c r="O24" s="904">
        <v>719.78499999999997</v>
      </c>
      <c r="P24" s="904">
        <v>753.06899999999996</v>
      </c>
      <c r="Q24" s="904">
        <v>807.47400000000005</v>
      </c>
      <c r="R24" s="904">
        <v>837.79200000000003</v>
      </c>
      <c r="S24" s="904">
        <v>356.75400000000002</v>
      </c>
      <c r="T24" s="904">
        <v>648.33500000000004</v>
      </c>
      <c r="U24" s="817">
        <f t="shared" si="0"/>
        <v>0.81731669441688104</v>
      </c>
    </row>
    <row r="25" spans="1:21" ht="12.75" customHeight="1" x14ac:dyDescent="0.2">
      <c r="A25" s="149">
        <v>20</v>
      </c>
      <c r="B25" s="905"/>
      <c r="C25" s="906" t="s">
        <v>539</v>
      </c>
      <c r="D25" s="907">
        <v>784.52200000000005</v>
      </c>
      <c r="E25" s="907">
        <v>774.94100000000003</v>
      </c>
      <c r="F25" s="907">
        <v>680.87</v>
      </c>
      <c r="G25" s="908">
        <v>672.94200000000001</v>
      </c>
      <c r="H25" s="908">
        <v>602.51700000000005</v>
      </c>
      <c r="I25" s="908">
        <v>652.78200000000004</v>
      </c>
      <c r="J25" s="908">
        <v>734.89200000000005</v>
      </c>
      <c r="K25" s="908">
        <v>730.70399999999995</v>
      </c>
      <c r="L25" s="908">
        <v>689.08600000000001</v>
      </c>
      <c r="M25" s="908">
        <v>740.97299999999996</v>
      </c>
      <c r="N25" s="908">
        <v>778.33299999999997</v>
      </c>
      <c r="O25" s="908">
        <v>862.245</v>
      </c>
      <c r="P25" s="908">
        <v>928.28700000000003</v>
      </c>
      <c r="Q25" s="908">
        <v>1009.843</v>
      </c>
      <c r="R25" s="908">
        <v>1139.703</v>
      </c>
      <c r="S25" s="908">
        <v>208.89</v>
      </c>
      <c r="T25" s="908">
        <v>644.88</v>
      </c>
      <c r="U25" s="818">
        <f t="shared" si="0"/>
        <v>2.0871750682177224</v>
      </c>
    </row>
    <row r="26" spans="1:21" ht="12.75" customHeight="1" x14ac:dyDescent="0.2">
      <c r="A26" s="149">
        <v>21</v>
      </c>
      <c r="B26" s="504"/>
      <c r="C26" s="231" t="s">
        <v>503</v>
      </c>
      <c r="D26" s="909" t="s">
        <v>337</v>
      </c>
      <c r="E26" s="909">
        <v>661.59</v>
      </c>
      <c r="F26" s="909">
        <v>788.45399999999995</v>
      </c>
      <c r="G26" s="904">
        <v>763.84100000000001</v>
      </c>
      <c r="H26" s="904">
        <v>904.49800000000005</v>
      </c>
      <c r="I26" s="904">
        <v>865.91099999999994</v>
      </c>
      <c r="J26" s="904">
        <v>812.12699999999995</v>
      </c>
      <c r="K26" s="904">
        <v>755.86900000000003</v>
      </c>
      <c r="L26" s="904">
        <v>790.83199999999999</v>
      </c>
      <c r="M26" s="904">
        <v>820.36800000000005</v>
      </c>
      <c r="N26" s="904">
        <v>822.07</v>
      </c>
      <c r="O26" s="904">
        <v>875.447</v>
      </c>
      <c r="P26" s="904">
        <v>945.89200000000005</v>
      </c>
      <c r="Q26" s="904">
        <v>995.92</v>
      </c>
      <c r="R26" s="904">
        <v>1010.736</v>
      </c>
      <c r="S26" s="904">
        <v>384.10899999999998</v>
      </c>
      <c r="T26" s="904">
        <v>630.30899999999997</v>
      </c>
      <c r="U26" s="817">
        <f t="shared" si="0"/>
        <v>0.64096389306160484</v>
      </c>
    </row>
    <row r="27" spans="1:21" ht="12.75" customHeight="1" x14ac:dyDescent="0.2">
      <c r="A27" s="149">
        <v>22</v>
      </c>
      <c r="B27" s="905"/>
      <c r="C27" s="906" t="s">
        <v>502</v>
      </c>
      <c r="D27" s="907">
        <v>801.84900000000005</v>
      </c>
      <c r="E27" s="907">
        <v>778.15099999999995</v>
      </c>
      <c r="F27" s="907">
        <v>861.89</v>
      </c>
      <c r="G27" s="908">
        <v>869.93600000000004</v>
      </c>
      <c r="H27" s="908">
        <v>798.221</v>
      </c>
      <c r="I27" s="908">
        <v>831.02</v>
      </c>
      <c r="J27" s="908">
        <v>773.91</v>
      </c>
      <c r="K27" s="908">
        <v>687.22299999999996</v>
      </c>
      <c r="L27" s="908">
        <v>582.07100000000003</v>
      </c>
      <c r="M27" s="908">
        <v>627.173</v>
      </c>
      <c r="N27" s="908">
        <v>673.87199999999996</v>
      </c>
      <c r="O27" s="908">
        <v>884.74400000000003</v>
      </c>
      <c r="P27" s="908">
        <v>1006.539</v>
      </c>
      <c r="Q27" s="908">
        <v>1104.0719999999999</v>
      </c>
      <c r="R27" s="908">
        <v>1110.606</v>
      </c>
      <c r="S27" s="908">
        <v>427.25200000000001</v>
      </c>
      <c r="T27" s="908">
        <v>622.14800000000002</v>
      </c>
      <c r="U27" s="818">
        <f t="shared" si="0"/>
        <v>0.4561617031634726</v>
      </c>
    </row>
    <row r="28" spans="1:21" ht="12.75" customHeight="1" x14ac:dyDescent="0.2">
      <c r="A28" s="149">
        <v>23</v>
      </c>
      <c r="B28" s="504"/>
      <c r="C28" s="231" t="s">
        <v>540</v>
      </c>
      <c r="D28" s="909">
        <v>528.024</v>
      </c>
      <c r="E28" s="909">
        <v>562.00699999999995</v>
      </c>
      <c r="F28" s="909">
        <v>591.63199999999995</v>
      </c>
      <c r="G28" s="904">
        <v>534.596</v>
      </c>
      <c r="H28" s="904">
        <v>590.024</v>
      </c>
      <c r="I28" s="904">
        <v>743.245</v>
      </c>
      <c r="J28" s="904">
        <v>804.54100000000005</v>
      </c>
      <c r="K28" s="904">
        <v>836.37</v>
      </c>
      <c r="L28" s="904">
        <v>857.87300000000005</v>
      </c>
      <c r="M28" s="904">
        <v>863.54899999999998</v>
      </c>
      <c r="N28" s="904">
        <v>960.21699999999998</v>
      </c>
      <c r="O28" s="904">
        <v>1017.41</v>
      </c>
      <c r="P28" s="904">
        <v>1163.701</v>
      </c>
      <c r="Q28" s="904">
        <v>1212.835</v>
      </c>
      <c r="R28" s="904">
        <v>1148.5039999999999</v>
      </c>
      <c r="S28" s="904">
        <v>322.666</v>
      </c>
      <c r="T28" s="904">
        <v>610.56299999999999</v>
      </c>
      <c r="U28" s="817">
        <f t="shared" si="0"/>
        <v>0.89224461207564487</v>
      </c>
    </row>
    <row r="29" spans="1:21" ht="12.75" customHeight="1" x14ac:dyDescent="0.2">
      <c r="A29" s="149">
        <v>24</v>
      </c>
      <c r="B29" s="905"/>
      <c r="C29" s="906" t="s">
        <v>316</v>
      </c>
      <c r="D29" s="907">
        <v>1107.9549999999999</v>
      </c>
      <c r="E29" s="907">
        <v>1243.7339999999999</v>
      </c>
      <c r="F29" s="907">
        <v>1260.8589999999999</v>
      </c>
      <c r="G29" s="908">
        <v>1227.8219999999999</v>
      </c>
      <c r="H29" s="908">
        <v>1085.3710000000001</v>
      </c>
      <c r="I29" s="908">
        <v>1066.1469999999999</v>
      </c>
      <c r="J29" s="908">
        <v>1316.2950000000001</v>
      </c>
      <c r="K29" s="908">
        <v>1250.3579999999999</v>
      </c>
      <c r="L29" s="908">
        <v>1187.3219999999999</v>
      </c>
      <c r="M29" s="908">
        <v>1219.848</v>
      </c>
      <c r="N29" s="908">
        <v>1204.8140000000001</v>
      </c>
      <c r="O29" s="908">
        <v>1307.902</v>
      </c>
      <c r="P29" s="908">
        <v>1363.67</v>
      </c>
      <c r="Q29" s="908">
        <v>1420.296</v>
      </c>
      <c r="R29" s="908">
        <v>1384.848</v>
      </c>
      <c r="S29" s="908">
        <v>379.41399999999999</v>
      </c>
      <c r="T29" s="908">
        <v>610.39300000000003</v>
      </c>
      <c r="U29" s="818">
        <f t="shared" si="0"/>
        <v>0.60877827386443317</v>
      </c>
    </row>
    <row r="30" spans="1:21" ht="12.75" customHeight="1" x14ac:dyDescent="0.2">
      <c r="A30" s="149">
        <v>25</v>
      </c>
      <c r="B30" s="504"/>
      <c r="C30" s="231" t="s">
        <v>504</v>
      </c>
      <c r="D30" s="909">
        <v>526.23199999999997</v>
      </c>
      <c r="E30" s="909">
        <v>503.86500000000001</v>
      </c>
      <c r="F30" s="909">
        <v>582.91200000000003</v>
      </c>
      <c r="G30" s="904">
        <v>665.06200000000001</v>
      </c>
      <c r="H30" s="904">
        <v>591.45399999999995</v>
      </c>
      <c r="I30" s="904">
        <v>612.553</v>
      </c>
      <c r="J30" s="904">
        <v>645.20699999999999</v>
      </c>
      <c r="K30" s="904">
        <v>548.09199999999998</v>
      </c>
      <c r="L30" s="904">
        <v>557.11800000000005</v>
      </c>
      <c r="M30" s="904">
        <v>577.38300000000004</v>
      </c>
      <c r="N30" s="904">
        <v>667.12400000000002</v>
      </c>
      <c r="O30" s="904">
        <v>695.197</v>
      </c>
      <c r="P30" s="904">
        <v>730.39</v>
      </c>
      <c r="Q30" s="904">
        <v>803.27</v>
      </c>
      <c r="R30" s="904">
        <v>837.00699999999995</v>
      </c>
      <c r="S30" s="904">
        <v>368.18200000000002</v>
      </c>
      <c r="T30" s="904">
        <v>610.23199999999997</v>
      </c>
      <c r="U30" s="817">
        <f t="shared" si="0"/>
        <v>0.65741942843485002</v>
      </c>
    </row>
    <row r="31" spans="1:21" ht="12.75" customHeight="1" x14ac:dyDescent="0.2">
      <c r="A31" s="149">
        <v>26</v>
      </c>
      <c r="B31" s="905"/>
      <c r="C31" s="906" t="s">
        <v>500</v>
      </c>
      <c r="D31" s="907">
        <v>595.78899999999999</v>
      </c>
      <c r="E31" s="907">
        <v>465.36</v>
      </c>
      <c r="F31" s="907">
        <v>533.16800000000001</v>
      </c>
      <c r="G31" s="908">
        <v>546.60900000000004</v>
      </c>
      <c r="H31" s="908">
        <v>526.83900000000006</v>
      </c>
      <c r="I31" s="908">
        <v>532.45899999999995</v>
      </c>
      <c r="J31" s="908">
        <v>666.65800000000002</v>
      </c>
      <c r="K31" s="908">
        <v>693.81299999999999</v>
      </c>
      <c r="L31" s="908">
        <v>680.26599999999996</v>
      </c>
      <c r="M31" s="908">
        <v>674.43399999999997</v>
      </c>
      <c r="N31" s="908">
        <v>693.18799999999999</v>
      </c>
      <c r="O31" s="908">
        <v>697.29399999999998</v>
      </c>
      <c r="P31" s="908">
        <v>802.54399999999998</v>
      </c>
      <c r="Q31" s="908">
        <v>949.38800000000003</v>
      </c>
      <c r="R31" s="908">
        <v>981.33900000000006</v>
      </c>
      <c r="S31" s="908">
        <v>482.84500000000003</v>
      </c>
      <c r="T31" s="908">
        <v>599.16800000000001</v>
      </c>
      <c r="U31" s="818">
        <f t="shared" si="0"/>
        <v>0.24091167973159089</v>
      </c>
    </row>
    <row r="32" spans="1:21" ht="12.75" customHeight="1" x14ac:dyDescent="0.2">
      <c r="A32" s="149">
        <v>27</v>
      </c>
      <c r="B32" s="504"/>
      <c r="C32" s="231" t="s">
        <v>501</v>
      </c>
      <c r="D32" s="909">
        <v>655.26800000000003</v>
      </c>
      <c r="E32" s="909">
        <v>726.81799999999998</v>
      </c>
      <c r="F32" s="909">
        <v>722.80700000000002</v>
      </c>
      <c r="G32" s="904">
        <v>718.41399999999999</v>
      </c>
      <c r="H32" s="904">
        <v>664.21699999999998</v>
      </c>
      <c r="I32" s="904">
        <v>646.06200000000001</v>
      </c>
      <c r="J32" s="904">
        <v>699.423</v>
      </c>
      <c r="K32" s="904">
        <v>616.61699999999996</v>
      </c>
      <c r="L32" s="904">
        <v>541.65800000000002</v>
      </c>
      <c r="M32" s="904">
        <v>582.87</v>
      </c>
      <c r="N32" s="904">
        <v>604.59299999999996</v>
      </c>
      <c r="O32" s="904">
        <v>659.65899999999999</v>
      </c>
      <c r="P32" s="904">
        <v>791.98599999999999</v>
      </c>
      <c r="Q32" s="904">
        <v>987.52700000000004</v>
      </c>
      <c r="R32" s="904">
        <v>1001.178</v>
      </c>
      <c r="S32" s="904">
        <v>473.25799999999998</v>
      </c>
      <c r="T32" s="904">
        <v>594.31200000000001</v>
      </c>
      <c r="U32" s="817">
        <f t="shared" si="0"/>
        <v>0.25578859734014014</v>
      </c>
    </row>
    <row r="33" spans="1:21" ht="12.75" customHeight="1" x14ac:dyDescent="0.2">
      <c r="A33" s="149">
        <v>28</v>
      </c>
      <c r="B33" s="905"/>
      <c r="C33" s="906" t="s">
        <v>497</v>
      </c>
      <c r="D33" s="907">
        <v>934.54399999999998</v>
      </c>
      <c r="E33" s="907">
        <v>978.346</v>
      </c>
      <c r="F33" s="907">
        <v>1013.1130000000001</v>
      </c>
      <c r="G33" s="908">
        <v>965.40200000000004</v>
      </c>
      <c r="H33" s="908">
        <v>942.98400000000004</v>
      </c>
      <c r="I33" s="908">
        <v>954.43100000000004</v>
      </c>
      <c r="J33" s="908">
        <v>1009.157</v>
      </c>
      <c r="K33" s="908">
        <v>950.24900000000002</v>
      </c>
      <c r="L33" s="908">
        <v>975.23500000000001</v>
      </c>
      <c r="M33" s="908">
        <v>1004.7140000000001</v>
      </c>
      <c r="N33" s="908">
        <v>1000.987</v>
      </c>
      <c r="O33" s="908">
        <v>1027.787</v>
      </c>
      <c r="P33" s="908">
        <v>1042.346</v>
      </c>
      <c r="Q33" s="908">
        <v>1117.3420000000001</v>
      </c>
      <c r="R33" s="908">
        <v>1215.22</v>
      </c>
      <c r="S33" s="908">
        <v>625.99099999999999</v>
      </c>
      <c r="T33" s="908">
        <v>583.43100000000004</v>
      </c>
      <c r="U33" s="818">
        <f t="shared" si="0"/>
        <v>-6.7988197913388393E-2</v>
      </c>
    </row>
    <row r="34" spans="1:21" ht="12.75" customHeight="1" x14ac:dyDescent="0.2">
      <c r="A34" s="149">
        <v>29</v>
      </c>
      <c r="B34" s="504"/>
      <c r="C34" s="231" t="s">
        <v>667</v>
      </c>
      <c r="D34" s="909">
        <v>551.80399999999997</v>
      </c>
      <c r="E34" s="909">
        <v>593.721</v>
      </c>
      <c r="F34" s="909">
        <v>608.41399999999999</v>
      </c>
      <c r="G34" s="904">
        <v>590.66200000000003</v>
      </c>
      <c r="H34" s="904">
        <v>515.42200000000003</v>
      </c>
      <c r="I34" s="904">
        <v>534.77099999999996</v>
      </c>
      <c r="J34" s="904">
        <v>587.86400000000003</v>
      </c>
      <c r="K34" s="904">
        <v>503.06</v>
      </c>
      <c r="L34" s="904">
        <v>460.18599999999998</v>
      </c>
      <c r="M34" s="904">
        <v>487.73</v>
      </c>
      <c r="N34" s="904">
        <v>525.61900000000003</v>
      </c>
      <c r="O34" s="904">
        <v>557.30899999999997</v>
      </c>
      <c r="P34" s="904">
        <v>655.04499999999996</v>
      </c>
      <c r="Q34" s="904">
        <v>794.51700000000005</v>
      </c>
      <c r="R34" s="904">
        <v>803.96500000000003</v>
      </c>
      <c r="S34" s="904">
        <v>461.85500000000002</v>
      </c>
      <c r="T34" s="904">
        <v>580.80700000000002</v>
      </c>
      <c r="U34" s="817">
        <f t="shared" si="0"/>
        <v>0.25755269510993717</v>
      </c>
    </row>
    <row r="35" spans="1:21" ht="12.75" customHeight="1" x14ac:dyDescent="0.2">
      <c r="A35" s="149">
        <v>30</v>
      </c>
      <c r="B35" s="905"/>
      <c r="C35" s="906" t="s">
        <v>509</v>
      </c>
      <c r="D35" s="907">
        <v>1164.806</v>
      </c>
      <c r="E35" s="907">
        <v>1124.0609999999999</v>
      </c>
      <c r="F35" s="907">
        <v>1179.01</v>
      </c>
      <c r="G35" s="908">
        <v>999.18700000000001</v>
      </c>
      <c r="H35" s="908">
        <v>848.41</v>
      </c>
      <c r="I35" s="908">
        <v>863.98400000000004</v>
      </c>
      <c r="J35" s="908">
        <v>1076.1030000000001</v>
      </c>
      <c r="K35" s="908">
        <v>978.93200000000002</v>
      </c>
      <c r="L35" s="908">
        <v>802.75199999999995</v>
      </c>
      <c r="M35" s="908">
        <v>828.64200000000005</v>
      </c>
      <c r="N35" s="908">
        <v>827.67600000000004</v>
      </c>
      <c r="O35" s="908">
        <v>881.72199999999998</v>
      </c>
      <c r="P35" s="908">
        <v>908.52599999999995</v>
      </c>
      <c r="Q35" s="908">
        <v>978.69799999999998</v>
      </c>
      <c r="R35" s="908">
        <v>1045.029</v>
      </c>
      <c r="S35" s="908">
        <v>337.85399999999998</v>
      </c>
      <c r="T35" s="908">
        <v>579.45600000000002</v>
      </c>
      <c r="U35" s="818">
        <f t="shared" si="0"/>
        <v>0.7151077092471898</v>
      </c>
    </row>
    <row r="36" spans="1:21" ht="12.75" customHeight="1" x14ac:dyDescent="0.2">
      <c r="A36" s="149">
        <v>31</v>
      </c>
      <c r="B36" s="504"/>
      <c r="C36" s="231" t="s">
        <v>338</v>
      </c>
      <c r="D36" s="909">
        <v>1038.692</v>
      </c>
      <c r="E36" s="909">
        <v>1036.4929999999999</v>
      </c>
      <c r="F36" s="909">
        <v>1144.8</v>
      </c>
      <c r="G36" s="904">
        <v>1103.058</v>
      </c>
      <c r="H36" s="904">
        <v>1054.8140000000001</v>
      </c>
      <c r="I36" s="904">
        <v>990.16</v>
      </c>
      <c r="J36" s="904">
        <v>1050.9010000000001</v>
      </c>
      <c r="K36" s="904">
        <v>1124.2950000000001</v>
      </c>
      <c r="L36" s="904">
        <v>1126.6869999999999</v>
      </c>
      <c r="M36" s="904">
        <v>1159.1110000000001</v>
      </c>
      <c r="N36" s="904">
        <v>1137.172</v>
      </c>
      <c r="O36" s="904">
        <v>1182.306</v>
      </c>
      <c r="P36" s="904">
        <v>1263.4780000000001</v>
      </c>
      <c r="Q36" s="904">
        <v>1238.2260000000001</v>
      </c>
      <c r="R36" s="904">
        <v>1239.789</v>
      </c>
      <c r="S36" s="904">
        <v>494.11599999999999</v>
      </c>
      <c r="T36" s="904">
        <v>574.32000000000005</v>
      </c>
      <c r="U36" s="817">
        <f t="shared" si="0"/>
        <v>0.16231816010815292</v>
      </c>
    </row>
    <row r="37" spans="1:21" ht="12.75" customHeight="1" x14ac:dyDescent="0.2">
      <c r="A37" s="149">
        <v>32</v>
      </c>
      <c r="B37" s="905"/>
      <c r="C37" s="906" t="s">
        <v>541</v>
      </c>
      <c r="D37" s="907">
        <v>688.11300000000006</v>
      </c>
      <c r="E37" s="907">
        <v>809.59100000000001</v>
      </c>
      <c r="F37" s="907">
        <v>950.92899999999997</v>
      </c>
      <c r="G37" s="908">
        <v>994.15800000000002</v>
      </c>
      <c r="H37" s="908">
        <v>1066.566</v>
      </c>
      <c r="I37" s="908">
        <v>1167.2380000000001</v>
      </c>
      <c r="J37" s="908">
        <v>1175.085</v>
      </c>
      <c r="K37" s="908">
        <v>1109.807</v>
      </c>
      <c r="L37" s="908">
        <v>973.74199999999996</v>
      </c>
      <c r="M37" s="908">
        <v>1027.914</v>
      </c>
      <c r="N37" s="908">
        <v>1173.5899999999999</v>
      </c>
      <c r="O37" s="908">
        <v>1294.306</v>
      </c>
      <c r="P37" s="908">
        <v>1427.9659999999999</v>
      </c>
      <c r="Q37" s="908">
        <v>1517.692</v>
      </c>
      <c r="R37" s="908">
        <v>1557.3979999999999</v>
      </c>
      <c r="S37" s="908">
        <v>415.47300000000001</v>
      </c>
      <c r="T37" s="908">
        <v>573.20399999999995</v>
      </c>
      <c r="U37" s="818">
        <f t="shared" si="0"/>
        <v>0.37964199839700763</v>
      </c>
    </row>
    <row r="38" spans="1:21" ht="12.75" customHeight="1" x14ac:dyDescent="0.2">
      <c r="A38" s="149">
        <v>33</v>
      </c>
      <c r="B38" s="504"/>
      <c r="C38" s="980" t="s">
        <v>638</v>
      </c>
      <c r="D38" s="909">
        <v>1.468</v>
      </c>
      <c r="E38" s="909">
        <v>1.829</v>
      </c>
      <c r="F38" s="909">
        <v>1.619</v>
      </c>
      <c r="G38" s="904">
        <v>1.119</v>
      </c>
      <c r="H38" s="904">
        <v>0.375</v>
      </c>
      <c r="I38" s="904">
        <v>0.95599999999999996</v>
      </c>
      <c r="J38" s="904">
        <v>0.39300000000000002</v>
      </c>
      <c r="K38" s="904">
        <v>0.39</v>
      </c>
      <c r="L38" s="904">
        <v>0.433</v>
      </c>
      <c r="M38" s="904">
        <v>0.623</v>
      </c>
      <c r="N38" s="904">
        <v>0.34699999999999998</v>
      </c>
      <c r="O38" s="904">
        <v>0.96599999999999997</v>
      </c>
      <c r="P38" s="904">
        <v>0.69399999999999995</v>
      </c>
      <c r="Q38" s="904">
        <v>1.3240000000000001</v>
      </c>
      <c r="R38" s="904">
        <v>0.94899999999999995</v>
      </c>
      <c r="S38" s="904">
        <v>37.173000000000002</v>
      </c>
      <c r="T38" s="904">
        <v>569.505</v>
      </c>
      <c r="U38" s="817">
        <f t="shared" si="0"/>
        <v>14.320393834234524</v>
      </c>
    </row>
    <row r="39" spans="1:21" ht="12.75" customHeight="1" x14ac:dyDescent="0.2">
      <c r="A39" s="149">
        <v>34</v>
      </c>
      <c r="B39" s="905"/>
      <c r="C39" s="906" t="s">
        <v>542</v>
      </c>
      <c r="D39" s="907">
        <v>255.33600000000001</v>
      </c>
      <c r="E39" s="907">
        <v>298.12900000000002</v>
      </c>
      <c r="F39" s="907">
        <v>335.42</v>
      </c>
      <c r="G39" s="908">
        <v>332.89400000000001</v>
      </c>
      <c r="H39" s="908">
        <v>353.59399999999999</v>
      </c>
      <c r="I39" s="908">
        <v>336.74</v>
      </c>
      <c r="J39" s="908">
        <v>352.59699999999998</v>
      </c>
      <c r="K39" s="908">
        <v>329.14100000000002</v>
      </c>
      <c r="L39" s="908">
        <v>372.02</v>
      </c>
      <c r="M39" s="908">
        <v>497.30500000000001</v>
      </c>
      <c r="N39" s="908">
        <v>727.95399999999995</v>
      </c>
      <c r="O39" s="908">
        <v>851.93399999999997</v>
      </c>
      <c r="P39" s="908">
        <v>980.06200000000001</v>
      </c>
      <c r="Q39" s="908">
        <v>1135.5809999999999</v>
      </c>
      <c r="R39" s="908">
        <v>1198.146</v>
      </c>
      <c r="S39" s="908">
        <v>294.90300000000002</v>
      </c>
      <c r="T39" s="908">
        <v>569.19299999999998</v>
      </c>
      <c r="U39" s="818">
        <f t="shared" si="0"/>
        <v>0.93010244046347434</v>
      </c>
    </row>
    <row r="40" spans="1:21" ht="12.75" customHeight="1" x14ac:dyDescent="0.2">
      <c r="A40" s="149">
        <v>35</v>
      </c>
      <c r="B40" s="504"/>
      <c r="C40" s="231" t="s">
        <v>339</v>
      </c>
      <c r="D40" s="909">
        <v>556.17499999999995</v>
      </c>
      <c r="E40" s="909">
        <v>490.29</v>
      </c>
      <c r="F40" s="909">
        <v>458.53100000000001</v>
      </c>
      <c r="G40" s="904">
        <v>472.93599999999998</v>
      </c>
      <c r="H40" s="904">
        <v>531.12699999999995</v>
      </c>
      <c r="I40" s="904">
        <v>604.74800000000005</v>
      </c>
      <c r="J40" s="904">
        <v>648.93899999999996</v>
      </c>
      <c r="K40" s="904">
        <v>737.726</v>
      </c>
      <c r="L40" s="904">
        <v>885.13599999999997</v>
      </c>
      <c r="M40" s="904">
        <v>994.64</v>
      </c>
      <c r="N40" s="904">
        <v>1045.115</v>
      </c>
      <c r="O40" s="904">
        <v>1247.078</v>
      </c>
      <c r="P40" s="904">
        <v>1297.3889999999999</v>
      </c>
      <c r="Q40" s="904">
        <v>1287.9970000000001</v>
      </c>
      <c r="R40" s="904">
        <v>1304.6790000000001</v>
      </c>
      <c r="S40" s="904">
        <v>471.37900000000002</v>
      </c>
      <c r="T40" s="904">
        <v>567.17700000000002</v>
      </c>
      <c r="U40" s="817">
        <f t="shared" si="0"/>
        <v>0.20322924865129766</v>
      </c>
    </row>
    <row r="41" spans="1:21" ht="12.75" customHeight="1" x14ac:dyDescent="0.2">
      <c r="A41" s="149">
        <v>36</v>
      </c>
      <c r="B41" s="905"/>
      <c r="C41" s="906" t="s">
        <v>507</v>
      </c>
      <c r="D41" s="907">
        <v>526.89599999999996</v>
      </c>
      <c r="E41" s="907">
        <v>628.39</v>
      </c>
      <c r="F41" s="907">
        <v>768.63099999999997</v>
      </c>
      <c r="G41" s="908">
        <v>813.87599999999998</v>
      </c>
      <c r="H41" s="908">
        <v>908.68700000000001</v>
      </c>
      <c r="I41" s="908">
        <v>1060.72</v>
      </c>
      <c r="J41" s="908">
        <v>1043.104</v>
      </c>
      <c r="K41" s="908">
        <v>919.178</v>
      </c>
      <c r="L41" s="908">
        <v>891.96900000000005</v>
      </c>
      <c r="M41" s="908">
        <v>871.58100000000002</v>
      </c>
      <c r="N41" s="908">
        <v>819.024</v>
      </c>
      <c r="O41" s="908">
        <v>888.05700000000002</v>
      </c>
      <c r="P41" s="908">
        <v>862.02800000000002</v>
      </c>
      <c r="Q41" s="908">
        <v>844.41600000000005</v>
      </c>
      <c r="R41" s="908">
        <v>782.27499999999998</v>
      </c>
      <c r="S41" s="908">
        <v>357.57799999999997</v>
      </c>
      <c r="T41" s="908">
        <v>566.08900000000006</v>
      </c>
      <c r="U41" s="818">
        <f t="shared" si="0"/>
        <v>0.58312032619456478</v>
      </c>
    </row>
    <row r="42" spans="1:21" ht="12.75" customHeight="1" x14ac:dyDescent="0.2">
      <c r="A42" s="149">
        <v>37</v>
      </c>
      <c r="B42" s="504"/>
      <c r="C42" s="231" t="s">
        <v>498</v>
      </c>
      <c r="D42" s="909">
        <v>1450.5319999999999</v>
      </c>
      <c r="E42" s="909">
        <v>1582.9159999999999</v>
      </c>
      <c r="F42" s="909">
        <v>1756.9359999999999</v>
      </c>
      <c r="G42" s="904">
        <v>1704.752</v>
      </c>
      <c r="H42" s="904">
        <v>1628.365</v>
      </c>
      <c r="I42" s="904">
        <v>1653.0440000000001</v>
      </c>
      <c r="J42" s="904">
        <v>1717.7339999999999</v>
      </c>
      <c r="K42" s="904">
        <v>1719.3510000000001</v>
      </c>
      <c r="L42" s="904">
        <v>1713.49</v>
      </c>
      <c r="M42" s="904">
        <v>1757.0170000000001</v>
      </c>
      <c r="N42" s="904">
        <v>1810.9860000000001</v>
      </c>
      <c r="O42" s="904">
        <v>1801.623</v>
      </c>
      <c r="P42" s="904">
        <v>1740.26</v>
      </c>
      <c r="Q42" s="904">
        <v>1745.711</v>
      </c>
      <c r="R42" s="904">
        <v>1739.9390000000001</v>
      </c>
      <c r="S42" s="904">
        <v>537.01099999999997</v>
      </c>
      <c r="T42" s="904">
        <v>519.58900000000006</v>
      </c>
      <c r="U42" s="817">
        <f t="shared" si="0"/>
        <v>-3.2442538421000533E-2</v>
      </c>
    </row>
    <row r="43" spans="1:21" ht="12.75" customHeight="1" x14ac:dyDescent="0.2">
      <c r="A43" s="149">
        <v>38</v>
      </c>
      <c r="B43" s="905"/>
      <c r="C43" s="906" t="s">
        <v>543</v>
      </c>
      <c r="D43" s="907">
        <v>814.79100000000005</v>
      </c>
      <c r="E43" s="907">
        <v>892.79700000000003</v>
      </c>
      <c r="F43" s="907">
        <v>840.98199999999997</v>
      </c>
      <c r="G43" s="908">
        <v>678.74800000000005</v>
      </c>
      <c r="H43" s="908">
        <v>610.90899999999999</v>
      </c>
      <c r="I43" s="908">
        <v>694.50099999999998</v>
      </c>
      <c r="J43" s="908">
        <v>862.57299999999998</v>
      </c>
      <c r="K43" s="908">
        <v>795.05899999999997</v>
      </c>
      <c r="L43" s="908">
        <v>613.85500000000002</v>
      </c>
      <c r="M43" s="908">
        <v>568.80799999999999</v>
      </c>
      <c r="N43" s="908">
        <v>526.12199999999996</v>
      </c>
      <c r="O43" s="908">
        <v>595.17999999999995</v>
      </c>
      <c r="P43" s="908">
        <v>691.39499999999998</v>
      </c>
      <c r="Q43" s="908">
        <v>786.50800000000004</v>
      </c>
      <c r="R43" s="908">
        <v>848.96400000000006</v>
      </c>
      <c r="S43" s="908">
        <v>316.20699999999999</v>
      </c>
      <c r="T43" s="908">
        <v>515.67999999999995</v>
      </c>
      <c r="U43" s="818">
        <f t="shared" si="0"/>
        <v>0.63083043702384822</v>
      </c>
    </row>
    <row r="44" spans="1:21" ht="12.75" customHeight="1" x14ac:dyDescent="0.2">
      <c r="A44" s="149">
        <v>39</v>
      </c>
      <c r="B44" s="504"/>
      <c r="C44" s="231" t="s">
        <v>639</v>
      </c>
      <c r="D44" s="909">
        <v>234.98699999999999</v>
      </c>
      <c r="E44" s="909">
        <v>190.50399999999999</v>
      </c>
      <c r="F44" s="909">
        <v>183.24600000000001</v>
      </c>
      <c r="G44" s="904">
        <v>160.233</v>
      </c>
      <c r="H44" s="904">
        <v>142.131</v>
      </c>
      <c r="I44" s="904">
        <v>182.773</v>
      </c>
      <c r="J44" s="904">
        <v>142.31100000000001</v>
      </c>
      <c r="K44" s="904">
        <v>156.46899999999999</v>
      </c>
      <c r="L44" s="904">
        <v>161.65600000000001</v>
      </c>
      <c r="M44" s="904">
        <v>162.834</v>
      </c>
      <c r="N44" s="904">
        <v>160.94800000000001</v>
      </c>
      <c r="O44" s="904">
        <v>302.81299999999999</v>
      </c>
      <c r="P44" s="904">
        <v>350.49299999999999</v>
      </c>
      <c r="Q44" s="904">
        <v>289.971</v>
      </c>
      <c r="R44" s="904">
        <v>278.71600000000001</v>
      </c>
      <c r="S44" s="904">
        <v>73.326999999999998</v>
      </c>
      <c r="T44" s="904">
        <v>515.48400000000004</v>
      </c>
      <c r="U44" s="817">
        <f t="shared" si="0"/>
        <v>6.0299344034257514</v>
      </c>
    </row>
    <row r="45" spans="1:21" ht="12.75" customHeight="1" x14ac:dyDescent="0.2">
      <c r="A45" s="149">
        <v>40</v>
      </c>
      <c r="B45" s="905"/>
      <c r="C45" s="906" t="s">
        <v>544</v>
      </c>
      <c r="D45" s="907">
        <v>299.94400000000002</v>
      </c>
      <c r="E45" s="907">
        <v>318.60700000000003</v>
      </c>
      <c r="F45" s="907">
        <v>326.89600000000002</v>
      </c>
      <c r="G45" s="908">
        <v>321.88400000000001</v>
      </c>
      <c r="H45" s="908">
        <v>336.38099999999997</v>
      </c>
      <c r="I45" s="908">
        <v>339.22199999999998</v>
      </c>
      <c r="J45" s="908">
        <v>320.87900000000002</v>
      </c>
      <c r="K45" s="908">
        <v>305.41399999999999</v>
      </c>
      <c r="L45" s="908">
        <v>297.435</v>
      </c>
      <c r="M45" s="908">
        <v>307.63</v>
      </c>
      <c r="N45" s="908">
        <v>488.767</v>
      </c>
      <c r="O45" s="908">
        <v>602.48199999999997</v>
      </c>
      <c r="P45" s="908">
        <v>776.15899999999999</v>
      </c>
      <c r="Q45" s="908">
        <v>754.77099999999996</v>
      </c>
      <c r="R45" s="908">
        <v>825.02200000000005</v>
      </c>
      <c r="S45" s="908">
        <v>281.99700000000001</v>
      </c>
      <c r="T45" s="908">
        <v>505.89499999999998</v>
      </c>
      <c r="U45" s="818">
        <f t="shared" si="0"/>
        <v>0.79397298552821471</v>
      </c>
    </row>
    <row r="46" spans="1:21" ht="12.75" customHeight="1" x14ac:dyDescent="0.2">
      <c r="A46" s="149">
        <v>41</v>
      </c>
      <c r="B46" s="504"/>
      <c r="C46" s="231" t="s">
        <v>545</v>
      </c>
      <c r="D46" s="909">
        <v>608.44799999999998</v>
      </c>
      <c r="E46" s="909">
        <v>640.28300000000002</v>
      </c>
      <c r="F46" s="909">
        <v>692.32899999999995</v>
      </c>
      <c r="G46" s="904">
        <v>741.077</v>
      </c>
      <c r="H46" s="904">
        <v>735.31299999999999</v>
      </c>
      <c r="I46" s="904">
        <v>727.89800000000002</v>
      </c>
      <c r="J46" s="904">
        <v>739.2</v>
      </c>
      <c r="K46" s="904">
        <v>815.726</v>
      </c>
      <c r="L46" s="904">
        <v>835.68899999999996</v>
      </c>
      <c r="M46" s="904">
        <v>846.63400000000001</v>
      </c>
      <c r="N46" s="904">
        <v>845.69200000000001</v>
      </c>
      <c r="O46" s="904">
        <v>956.46799999999996</v>
      </c>
      <c r="P46" s="904">
        <v>917.97299999999996</v>
      </c>
      <c r="Q46" s="904">
        <v>964.32</v>
      </c>
      <c r="R46" s="904">
        <v>854.96699999999998</v>
      </c>
      <c r="S46" s="904">
        <v>178.17599999999999</v>
      </c>
      <c r="T46" s="904">
        <v>502.74400000000003</v>
      </c>
      <c r="U46" s="817">
        <f t="shared" si="0"/>
        <v>1.8216145833333335</v>
      </c>
    </row>
    <row r="47" spans="1:21" ht="12.75" customHeight="1" x14ac:dyDescent="0.2">
      <c r="A47" s="149">
        <v>42</v>
      </c>
      <c r="B47" s="905"/>
      <c r="C47" s="906" t="s">
        <v>546</v>
      </c>
      <c r="D47" s="907">
        <v>665.69299999999998</v>
      </c>
      <c r="E47" s="907">
        <v>680.45299999999997</v>
      </c>
      <c r="F47" s="907">
        <v>680.08199999999999</v>
      </c>
      <c r="G47" s="908">
        <v>683.38199999999995</v>
      </c>
      <c r="H47" s="908">
        <v>659.33100000000002</v>
      </c>
      <c r="I47" s="908">
        <v>754.36</v>
      </c>
      <c r="J47" s="908">
        <v>822.16300000000001</v>
      </c>
      <c r="K47" s="908">
        <v>812.90300000000002</v>
      </c>
      <c r="L47" s="908">
        <v>807.57399999999996</v>
      </c>
      <c r="M47" s="908">
        <v>829.04600000000005</v>
      </c>
      <c r="N47" s="908">
        <v>891.22199999999998</v>
      </c>
      <c r="O47" s="908">
        <v>894.61900000000003</v>
      </c>
      <c r="P47" s="908">
        <v>928.20799999999997</v>
      </c>
      <c r="Q47" s="908">
        <v>908.52</v>
      </c>
      <c r="R47" s="908">
        <v>1001.404</v>
      </c>
      <c r="S47" s="908">
        <v>520.65</v>
      </c>
      <c r="T47" s="908">
        <v>496.15100000000001</v>
      </c>
      <c r="U47" s="818">
        <f t="shared" si="0"/>
        <v>-4.7054643234418436E-2</v>
      </c>
    </row>
    <row r="48" spans="1:21" ht="12.75" customHeight="1" x14ac:dyDescent="0.2">
      <c r="A48" s="149">
        <v>43</v>
      </c>
      <c r="B48" s="504"/>
      <c r="C48" s="231" t="s">
        <v>271</v>
      </c>
      <c r="D48" s="909">
        <v>1288.289</v>
      </c>
      <c r="E48" s="909">
        <v>1289.692</v>
      </c>
      <c r="F48" s="909">
        <v>1297.441</v>
      </c>
      <c r="G48" s="904">
        <v>1254.222</v>
      </c>
      <c r="H48" s="904">
        <v>1202.7149999999999</v>
      </c>
      <c r="I48" s="904">
        <v>1480.6179999999999</v>
      </c>
      <c r="J48" s="904">
        <v>1587.5930000000001</v>
      </c>
      <c r="K48" s="904">
        <v>1385.867</v>
      </c>
      <c r="L48" s="904">
        <v>1362.355</v>
      </c>
      <c r="M48" s="904">
        <v>1343.857</v>
      </c>
      <c r="N48" s="904">
        <v>1360.54</v>
      </c>
      <c r="O48" s="904">
        <v>1371.452</v>
      </c>
      <c r="P48" s="904">
        <v>1395.192</v>
      </c>
      <c r="Q48" s="904">
        <v>1439.2840000000001</v>
      </c>
      <c r="R48" s="904">
        <v>1426.0730000000001</v>
      </c>
      <c r="S48" s="904">
        <v>403.91300000000001</v>
      </c>
      <c r="T48" s="904">
        <v>491.47500000000002</v>
      </c>
      <c r="U48" s="817">
        <f t="shared" si="0"/>
        <v>0.21678430751176614</v>
      </c>
    </row>
    <row r="49" spans="1:21" ht="12.75" customHeight="1" x14ac:dyDescent="0.2">
      <c r="A49" s="149">
        <v>44</v>
      </c>
      <c r="B49" s="905"/>
      <c r="C49" s="906" t="s">
        <v>547</v>
      </c>
      <c r="D49" s="907">
        <v>621.62900000000002</v>
      </c>
      <c r="E49" s="907">
        <v>607.11800000000005</v>
      </c>
      <c r="F49" s="907">
        <v>671.48</v>
      </c>
      <c r="G49" s="908">
        <v>629.28399999999999</v>
      </c>
      <c r="H49" s="908">
        <v>568.69000000000005</v>
      </c>
      <c r="I49" s="908">
        <v>599.31500000000005</v>
      </c>
      <c r="J49" s="908">
        <v>610.48599999999999</v>
      </c>
      <c r="K49" s="908">
        <v>659.05799999999999</v>
      </c>
      <c r="L49" s="908">
        <v>632.61900000000003</v>
      </c>
      <c r="M49" s="908">
        <v>762.59</v>
      </c>
      <c r="N49" s="908">
        <v>732.572</v>
      </c>
      <c r="O49" s="908">
        <v>864.03300000000002</v>
      </c>
      <c r="P49" s="908">
        <v>995.50099999999998</v>
      </c>
      <c r="Q49" s="908">
        <v>835.99400000000003</v>
      </c>
      <c r="R49" s="908">
        <v>890.10799999999995</v>
      </c>
      <c r="S49" s="908">
        <v>158.25700000000001</v>
      </c>
      <c r="T49" s="908">
        <v>476.846</v>
      </c>
      <c r="U49" s="818">
        <f t="shared" si="0"/>
        <v>2.0131115843217047</v>
      </c>
    </row>
    <row r="50" spans="1:21" ht="12.75" customHeight="1" x14ac:dyDescent="0.2">
      <c r="A50" s="149">
        <v>45</v>
      </c>
      <c r="B50" s="504"/>
      <c r="C50" s="231" t="s">
        <v>548</v>
      </c>
      <c r="D50" s="909" t="s">
        <v>337</v>
      </c>
      <c r="E50" s="909">
        <v>817.60900000000004</v>
      </c>
      <c r="F50" s="909">
        <v>820.35299999999995</v>
      </c>
      <c r="G50" s="904">
        <v>890.52700000000004</v>
      </c>
      <c r="H50" s="904">
        <v>843.90200000000004</v>
      </c>
      <c r="I50" s="904">
        <v>850.096</v>
      </c>
      <c r="J50" s="904">
        <v>930.25099999999998</v>
      </c>
      <c r="K50" s="904">
        <v>976.71799999999996</v>
      </c>
      <c r="L50" s="904">
        <v>988.17700000000002</v>
      </c>
      <c r="M50" s="904">
        <v>1019.323</v>
      </c>
      <c r="N50" s="904">
        <v>1035.664</v>
      </c>
      <c r="O50" s="904">
        <v>1068.037</v>
      </c>
      <c r="P50" s="904">
        <v>1064.559</v>
      </c>
      <c r="Q50" s="904">
        <v>1071.9159999999999</v>
      </c>
      <c r="R50" s="904">
        <v>1045.93</v>
      </c>
      <c r="S50" s="904">
        <v>403.048</v>
      </c>
      <c r="T50" s="904">
        <v>467.64100000000002</v>
      </c>
      <c r="U50" s="817">
        <f t="shared" si="0"/>
        <v>0.16026130882674039</v>
      </c>
    </row>
    <row r="51" spans="1:21" ht="12.75" customHeight="1" x14ac:dyDescent="0.2">
      <c r="A51" s="149">
        <v>46</v>
      </c>
      <c r="B51" s="905"/>
      <c r="C51" s="906" t="s">
        <v>505</v>
      </c>
      <c r="D51" s="907">
        <v>594.85199999999998</v>
      </c>
      <c r="E51" s="907">
        <v>633.66499999999996</v>
      </c>
      <c r="F51" s="907">
        <v>630.03399999999999</v>
      </c>
      <c r="G51" s="908">
        <v>587.64099999999996</v>
      </c>
      <c r="H51" s="908">
        <v>532.01300000000003</v>
      </c>
      <c r="I51" s="908">
        <v>523.971</v>
      </c>
      <c r="J51" s="908">
        <v>597.202</v>
      </c>
      <c r="K51" s="908">
        <v>478.68</v>
      </c>
      <c r="L51" s="908">
        <v>384.21499999999997</v>
      </c>
      <c r="M51" s="908">
        <v>402.57299999999998</v>
      </c>
      <c r="N51" s="908">
        <v>407.988</v>
      </c>
      <c r="O51" s="908">
        <v>453.42</v>
      </c>
      <c r="P51" s="908">
        <v>530.94600000000003</v>
      </c>
      <c r="Q51" s="908">
        <v>641.11199999999997</v>
      </c>
      <c r="R51" s="908">
        <v>664.46799999999996</v>
      </c>
      <c r="S51" s="908">
        <v>367.62099999999998</v>
      </c>
      <c r="T51" s="908">
        <v>467.38799999999998</v>
      </c>
      <c r="U51" s="818">
        <f t="shared" si="0"/>
        <v>0.27138547580252492</v>
      </c>
    </row>
    <row r="52" spans="1:21" ht="12.75" customHeight="1" x14ac:dyDescent="0.2">
      <c r="A52" s="149">
        <v>47</v>
      </c>
      <c r="B52" s="504"/>
      <c r="C52" s="231" t="s">
        <v>549</v>
      </c>
      <c r="D52" s="909">
        <v>145.27799999999999</v>
      </c>
      <c r="E52" s="909">
        <v>135.298</v>
      </c>
      <c r="F52" s="909">
        <v>126.292</v>
      </c>
      <c r="G52" s="904">
        <v>148.97900000000001</v>
      </c>
      <c r="H52" s="904">
        <v>128.286</v>
      </c>
      <c r="I52" s="904">
        <v>253.63499999999999</v>
      </c>
      <c r="J52" s="904">
        <v>282.96499999999997</v>
      </c>
      <c r="K52" s="904">
        <v>280.86599999999999</v>
      </c>
      <c r="L52" s="904">
        <v>286.202</v>
      </c>
      <c r="M52" s="904">
        <v>271.56299999999999</v>
      </c>
      <c r="N52" s="904">
        <v>251.80500000000001</v>
      </c>
      <c r="O52" s="904">
        <v>264.161</v>
      </c>
      <c r="P52" s="904">
        <v>311.11900000000003</v>
      </c>
      <c r="Q52" s="904">
        <v>561.14200000000005</v>
      </c>
      <c r="R52" s="904">
        <v>736.10299999999995</v>
      </c>
      <c r="S52" s="904">
        <v>254.27</v>
      </c>
      <c r="T52" s="904">
        <v>464.44400000000002</v>
      </c>
      <c r="U52" s="817">
        <f t="shared" si="0"/>
        <v>0.826578046957958</v>
      </c>
    </row>
    <row r="53" spans="1:21" ht="12.75" customHeight="1" x14ac:dyDescent="0.2">
      <c r="A53" s="149">
        <v>48</v>
      </c>
      <c r="B53" s="905"/>
      <c r="C53" s="906" t="s">
        <v>363</v>
      </c>
      <c r="D53" s="907">
        <v>891.25300000000004</v>
      </c>
      <c r="E53" s="907">
        <v>989.99800000000005</v>
      </c>
      <c r="F53" s="907">
        <v>1065.549</v>
      </c>
      <c r="G53" s="908">
        <v>967.08199999999999</v>
      </c>
      <c r="H53" s="908">
        <v>933.04499999999996</v>
      </c>
      <c r="I53" s="908">
        <v>1073.6279999999999</v>
      </c>
      <c r="J53" s="908">
        <v>1109.3630000000001</v>
      </c>
      <c r="K53" s="908">
        <v>1032.74</v>
      </c>
      <c r="L53" s="908">
        <v>748.98900000000003</v>
      </c>
      <c r="M53" s="908">
        <v>847.95699999999999</v>
      </c>
      <c r="N53" s="908">
        <v>936.25900000000001</v>
      </c>
      <c r="O53" s="908">
        <v>1000.479</v>
      </c>
      <c r="P53" s="908">
        <v>1027.876</v>
      </c>
      <c r="Q53" s="908">
        <v>1040.7850000000001</v>
      </c>
      <c r="R53" s="908">
        <v>1144.4159999999999</v>
      </c>
      <c r="S53" s="908">
        <v>360.80099999999999</v>
      </c>
      <c r="T53" s="908">
        <v>460.19099999999997</v>
      </c>
      <c r="U53" s="818">
        <f t="shared" si="0"/>
        <v>0.2754704116673734</v>
      </c>
    </row>
    <row r="54" spans="1:21" ht="12.75" customHeight="1" x14ac:dyDescent="0.2">
      <c r="A54" s="149">
        <v>49</v>
      </c>
      <c r="B54" s="504"/>
      <c r="C54" s="231" t="s">
        <v>506</v>
      </c>
      <c r="D54" s="904">
        <v>941.06100000000004</v>
      </c>
      <c r="E54" s="904">
        <v>917.62199999999996</v>
      </c>
      <c r="F54" s="904">
        <v>938.35799999999995</v>
      </c>
      <c r="G54" s="904">
        <v>846.84299999999996</v>
      </c>
      <c r="H54" s="904">
        <v>781.85699999999997</v>
      </c>
      <c r="I54" s="904">
        <v>744.44600000000003</v>
      </c>
      <c r="J54" s="904">
        <v>749</v>
      </c>
      <c r="K54" s="904">
        <v>682.47400000000005</v>
      </c>
      <c r="L54" s="904">
        <v>722.12400000000002</v>
      </c>
      <c r="M54" s="904">
        <v>782.28200000000004</v>
      </c>
      <c r="N54" s="904">
        <v>830.96299999999997</v>
      </c>
      <c r="O54" s="904">
        <v>935.08600000000001</v>
      </c>
      <c r="P54" s="904">
        <v>928.5</v>
      </c>
      <c r="Q54" s="904">
        <v>935.31</v>
      </c>
      <c r="R54" s="904">
        <v>903.952</v>
      </c>
      <c r="S54" s="904">
        <v>363.61599999999999</v>
      </c>
      <c r="T54" s="904">
        <v>457.29899999999998</v>
      </c>
      <c r="U54" s="817">
        <f t="shared" si="0"/>
        <v>0.25764267798996743</v>
      </c>
    </row>
    <row r="55" spans="1:21" ht="12.75" customHeight="1" x14ac:dyDescent="0.2">
      <c r="A55" s="910">
        <v>50</v>
      </c>
      <c r="B55" s="911"/>
      <c r="C55" s="912" t="s">
        <v>550</v>
      </c>
      <c r="D55" s="913">
        <v>958.12599999999998</v>
      </c>
      <c r="E55" s="913">
        <v>1111.2760000000001</v>
      </c>
      <c r="F55" s="913">
        <v>1225.6890000000001</v>
      </c>
      <c r="G55" s="914">
        <v>1186.732</v>
      </c>
      <c r="H55" s="914">
        <v>1150.1579999999999</v>
      </c>
      <c r="I55" s="914">
        <v>1272.4480000000001</v>
      </c>
      <c r="J55" s="914">
        <v>1280.1020000000001</v>
      </c>
      <c r="K55" s="914">
        <v>1127.1199999999999</v>
      </c>
      <c r="L55" s="914">
        <v>1010.338</v>
      </c>
      <c r="M55" s="914">
        <v>974.31600000000003</v>
      </c>
      <c r="N55" s="914">
        <v>1003.201</v>
      </c>
      <c r="O55" s="914">
        <v>1106.6990000000001</v>
      </c>
      <c r="P55" s="914">
        <v>1090.636</v>
      </c>
      <c r="Q55" s="914">
        <v>1218.462</v>
      </c>
      <c r="R55" s="914">
        <v>1267.2349999999999</v>
      </c>
      <c r="S55" s="914">
        <v>287.23599999999999</v>
      </c>
      <c r="T55" s="914">
        <v>457.13499999999999</v>
      </c>
      <c r="U55" s="819">
        <f t="shared" si="0"/>
        <v>0.59149619128521502</v>
      </c>
    </row>
    <row r="56" spans="1:21" ht="15" customHeight="1" x14ac:dyDescent="0.2">
      <c r="A56" s="891"/>
      <c r="B56" s="891"/>
      <c r="C56" s="19" t="s">
        <v>273</v>
      </c>
      <c r="D56" s="891"/>
      <c r="E56" s="891"/>
      <c r="F56" s="891"/>
      <c r="G56" s="891"/>
      <c r="H56" s="891"/>
      <c r="I56" s="891"/>
      <c r="J56" s="891"/>
      <c r="K56" s="891"/>
      <c r="L56" s="891"/>
      <c r="M56" s="891"/>
      <c r="N56" s="891"/>
      <c r="O56" s="891"/>
      <c r="P56" s="891"/>
      <c r="Q56" s="891"/>
      <c r="R56" s="891"/>
      <c r="S56" s="891"/>
      <c r="T56" s="891"/>
    </row>
    <row r="57" spans="1:21" x14ac:dyDescent="0.2">
      <c r="C57" s="1100" t="s">
        <v>640</v>
      </c>
      <c r="D57" s="1100"/>
      <c r="E57" s="1100"/>
      <c r="F57" s="1100"/>
      <c r="G57" s="1100"/>
      <c r="H57" s="1100"/>
      <c r="I57" s="1100"/>
      <c r="J57" s="1100"/>
      <c r="K57" s="1100"/>
      <c r="L57" s="1100"/>
      <c r="M57" s="1100"/>
      <c r="N57" s="1100"/>
      <c r="O57" s="1100"/>
      <c r="P57" s="1100"/>
      <c r="Q57" s="1100"/>
      <c r="R57" s="1100"/>
      <c r="S57" s="1100"/>
      <c r="T57" s="1100"/>
      <c r="U57" s="1100"/>
    </row>
    <row r="58" spans="1:21" x14ac:dyDescent="0.2">
      <c r="C58" s="1100"/>
      <c r="D58" s="1100"/>
      <c r="E58" s="1100"/>
      <c r="F58" s="1100"/>
      <c r="G58" s="1100"/>
      <c r="H58" s="1100"/>
      <c r="I58" s="1100"/>
      <c r="J58" s="1100"/>
      <c r="K58" s="1100"/>
      <c r="L58" s="1100"/>
      <c r="M58" s="1100"/>
      <c r="N58" s="1100"/>
      <c r="O58" s="1100"/>
      <c r="P58" s="1100"/>
      <c r="Q58" s="1100"/>
      <c r="R58" s="1100"/>
      <c r="S58" s="1100"/>
      <c r="T58" s="1100"/>
      <c r="U58" s="1100"/>
    </row>
    <row r="69" spans="22:23" x14ac:dyDescent="0.2">
      <c r="V69" s="480"/>
      <c r="W69" s="480"/>
    </row>
    <row r="70" spans="22:23" x14ac:dyDescent="0.2">
      <c r="V70" s="480"/>
      <c r="W70" s="480"/>
    </row>
    <row r="71" spans="22:23" x14ac:dyDescent="0.2">
      <c r="V71" s="480"/>
      <c r="W71" s="480"/>
    </row>
    <row r="72" spans="22:23" x14ac:dyDescent="0.2">
      <c r="V72" s="480"/>
      <c r="W72" s="480"/>
    </row>
    <row r="73" spans="22:23" x14ac:dyDescent="0.2">
      <c r="V73" s="480"/>
      <c r="W73" s="480"/>
    </row>
    <row r="74" spans="22:23" x14ac:dyDescent="0.2">
      <c r="V74" s="480"/>
      <c r="W74" s="480"/>
    </row>
    <row r="75" spans="22:23" x14ac:dyDescent="0.2">
      <c r="V75" s="480"/>
      <c r="W75" s="480"/>
    </row>
    <row r="76" spans="22:23" x14ac:dyDescent="0.2">
      <c r="V76" s="480"/>
      <c r="W76" s="480"/>
    </row>
    <row r="77" spans="22:23" x14ac:dyDescent="0.2">
      <c r="V77" s="480"/>
      <c r="W77" s="480"/>
    </row>
    <row r="78" spans="22:23" x14ac:dyDescent="0.2">
      <c r="V78" s="480"/>
      <c r="W78" s="480"/>
    </row>
    <row r="79" spans="22:23" x14ac:dyDescent="0.2">
      <c r="V79" s="480"/>
      <c r="W79" s="480"/>
    </row>
    <row r="80" spans="22:23" x14ac:dyDescent="0.2">
      <c r="V80" s="480"/>
      <c r="W80" s="480"/>
    </row>
    <row r="81" spans="22:23" x14ac:dyDescent="0.2">
      <c r="V81" s="480"/>
      <c r="W81" s="480"/>
    </row>
    <row r="82" spans="22:23" x14ac:dyDescent="0.2">
      <c r="V82" s="480"/>
      <c r="W82" s="480"/>
    </row>
    <row r="83" spans="22:23" x14ac:dyDescent="0.2">
      <c r="V83" s="480"/>
      <c r="W83" s="480"/>
    </row>
    <row r="84" spans="22:23" x14ac:dyDescent="0.2">
      <c r="V84" s="480"/>
      <c r="W84" s="480"/>
    </row>
    <row r="85" spans="22:23" x14ac:dyDescent="0.2">
      <c r="V85" s="480"/>
      <c r="W85" s="480"/>
    </row>
    <row r="86" spans="22:23" x14ac:dyDescent="0.2">
      <c r="V86" s="480"/>
      <c r="W86" s="480"/>
    </row>
    <row r="87" spans="22:23" x14ac:dyDescent="0.2">
      <c r="V87" s="480"/>
      <c r="W87" s="480"/>
    </row>
    <row r="88" spans="22:23" x14ac:dyDescent="0.2">
      <c r="V88" s="480"/>
      <c r="W88" s="480"/>
    </row>
    <row r="89" spans="22:23" x14ac:dyDescent="0.2">
      <c r="V89" s="480"/>
      <c r="W89" s="480"/>
    </row>
    <row r="90" spans="22:23" x14ac:dyDescent="0.2">
      <c r="V90" s="480"/>
      <c r="W90" s="480"/>
    </row>
    <row r="91" spans="22:23" x14ac:dyDescent="0.2">
      <c r="V91" s="480"/>
      <c r="W91" s="480"/>
    </row>
    <row r="92" spans="22:23" x14ac:dyDescent="0.2">
      <c r="V92" s="480"/>
      <c r="W92" s="480"/>
    </row>
    <row r="93" spans="22:23" x14ac:dyDescent="0.2">
      <c r="V93" s="480"/>
      <c r="W93" s="480"/>
    </row>
    <row r="94" spans="22:23" x14ac:dyDescent="0.2">
      <c r="V94" s="480"/>
      <c r="W94" s="480"/>
    </row>
    <row r="95" spans="22:23" x14ac:dyDescent="0.2">
      <c r="V95" s="480"/>
      <c r="W95" s="480"/>
    </row>
  </sheetData>
  <mergeCells count="5">
    <mergeCell ref="C2:U2"/>
    <mergeCell ref="C3:U3"/>
    <mergeCell ref="C57:U58"/>
    <mergeCell ref="A4:A5"/>
    <mergeCell ref="H4:Q4"/>
  </mergeCells>
  <pageMargins left="0.75" right="0.75" top="1" bottom="1" header="0.5" footer="0.5"/>
  <pageSetup paperSize="9" scale="90"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V14571"/>
  <sheetViews>
    <sheetView zoomScaleNormal="100" workbookViewId="0">
      <selection activeCell="Y21" sqref="Y21"/>
    </sheetView>
  </sheetViews>
  <sheetFormatPr defaultColWidth="9.140625" defaultRowHeight="12.75" x14ac:dyDescent="0.2"/>
  <cols>
    <col min="1" max="1" width="7.28515625" style="479" customWidth="1"/>
    <col min="2" max="2" width="2.5703125" style="479" customWidth="1"/>
    <col min="3" max="3" width="50.5703125" style="479" customWidth="1"/>
    <col min="4" max="18" width="7.28515625" style="479" customWidth="1"/>
    <col min="19" max="19" width="7.28515625" style="960" customWidth="1"/>
    <col min="20" max="20" width="5.7109375" style="960" customWidth="1"/>
    <col min="21" max="21" width="7.28515625" style="479" customWidth="1"/>
    <col min="22" max="16384" width="9.140625" style="480"/>
  </cols>
  <sheetData>
    <row r="1" spans="1:21" s="479" customFormat="1" ht="14.25" customHeight="1" x14ac:dyDescent="0.2">
      <c r="A1" s="891"/>
      <c r="B1" s="891"/>
      <c r="C1" s="891"/>
      <c r="D1" s="891"/>
      <c r="E1" s="891"/>
      <c r="F1" s="891"/>
      <c r="G1" s="891"/>
      <c r="H1" s="891"/>
      <c r="I1" s="891"/>
      <c r="J1" s="891"/>
      <c r="K1" s="891"/>
      <c r="L1" s="891"/>
      <c r="M1" s="891"/>
      <c r="N1" s="891"/>
      <c r="O1" s="891"/>
      <c r="P1" s="891"/>
      <c r="Q1" s="891"/>
      <c r="R1" s="891"/>
      <c r="T1" s="536"/>
      <c r="U1" s="536" t="s">
        <v>252</v>
      </c>
    </row>
    <row r="2" spans="1:21" s="479" customFormat="1" ht="15" customHeight="1" x14ac:dyDescent="0.2">
      <c r="A2" s="891"/>
      <c r="B2" s="891"/>
      <c r="C2" s="1102" t="s">
        <v>668</v>
      </c>
      <c r="D2" s="1102"/>
      <c r="E2" s="1102"/>
      <c r="F2" s="1102"/>
      <c r="G2" s="1102"/>
      <c r="H2" s="1102"/>
      <c r="I2" s="1102"/>
      <c r="J2" s="1102"/>
      <c r="K2" s="1102"/>
      <c r="L2" s="1102"/>
      <c r="M2" s="1102"/>
      <c r="N2" s="1102"/>
      <c r="O2" s="1102"/>
      <c r="P2" s="1102"/>
      <c r="Q2" s="1102"/>
      <c r="R2" s="1102"/>
      <c r="S2" s="1102"/>
      <c r="T2" s="1102"/>
      <c r="U2" s="1102"/>
    </row>
    <row r="3" spans="1:21" s="479" customFormat="1" ht="15" customHeight="1" x14ac:dyDescent="0.2">
      <c r="A3" s="891"/>
      <c r="B3" s="891"/>
      <c r="C3" s="1102"/>
      <c r="D3" s="1102"/>
      <c r="E3" s="1102"/>
      <c r="F3" s="1102"/>
      <c r="G3" s="1102"/>
      <c r="H3" s="1102"/>
      <c r="I3" s="1102"/>
      <c r="J3" s="1102"/>
      <c r="K3" s="1102"/>
      <c r="L3" s="1102"/>
      <c r="M3" s="1102"/>
      <c r="N3" s="1102"/>
      <c r="O3" s="1102"/>
      <c r="P3" s="1102"/>
      <c r="Q3" s="1102"/>
      <c r="R3" s="1102"/>
      <c r="S3" s="1102"/>
      <c r="T3" s="1102"/>
      <c r="U3" s="1102"/>
    </row>
    <row r="4" spans="1:21" s="479" customFormat="1" ht="15" customHeight="1" x14ac:dyDescent="0.2">
      <c r="A4" s="891"/>
      <c r="B4" s="891"/>
      <c r="C4" s="1103" t="s">
        <v>343</v>
      </c>
      <c r="D4" s="1103"/>
      <c r="E4" s="1103"/>
      <c r="F4" s="1103"/>
      <c r="G4" s="1103"/>
      <c r="H4" s="1103"/>
      <c r="I4" s="1103"/>
      <c r="J4" s="1103"/>
      <c r="K4" s="1103"/>
      <c r="L4" s="1103"/>
      <c r="M4" s="1103"/>
      <c r="N4" s="1103"/>
      <c r="O4" s="1103"/>
      <c r="P4" s="1103"/>
      <c r="Q4" s="1103"/>
      <c r="R4" s="1103"/>
      <c r="S4" s="1103"/>
      <c r="T4" s="1103"/>
      <c r="U4" s="1103"/>
    </row>
    <row r="5" spans="1:21" s="479" customFormat="1" ht="12" customHeight="1" x14ac:dyDescent="0.2">
      <c r="A5" s="1101" t="s">
        <v>173</v>
      </c>
      <c r="B5" s="915"/>
      <c r="C5" s="891"/>
      <c r="D5" s="891"/>
      <c r="E5" s="891"/>
      <c r="F5" s="891"/>
      <c r="G5" s="891"/>
      <c r="H5" s="1081"/>
      <c r="I5" s="1081"/>
      <c r="J5" s="1081"/>
      <c r="K5" s="1081"/>
      <c r="L5" s="1081"/>
      <c r="M5" s="1081"/>
      <c r="N5" s="1081"/>
      <c r="O5" s="1081"/>
      <c r="P5" s="1081"/>
      <c r="Q5" s="1081"/>
      <c r="R5" s="903"/>
      <c r="S5" s="960"/>
      <c r="T5" s="960"/>
      <c r="U5" s="891"/>
    </row>
    <row r="6" spans="1:21" s="479" customFormat="1" ht="24.95" customHeight="1" x14ac:dyDescent="0.2">
      <c r="A6" s="1101"/>
      <c r="B6" s="894"/>
      <c r="C6" s="896"/>
      <c r="D6" s="895">
        <v>2005</v>
      </c>
      <c r="E6" s="895">
        <v>2006</v>
      </c>
      <c r="F6" s="895">
        <v>2007</v>
      </c>
      <c r="G6" s="895">
        <v>2008</v>
      </c>
      <c r="H6" s="895">
        <v>2009</v>
      </c>
      <c r="I6" s="895">
        <v>2010</v>
      </c>
      <c r="J6" s="895">
        <v>2011</v>
      </c>
      <c r="K6" s="895">
        <v>2012</v>
      </c>
      <c r="L6" s="895">
        <v>2013</v>
      </c>
      <c r="M6" s="895">
        <v>2014</v>
      </c>
      <c r="N6" s="895">
        <v>2015</v>
      </c>
      <c r="O6" s="895">
        <v>2016</v>
      </c>
      <c r="P6" s="895">
        <v>2017</v>
      </c>
      <c r="Q6" s="895">
        <v>2018</v>
      </c>
      <c r="R6" s="895">
        <v>2019</v>
      </c>
      <c r="S6" s="895">
        <v>2020</v>
      </c>
      <c r="T6" s="895">
        <v>2021</v>
      </c>
      <c r="U6" s="503" t="s">
        <v>536</v>
      </c>
    </row>
    <row r="7" spans="1:21" ht="12.75" customHeight="1" x14ac:dyDescent="0.2">
      <c r="A7" s="154">
        <v>1</v>
      </c>
      <c r="B7" s="961"/>
      <c r="C7" s="962" t="s">
        <v>246</v>
      </c>
      <c r="D7" s="963">
        <v>439.37299999999999</v>
      </c>
      <c r="E7" s="963">
        <v>531.85</v>
      </c>
      <c r="F7" s="963">
        <v>608.93899999999996</v>
      </c>
      <c r="G7" s="964">
        <v>648.91600000000005</v>
      </c>
      <c r="H7" s="964">
        <v>656.35199999999998</v>
      </c>
      <c r="I7" s="964">
        <v>716.428</v>
      </c>
      <c r="J7" s="964">
        <v>716.58</v>
      </c>
      <c r="K7" s="963">
        <v>843.20500000000004</v>
      </c>
      <c r="L7" s="963">
        <v>968.52300000000002</v>
      </c>
      <c r="M7" s="963">
        <v>1063.559</v>
      </c>
      <c r="N7" s="963">
        <v>1076.875</v>
      </c>
      <c r="O7" s="963">
        <v>1101.546</v>
      </c>
      <c r="P7" s="963">
        <v>1148.82</v>
      </c>
      <c r="Q7" s="964">
        <v>1168.212</v>
      </c>
      <c r="R7" s="964">
        <v>1185.537</v>
      </c>
      <c r="S7" s="964">
        <v>417.173</v>
      </c>
      <c r="T7" s="963">
        <v>567.96400000000006</v>
      </c>
      <c r="U7" s="818">
        <f>(T7/S7)-1</f>
        <v>0.36145915483504454</v>
      </c>
    </row>
    <row r="8" spans="1:21" ht="12.75" customHeight="1" x14ac:dyDescent="0.2">
      <c r="A8" s="154">
        <v>2</v>
      </c>
      <c r="B8" s="504"/>
      <c r="C8" s="231" t="s">
        <v>574</v>
      </c>
      <c r="D8" s="965">
        <v>802.44799999999998</v>
      </c>
      <c r="E8" s="965">
        <v>631.66499999999996</v>
      </c>
      <c r="F8" s="965">
        <v>657.59799999999996</v>
      </c>
      <c r="G8" s="965">
        <v>648.399</v>
      </c>
      <c r="H8" s="965">
        <v>627.16800000000001</v>
      </c>
      <c r="I8" s="965">
        <v>683.70100000000002</v>
      </c>
      <c r="J8" s="965">
        <v>803.04</v>
      </c>
      <c r="K8" s="965">
        <v>883.78200000000004</v>
      </c>
      <c r="L8" s="965">
        <v>865.07500000000005</v>
      </c>
      <c r="M8" s="965">
        <v>908.49699999999996</v>
      </c>
      <c r="N8" s="965">
        <v>1012.634</v>
      </c>
      <c r="O8" s="965">
        <v>666.90800000000002</v>
      </c>
      <c r="P8" s="965">
        <v>596.35400000000004</v>
      </c>
      <c r="Q8" s="965">
        <v>848.12599999999998</v>
      </c>
      <c r="R8" s="965">
        <v>935.93600000000004</v>
      </c>
      <c r="S8" s="965">
        <v>186.52199999999999</v>
      </c>
      <c r="T8" s="965">
        <v>509.755</v>
      </c>
      <c r="U8" s="817">
        <f t="shared" ref="U8:U56" si="0">(T8/S8)-1</f>
        <v>1.732948392146771</v>
      </c>
    </row>
    <row r="9" spans="1:21" ht="12.75" customHeight="1" x14ac:dyDescent="0.2">
      <c r="A9" s="154">
        <v>3</v>
      </c>
      <c r="B9" s="905"/>
      <c r="C9" s="906" t="s">
        <v>434</v>
      </c>
      <c r="D9" s="963">
        <v>454.12700000000001</v>
      </c>
      <c r="E9" s="963">
        <v>488.00200000000001</v>
      </c>
      <c r="F9" s="963">
        <v>519.21600000000001</v>
      </c>
      <c r="G9" s="963">
        <v>498.69099999999997</v>
      </c>
      <c r="H9" s="963">
        <v>439.86900000000003</v>
      </c>
      <c r="I9" s="963">
        <v>519.61099999999999</v>
      </c>
      <c r="J9" s="963">
        <v>498.36700000000002</v>
      </c>
      <c r="K9" s="963">
        <v>491.952</v>
      </c>
      <c r="L9" s="963">
        <v>483.58699999999999</v>
      </c>
      <c r="M9" s="963">
        <v>543.74</v>
      </c>
      <c r="N9" s="963">
        <v>598.71500000000003</v>
      </c>
      <c r="O9" s="963">
        <v>621.60500000000002</v>
      </c>
      <c r="P9" s="963">
        <v>682.053</v>
      </c>
      <c r="Q9" s="963">
        <v>782.07299999999998</v>
      </c>
      <c r="R9" s="963">
        <v>882.7</v>
      </c>
      <c r="S9" s="963">
        <v>268.33999999999997</v>
      </c>
      <c r="T9" s="963">
        <v>508.56900000000002</v>
      </c>
      <c r="U9" s="818">
        <f t="shared" si="0"/>
        <v>0.8952411120220618</v>
      </c>
    </row>
    <row r="10" spans="1:21" ht="12.75" customHeight="1" x14ac:dyDescent="0.2">
      <c r="A10" s="154">
        <v>4</v>
      </c>
      <c r="B10" s="504"/>
      <c r="C10" s="231" t="s">
        <v>245</v>
      </c>
      <c r="D10" s="965">
        <v>928.67100000000005</v>
      </c>
      <c r="E10" s="965">
        <v>976.71299999999997</v>
      </c>
      <c r="F10" s="965">
        <v>1056.9369999999999</v>
      </c>
      <c r="G10" s="965">
        <v>1105.0070000000001</v>
      </c>
      <c r="H10" s="965">
        <v>1101.5350000000001</v>
      </c>
      <c r="I10" s="965">
        <v>1147.8689999999999</v>
      </c>
      <c r="J10" s="965">
        <v>1165.432</v>
      </c>
      <c r="K10" s="965">
        <v>1086.8440000000001</v>
      </c>
      <c r="L10" s="965">
        <v>1098.7329999999999</v>
      </c>
      <c r="M10" s="965">
        <v>1107.9849999999999</v>
      </c>
      <c r="N10" s="965">
        <v>1147.067</v>
      </c>
      <c r="O10" s="965">
        <v>1150.366</v>
      </c>
      <c r="P10" s="965">
        <v>1183.0820000000001</v>
      </c>
      <c r="Q10" s="965">
        <v>1185.086</v>
      </c>
      <c r="R10" s="965">
        <v>1247.3</v>
      </c>
      <c r="S10" s="965">
        <v>364.12400000000002</v>
      </c>
      <c r="T10" s="965">
        <v>497.71</v>
      </c>
      <c r="U10" s="817">
        <f t="shared" si="0"/>
        <v>0.36686952796300143</v>
      </c>
    </row>
    <row r="11" spans="1:21" ht="12.75" customHeight="1" x14ac:dyDescent="0.2">
      <c r="A11" s="154">
        <v>5</v>
      </c>
      <c r="B11" s="905"/>
      <c r="C11" s="906" t="s">
        <v>575</v>
      </c>
      <c r="D11" s="963">
        <v>266.22500000000002</v>
      </c>
      <c r="E11" s="963">
        <v>249.21</v>
      </c>
      <c r="F11" s="963">
        <v>290.63499999999999</v>
      </c>
      <c r="G11" s="963">
        <v>317.45800000000003</v>
      </c>
      <c r="H11" s="963">
        <v>305.45400000000001</v>
      </c>
      <c r="I11" s="963">
        <v>375.94099999999997</v>
      </c>
      <c r="J11" s="963">
        <v>469.25700000000001</v>
      </c>
      <c r="K11" s="963">
        <v>488.94499999999999</v>
      </c>
      <c r="L11" s="963">
        <v>495.185</v>
      </c>
      <c r="M11" s="963">
        <v>525.20600000000002</v>
      </c>
      <c r="N11" s="963">
        <v>607.43499999999995</v>
      </c>
      <c r="O11" s="963">
        <v>519.298</v>
      </c>
      <c r="P11" s="963">
        <v>417.73599999999999</v>
      </c>
      <c r="Q11" s="963">
        <v>670.57</v>
      </c>
      <c r="R11" s="963">
        <v>721.46900000000005</v>
      </c>
      <c r="S11" s="963">
        <v>108.596</v>
      </c>
      <c r="T11" s="963">
        <v>484.11700000000002</v>
      </c>
      <c r="U11" s="818">
        <f t="shared" si="0"/>
        <v>3.4579634609009542</v>
      </c>
    </row>
    <row r="12" spans="1:21" ht="12.75" customHeight="1" x14ac:dyDescent="0.2">
      <c r="A12" s="154">
        <v>6</v>
      </c>
      <c r="B12" s="504"/>
      <c r="C12" s="231" t="s">
        <v>244</v>
      </c>
      <c r="D12" s="965">
        <v>1729.6289999999999</v>
      </c>
      <c r="E12" s="965">
        <v>1659.3340000000001</v>
      </c>
      <c r="F12" s="965">
        <v>1729.269</v>
      </c>
      <c r="G12" s="965">
        <v>1214.3879999999999</v>
      </c>
      <c r="H12" s="965">
        <v>1184.076</v>
      </c>
      <c r="I12" s="965">
        <v>1189.9269999999999</v>
      </c>
      <c r="J12" s="965">
        <v>1268.56</v>
      </c>
      <c r="K12" s="965">
        <v>1361.999</v>
      </c>
      <c r="L12" s="965">
        <v>1406.5050000000001</v>
      </c>
      <c r="M12" s="965">
        <v>1368.509</v>
      </c>
      <c r="N12" s="965">
        <v>1503.021</v>
      </c>
      <c r="O12" s="965">
        <v>1423.9079999999999</v>
      </c>
      <c r="P12" s="965">
        <v>1553.213</v>
      </c>
      <c r="Q12" s="965">
        <v>1580.239</v>
      </c>
      <c r="R12" s="965">
        <v>1636.491</v>
      </c>
      <c r="S12" s="965">
        <v>351.53199999999998</v>
      </c>
      <c r="T12" s="965">
        <v>483.98399999999998</v>
      </c>
      <c r="U12" s="817">
        <f t="shared" si="0"/>
        <v>0.37678504375135113</v>
      </c>
    </row>
    <row r="13" spans="1:21" ht="12.75" customHeight="1" x14ac:dyDescent="0.2">
      <c r="A13" s="154">
        <v>7</v>
      </c>
      <c r="B13" s="905"/>
      <c r="C13" s="906" t="s">
        <v>670</v>
      </c>
      <c r="D13" s="963" t="s">
        <v>337</v>
      </c>
      <c r="E13" s="963" t="s">
        <v>337</v>
      </c>
      <c r="F13" s="963" t="s">
        <v>337</v>
      </c>
      <c r="G13" s="963" t="s">
        <v>337</v>
      </c>
      <c r="H13" s="963" t="s">
        <v>337</v>
      </c>
      <c r="I13" s="963" t="s">
        <v>337</v>
      </c>
      <c r="J13" s="963" t="s">
        <v>337</v>
      </c>
      <c r="K13" s="963" t="s">
        <v>337</v>
      </c>
      <c r="L13" s="963" t="s">
        <v>337</v>
      </c>
      <c r="M13" s="963" t="s">
        <v>337</v>
      </c>
      <c r="N13" s="963" t="s">
        <v>337</v>
      </c>
      <c r="O13" s="963" t="s">
        <v>337</v>
      </c>
      <c r="P13" s="963" t="s">
        <v>337</v>
      </c>
      <c r="Q13" s="963"/>
      <c r="R13" s="963">
        <v>839.20600000000002</v>
      </c>
      <c r="S13" s="963">
        <v>321.52800000000002</v>
      </c>
      <c r="T13" s="963">
        <v>474.387</v>
      </c>
      <c r="U13" s="818">
        <f t="shared" si="0"/>
        <v>0.47541427185190699</v>
      </c>
    </row>
    <row r="14" spans="1:21" ht="12.75" customHeight="1" x14ac:dyDescent="0.2">
      <c r="A14" s="154">
        <v>8</v>
      </c>
      <c r="B14" s="504"/>
      <c r="C14" s="231" t="s">
        <v>513</v>
      </c>
      <c r="D14" s="965">
        <v>270.76499999999999</v>
      </c>
      <c r="E14" s="965">
        <v>272.54000000000002</v>
      </c>
      <c r="F14" s="965">
        <v>302.23500000000001</v>
      </c>
      <c r="G14" s="965">
        <v>337.09</v>
      </c>
      <c r="H14" s="965">
        <v>387.14100000000002</v>
      </c>
      <c r="I14" s="965">
        <v>392.43200000000002</v>
      </c>
      <c r="J14" s="965">
        <v>408.791</v>
      </c>
      <c r="K14" s="965">
        <v>388.041</v>
      </c>
      <c r="L14" s="965">
        <v>390.26600000000002</v>
      </c>
      <c r="M14" s="965">
        <v>426.10199999999998</v>
      </c>
      <c r="N14" s="965">
        <v>459.42599999999999</v>
      </c>
      <c r="O14" s="965">
        <v>470.012</v>
      </c>
      <c r="P14" s="965">
        <v>472.15300000000002</v>
      </c>
      <c r="Q14" s="965">
        <v>515.00599999999997</v>
      </c>
      <c r="R14" s="965">
        <v>557.24300000000005</v>
      </c>
      <c r="S14" s="965">
        <v>288.67899999999997</v>
      </c>
      <c r="T14" s="965">
        <v>458.245</v>
      </c>
      <c r="U14" s="817">
        <f t="shared" si="0"/>
        <v>0.58738598928221331</v>
      </c>
    </row>
    <row r="15" spans="1:21" ht="12.75" customHeight="1" x14ac:dyDescent="0.2">
      <c r="A15" s="154">
        <v>9</v>
      </c>
      <c r="B15" s="905"/>
      <c r="C15" s="906" t="s">
        <v>510</v>
      </c>
      <c r="D15" s="963">
        <v>253.35400000000001</v>
      </c>
      <c r="E15" s="963">
        <v>258.94600000000003</v>
      </c>
      <c r="F15" s="963">
        <v>279.16000000000003</v>
      </c>
      <c r="G15" s="963">
        <v>288.02499999999998</v>
      </c>
      <c r="H15" s="963">
        <v>238.37799999999999</v>
      </c>
      <c r="I15" s="963">
        <v>345.20699999999999</v>
      </c>
      <c r="J15" s="963">
        <v>459.01299999999998</v>
      </c>
      <c r="K15" s="963">
        <v>526.04399999999998</v>
      </c>
      <c r="L15" s="963">
        <v>595.46900000000005</v>
      </c>
      <c r="M15" s="963">
        <v>645.76800000000003</v>
      </c>
      <c r="N15" s="963">
        <v>777.35500000000002</v>
      </c>
      <c r="O15" s="963">
        <v>777.33500000000004</v>
      </c>
      <c r="P15" s="963">
        <v>802.55</v>
      </c>
      <c r="Q15" s="963">
        <v>812.28599999999994</v>
      </c>
      <c r="R15" s="963">
        <v>808.73400000000004</v>
      </c>
      <c r="S15" s="963">
        <v>307.30799999999999</v>
      </c>
      <c r="T15" s="963">
        <v>432.39600000000002</v>
      </c>
      <c r="U15" s="818">
        <f t="shared" si="0"/>
        <v>0.40704439845366869</v>
      </c>
    </row>
    <row r="16" spans="1:21" ht="12.75" customHeight="1" x14ac:dyDescent="0.2">
      <c r="A16" s="154">
        <v>10</v>
      </c>
      <c r="B16" s="504"/>
      <c r="C16" s="231" t="s">
        <v>366</v>
      </c>
      <c r="D16" s="965">
        <v>1073.2660000000001</v>
      </c>
      <c r="E16" s="965">
        <v>1106.4670000000001</v>
      </c>
      <c r="F16" s="965">
        <v>1172.8030000000001</v>
      </c>
      <c r="G16" s="965">
        <v>1146.5309999999999</v>
      </c>
      <c r="H16" s="965">
        <v>1120.99</v>
      </c>
      <c r="I16" s="965">
        <v>1088.885</v>
      </c>
      <c r="J16" s="965">
        <v>1190.595</v>
      </c>
      <c r="K16" s="965">
        <v>1197.6969999999999</v>
      </c>
      <c r="L16" s="965">
        <v>1265.0930000000001</v>
      </c>
      <c r="M16" s="965">
        <v>1274.376</v>
      </c>
      <c r="N16" s="965">
        <v>1320.8340000000001</v>
      </c>
      <c r="O16" s="965">
        <v>1317.511</v>
      </c>
      <c r="P16" s="965">
        <v>1382.2919999999999</v>
      </c>
      <c r="Q16" s="965">
        <v>1416.8009999999999</v>
      </c>
      <c r="R16" s="965">
        <v>1476.0340000000001</v>
      </c>
      <c r="S16" s="965">
        <v>454.46899999999999</v>
      </c>
      <c r="T16" s="965">
        <v>425.69200000000001</v>
      </c>
      <c r="U16" s="817">
        <f t="shared" si="0"/>
        <v>-6.3320050432482677E-2</v>
      </c>
    </row>
    <row r="17" spans="1:21" ht="12.75" customHeight="1" x14ac:dyDescent="0.2">
      <c r="A17" s="154">
        <v>11</v>
      </c>
      <c r="B17" s="905"/>
      <c r="C17" s="906" t="s">
        <v>576</v>
      </c>
      <c r="D17" s="963">
        <v>301.51</v>
      </c>
      <c r="E17" s="963">
        <v>331.25700000000001</v>
      </c>
      <c r="F17" s="963">
        <v>348.04500000000002</v>
      </c>
      <c r="G17" s="963">
        <v>321.06900000000002</v>
      </c>
      <c r="H17" s="963">
        <v>325.36599999999999</v>
      </c>
      <c r="I17" s="963">
        <v>330.29300000000001</v>
      </c>
      <c r="J17" s="963">
        <v>331.48599999999999</v>
      </c>
      <c r="K17" s="963">
        <v>328.77699999999999</v>
      </c>
      <c r="L17" s="963">
        <v>223.304</v>
      </c>
      <c r="M17" s="963">
        <v>241.93799999999999</v>
      </c>
      <c r="N17" s="963">
        <v>354.28199999999998</v>
      </c>
      <c r="O17" s="963">
        <v>369.75400000000002</v>
      </c>
      <c r="P17" s="963">
        <v>374.50099999999998</v>
      </c>
      <c r="Q17" s="963">
        <v>393.22399999999999</v>
      </c>
      <c r="R17" s="963">
        <v>394.041</v>
      </c>
      <c r="S17" s="963">
        <v>188.46700000000001</v>
      </c>
      <c r="T17" s="963">
        <v>425.19799999999998</v>
      </c>
      <c r="U17" s="818">
        <f t="shared" si="0"/>
        <v>1.2560872725729171</v>
      </c>
    </row>
    <row r="18" spans="1:21" ht="12.75" customHeight="1" x14ac:dyDescent="0.2">
      <c r="A18" s="154">
        <v>12</v>
      </c>
      <c r="B18" s="504"/>
      <c r="C18" s="231" t="s">
        <v>577</v>
      </c>
      <c r="D18" s="965">
        <v>619.97199999999998</v>
      </c>
      <c r="E18" s="965">
        <v>561.90899999999999</v>
      </c>
      <c r="F18" s="965">
        <v>520.904</v>
      </c>
      <c r="G18" s="965">
        <v>504.59500000000003</v>
      </c>
      <c r="H18" s="965">
        <v>529.90099999999995</v>
      </c>
      <c r="I18" s="965">
        <v>531.89200000000005</v>
      </c>
      <c r="J18" s="965">
        <v>521.90700000000004</v>
      </c>
      <c r="K18" s="965">
        <v>548.447</v>
      </c>
      <c r="L18" s="965">
        <v>615.27300000000002</v>
      </c>
      <c r="M18" s="965">
        <v>681.68100000000004</v>
      </c>
      <c r="N18" s="965">
        <v>769.35400000000004</v>
      </c>
      <c r="O18" s="965">
        <v>783.44299999999998</v>
      </c>
      <c r="P18" s="965">
        <v>799.43700000000001</v>
      </c>
      <c r="Q18" s="965">
        <v>787.75599999999997</v>
      </c>
      <c r="R18" s="965">
        <v>850.702</v>
      </c>
      <c r="S18" s="965">
        <v>222.017</v>
      </c>
      <c r="T18" s="965">
        <v>419.95800000000003</v>
      </c>
      <c r="U18" s="817">
        <f t="shared" si="0"/>
        <v>0.89155785367787166</v>
      </c>
    </row>
    <row r="19" spans="1:21" ht="12.75" customHeight="1" x14ac:dyDescent="0.2">
      <c r="A19" s="154">
        <v>13</v>
      </c>
      <c r="B19" s="905"/>
      <c r="C19" s="906" t="s">
        <v>516</v>
      </c>
      <c r="D19" s="963" t="s">
        <v>337</v>
      </c>
      <c r="E19" s="963" t="s">
        <v>337</v>
      </c>
      <c r="F19" s="963" t="s">
        <v>337</v>
      </c>
      <c r="G19" s="963">
        <v>494.72899999999998</v>
      </c>
      <c r="H19" s="963">
        <v>546.31899999999996</v>
      </c>
      <c r="I19" s="963">
        <v>577.84299999999996</v>
      </c>
      <c r="J19" s="963">
        <v>652.15700000000004</v>
      </c>
      <c r="K19" s="963">
        <v>577.72900000000004</v>
      </c>
      <c r="L19" s="963">
        <v>502.34100000000001</v>
      </c>
      <c r="M19" s="963">
        <v>538.03399999999999</v>
      </c>
      <c r="N19" s="963">
        <v>534.81200000000001</v>
      </c>
      <c r="O19" s="963">
        <v>649.30799999999999</v>
      </c>
      <c r="P19" s="963">
        <v>789.80100000000004</v>
      </c>
      <c r="Q19" s="963">
        <v>883.31899999999996</v>
      </c>
      <c r="R19" s="963">
        <v>956.77700000000004</v>
      </c>
      <c r="S19" s="963">
        <v>246.45</v>
      </c>
      <c r="T19" s="963">
        <v>413.31900000000002</v>
      </c>
      <c r="U19" s="818">
        <f t="shared" si="0"/>
        <v>0.67709068776628123</v>
      </c>
    </row>
    <row r="20" spans="1:21" ht="12.75" customHeight="1" x14ac:dyDescent="0.2">
      <c r="A20" s="154">
        <v>14</v>
      </c>
      <c r="B20" s="504"/>
      <c r="C20" s="231" t="s">
        <v>279</v>
      </c>
      <c r="D20" s="965">
        <v>491.012</v>
      </c>
      <c r="E20" s="965">
        <v>513.83500000000004</v>
      </c>
      <c r="F20" s="965">
        <v>573.74699999999996</v>
      </c>
      <c r="G20" s="965">
        <v>593.81299999999999</v>
      </c>
      <c r="H20" s="965">
        <v>630.56500000000005</v>
      </c>
      <c r="I20" s="965">
        <v>679.14800000000002</v>
      </c>
      <c r="J20" s="965">
        <v>657.31</v>
      </c>
      <c r="K20" s="965">
        <v>739.82799999999997</v>
      </c>
      <c r="L20" s="965">
        <v>828.45799999999997</v>
      </c>
      <c r="M20" s="965">
        <v>812.28899999999999</v>
      </c>
      <c r="N20" s="965">
        <v>903.42200000000003</v>
      </c>
      <c r="O20" s="965">
        <v>943.79600000000005</v>
      </c>
      <c r="P20" s="965">
        <v>984.173</v>
      </c>
      <c r="Q20" s="965">
        <v>1006.133</v>
      </c>
      <c r="R20" s="965">
        <v>959.98500000000001</v>
      </c>
      <c r="S20" s="965">
        <v>324.51299999999998</v>
      </c>
      <c r="T20" s="965">
        <v>412.65899999999999</v>
      </c>
      <c r="U20" s="817">
        <f t="shared" si="0"/>
        <v>0.27162548187591873</v>
      </c>
    </row>
    <row r="21" spans="1:21" ht="12.75" customHeight="1" x14ac:dyDescent="0.2">
      <c r="A21" s="154">
        <v>15</v>
      </c>
      <c r="B21" s="905"/>
      <c r="C21" s="906" t="s">
        <v>223</v>
      </c>
      <c r="D21" s="963">
        <v>1246.818</v>
      </c>
      <c r="E21" s="963">
        <v>1284.9159999999999</v>
      </c>
      <c r="F21" s="963">
        <v>1332.4939999999999</v>
      </c>
      <c r="G21" s="963">
        <v>1301.9010000000001</v>
      </c>
      <c r="H21" s="963">
        <v>1107.3420000000001</v>
      </c>
      <c r="I21" s="963">
        <v>1132.3989999999999</v>
      </c>
      <c r="J21" s="963">
        <v>1211.98</v>
      </c>
      <c r="K21" s="963">
        <v>1287.06</v>
      </c>
      <c r="L21" s="963">
        <v>1315.3989999999999</v>
      </c>
      <c r="M21" s="963">
        <v>1395.277</v>
      </c>
      <c r="N21" s="963">
        <v>1423.135</v>
      </c>
      <c r="O21" s="963">
        <v>1509.3779999999999</v>
      </c>
      <c r="P21" s="963">
        <v>1549.5519999999999</v>
      </c>
      <c r="Q21" s="963">
        <v>1515.4770000000001</v>
      </c>
      <c r="R21" s="963">
        <v>1479.32</v>
      </c>
      <c r="S21" s="963">
        <v>410.05799999999999</v>
      </c>
      <c r="T21" s="963">
        <v>411.423</v>
      </c>
      <c r="U21" s="818">
        <f t="shared" si="0"/>
        <v>3.3287973896376499E-3</v>
      </c>
    </row>
    <row r="22" spans="1:21" ht="12.75" customHeight="1" x14ac:dyDescent="0.2">
      <c r="A22" s="154">
        <v>16</v>
      </c>
      <c r="B22" s="504"/>
      <c r="C22" s="231" t="s">
        <v>671</v>
      </c>
      <c r="D22" s="965" t="s">
        <v>337</v>
      </c>
      <c r="E22" s="965" t="s">
        <v>337</v>
      </c>
      <c r="F22" s="965" t="s">
        <v>337</v>
      </c>
      <c r="G22" s="965" t="s">
        <v>337</v>
      </c>
      <c r="H22" s="965" t="s">
        <v>337</v>
      </c>
      <c r="I22" s="965" t="s">
        <v>337</v>
      </c>
      <c r="J22" s="965" t="s">
        <v>337</v>
      </c>
      <c r="K22" s="965" t="s">
        <v>337</v>
      </c>
      <c r="L22" s="965" t="s">
        <v>337</v>
      </c>
      <c r="M22" s="965" t="s">
        <v>337</v>
      </c>
      <c r="N22" s="965" t="s">
        <v>337</v>
      </c>
      <c r="O22" s="965" t="s">
        <v>337</v>
      </c>
      <c r="P22" s="965" t="s">
        <v>337</v>
      </c>
      <c r="Q22" s="965" t="s">
        <v>337</v>
      </c>
      <c r="R22" s="965">
        <v>769.99699999999996</v>
      </c>
      <c r="S22" s="965">
        <v>318.19400000000002</v>
      </c>
      <c r="T22" s="965">
        <v>411.22800000000001</v>
      </c>
      <c r="U22" s="817">
        <f t="shared" si="0"/>
        <v>0.29238137739869385</v>
      </c>
    </row>
    <row r="23" spans="1:21" ht="12.75" customHeight="1" x14ac:dyDescent="0.2">
      <c r="A23" s="154">
        <v>17</v>
      </c>
      <c r="B23" s="905"/>
      <c r="C23" s="906" t="s">
        <v>364</v>
      </c>
      <c r="D23" s="963">
        <v>2086.2829999999999</v>
      </c>
      <c r="E23" s="963">
        <v>1989.1690000000001</v>
      </c>
      <c r="F23" s="963">
        <v>1973.539</v>
      </c>
      <c r="G23" s="963">
        <v>1809.202</v>
      </c>
      <c r="H23" s="963">
        <v>1619.8910000000001</v>
      </c>
      <c r="I23" s="963">
        <v>1491.261</v>
      </c>
      <c r="J23" s="963">
        <v>1556.229</v>
      </c>
      <c r="K23" s="963">
        <v>1578.0139999999999</v>
      </c>
      <c r="L23" s="963">
        <v>1663.587</v>
      </c>
      <c r="M23" s="963">
        <v>1650.9929999999999</v>
      </c>
      <c r="N23" s="963">
        <v>1683.0650000000001</v>
      </c>
      <c r="O23" s="963">
        <v>1750.9269999999999</v>
      </c>
      <c r="P23" s="963">
        <v>1803.29</v>
      </c>
      <c r="Q23" s="963">
        <v>1809.5070000000001</v>
      </c>
      <c r="R23" s="963">
        <v>1856.09</v>
      </c>
      <c r="S23" s="963">
        <v>445.03399999999999</v>
      </c>
      <c r="T23" s="963">
        <v>403.62799999999999</v>
      </c>
      <c r="U23" s="818">
        <f t="shared" si="0"/>
        <v>-9.3040082330788199E-2</v>
      </c>
    </row>
    <row r="24" spans="1:21" ht="12.75" customHeight="1" x14ac:dyDescent="0.2">
      <c r="A24" s="154">
        <v>18</v>
      </c>
      <c r="B24" s="504"/>
      <c r="C24" s="231" t="s">
        <v>511</v>
      </c>
      <c r="D24" s="965" t="s">
        <v>337</v>
      </c>
      <c r="E24" s="965">
        <v>687.61099999999999</v>
      </c>
      <c r="F24" s="965">
        <v>695.49900000000002</v>
      </c>
      <c r="G24" s="965">
        <v>671.37</v>
      </c>
      <c r="H24" s="965">
        <v>665.22400000000005</v>
      </c>
      <c r="I24" s="965">
        <v>777.30499999999995</v>
      </c>
      <c r="J24" s="965">
        <v>731.64200000000005</v>
      </c>
      <c r="K24" s="965">
        <v>677.34900000000005</v>
      </c>
      <c r="L24" s="965">
        <v>664.40099999999995</v>
      </c>
      <c r="M24" s="965">
        <v>711.17100000000005</v>
      </c>
      <c r="N24" s="965">
        <v>694.24599999999998</v>
      </c>
      <c r="O24" s="965">
        <v>731.24599999999998</v>
      </c>
      <c r="P24" s="965">
        <v>754.95899999999995</v>
      </c>
      <c r="Q24" s="965">
        <v>747.58</v>
      </c>
      <c r="R24" s="965">
        <v>743.07299999999998</v>
      </c>
      <c r="S24" s="965">
        <v>306.21800000000002</v>
      </c>
      <c r="T24" s="965">
        <v>388.65800000000002</v>
      </c>
      <c r="U24" s="817">
        <f t="shared" si="0"/>
        <v>0.26921996747415244</v>
      </c>
    </row>
    <row r="25" spans="1:21" ht="12.75" customHeight="1" x14ac:dyDescent="0.2">
      <c r="A25" s="154">
        <v>19</v>
      </c>
      <c r="B25" s="905"/>
      <c r="C25" s="906" t="s">
        <v>672</v>
      </c>
      <c r="D25" s="963"/>
      <c r="E25" s="963"/>
      <c r="F25" s="963"/>
      <c r="G25" s="963"/>
      <c r="H25" s="963"/>
      <c r="I25" s="963"/>
      <c r="J25" s="963"/>
      <c r="K25" s="963"/>
      <c r="L25" s="963"/>
      <c r="M25" s="963"/>
      <c r="N25" s="963"/>
      <c r="O25" s="963"/>
      <c r="P25" s="963"/>
      <c r="Q25" s="963"/>
      <c r="R25" s="963">
        <v>694.92700000000002</v>
      </c>
      <c r="S25" s="963">
        <v>282.19299999999998</v>
      </c>
      <c r="T25" s="963">
        <v>428.88799999999998</v>
      </c>
      <c r="U25" s="818">
        <f t="shared" si="0"/>
        <v>0.51983925894689098</v>
      </c>
    </row>
    <row r="26" spans="1:21" ht="12.75" customHeight="1" x14ac:dyDescent="0.2">
      <c r="A26" s="154">
        <v>20</v>
      </c>
      <c r="B26" s="504"/>
      <c r="C26" s="231" t="s">
        <v>512</v>
      </c>
      <c r="D26" s="965">
        <v>76.483999999999995</v>
      </c>
      <c r="E26" s="965">
        <v>84.022999999999996</v>
      </c>
      <c r="F26" s="965">
        <v>127.749</v>
      </c>
      <c r="G26" s="965">
        <v>230.40899999999999</v>
      </c>
      <c r="H26" s="965">
        <v>275.28300000000002</v>
      </c>
      <c r="I26" s="965">
        <v>323.51499999999999</v>
      </c>
      <c r="J26" s="965">
        <v>374.911</v>
      </c>
      <c r="K26" s="965">
        <v>405.404</v>
      </c>
      <c r="L26" s="965">
        <v>435.928</v>
      </c>
      <c r="M26" s="965">
        <v>498.87</v>
      </c>
      <c r="N26" s="965">
        <v>545.44899999999996</v>
      </c>
      <c r="O26" s="965">
        <v>626.15300000000002</v>
      </c>
      <c r="P26" s="965">
        <v>680.03200000000004</v>
      </c>
      <c r="Q26" s="965">
        <v>689.11800000000005</v>
      </c>
      <c r="R26" s="965">
        <v>693.89200000000005</v>
      </c>
      <c r="S26" s="965">
        <v>293.952</v>
      </c>
      <c r="T26" s="965">
        <v>381.73099999999999</v>
      </c>
      <c r="U26" s="817">
        <f t="shared" si="0"/>
        <v>0.29861678097104294</v>
      </c>
    </row>
    <row r="27" spans="1:21" ht="12.75" customHeight="1" x14ac:dyDescent="0.2">
      <c r="A27" s="154">
        <v>21</v>
      </c>
      <c r="B27" s="905"/>
      <c r="C27" s="906" t="s">
        <v>578</v>
      </c>
      <c r="D27" s="963">
        <v>0.30599999999999999</v>
      </c>
      <c r="E27" s="963">
        <v>15.635999999999999</v>
      </c>
      <c r="F27" s="963">
        <v>65.040000000000006</v>
      </c>
      <c r="G27" s="963">
        <v>70.680999999999997</v>
      </c>
      <c r="H27" s="963">
        <v>106.319</v>
      </c>
      <c r="I27" s="963">
        <v>190.83</v>
      </c>
      <c r="J27" s="963">
        <v>227.19800000000001</v>
      </c>
      <c r="K27" s="963">
        <v>235.529</v>
      </c>
      <c r="L27" s="963">
        <v>247.76599999999999</v>
      </c>
      <c r="M27" s="963">
        <v>290.2</v>
      </c>
      <c r="N27" s="963">
        <v>328.43900000000002</v>
      </c>
      <c r="O27" s="963">
        <v>312.91699999999997</v>
      </c>
      <c r="P27" s="963">
        <v>316.11</v>
      </c>
      <c r="Q27" s="963">
        <v>353.86500000000001</v>
      </c>
      <c r="R27" s="963">
        <v>429.98599999999999</v>
      </c>
      <c r="S27" s="963">
        <v>214.17599999999999</v>
      </c>
      <c r="T27" s="963">
        <v>376.58699999999999</v>
      </c>
      <c r="U27" s="818">
        <f t="shared" si="0"/>
        <v>0.75830625280143438</v>
      </c>
    </row>
    <row r="28" spans="1:21" ht="12.75" customHeight="1" x14ac:dyDescent="0.2">
      <c r="A28" s="154">
        <v>22</v>
      </c>
      <c r="B28" s="504"/>
      <c r="C28" s="231" t="s">
        <v>579</v>
      </c>
      <c r="D28" s="965">
        <v>13.052</v>
      </c>
      <c r="E28" s="965">
        <v>42.649000000000001</v>
      </c>
      <c r="F28" s="965">
        <v>52.176000000000002</v>
      </c>
      <c r="G28" s="965">
        <v>78.465000000000003</v>
      </c>
      <c r="H28" s="965">
        <v>110.19</v>
      </c>
      <c r="I28" s="965">
        <v>224.667</v>
      </c>
      <c r="J28" s="965">
        <v>229.81200000000001</v>
      </c>
      <c r="K28" s="965">
        <v>226.357</v>
      </c>
      <c r="L28" s="965">
        <v>348.27300000000002</v>
      </c>
      <c r="M28" s="965">
        <v>397.21899999999999</v>
      </c>
      <c r="N28" s="965">
        <v>353.53500000000003</v>
      </c>
      <c r="O28" s="965">
        <v>395.53699999999998</v>
      </c>
      <c r="P28" s="965">
        <v>415.66899999999998</v>
      </c>
      <c r="Q28" s="965">
        <v>439.92</v>
      </c>
      <c r="R28" s="965">
        <v>441.37599999999998</v>
      </c>
      <c r="S28" s="965">
        <v>211.25800000000001</v>
      </c>
      <c r="T28" s="965">
        <v>376.35199999999998</v>
      </c>
      <c r="U28" s="817">
        <f t="shared" si="0"/>
        <v>0.78148046464512566</v>
      </c>
    </row>
    <row r="29" spans="1:21" ht="12.75" customHeight="1" x14ac:dyDescent="0.2">
      <c r="A29" s="154">
        <v>23</v>
      </c>
      <c r="B29" s="905"/>
      <c r="C29" s="906" t="s">
        <v>317</v>
      </c>
      <c r="D29" s="963">
        <v>230.625</v>
      </c>
      <c r="E29" s="963">
        <v>305.166</v>
      </c>
      <c r="F29" s="963">
        <v>309.63099999999997</v>
      </c>
      <c r="G29" s="963">
        <v>330.62200000000001</v>
      </c>
      <c r="H29" s="963">
        <v>287.71899999999999</v>
      </c>
      <c r="I29" s="963">
        <v>433.68400000000003</v>
      </c>
      <c r="J29" s="963">
        <v>525.65899999999999</v>
      </c>
      <c r="K29" s="963">
        <v>551.91800000000001</v>
      </c>
      <c r="L29" s="963">
        <v>610.43200000000002</v>
      </c>
      <c r="M29" s="963">
        <v>744.91800000000001</v>
      </c>
      <c r="N29" s="963">
        <v>774.78</v>
      </c>
      <c r="O29" s="963">
        <v>832.77300000000002</v>
      </c>
      <c r="P29" s="963">
        <v>886.96799999999996</v>
      </c>
      <c r="Q29" s="963">
        <v>901.46600000000001</v>
      </c>
      <c r="R29" s="963">
        <v>1013.503</v>
      </c>
      <c r="S29" s="963">
        <v>325.74200000000002</v>
      </c>
      <c r="T29" s="963">
        <v>368.58</v>
      </c>
      <c r="U29" s="818">
        <f t="shared" si="0"/>
        <v>0.13150898563894109</v>
      </c>
    </row>
    <row r="30" spans="1:21" ht="12.75" customHeight="1" x14ac:dyDescent="0.2">
      <c r="A30" s="154">
        <v>24</v>
      </c>
      <c r="B30" s="504"/>
      <c r="C30" s="231" t="s">
        <v>580</v>
      </c>
      <c r="D30" s="965">
        <v>256.63299999999998</v>
      </c>
      <c r="E30" s="965">
        <v>343.88200000000001</v>
      </c>
      <c r="F30" s="965">
        <v>314.71699999999998</v>
      </c>
      <c r="G30" s="965">
        <v>321.25200000000001</v>
      </c>
      <c r="H30" s="965">
        <v>327.404</v>
      </c>
      <c r="I30" s="965">
        <v>333.35399999999998</v>
      </c>
      <c r="J30" s="965">
        <v>394.51</v>
      </c>
      <c r="K30" s="965">
        <v>404.71300000000002</v>
      </c>
      <c r="L30" s="965">
        <v>405.61099999999999</v>
      </c>
      <c r="M30" s="965">
        <v>452.90499999999997</v>
      </c>
      <c r="N30" s="965">
        <v>465.34899999999999</v>
      </c>
      <c r="O30" s="965">
        <v>523.99199999999996</v>
      </c>
      <c r="P30" s="965">
        <v>540.92399999999998</v>
      </c>
      <c r="Q30" s="965">
        <v>429.58300000000003</v>
      </c>
      <c r="R30" s="965">
        <v>479.37299999999999</v>
      </c>
      <c r="S30" s="965">
        <v>90.819000000000003</v>
      </c>
      <c r="T30" s="965">
        <v>360.63299999999998</v>
      </c>
      <c r="U30" s="817">
        <f t="shared" si="0"/>
        <v>2.9708981600766355</v>
      </c>
    </row>
    <row r="31" spans="1:21" ht="12.75" customHeight="1" x14ac:dyDescent="0.2">
      <c r="A31" s="154">
        <v>25</v>
      </c>
      <c r="B31" s="905"/>
      <c r="C31" s="906" t="s">
        <v>365</v>
      </c>
      <c r="D31" s="963">
        <v>1894.076</v>
      </c>
      <c r="E31" s="963">
        <v>1846.348</v>
      </c>
      <c r="F31" s="963">
        <v>1798.5909999999999</v>
      </c>
      <c r="G31" s="963">
        <v>1707.6289999999999</v>
      </c>
      <c r="H31" s="963">
        <v>1511.9680000000001</v>
      </c>
      <c r="I31" s="963">
        <v>1333.1289999999999</v>
      </c>
      <c r="J31" s="963">
        <v>1406.5419999999999</v>
      </c>
      <c r="K31" s="963">
        <v>1429.4259999999999</v>
      </c>
      <c r="L31" s="963">
        <v>1443.6859999999999</v>
      </c>
      <c r="M31" s="963">
        <v>1486.5340000000001</v>
      </c>
      <c r="N31" s="963">
        <v>1549.1890000000001</v>
      </c>
      <c r="O31" s="963">
        <v>1616.6210000000001</v>
      </c>
      <c r="P31" s="963">
        <v>1688.9970000000001</v>
      </c>
      <c r="Q31" s="963">
        <v>1745.7570000000001</v>
      </c>
      <c r="R31" s="963">
        <v>1747.789</v>
      </c>
      <c r="S31" s="963">
        <v>525.44799999999998</v>
      </c>
      <c r="T31" s="963">
        <v>350.15300000000002</v>
      </c>
      <c r="U31" s="818">
        <f t="shared" si="0"/>
        <v>-0.33361055708652421</v>
      </c>
    </row>
    <row r="32" spans="1:21" ht="12.75" customHeight="1" x14ac:dyDescent="0.2">
      <c r="A32" s="154">
        <v>26</v>
      </c>
      <c r="B32" s="504"/>
      <c r="C32" s="231" t="s">
        <v>581</v>
      </c>
      <c r="D32" s="965">
        <v>52.18</v>
      </c>
      <c r="E32" s="965">
        <v>57.569000000000003</v>
      </c>
      <c r="F32" s="965">
        <v>60.680999999999997</v>
      </c>
      <c r="G32" s="965">
        <v>102.083</v>
      </c>
      <c r="H32" s="965">
        <v>163.797</v>
      </c>
      <c r="I32" s="965">
        <v>228.46100000000001</v>
      </c>
      <c r="J32" s="965">
        <v>234.64</v>
      </c>
      <c r="K32" s="965">
        <v>236.53899999999999</v>
      </c>
      <c r="L32" s="965">
        <v>242.898</v>
      </c>
      <c r="M32" s="965">
        <v>267.74700000000001</v>
      </c>
      <c r="N32" s="965">
        <v>335.19499999999999</v>
      </c>
      <c r="O32" s="965">
        <v>351.37799999999999</v>
      </c>
      <c r="P32" s="965">
        <v>258.08199999999999</v>
      </c>
      <c r="Q32" s="965">
        <v>268.762</v>
      </c>
      <c r="R32" s="965">
        <v>343.92500000000001</v>
      </c>
      <c r="S32" s="965">
        <v>193.44300000000001</v>
      </c>
      <c r="T32" s="965">
        <v>347.87099999999998</v>
      </c>
      <c r="U32" s="817">
        <f t="shared" si="0"/>
        <v>0.79831268125494304</v>
      </c>
    </row>
    <row r="33" spans="1:21" ht="12.75" customHeight="1" x14ac:dyDescent="0.2">
      <c r="A33" s="154">
        <v>27</v>
      </c>
      <c r="B33" s="905"/>
      <c r="C33" s="906" t="s">
        <v>582</v>
      </c>
      <c r="D33" s="963" t="s">
        <v>337</v>
      </c>
      <c r="E33" s="963" t="s">
        <v>337</v>
      </c>
      <c r="F33" s="963" t="s">
        <v>337</v>
      </c>
      <c r="G33" s="963" t="s">
        <v>337</v>
      </c>
      <c r="H33" s="963" t="s">
        <v>337</v>
      </c>
      <c r="I33" s="963" t="s">
        <v>337</v>
      </c>
      <c r="J33" s="963" t="s">
        <v>337</v>
      </c>
      <c r="K33" s="963" t="s">
        <v>337</v>
      </c>
      <c r="L33" s="963" t="s">
        <v>337</v>
      </c>
      <c r="M33" s="963" t="s">
        <v>337</v>
      </c>
      <c r="N33" s="963" t="s">
        <v>337</v>
      </c>
      <c r="O33" s="963" t="s">
        <v>337</v>
      </c>
      <c r="P33" s="963">
        <v>16.55</v>
      </c>
      <c r="Q33" s="963">
        <v>251.52600000000001</v>
      </c>
      <c r="R33" s="963">
        <v>419.87200000000001</v>
      </c>
      <c r="S33" s="963">
        <v>226.49600000000001</v>
      </c>
      <c r="T33" s="963">
        <v>346.05700000000002</v>
      </c>
      <c r="U33" s="818">
        <f t="shared" si="0"/>
        <v>0.52787245690873119</v>
      </c>
    </row>
    <row r="34" spans="1:21" ht="12.75" customHeight="1" x14ac:dyDescent="0.2">
      <c r="A34" s="154">
        <v>28</v>
      </c>
      <c r="B34" s="504"/>
      <c r="C34" s="231" t="s">
        <v>368</v>
      </c>
      <c r="D34" s="965" t="s">
        <v>337</v>
      </c>
      <c r="E34" s="965" t="s">
        <v>337</v>
      </c>
      <c r="F34" s="965" t="s">
        <v>337</v>
      </c>
      <c r="G34" s="965">
        <v>1482.384</v>
      </c>
      <c r="H34" s="965">
        <v>1330.915</v>
      </c>
      <c r="I34" s="965">
        <v>1312.7750000000001</v>
      </c>
      <c r="J34" s="965">
        <v>1276.6020000000001</v>
      </c>
      <c r="K34" s="965">
        <v>1178.924</v>
      </c>
      <c r="L34" s="965">
        <v>1216.1600000000001</v>
      </c>
      <c r="M34" s="965">
        <v>1254.644</v>
      </c>
      <c r="N34" s="965">
        <v>1282.0609999999999</v>
      </c>
      <c r="O34" s="965">
        <v>1207.7329999999999</v>
      </c>
      <c r="P34" s="965">
        <v>1210.5309999999999</v>
      </c>
      <c r="Q34" s="965">
        <v>1244.6759999999999</v>
      </c>
      <c r="R34" s="965">
        <v>1255.2270000000001</v>
      </c>
      <c r="S34" s="965">
        <v>372.75299999999999</v>
      </c>
      <c r="T34" s="965">
        <v>338.98899999999998</v>
      </c>
      <c r="U34" s="817">
        <f t="shared" si="0"/>
        <v>-9.0580089227987437E-2</v>
      </c>
    </row>
    <row r="35" spans="1:21" ht="12.75" customHeight="1" x14ac:dyDescent="0.2">
      <c r="A35" s="154">
        <v>29</v>
      </c>
      <c r="B35" s="905"/>
      <c r="C35" s="906" t="s">
        <v>514</v>
      </c>
      <c r="D35" s="963">
        <v>188.12200000000001</v>
      </c>
      <c r="E35" s="963">
        <v>259.149</v>
      </c>
      <c r="F35" s="963">
        <v>351.721</v>
      </c>
      <c r="G35" s="963">
        <v>362.916</v>
      </c>
      <c r="H35" s="963">
        <v>355.97500000000002</v>
      </c>
      <c r="I35" s="963">
        <v>377.452</v>
      </c>
      <c r="J35" s="963">
        <v>407.60199999999998</v>
      </c>
      <c r="K35" s="963">
        <v>423.327</v>
      </c>
      <c r="L35" s="963">
        <v>468.78100000000001</v>
      </c>
      <c r="M35" s="963">
        <v>511.36599999999999</v>
      </c>
      <c r="N35" s="963">
        <v>530.77200000000005</v>
      </c>
      <c r="O35" s="963">
        <v>565.50599999999997</v>
      </c>
      <c r="P35" s="963">
        <v>621.36900000000003</v>
      </c>
      <c r="Q35" s="963">
        <v>618.72</v>
      </c>
      <c r="R35" s="963">
        <v>628.80499999999995</v>
      </c>
      <c r="S35" s="963">
        <v>262.03300000000002</v>
      </c>
      <c r="T35" s="963">
        <v>335.91500000000002</v>
      </c>
      <c r="U35" s="818">
        <f t="shared" si="0"/>
        <v>0.28195685276282001</v>
      </c>
    </row>
    <row r="36" spans="1:21" ht="12.75" customHeight="1" x14ac:dyDescent="0.2">
      <c r="A36" s="154">
        <v>30</v>
      </c>
      <c r="B36" s="504"/>
      <c r="C36" s="231" t="s">
        <v>583</v>
      </c>
      <c r="D36" s="965">
        <v>354.91199999999998</v>
      </c>
      <c r="E36" s="965">
        <v>423.46800000000002</v>
      </c>
      <c r="F36" s="965">
        <v>477.7</v>
      </c>
      <c r="G36" s="965">
        <v>460.42200000000003</v>
      </c>
      <c r="H36" s="965">
        <v>494.17700000000002</v>
      </c>
      <c r="I36" s="965">
        <v>488.43400000000003</v>
      </c>
      <c r="J36" s="965">
        <v>498.11500000000001</v>
      </c>
      <c r="K36" s="965">
        <v>493.52699999999999</v>
      </c>
      <c r="L36" s="965">
        <v>487.04300000000001</v>
      </c>
      <c r="M36" s="965">
        <v>482.36</v>
      </c>
      <c r="N36" s="965">
        <v>489.59899999999999</v>
      </c>
      <c r="O36" s="965">
        <v>579.89300000000003</v>
      </c>
      <c r="P36" s="965">
        <v>622.51199999999994</v>
      </c>
      <c r="Q36" s="965">
        <v>643.31899999999996</v>
      </c>
      <c r="R36" s="965">
        <v>693.721</v>
      </c>
      <c r="S36" s="965">
        <v>185.977</v>
      </c>
      <c r="T36" s="965">
        <v>329.85500000000002</v>
      </c>
      <c r="U36" s="817">
        <f t="shared" si="0"/>
        <v>0.7736332987412422</v>
      </c>
    </row>
    <row r="37" spans="1:21" ht="12.75" customHeight="1" x14ac:dyDescent="0.2">
      <c r="A37" s="154">
        <v>31</v>
      </c>
      <c r="B37" s="905"/>
      <c r="C37" s="906" t="s">
        <v>584</v>
      </c>
      <c r="D37" s="963" t="s">
        <v>337</v>
      </c>
      <c r="E37" s="963" t="s">
        <v>337</v>
      </c>
      <c r="F37" s="963" t="s">
        <v>337</v>
      </c>
      <c r="G37" s="963">
        <v>604.25599999999997</v>
      </c>
      <c r="H37" s="963">
        <v>555.78499999999997</v>
      </c>
      <c r="I37" s="963">
        <v>597.53700000000003</v>
      </c>
      <c r="J37" s="963">
        <v>651.947</v>
      </c>
      <c r="K37" s="963">
        <v>627.35699999999997</v>
      </c>
      <c r="L37" s="963">
        <v>718.23</v>
      </c>
      <c r="M37" s="963">
        <v>646.92899999999997</v>
      </c>
      <c r="N37" s="963">
        <v>608.51</v>
      </c>
      <c r="O37" s="963">
        <v>653.303</v>
      </c>
      <c r="P37" s="963">
        <v>663.68600000000004</v>
      </c>
      <c r="Q37" s="963">
        <v>676.32799999999997</v>
      </c>
      <c r="R37" s="963">
        <v>687.70299999999997</v>
      </c>
      <c r="S37" s="963">
        <v>195.93600000000001</v>
      </c>
      <c r="T37" s="963">
        <v>326.29399999999998</v>
      </c>
      <c r="U37" s="818">
        <f t="shared" si="0"/>
        <v>0.66530908051608684</v>
      </c>
    </row>
    <row r="38" spans="1:21" ht="12.75" customHeight="1" x14ac:dyDescent="0.2">
      <c r="A38" s="154">
        <v>32</v>
      </c>
      <c r="B38" s="504"/>
      <c r="C38" s="231" t="s">
        <v>367</v>
      </c>
      <c r="D38" s="965">
        <v>626.279</v>
      </c>
      <c r="E38" s="965">
        <v>747.12800000000004</v>
      </c>
      <c r="F38" s="965">
        <v>883.58600000000001</v>
      </c>
      <c r="G38" s="965">
        <v>1076.8019999999999</v>
      </c>
      <c r="H38" s="965">
        <v>1059.076</v>
      </c>
      <c r="I38" s="965">
        <v>842.65899999999999</v>
      </c>
      <c r="J38" s="965">
        <v>923.03499999999997</v>
      </c>
      <c r="K38" s="965">
        <v>937.48</v>
      </c>
      <c r="L38" s="965">
        <v>978.39499999999998</v>
      </c>
      <c r="M38" s="965">
        <v>993.947</v>
      </c>
      <c r="N38" s="965">
        <v>1086.8720000000001</v>
      </c>
      <c r="O38" s="965">
        <v>1309.038</v>
      </c>
      <c r="P38" s="965">
        <v>1366.973</v>
      </c>
      <c r="Q38" s="965">
        <v>1348.191</v>
      </c>
      <c r="R38" s="965">
        <v>1347.819</v>
      </c>
      <c r="S38" s="965">
        <v>341.90800000000002</v>
      </c>
      <c r="T38" s="965">
        <v>319.99299999999999</v>
      </c>
      <c r="U38" s="817">
        <f t="shared" si="0"/>
        <v>-6.4096189618259913E-2</v>
      </c>
    </row>
    <row r="39" spans="1:21" ht="12.75" customHeight="1" x14ac:dyDescent="0.2">
      <c r="A39" s="154">
        <v>33</v>
      </c>
      <c r="B39" s="905"/>
      <c r="C39" s="906" t="s">
        <v>585</v>
      </c>
      <c r="D39" s="963">
        <v>428.62799999999999</v>
      </c>
      <c r="E39" s="963">
        <v>320.00099999999998</v>
      </c>
      <c r="F39" s="963">
        <v>334.346</v>
      </c>
      <c r="G39" s="963">
        <v>343.73599999999999</v>
      </c>
      <c r="H39" s="963">
        <v>318.22300000000001</v>
      </c>
      <c r="I39" s="963">
        <v>345.83100000000002</v>
      </c>
      <c r="J39" s="963">
        <v>409.80200000000002</v>
      </c>
      <c r="K39" s="963">
        <v>427.16899999999998</v>
      </c>
      <c r="L39" s="963">
        <v>465.37599999999998</v>
      </c>
      <c r="M39" s="963">
        <v>529.03700000000003</v>
      </c>
      <c r="N39" s="963">
        <v>520.154</v>
      </c>
      <c r="O39" s="963">
        <v>410.1</v>
      </c>
      <c r="P39" s="963">
        <v>435.17</v>
      </c>
      <c r="Q39" s="963">
        <v>524.85900000000004</v>
      </c>
      <c r="R39" s="963">
        <v>579.90700000000004</v>
      </c>
      <c r="S39" s="963">
        <v>91.234999999999999</v>
      </c>
      <c r="T39" s="963">
        <v>313.43700000000001</v>
      </c>
      <c r="U39" s="818">
        <f t="shared" si="0"/>
        <v>2.4354907656053051</v>
      </c>
    </row>
    <row r="40" spans="1:21" ht="12.75" customHeight="1" x14ac:dyDescent="0.2">
      <c r="A40" s="154">
        <v>34</v>
      </c>
      <c r="B40" s="504"/>
      <c r="C40" s="231" t="s">
        <v>586</v>
      </c>
      <c r="D40" s="965">
        <v>1522.5340000000001</v>
      </c>
      <c r="E40" s="965">
        <v>1505.2470000000001</v>
      </c>
      <c r="F40" s="965">
        <v>1441.9349999999999</v>
      </c>
      <c r="G40" s="965">
        <v>1264.066</v>
      </c>
      <c r="H40" s="965">
        <v>1194.8399999999999</v>
      </c>
      <c r="I40" s="965">
        <v>1259.8330000000001</v>
      </c>
      <c r="J40" s="965">
        <v>1462.451</v>
      </c>
      <c r="K40" s="965">
        <v>1474.5129999999999</v>
      </c>
      <c r="L40" s="965">
        <v>1488.6210000000001</v>
      </c>
      <c r="M40" s="965">
        <v>1498.059</v>
      </c>
      <c r="N40" s="965">
        <v>1523.396</v>
      </c>
      <c r="O40" s="965">
        <v>1484.7529999999999</v>
      </c>
      <c r="P40" s="965">
        <v>1494.0170000000001</v>
      </c>
      <c r="Q40" s="965">
        <v>1551.02</v>
      </c>
      <c r="R40" s="965">
        <v>1541.211</v>
      </c>
      <c r="S40" s="965">
        <v>409.17599999999999</v>
      </c>
      <c r="T40" s="965">
        <v>312.089</v>
      </c>
      <c r="U40" s="817">
        <f t="shared" si="0"/>
        <v>-0.23727442469744064</v>
      </c>
    </row>
    <row r="41" spans="1:21" ht="12.75" customHeight="1" x14ac:dyDescent="0.2">
      <c r="A41" s="154">
        <v>35</v>
      </c>
      <c r="B41" s="905"/>
      <c r="C41" s="906" t="s">
        <v>587</v>
      </c>
      <c r="D41" s="963">
        <v>1123.2370000000001</v>
      </c>
      <c r="E41" s="963">
        <v>1031.328</v>
      </c>
      <c r="F41" s="963">
        <v>983.774</v>
      </c>
      <c r="G41" s="963">
        <v>924.55899999999997</v>
      </c>
      <c r="H41" s="963">
        <v>786.28</v>
      </c>
      <c r="I41" s="963">
        <v>719.53300000000002</v>
      </c>
      <c r="J41" s="963">
        <v>735.202</v>
      </c>
      <c r="K41" s="963">
        <v>677.36300000000006</v>
      </c>
      <c r="L41" s="963">
        <v>725.45600000000002</v>
      </c>
      <c r="M41" s="963">
        <v>809.12900000000002</v>
      </c>
      <c r="N41" s="963">
        <v>879.24400000000003</v>
      </c>
      <c r="O41" s="963">
        <v>914.85299999999995</v>
      </c>
      <c r="P41" s="963">
        <v>891.21299999999997</v>
      </c>
      <c r="Q41" s="963">
        <v>896.97199999999998</v>
      </c>
      <c r="R41" s="963">
        <v>907.22</v>
      </c>
      <c r="S41" s="963">
        <v>257.56</v>
      </c>
      <c r="T41" s="963">
        <v>309.30799999999999</v>
      </c>
      <c r="U41" s="818">
        <f t="shared" si="0"/>
        <v>0.20091629134958833</v>
      </c>
    </row>
    <row r="42" spans="1:21" ht="12.75" customHeight="1" x14ac:dyDescent="0.2">
      <c r="A42" s="154">
        <v>36</v>
      </c>
      <c r="B42" s="504"/>
      <c r="C42" s="231" t="s">
        <v>369</v>
      </c>
      <c r="D42" s="965">
        <v>622.029</v>
      </c>
      <c r="E42" s="965">
        <v>592.44500000000005</v>
      </c>
      <c r="F42" s="965">
        <v>663.351</v>
      </c>
      <c r="G42" s="965">
        <v>671.03700000000003</v>
      </c>
      <c r="H42" s="965">
        <v>695.40599999999995</v>
      </c>
      <c r="I42" s="965">
        <v>730.41</v>
      </c>
      <c r="J42" s="965">
        <v>756.16499999999996</v>
      </c>
      <c r="K42" s="965">
        <v>733.00599999999997</v>
      </c>
      <c r="L42" s="965">
        <v>753.18600000000004</v>
      </c>
      <c r="M42" s="965">
        <v>750.27700000000004</v>
      </c>
      <c r="N42" s="965">
        <v>767.96199999999999</v>
      </c>
      <c r="O42" s="965">
        <v>795.99900000000002</v>
      </c>
      <c r="P42" s="965">
        <v>865.15800000000002</v>
      </c>
      <c r="Q42" s="965">
        <v>852.79899999999998</v>
      </c>
      <c r="R42" s="965">
        <v>943.04600000000005</v>
      </c>
      <c r="S42" s="965">
        <v>300.75700000000001</v>
      </c>
      <c r="T42" s="965">
        <v>300.67099999999999</v>
      </c>
      <c r="U42" s="817">
        <f t="shared" si="0"/>
        <v>-2.8594513178414882E-4</v>
      </c>
    </row>
    <row r="43" spans="1:21" ht="12.75" customHeight="1" x14ac:dyDescent="0.2">
      <c r="A43" s="154">
        <v>37</v>
      </c>
      <c r="B43" s="905"/>
      <c r="C43" s="906" t="s">
        <v>673</v>
      </c>
      <c r="D43" s="963">
        <v>230.60300000000001</v>
      </c>
      <c r="E43" s="963">
        <v>183.10499999999999</v>
      </c>
      <c r="F43" s="963">
        <v>174.41800000000001</v>
      </c>
      <c r="G43" s="963">
        <v>171.18</v>
      </c>
      <c r="H43" s="963">
        <v>169.28200000000001</v>
      </c>
      <c r="I43" s="963">
        <v>209.708</v>
      </c>
      <c r="J43" s="963">
        <v>210.93100000000001</v>
      </c>
      <c r="K43" s="963">
        <v>215.53299999999999</v>
      </c>
      <c r="L43" s="963">
        <v>200.208</v>
      </c>
      <c r="M43" s="963">
        <v>198.48099999999999</v>
      </c>
      <c r="N43" s="963">
        <v>252.24100000000001</v>
      </c>
      <c r="O43" s="963">
        <v>202.61600000000001</v>
      </c>
      <c r="P43" s="963">
        <v>126.785</v>
      </c>
      <c r="Q43" s="963">
        <v>233.64099999999999</v>
      </c>
      <c r="R43" s="963">
        <v>255.86799999999999</v>
      </c>
      <c r="S43" s="963">
        <v>34.969000000000001</v>
      </c>
      <c r="T43" s="963">
        <v>299.93599999999998</v>
      </c>
      <c r="U43" s="818">
        <f t="shared" si="0"/>
        <v>7.5771969458663371</v>
      </c>
    </row>
    <row r="44" spans="1:21" ht="12.75" customHeight="1" x14ac:dyDescent="0.2">
      <c r="A44" s="154">
        <v>38</v>
      </c>
      <c r="B44" s="504"/>
      <c r="C44" s="231" t="s">
        <v>674</v>
      </c>
      <c r="D44" s="965">
        <v>0.26</v>
      </c>
      <c r="E44" s="965">
        <v>0.39700000000000002</v>
      </c>
      <c r="F44" s="965">
        <v>0.41599999999999998</v>
      </c>
      <c r="G44" s="965">
        <v>0.73099999999999998</v>
      </c>
      <c r="H44" s="965">
        <v>0.627</v>
      </c>
      <c r="I44" s="965">
        <v>1.641</v>
      </c>
      <c r="J44" s="965">
        <v>0.41399999999999998</v>
      </c>
      <c r="K44" s="965">
        <v>0.47499999999999998</v>
      </c>
      <c r="L44" s="965">
        <v>0.67700000000000005</v>
      </c>
      <c r="M44" s="965">
        <v>0.83699999999999997</v>
      </c>
      <c r="N44" s="965">
        <v>0.54200000000000004</v>
      </c>
      <c r="O44" s="965">
        <v>12.162000000000001</v>
      </c>
      <c r="P44" s="965">
        <v>114.11799999999999</v>
      </c>
      <c r="Q44" s="965">
        <v>88.831000000000003</v>
      </c>
      <c r="R44" s="965">
        <v>1.4410000000000001</v>
      </c>
      <c r="S44" s="965">
        <v>19.954000000000001</v>
      </c>
      <c r="T44" s="965">
        <v>298.41000000000003</v>
      </c>
      <c r="U44" s="817">
        <f t="shared" si="0"/>
        <v>13.954896261401224</v>
      </c>
    </row>
    <row r="45" spans="1:21" ht="12.75" customHeight="1" x14ac:dyDescent="0.2">
      <c r="A45" s="154">
        <v>39</v>
      </c>
      <c r="B45" s="905"/>
      <c r="C45" s="906" t="s">
        <v>515</v>
      </c>
      <c r="D45" s="963">
        <v>364.03399999999999</v>
      </c>
      <c r="E45" s="963">
        <v>392.452</v>
      </c>
      <c r="F45" s="963">
        <v>353.928</v>
      </c>
      <c r="G45" s="963">
        <v>400.81200000000001</v>
      </c>
      <c r="H45" s="963">
        <v>413.17200000000003</v>
      </c>
      <c r="I45" s="963">
        <v>395.80399999999997</v>
      </c>
      <c r="J45" s="963">
        <v>404.96499999999997</v>
      </c>
      <c r="K45" s="963">
        <v>430.745</v>
      </c>
      <c r="L45" s="963">
        <v>475.06099999999998</v>
      </c>
      <c r="M45" s="963">
        <v>490.245</v>
      </c>
      <c r="N45" s="963">
        <v>508.78300000000002</v>
      </c>
      <c r="O45" s="963">
        <v>563.89099999999996</v>
      </c>
      <c r="P45" s="963">
        <v>595.98299999999995</v>
      </c>
      <c r="Q45" s="963">
        <v>643.495</v>
      </c>
      <c r="R45" s="963">
        <v>637.99900000000002</v>
      </c>
      <c r="S45" s="963">
        <v>248.59800000000001</v>
      </c>
      <c r="T45" s="963">
        <v>297.71899999999999</v>
      </c>
      <c r="U45" s="818">
        <f t="shared" si="0"/>
        <v>0.19759209647704323</v>
      </c>
    </row>
    <row r="46" spans="1:21" ht="12.75" customHeight="1" x14ac:dyDescent="0.2">
      <c r="A46" s="154">
        <v>40</v>
      </c>
      <c r="B46" s="504"/>
      <c r="C46" s="231" t="s">
        <v>222</v>
      </c>
      <c r="D46" s="965">
        <v>936.62800000000004</v>
      </c>
      <c r="E46" s="965">
        <v>1036.425</v>
      </c>
      <c r="F46" s="965">
        <v>1057.0160000000001</v>
      </c>
      <c r="G46" s="965">
        <v>1047.2909999999999</v>
      </c>
      <c r="H46" s="965">
        <v>966.54</v>
      </c>
      <c r="I46" s="965">
        <v>1006.592</v>
      </c>
      <c r="J46" s="965">
        <v>1165.3869999999999</v>
      </c>
      <c r="K46" s="965">
        <v>1193.3710000000001</v>
      </c>
      <c r="L46" s="965">
        <v>1194.991</v>
      </c>
      <c r="M46" s="965">
        <v>1342.5440000000001</v>
      </c>
      <c r="N46" s="965">
        <v>1336.2139999999999</v>
      </c>
      <c r="O46" s="965">
        <v>1393.7460000000001</v>
      </c>
      <c r="P46" s="965">
        <v>1396.165</v>
      </c>
      <c r="Q46" s="965">
        <v>1432.175</v>
      </c>
      <c r="R46" s="965">
        <v>1379.3040000000001</v>
      </c>
      <c r="S46" s="965">
        <v>308.55</v>
      </c>
      <c r="T46" s="965">
        <v>294.71899999999999</v>
      </c>
      <c r="U46" s="817">
        <f t="shared" si="0"/>
        <v>-4.4825798087830271E-2</v>
      </c>
    </row>
    <row r="47" spans="1:21" ht="12.75" customHeight="1" x14ac:dyDescent="0.2">
      <c r="A47" s="154">
        <v>41</v>
      </c>
      <c r="B47" s="905"/>
      <c r="C47" s="906" t="s">
        <v>588</v>
      </c>
      <c r="D47" s="963">
        <v>549.10400000000004</v>
      </c>
      <c r="E47" s="963">
        <v>591.41</v>
      </c>
      <c r="F47" s="963">
        <v>611.40099999999995</v>
      </c>
      <c r="G47" s="963">
        <v>638.72699999999998</v>
      </c>
      <c r="H47" s="963">
        <v>595.55200000000002</v>
      </c>
      <c r="I47" s="963">
        <v>611.99900000000002</v>
      </c>
      <c r="J47" s="963">
        <v>666.16</v>
      </c>
      <c r="K47" s="963">
        <v>677.70500000000004</v>
      </c>
      <c r="L47" s="963">
        <v>697.97299999999996</v>
      </c>
      <c r="M47" s="963">
        <v>720.88099999999997</v>
      </c>
      <c r="N47" s="963">
        <v>761.44399999999996</v>
      </c>
      <c r="O47" s="963">
        <v>800.71400000000006</v>
      </c>
      <c r="P47" s="963">
        <v>940.20299999999997</v>
      </c>
      <c r="Q47" s="963">
        <v>995.47500000000002</v>
      </c>
      <c r="R47" s="963">
        <v>978.76800000000003</v>
      </c>
      <c r="S47" s="963">
        <v>306.13900000000001</v>
      </c>
      <c r="T47" s="963">
        <v>292.74599999999998</v>
      </c>
      <c r="U47" s="818">
        <f t="shared" si="0"/>
        <v>-4.3748101352653612E-2</v>
      </c>
    </row>
    <row r="48" spans="1:21" ht="12.75" customHeight="1" x14ac:dyDescent="0.2">
      <c r="A48" s="154">
        <v>42</v>
      </c>
      <c r="B48" s="504"/>
      <c r="C48" s="231" t="s">
        <v>669</v>
      </c>
      <c r="D48" s="965"/>
      <c r="E48" s="965"/>
      <c r="F48" s="965"/>
      <c r="G48" s="965"/>
      <c r="H48" s="965"/>
      <c r="I48" s="965"/>
      <c r="J48" s="965"/>
      <c r="K48" s="965"/>
      <c r="L48" s="965"/>
      <c r="M48" s="965"/>
      <c r="N48" s="965"/>
      <c r="O48" s="965"/>
      <c r="P48" s="965"/>
      <c r="Q48" s="965"/>
      <c r="R48" s="965">
        <v>4.4999999999999998E-2</v>
      </c>
      <c r="S48" s="965">
        <v>17.722999999999999</v>
      </c>
      <c r="T48" s="965">
        <v>290.89100000000002</v>
      </c>
      <c r="U48" s="817">
        <f t="shared" si="0"/>
        <v>15.413191897534279</v>
      </c>
    </row>
    <row r="49" spans="1:22" ht="12.75" customHeight="1" x14ac:dyDescent="0.2">
      <c r="A49" s="154">
        <v>43</v>
      </c>
      <c r="B49" s="905"/>
      <c r="C49" s="906" t="s">
        <v>589</v>
      </c>
      <c r="D49" s="963">
        <v>827.25599999999997</v>
      </c>
      <c r="E49" s="963">
        <v>857.11500000000001</v>
      </c>
      <c r="F49" s="963">
        <v>857.60500000000002</v>
      </c>
      <c r="G49" s="963">
        <v>830.15099999999995</v>
      </c>
      <c r="H49" s="963">
        <v>800.40099999999995</v>
      </c>
      <c r="I49" s="963">
        <v>800.89</v>
      </c>
      <c r="J49" s="963">
        <v>642.71600000000001</v>
      </c>
      <c r="K49" s="963">
        <v>606.24199999999996</v>
      </c>
      <c r="L49" s="963">
        <v>637.99599999999998</v>
      </c>
      <c r="M49" s="963">
        <v>672.54300000000001</v>
      </c>
      <c r="N49" s="963">
        <v>638.67999999999995</v>
      </c>
      <c r="O49" s="963">
        <v>623.23299999999995</v>
      </c>
      <c r="P49" s="963">
        <v>639.23900000000003</v>
      </c>
      <c r="Q49" s="963">
        <v>655.97299999999996</v>
      </c>
      <c r="R49" s="963">
        <v>682.90499999999997</v>
      </c>
      <c r="S49" s="963">
        <v>183.93799999999999</v>
      </c>
      <c r="T49" s="963">
        <v>289.86900000000003</v>
      </c>
      <c r="U49" s="818">
        <f t="shared" si="0"/>
        <v>0.57590601180832701</v>
      </c>
    </row>
    <row r="50" spans="1:22" ht="12.75" customHeight="1" x14ac:dyDescent="0.2">
      <c r="A50" s="154">
        <v>44</v>
      </c>
      <c r="B50" s="504"/>
      <c r="C50" s="231" t="s">
        <v>590</v>
      </c>
      <c r="D50" s="965">
        <v>708.90800000000002</v>
      </c>
      <c r="E50" s="965">
        <v>793.37099999999998</v>
      </c>
      <c r="F50" s="965">
        <v>794.73</v>
      </c>
      <c r="G50" s="965">
        <v>738.35500000000002</v>
      </c>
      <c r="H50" s="965">
        <v>685.70600000000002</v>
      </c>
      <c r="I50" s="965">
        <v>676.65499999999997</v>
      </c>
      <c r="J50" s="965">
        <v>646.20000000000005</v>
      </c>
      <c r="K50" s="965">
        <v>646.78599999999994</v>
      </c>
      <c r="L50" s="965">
        <v>611.68700000000001</v>
      </c>
      <c r="M50" s="965">
        <v>603.36500000000001</v>
      </c>
      <c r="N50" s="965">
        <v>623.01</v>
      </c>
      <c r="O50" s="965">
        <v>601.40499999999997</v>
      </c>
      <c r="P50" s="965">
        <v>616.19500000000005</v>
      </c>
      <c r="Q50" s="965">
        <v>637.678</v>
      </c>
      <c r="R50" s="965">
        <v>617.08100000000002</v>
      </c>
      <c r="S50" s="965">
        <v>184.23</v>
      </c>
      <c r="T50" s="965">
        <v>287.73</v>
      </c>
      <c r="U50" s="817">
        <f t="shared" si="0"/>
        <v>0.56179775280898903</v>
      </c>
    </row>
    <row r="51" spans="1:22" ht="12.75" customHeight="1" x14ac:dyDescent="0.2">
      <c r="A51" s="154">
        <v>45</v>
      </c>
      <c r="B51" s="905"/>
      <c r="C51" s="906" t="s">
        <v>43</v>
      </c>
      <c r="D51" s="963">
        <v>597.28399999999999</v>
      </c>
      <c r="E51" s="963">
        <v>622.947</v>
      </c>
      <c r="F51" s="963">
        <v>691.98</v>
      </c>
      <c r="G51" s="963">
        <v>716.71400000000006</v>
      </c>
      <c r="H51" s="963">
        <v>747.03800000000001</v>
      </c>
      <c r="I51" s="963">
        <v>777.89099999999996</v>
      </c>
      <c r="J51" s="963">
        <v>863.40599999999995</v>
      </c>
      <c r="K51" s="963">
        <v>907.95399999999995</v>
      </c>
      <c r="L51" s="963">
        <v>933.755</v>
      </c>
      <c r="M51" s="963">
        <v>950.83900000000006</v>
      </c>
      <c r="N51" s="963">
        <v>963.45100000000002</v>
      </c>
      <c r="O51" s="963">
        <v>987.93899999999996</v>
      </c>
      <c r="P51" s="963">
        <v>994.92</v>
      </c>
      <c r="Q51" s="963">
        <v>986.58799999999997</v>
      </c>
      <c r="R51" s="963">
        <v>940.41</v>
      </c>
      <c r="S51" s="963">
        <v>256.38499999999999</v>
      </c>
      <c r="T51" s="963">
        <v>285.36099999999999</v>
      </c>
      <c r="U51" s="818">
        <f t="shared" si="0"/>
        <v>0.11301753222692446</v>
      </c>
    </row>
    <row r="52" spans="1:22" ht="12.75" customHeight="1" x14ac:dyDescent="0.2">
      <c r="A52" s="154">
        <v>46</v>
      </c>
      <c r="B52" s="504"/>
      <c r="C52" s="231" t="s">
        <v>591</v>
      </c>
      <c r="D52" s="965">
        <v>501.81700000000001</v>
      </c>
      <c r="E52" s="965">
        <v>500.94900000000001</v>
      </c>
      <c r="F52" s="965">
        <v>579.61300000000006</v>
      </c>
      <c r="G52" s="965">
        <v>576.70299999999997</v>
      </c>
      <c r="H52" s="965">
        <v>558.702</v>
      </c>
      <c r="I52" s="965">
        <v>599.69299999999998</v>
      </c>
      <c r="J52" s="965">
        <v>393.27199999999999</v>
      </c>
      <c r="K52" s="965">
        <v>466.31700000000001</v>
      </c>
      <c r="L52" s="965">
        <v>402.79199999999997</v>
      </c>
      <c r="M52" s="965">
        <v>404.48099999999999</v>
      </c>
      <c r="N52" s="965">
        <v>381.68700000000001</v>
      </c>
      <c r="O52" s="965">
        <v>376.02800000000002</v>
      </c>
      <c r="P52" s="965">
        <v>389.98700000000002</v>
      </c>
      <c r="Q52" s="965">
        <v>404.68599999999998</v>
      </c>
      <c r="R52" s="965">
        <v>489.05</v>
      </c>
      <c r="S52" s="965">
        <v>218.97800000000001</v>
      </c>
      <c r="T52" s="965">
        <v>281.66699999999997</v>
      </c>
      <c r="U52" s="817">
        <f t="shared" si="0"/>
        <v>0.28627990026395334</v>
      </c>
      <c r="V52" s="719"/>
    </row>
    <row r="53" spans="1:22" ht="12.75" customHeight="1" x14ac:dyDescent="0.2">
      <c r="A53" s="154">
        <v>47</v>
      </c>
      <c r="B53" s="905"/>
      <c r="C53" s="906" t="s">
        <v>592</v>
      </c>
      <c r="D53" s="963"/>
      <c r="E53" s="963"/>
      <c r="F53" s="963"/>
      <c r="G53" s="963"/>
      <c r="H53" s="963"/>
      <c r="I53" s="963"/>
      <c r="J53" s="963"/>
      <c r="K53" s="963"/>
      <c r="L53" s="963"/>
      <c r="M53" s="963"/>
      <c r="N53" s="963"/>
      <c r="O53" s="963"/>
      <c r="P53" s="963"/>
      <c r="Q53" s="963"/>
      <c r="R53" s="963">
        <v>543.63099999999997</v>
      </c>
      <c r="S53" s="963">
        <v>206.98699999999999</v>
      </c>
      <c r="T53" s="963">
        <v>278.18299999999999</v>
      </c>
      <c r="U53" s="818">
        <f t="shared" si="0"/>
        <v>0.34396363056617085</v>
      </c>
    </row>
    <row r="54" spans="1:22" ht="12.75" customHeight="1" x14ac:dyDescent="0.2">
      <c r="A54" s="154">
        <v>48</v>
      </c>
      <c r="B54" s="504"/>
      <c r="C54" s="231" t="s">
        <v>593</v>
      </c>
      <c r="D54" s="965">
        <v>607.71900000000005</v>
      </c>
      <c r="E54" s="965">
        <v>643.79100000000005</v>
      </c>
      <c r="F54" s="965">
        <v>711.11599999999999</v>
      </c>
      <c r="G54" s="965">
        <v>735.34799999999996</v>
      </c>
      <c r="H54" s="965">
        <v>672.13</v>
      </c>
      <c r="I54" s="965">
        <v>709.53200000000004</v>
      </c>
      <c r="J54" s="965">
        <v>755.72699999999998</v>
      </c>
      <c r="K54" s="965">
        <v>740.09100000000001</v>
      </c>
      <c r="L54" s="965">
        <v>818.13400000000001</v>
      </c>
      <c r="M54" s="965">
        <v>788.75699999999995</v>
      </c>
      <c r="N54" s="965">
        <v>785.553</v>
      </c>
      <c r="O54" s="965">
        <v>809.19200000000001</v>
      </c>
      <c r="P54" s="965">
        <v>841.649</v>
      </c>
      <c r="Q54" s="965">
        <v>857.99</v>
      </c>
      <c r="R54" s="965">
        <v>841.62300000000005</v>
      </c>
      <c r="S54" s="965">
        <v>182.191</v>
      </c>
      <c r="T54" s="965">
        <v>276.07499999999999</v>
      </c>
      <c r="U54" s="817">
        <f t="shared" si="0"/>
        <v>0.51530536634630675</v>
      </c>
    </row>
    <row r="55" spans="1:22" ht="12.75" customHeight="1" x14ac:dyDescent="0.2">
      <c r="A55" s="154">
        <v>49</v>
      </c>
      <c r="B55" s="905"/>
      <c r="C55" s="906" t="s">
        <v>594</v>
      </c>
      <c r="D55" s="963">
        <v>346.55700000000002</v>
      </c>
      <c r="E55" s="963">
        <v>338.09500000000003</v>
      </c>
      <c r="F55" s="963">
        <v>349.387</v>
      </c>
      <c r="G55" s="963">
        <v>357.42899999999997</v>
      </c>
      <c r="H55" s="963">
        <v>334.77600000000001</v>
      </c>
      <c r="I55" s="963">
        <v>407.42099999999999</v>
      </c>
      <c r="J55" s="963">
        <v>478.79</v>
      </c>
      <c r="K55" s="963">
        <v>416.54700000000003</v>
      </c>
      <c r="L55" s="963">
        <v>438.59500000000003</v>
      </c>
      <c r="M55" s="963">
        <v>478.62</v>
      </c>
      <c r="N55" s="963">
        <v>603.31299999999999</v>
      </c>
      <c r="O55" s="963">
        <v>619.51599999999996</v>
      </c>
      <c r="P55" s="963">
        <v>650.75599999999997</v>
      </c>
      <c r="Q55" s="963">
        <v>708.34</v>
      </c>
      <c r="R55" s="963">
        <v>720.62300000000005</v>
      </c>
      <c r="S55" s="963">
        <v>163.636</v>
      </c>
      <c r="T55" s="963">
        <v>271.93599999999998</v>
      </c>
      <c r="U55" s="818">
        <f t="shared" si="0"/>
        <v>0.6618348040773423</v>
      </c>
    </row>
    <row r="56" spans="1:22" ht="12.75" customHeight="1" x14ac:dyDescent="0.2">
      <c r="A56" s="154">
        <v>50</v>
      </c>
      <c r="B56" s="510"/>
      <c r="C56" s="429" t="s">
        <v>595</v>
      </c>
      <c r="D56" s="511">
        <v>396.18700000000001</v>
      </c>
      <c r="E56" s="511">
        <v>422.56</v>
      </c>
      <c r="F56" s="511">
        <v>447.39299999999997</v>
      </c>
      <c r="G56" s="511">
        <v>449.91699999999997</v>
      </c>
      <c r="H56" s="511">
        <v>358.625</v>
      </c>
      <c r="I56" s="511">
        <v>402.02100000000002</v>
      </c>
      <c r="J56" s="511">
        <v>431.08600000000001</v>
      </c>
      <c r="K56" s="511">
        <v>428.39400000000001</v>
      </c>
      <c r="L56" s="511">
        <v>400.23700000000002</v>
      </c>
      <c r="M56" s="511">
        <v>423.20499999999998</v>
      </c>
      <c r="N56" s="511">
        <v>426.06</v>
      </c>
      <c r="O56" s="511">
        <v>447.47500000000002</v>
      </c>
      <c r="P56" s="511">
        <v>483.68900000000002</v>
      </c>
      <c r="Q56" s="511">
        <v>503.07</v>
      </c>
      <c r="R56" s="511">
        <v>568.80399999999997</v>
      </c>
      <c r="S56" s="511">
        <v>178.34399999999999</v>
      </c>
      <c r="T56" s="511">
        <v>270.24900000000002</v>
      </c>
      <c r="U56" s="865">
        <f t="shared" si="0"/>
        <v>0.51532431705019532</v>
      </c>
    </row>
    <row r="57" spans="1:22" ht="15" customHeight="1" x14ac:dyDescent="0.2">
      <c r="A57" s="149"/>
      <c r="B57" s="149"/>
      <c r="C57" s="19" t="s">
        <v>273</v>
      </c>
      <c r="D57" s="149"/>
      <c r="E57" s="149"/>
      <c r="F57" s="149"/>
      <c r="G57" s="149"/>
      <c r="H57" s="149"/>
      <c r="I57" s="149"/>
      <c r="J57" s="149"/>
      <c r="K57" s="149"/>
      <c r="L57" s="149"/>
      <c r="M57" s="149"/>
    </row>
    <row r="58" spans="1:22" ht="15" customHeight="1" x14ac:dyDescent="0.2">
      <c r="C58" s="1034" t="s">
        <v>675</v>
      </c>
      <c r="D58" s="480"/>
      <c r="E58" s="480"/>
      <c r="F58" s="480"/>
      <c r="G58" s="480"/>
      <c r="H58" s="480"/>
    </row>
    <row r="59" spans="1:22" ht="11.25" customHeight="1" x14ac:dyDescent="0.2">
      <c r="C59" s="1100" t="s">
        <v>676</v>
      </c>
      <c r="D59" s="1100"/>
      <c r="E59" s="1100"/>
      <c r="F59" s="1100"/>
      <c r="G59" s="1100"/>
      <c r="H59" s="1100"/>
      <c r="I59" s="1100"/>
      <c r="J59" s="1100"/>
      <c r="K59" s="1100"/>
      <c r="L59" s="1100"/>
      <c r="M59" s="1100"/>
      <c r="N59" s="1100"/>
      <c r="O59" s="1100"/>
      <c r="P59" s="1100"/>
      <c r="Q59" s="1100"/>
      <c r="R59" s="1100"/>
      <c r="S59" s="1100"/>
      <c r="T59" s="1100"/>
      <c r="U59" s="1100"/>
    </row>
    <row r="60" spans="1:22" ht="15" customHeight="1" x14ac:dyDescent="0.2">
      <c r="C60" s="1100"/>
      <c r="D60" s="1100"/>
      <c r="E60" s="1100"/>
      <c r="F60" s="1100"/>
      <c r="G60" s="1100"/>
      <c r="H60" s="1100"/>
      <c r="I60" s="1100"/>
      <c r="J60" s="1100"/>
      <c r="K60" s="1100"/>
      <c r="L60" s="1100"/>
      <c r="M60" s="1100"/>
      <c r="N60" s="1100"/>
      <c r="O60" s="1100"/>
      <c r="P60" s="1100"/>
      <c r="Q60" s="1100"/>
      <c r="R60" s="1100"/>
      <c r="S60" s="1100"/>
      <c r="T60" s="1100"/>
      <c r="U60" s="1100"/>
    </row>
    <row r="61" spans="1:22" ht="15" customHeight="1" x14ac:dyDescent="0.2"/>
    <row r="62" spans="1:22" ht="15" customHeight="1" x14ac:dyDescent="0.2"/>
    <row r="63" spans="1:22" ht="15" customHeight="1" x14ac:dyDescent="0.2"/>
    <row r="64" spans="1:22" ht="15" customHeight="1" x14ac:dyDescent="0.2"/>
    <row r="65" ht="15" customHeight="1" x14ac:dyDescent="0.2"/>
    <row r="66" ht="15" customHeight="1" x14ac:dyDescent="0.2"/>
    <row r="67" ht="15" customHeight="1" x14ac:dyDescent="0.2"/>
    <row r="68" ht="15" customHeight="1" x14ac:dyDescent="0.2"/>
    <row r="69" ht="15" customHeight="1" x14ac:dyDescent="0.2"/>
    <row r="70" ht="15" customHeight="1" x14ac:dyDescent="0.2"/>
    <row r="71" ht="15" customHeight="1" x14ac:dyDescent="0.2"/>
    <row r="72" ht="15" customHeight="1" x14ac:dyDescent="0.2"/>
    <row r="73" ht="15" customHeight="1" x14ac:dyDescent="0.2"/>
    <row r="74" ht="15" customHeight="1" x14ac:dyDescent="0.2"/>
    <row r="75" ht="15" customHeight="1" x14ac:dyDescent="0.2"/>
    <row r="76" ht="15" customHeight="1" x14ac:dyDescent="0.2"/>
    <row r="77" ht="15" customHeight="1" x14ac:dyDescent="0.2"/>
    <row r="78" ht="15" customHeight="1" x14ac:dyDescent="0.2"/>
    <row r="79" ht="15" customHeight="1" x14ac:dyDescent="0.2"/>
    <row r="80" ht="15" customHeight="1" x14ac:dyDescent="0.2"/>
    <row r="81" ht="15" customHeight="1" x14ac:dyDescent="0.2"/>
    <row r="82" ht="15" customHeight="1" x14ac:dyDescent="0.2"/>
    <row r="83" ht="15" customHeight="1" x14ac:dyDescent="0.2"/>
    <row r="84" ht="15" customHeight="1" x14ac:dyDescent="0.2"/>
    <row r="85" ht="15" customHeight="1" x14ac:dyDescent="0.2"/>
    <row r="86" ht="15" customHeight="1" x14ac:dyDescent="0.2"/>
    <row r="87" ht="15" customHeight="1" x14ac:dyDescent="0.2"/>
    <row r="88" ht="15" customHeight="1" x14ac:dyDescent="0.2"/>
    <row r="89" ht="15" customHeight="1" x14ac:dyDescent="0.2"/>
    <row r="90" ht="15" customHeight="1" x14ac:dyDescent="0.2"/>
    <row r="91" ht="15" customHeight="1" x14ac:dyDescent="0.2"/>
    <row r="92" ht="15" customHeight="1" x14ac:dyDescent="0.2"/>
    <row r="93" ht="15" customHeight="1" x14ac:dyDescent="0.2"/>
    <row r="94" ht="15" customHeight="1" x14ac:dyDescent="0.2"/>
    <row r="95" ht="15" customHeight="1" x14ac:dyDescent="0.2"/>
    <row r="96" ht="15" customHeight="1" x14ac:dyDescent="0.2"/>
    <row r="97" ht="15" customHeight="1" x14ac:dyDescent="0.2"/>
    <row r="98" ht="15" customHeight="1" x14ac:dyDescent="0.2"/>
    <row r="99" ht="15" customHeight="1" x14ac:dyDescent="0.2"/>
    <row r="100" ht="15" customHeight="1" x14ac:dyDescent="0.2"/>
    <row r="101" ht="15" customHeight="1" x14ac:dyDescent="0.2"/>
    <row r="102" ht="15" customHeight="1" x14ac:dyDescent="0.2"/>
    <row r="103" ht="15" customHeight="1" x14ac:dyDescent="0.2"/>
    <row r="104" ht="15" customHeight="1" x14ac:dyDescent="0.2"/>
    <row r="105" ht="15" customHeight="1" x14ac:dyDescent="0.2"/>
    <row r="106" ht="15" customHeight="1" x14ac:dyDescent="0.2"/>
    <row r="107" ht="15" customHeight="1" x14ac:dyDescent="0.2"/>
    <row r="108" ht="15" customHeight="1" x14ac:dyDescent="0.2"/>
    <row r="109" ht="15" customHeight="1" x14ac:dyDescent="0.2"/>
    <row r="110" ht="15" customHeight="1" x14ac:dyDescent="0.2"/>
    <row r="111" ht="15" customHeight="1" x14ac:dyDescent="0.2"/>
    <row r="112" ht="15" customHeight="1" x14ac:dyDescent="0.2"/>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ht="15" customHeight="1" x14ac:dyDescent="0.2"/>
    <row r="306" ht="15" customHeight="1" x14ac:dyDescent="0.2"/>
    <row r="307" ht="15" customHeight="1" x14ac:dyDescent="0.2"/>
    <row r="308" ht="15" customHeight="1" x14ac:dyDescent="0.2"/>
    <row r="309" ht="15" customHeight="1" x14ac:dyDescent="0.2"/>
    <row r="310" ht="15" customHeight="1" x14ac:dyDescent="0.2"/>
    <row r="311" ht="15" customHeight="1" x14ac:dyDescent="0.2"/>
    <row r="312" ht="15" customHeight="1" x14ac:dyDescent="0.2"/>
    <row r="313" ht="15" customHeight="1" x14ac:dyDescent="0.2"/>
    <row r="314" ht="15" customHeight="1" x14ac:dyDescent="0.2"/>
    <row r="315" ht="15" customHeight="1" x14ac:dyDescent="0.2"/>
    <row r="316" ht="15" customHeight="1" x14ac:dyDescent="0.2"/>
    <row r="317" ht="15" customHeight="1" x14ac:dyDescent="0.2"/>
    <row r="318" ht="15" customHeight="1" x14ac:dyDescent="0.2"/>
    <row r="319" ht="15" customHeight="1" x14ac:dyDescent="0.2"/>
    <row r="320"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ht="15" customHeight="1" x14ac:dyDescent="0.2"/>
    <row r="498" ht="15" customHeight="1" x14ac:dyDescent="0.2"/>
    <row r="499" ht="15" customHeight="1" x14ac:dyDescent="0.2"/>
    <row r="500" ht="15" customHeight="1" x14ac:dyDescent="0.2"/>
    <row r="501" ht="15" customHeight="1" x14ac:dyDescent="0.2"/>
    <row r="502" ht="15" customHeight="1" x14ac:dyDescent="0.2"/>
    <row r="503" ht="15" customHeight="1" x14ac:dyDescent="0.2"/>
    <row r="504" ht="15" customHeight="1" x14ac:dyDescent="0.2"/>
    <row r="505" ht="15" customHeight="1" x14ac:dyDescent="0.2"/>
    <row r="506" ht="15" customHeight="1" x14ac:dyDescent="0.2"/>
    <row r="507" ht="15" customHeight="1" x14ac:dyDescent="0.2"/>
    <row r="508" ht="15" customHeight="1" x14ac:dyDescent="0.2"/>
    <row r="509" ht="15" customHeight="1" x14ac:dyDescent="0.2"/>
    <row r="510" ht="15" customHeight="1" x14ac:dyDescent="0.2"/>
    <row r="511" ht="15" customHeight="1" x14ac:dyDescent="0.2"/>
    <row r="512"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ht="15" customHeight="1" x14ac:dyDescent="0.2"/>
    <row r="706" ht="15" customHeight="1" x14ac:dyDescent="0.2"/>
    <row r="707" ht="15" customHeight="1" x14ac:dyDescent="0.2"/>
    <row r="708" ht="15" customHeight="1" x14ac:dyDescent="0.2"/>
    <row r="709" ht="15" customHeight="1" x14ac:dyDescent="0.2"/>
    <row r="710" ht="15" customHeight="1" x14ac:dyDescent="0.2"/>
    <row r="711" ht="15" customHeight="1" x14ac:dyDescent="0.2"/>
    <row r="712" ht="15" customHeight="1" x14ac:dyDescent="0.2"/>
    <row r="713" ht="15" customHeight="1" x14ac:dyDescent="0.2"/>
    <row r="714" ht="15" customHeight="1" x14ac:dyDescent="0.2"/>
    <row r="715" ht="15" customHeight="1" x14ac:dyDescent="0.2"/>
    <row r="716" ht="15" customHeight="1" x14ac:dyDescent="0.2"/>
    <row r="717" ht="15" customHeight="1" x14ac:dyDescent="0.2"/>
    <row r="718" ht="15" customHeight="1" x14ac:dyDescent="0.2"/>
    <row r="719" ht="15" customHeight="1" x14ac:dyDescent="0.2"/>
    <row r="720"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ht="15" customHeight="1" x14ac:dyDescent="0.2"/>
    <row r="882" ht="15" customHeight="1" x14ac:dyDescent="0.2"/>
    <row r="883" ht="15" customHeight="1" x14ac:dyDescent="0.2"/>
    <row r="884" ht="15" customHeight="1" x14ac:dyDescent="0.2"/>
    <row r="885" ht="15" customHeight="1" x14ac:dyDescent="0.2"/>
    <row r="886" ht="15" customHeight="1" x14ac:dyDescent="0.2"/>
    <row r="887" ht="15" customHeight="1" x14ac:dyDescent="0.2"/>
    <row r="888" ht="15" customHeight="1" x14ac:dyDescent="0.2"/>
    <row r="889" ht="15" customHeight="1" x14ac:dyDescent="0.2"/>
    <row r="890" ht="15" customHeight="1" x14ac:dyDescent="0.2"/>
    <row r="891" ht="15" customHeight="1" x14ac:dyDescent="0.2"/>
    <row r="892" ht="15" customHeight="1" x14ac:dyDescent="0.2"/>
    <row r="893" ht="15" customHeight="1" x14ac:dyDescent="0.2"/>
    <row r="894" ht="15" customHeight="1" x14ac:dyDescent="0.2"/>
    <row r="895" ht="15" customHeight="1" x14ac:dyDescent="0.2"/>
    <row r="896"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ht="15" customHeight="1" x14ac:dyDescent="0.2"/>
    <row r="1090" ht="15" customHeight="1" x14ac:dyDescent="0.2"/>
    <row r="1091" ht="15" customHeight="1" x14ac:dyDescent="0.2"/>
    <row r="1092" ht="15" customHeight="1" x14ac:dyDescent="0.2"/>
    <row r="1093" ht="15" customHeight="1" x14ac:dyDescent="0.2"/>
    <row r="1094" ht="15" customHeight="1" x14ac:dyDescent="0.2"/>
    <row r="1095" ht="15" customHeight="1" x14ac:dyDescent="0.2"/>
    <row r="1096" ht="15" customHeight="1" x14ac:dyDescent="0.2"/>
    <row r="1097" ht="15" customHeight="1" x14ac:dyDescent="0.2"/>
    <row r="1098" ht="15" customHeight="1" x14ac:dyDescent="0.2"/>
    <row r="1099" ht="15" customHeight="1" x14ac:dyDescent="0.2"/>
    <row r="1100" ht="15" customHeight="1" x14ac:dyDescent="0.2"/>
    <row r="1101" ht="15" customHeight="1" x14ac:dyDescent="0.2"/>
    <row r="1102" ht="15" customHeight="1" x14ac:dyDescent="0.2"/>
    <row r="1103" ht="15" customHeight="1" x14ac:dyDescent="0.2"/>
    <row r="1104"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ht="15" customHeight="1" x14ac:dyDescent="0.2"/>
    <row r="1218" ht="15" customHeight="1" x14ac:dyDescent="0.2"/>
    <row r="1219" ht="15" customHeight="1" x14ac:dyDescent="0.2"/>
    <row r="1220" ht="15" customHeight="1" x14ac:dyDescent="0.2"/>
    <row r="1221" ht="15" customHeight="1" x14ac:dyDescent="0.2"/>
    <row r="1222" ht="15" customHeight="1" x14ac:dyDescent="0.2"/>
    <row r="1223" ht="15" customHeight="1" x14ac:dyDescent="0.2"/>
    <row r="1224" ht="15" customHeight="1" x14ac:dyDescent="0.2"/>
    <row r="1225" ht="15" customHeight="1" x14ac:dyDescent="0.2"/>
    <row r="1226" ht="15" customHeight="1" x14ac:dyDescent="0.2"/>
    <row r="1227" ht="15" customHeight="1" x14ac:dyDescent="0.2"/>
    <row r="1228" ht="15" customHeight="1" x14ac:dyDescent="0.2"/>
    <row r="1229" ht="15" customHeight="1" x14ac:dyDescent="0.2"/>
    <row r="1230" ht="15" customHeight="1" x14ac:dyDescent="0.2"/>
    <row r="1231" ht="15" customHeight="1" x14ac:dyDescent="0.2"/>
    <row r="1232"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ht="15" customHeight="1" x14ac:dyDescent="0.2"/>
    <row r="1378" ht="15" customHeight="1" x14ac:dyDescent="0.2"/>
    <row r="1379" ht="15" customHeight="1" x14ac:dyDescent="0.2"/>
    <row r="1380" ht="15" customHeight="1" x14ac:dyDescent="0.2"/>
    <row r="1381" ht="15" customHeight="1" x14ac:dyDescent="0.2"/>
    <row r="1382" ht="15" customHeight="1" x14ac:dyDescent="0.2"/>
    <row r="1383" ht="15" customHeight="1" x14ac:dyDescent="0.2"/>
    <row r="1384" ht="15" customHeight="1" x14ac:dyDescent="0.2"/>
    <row r="1385" ht="15" customHeight="1" x14ac:dyDescent="0.2"/>
    <row r="1386" ht="15" customHeight="1" x14ac:dyDescent="0.2"/>
    <row r="1387" ht="15" customHeight="1" x14ac:dyDescent="0.2"/>
    <row r="1388" ht="15" customHeight="1" x14ac:dyDescent="0.2"/>
    <row r="1389" ht="15" customHeight="1" x14ac:dyDescent="0.2"/>
    <row r="1390" ht="15" customHeight="1" x14ac:dyDescent="0.2"/>
    <row r="1391" ht="15" customHeight="1" x14ac:dyDescent="0.2"/>
    <row r="1392"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ht="15" customHeight="1" x14ac:dyDescent="0.2"/>
    <row r="1490" ht="15" customHeight="1" x14ac:dyDescent="0.2"/>
    <row r="1491" ht="15" customHeight="1" x14ac:dyDescent="0.2"/>
    <row r="1492" ht="15" customHeight="1" x14ac:dyDescent="0.2"/>
    <row r="1493" ht="15" customHeight="1" x14ac:dyDescent="0.2"/>
    <row r="1494" ht="15" customHeight="1" x14ac:dyDescent="0.2"/>
    <row r="1495" ht="15" customHeight="1" x14ac:dyDescent="0.2"/>
    <row r="1496" ht="15" customHeight="1" x14ac:dyDescent="0.2"/>
    <row r="1497" ht="15" customHeight="1" x14ac:dyDescent="0.2"/>
    <row r="1498" ht="15" customHeight="1" x14ac:dyDescent="0.2"/>
    <row r="1499" ht="15" customHeight="1" x14ac:dyDescent="0.2"/>
    <row r="1500" ht="15" customHeight="1" x14ac:dyDescent="0.2"/>
    <row r="1501" ht="15" customHeight="1" x14ac:dyDescent="0.2"/>
    <row r="1502" ht="15" customHeight="1" x14ac:dyDescent="0.2"/>
    <row r="1503" ht="15" customHeight="1" x14ac:dyDescent="0.2"/>
    <row r="1504"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ht="15" customHeight="1" x14ac:dyDescent="0.2"/>
    <row r="1602" ht="15" customHeight="1" x14ac:dyDescent="0.2"/>
    <row r="1603" ht="15" customHeight="1" x14ac:dyDescent="0.2"/>
    <row r="1604" ht="15" customHeight="1" x14ac:dyDescent="0.2"/>
    <row r="1605" ht="15" customHeight="1" x14ac:dyDescent="0.2"/>
    <row r="1606" ht="15" customHeight="1" x14ac:dyDescent="0.2"/>
    <row r="1607" ht="15" customHeight="1" x14ac:dyDescent="0.2"/>
    <row r="1608" ht="15" customHeight="1" x14ac:dyDescent="0.2"/>
    <row r="1609" ht="15" customHeight="1" x14ac:dyDescent="0.2"/>
    <row r="1610" ht="15" customHeight="1" x14ac:dyDescent="0.2"/>
    <row r="1611" ht="15" customHeight="1" x14ac:dyDescent="0.2"/>
    <row r="1612" ht="15" customHeight="1" x14ac:dyDescent="0.2"/>
    <row r="1613" ht="15" customHeight="1" x14ac:dyDescent="0.2"/>
    <row r="1614" ht="15" customHeight="1" x14ac:dyDescent="0.2"/>
    <row r="1615" ht="15" customHeight="1" x14ac:dyDescent="0.2"/>
    <row r="1616"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ht="15" customHeight="1" x14ac:dyDescent="0.2"/>
    <row r="1698" ht="15" customHeight="1" x14ac:dyDescent="0.2"/>
    <row r="1699" ht="15" customHeight="1" x14ac:dyDescent="0.2"/>
    <row r="1700" ht="15" customHeight="1" x14ac:dyDescent="0.2"/>
    <row r="1701" ht="15" customHeight="1" x14ac:dyDescent="0.2"/>
    <row r="1702" ht="15" customHeight="1" x14ac:dyDescent="0.2"/>
    <row r="1703" ht="15" customHeight="1" x14ac:dyDescent="0.2"/>
    <row r="1704" ht="15" customHeight="1" x14ac:dyDescent="0.2"/>
    <row r="1705" ht="15" customHeight="1" x14ac:dyDescent="0.2"/>
    <row r="1706" ht="15" customHeight="1" x14ac:dyDescent="0.2"/>
    <row r="1707" ht="15" customHeight="1" x14ac:dyDescent="0.2"/>
    <row r="1708" ht="15" customHeight="1" x14ac:dyDescent="0.2"/>
    <row r="1709" ht="15" customHeight="1" x14ac:dyDescent="0.2"/>
    <row r="1710" ht="15" customHeight="1" x14ac:dyDescent="0.2"/>
    <row r="1711" ht="15" customHeight="1" x14ac:dyDescent="0.2"/>
    <row r="1712"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ht="15" customHeight="1" x14ac:dyDescent="0.2"/>
    <row r="1938" ht="15" customHeight="1" x14ac:dyDescent="0.2"/>
    <row r="1939" ht="15" customHeight="1" x14ac:dyDescent="0.2"/>
    <row r="1940" ht="15" customHeight="1" x14ac:dyDescent="0.2"/>
    <row r="1941" ht="15" customHeight="1" x14ac:dyDescent="0.2"/>
    <row r="1942" ht="15" customHeight="1" x14ac:dyDescent="0.2"/>
    <row r="1943" ht="15" customHeight="1" x14ac:dyDescent="0.2"/>
    <row r="1944" ht="15" customHeight="1" x14ac:dyDescent="0.2"/>
    <row r="1945" ht="15" customHeight="1" x14ac:dyDescent="0.2"/>
    <row r="1946" ht="15" customHeight="1" x14ac:dyDescent="0.2"/>
    <row r="1947" ht="15" customHeight="1" x14ac:dyDescent="0.2"/>
    <row r="1948" ht="15" customHeight="1" x14ac:dyDescent="0.2"/>
    <row r="1949" ht="15" customHeight="1" x14ac:dyDescent="0.2"/>
    <row r="1950" ht="15" customHeight="1" x14ac:dyDescent="0.2"/>
    <row r="1951" ht="15" customHeight="1" x14ac:dyDescent="0.2"/>
    <row r="1952"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ht="15" customHeight="1" x14ac:dyDescent="0.2"/>
    <row r="2018" ht="15" customHeight="1" x14ac:dyDescent="0.2"/>
    <row r="2019" ht="15" customHeight="1" x14ac:dyDescent="0.2"/>
    <row r="2020" ht="15" customHeight="1" x14ac:dyDescent="0.2"/>
    <row r="2021" ht="15" customHeight="1" x14ac:dyDescent="0.2"/>
    <row r="2022" ht="15" customHeight="1" x14ac:dyDescent="0.2"/>
    <row r="2023" ht="15" customHeight="1" x14ac:dyDescent="0.2"/>
    <row r="2024" ht="15" customHeight="1" x14ac:dyDescent="0.2"/>
    <row r="2025" ht="15" customHeight="1" x14ac:dyDescent="0.2"/>
    <row r="2026" ht="15" customHeight="1" x14ac:dyDescent="0.2"/>
    <row r="2027" ht="15" customHeight="1" x14ac:dyDescent="0.2"/>
    <row r="2028" ht="15" customHeight="1" x14ac:dyDescent="0.2"/>
    <row r="2029" ht="15" customHeight="1" x14ac:dyDescent="0.2"/>
    <row r="2030" ht="15" customHeight="1" x14ac:dyDescent="0.2"/>
    <row r="2031" ht="15" customHeight="1" x14ac:dyDescent="0.2"/>
    <row r="2032"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ht="15" customHeight="1" x14ac:dyDescent="0.2"/>
    <row r="2146" ht="15" customHeight="1" x14ac:dyDescent="0.2"/>
    <row r="2147" ht="15" customHeight="1" x14ac:dyDescent="0.2"/>
    <row r="2148" ht="15" customHeight="1" x14ac:dyDescent="0.2"/>
    <row r="2149" ht="15" customHeight="1" x14ac:dyDescent="0.2"/>
    <row r="2150" ht="15" customHeight="1" x14ac:dyDescent="0.2"/>
    <row r="2151" ht="15" customHeight="1" x14ac:dyDescent="0.2"/>
    <row r="2152" ht="15" customHeight="1" x14ac:dyDescent="0.2"/>
    <row r="2153" ht="15" customHeight="1" x14ac:dyDescent="0.2"/>
    <row r="2154" ht="15" customHeight="1" x14ac:dyDescent="0.2"/>
    <row r="2155" ht="15" customHeight="1" x14ac:dyDescent="0.2"/>
    <row r="2156" ht="15" customHeight="1" x14ac:dyDescent="0.2"/>
    <row r="2157" ht="15" customHeight="1" x14ac:dyDescent="0.2"/>
    <row r="2158" ht="15" customHeight="1" x14ac:dyDescent="0.2"/>
    <row r="2159" ht="15" customHeight="1" x14ac:dyDescent="0.2"/>
    <row r="2160"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ht="15" customHeight="1" x14ac:dyDescent="0.2"/>
    <row r="2306" ht="15" customHeight="1" x14ac:dyDescent="0.2"/>
    <row r="2307" ht="15" customHeight="1" x14ac:dyDescent="0.2"/>
    <row r="2308" ht="15" customHeight="1" x14ac:dyDescent="0.2"/>
    <row r="2309" ht="15" customHeight="1" x14ac:dyDescent="0.2"/>
    <row r="2310" ht="15" customHeight="1" x14ac:dyDescent="0.2"/>
    <row r="2311" ht="15" customHeight="1" x14ac:dyDescent="0.2"/>
    <row r="2312" ht="15" customHeight="1" x14ac:dyDescent="0.2"/>
    <row r="2313" ht="15" customHeight="1" x14ac:dyDescent="0.2"/>
    <row r="2314" ht="15" customHeight="1" x14ac:dyDescent="0.2"/>
    <row r="2315" ht="15" customHeight="1" x14ac:dyDescent="0.2"/>
    <row r="2316" ht="15" customHeight="1" x14ac:dyDescent="0.2"/>
    <row r="2317" ht="15" customHeight="1" x14ac:dyDescent="0.2"/>
    <row r="2318" ht="15" customHeight="1" x14ac:dyDescent="0.2"/>
    <row r="2319" ht="15" customHeight="1" x14ac:dyDescent="0.2"/>
    <row r="2320"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ht="15" customHeight="1" x14ac:dyDescent="0.2"/>
    <row r="2418" ht="15" customHeight="1" x14ac:dyDescent="0.2"/>
    <row r="2419" ht="15" customHeight="1" x14ac:dyDescent="0.2"/>
    <row r="2420" ht="15" customHeight="1" x14ac:dyDescent="0.2"/>
    <row r="2421" ht="15" customHeight="1" x14ac:dyDescent="0.2"/>
    <row r="2422" ht="15" customHeight="1" x14ac:dyDescent="0.2"/>
    <row r="2423" ht="15" customHeight="1" x14ac:dyDescent="0.2"/>
    <row r="2424" ht="15" customHeight="1" x14ac:dyDescent="0.2"/>
    <row r="2425" ht="15" customHeight="1" x14ac:dyDescent="0.2"/>
    <row r="2426" ht="15" customHeight="1" x14ac:dyDescent="0.2"/>
    <row r="2427" ht="15" customHeight="1" x14ac:dyDescent="0.2"/>
    <row r="2428" ht="15" customHeight="1" x14ac:dyDescent="0.2"/>
    <row r="2429" ht="15" customHeight="1" x14ac:dyDescent="0.2"/>
    <row r="2430" ht="15" customHeight="1" x14ac:dyDescent="0.2"/>
    <row r="2431" ht="15" customHeight="1" x14ac:dyDescent="0.2"/>
    <row r="2432"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ht="15" customHeight="1" x14ac:dyDescent="0.2"/>
    <row r="2498" ht="15" customHeight="1" x14ac:dyDescent="0.2"/>
    <row r="2499" ht="15" customHeight="1" x14ac:dyDescent="0.2"/>
    <row r="2500" ht="15" customHeight="1" x14ac:dyDescent="0.2"/>
    <row r="2501" ht="15" customHeight="1" x14ac:dyDescent="0.2"/>
    <row r="2502" ht="15" customHeight="1" x14ac:dyDescent="0.2"/>
    <row r="2503" ht="15" customHeight="1" x14ac:dyDescent="0.2"/>
    <row r="2504" ht="15" customHeight="1" x14ac:dyDescent="0.2"/>
    <row r="2505" ht="15" customHeight="1" x14ac:dyDescent="0.2"/>
    <row r="2506" ht="15" customHeight="1" x14ac:dyDescent="0.2"/>
    <row r="2507" ht="15" customHeight="1" x14ac:dyDescent="0.2"/>
    <row r="2508" ht="15" customHeight="1" x14ac:dyDescent="0.2"/>
    <row r="2509" ht="15" customHeight="1" x14ac:dyDescent="0.2"/>
    <row r="2510" ht="15" customHeight="1" x14ac:dyDescent="0.2"/>
    <row r="2511" ht="15" customHeight="1" x14ac:dyDescent="0.2"/>
    <row r="2512"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ht="15" customHeight="1" x14ac:dyDescent="0.2"/>
    <row r="2594" ht="15" customHeight="1" x14ac:dyDescent="0.2"/>
    <row r="2595" ht="15" customHeight="1" x14ac:dyDescent="0.2"/>
    <row r="2596" ht="15" customHeight="1" x14ac:dyDescent="0.2"/>
    <row r="2597" ht="15" customHeight="1" x14ac:dyDescent="0.2"/>
    <row r="2598" ht="15" customHeight="1" x14ac:dyDescent="0.2"/>
    <row r="2599" ht="15" customHeight="1" x14ac:dyDescent="0.2"/>
    <row r="2600" ht="15" customHeight="1" x14ac:dyDescent="0.2"/>
    <row r="2601" ht="15" customHeight="1" x14ac:dyDescent="0.2"/>
    <row r="2602" ht="15" customHeight="1" x14ac:dyDescent="0.2"/>
    <row r="2603" ht="15" customHeight="1" x14ac:dyDescent="0.2"/>
    <row r="2604" ht="15" customHeight="1" x14ac:dyDescent="0.2"/>
    <row r="2605" ht="15" customHeight="1" x14ac:dyDescent="0.2"/>
    <row r="2606" ht="15" customHeight="1" x14ac:dyDescent="0.2"/>
    <row r="2607" ht="15" customHeight="1" x14ac:dyDescent="0.2"/>
    <row r="2608"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ht="15" customHeight="1" x14ac:dyDescent="0.2"/>
    <row r="2706" ht="15" customHeight="1" x14ac:dyDescent="0.2"/>
    <row r="2707" ht="15" customHeight="1" x14ac:dyDescent="0.2"/>
    <row r="2708" ht="15" customHeight="1" x14ac:dyDescent="0.2"/>
    <row r="2709" ht="15" customHeight="1" x14ac:dyDescent="0.2"/>
    <row r="2710" ht="15" customHeight="1" x14ac:dyDescent="0.2"/>
    <row r="2711" ht="15" customHeight="1" x14ac:dyDescent="0.2"/>
    <row r="2712" ht="15" customHeight="1" x14ac:dyDescent="0.2"/>
    <row r="2713" ht="15" customHeight="1" x14ac:dyDescent="0.2"/>
    <row r="2714" ht="15" customHeight="1" x14ac:dyDescent="0.2"/>
    <row r="2715" ht="15" customHeight="1" x14ac:dyDescent="0.2"/>
    <row r="2716" ht="15" customHeight="1" x14ac:dyDescent="0.2"/>
    <row r="2717" ht="15" customHeight="1" x14ac:dyDescent="0.2"/>
    <row r="2718" ht="15" customHeight="1" x14ac:dyDescent="0.2"/>
    <row r="2719" ht="15" customHeight="1" x14ac:dyDescent="0.2"/>
    <row r="2720"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ht="15" customHeight="1" x14ac:dyDescent="0.2"/>
    <row r="2834" ht="15" customHeight="1" x14ac:dyDescent="0.2"/>
    <row r="2835" ht="15" customHeight="1" x14ac:dyDescent="0.2"/>
    <row r="2836" ht="15" customHeight="1" x14ac:dyDescent="0.2"/>
    <row r="2837" ht="15" customHeight="1" x14ac:dyDescent="0.2"/>
    <row r="2838" ht="15" customHeight="1" x14ac:dyDescent="0.2"/>
    <row r="2839" ht="15" customHeight="1" x14ac:dyDescent="0.2"/>
    <row r="2840" ht="15" customHeight="1" x14ac:dyDescent="0.2"/>
    <row r="2841" ht="15" customHeight="1" x14ac:dyDescent="0.2"/>
    <row r="2842" ht="15" customHeight="1" x14ac:dyDescent="0.2"/>
    <row r="2843" ht="15" customHeight="1" x14ac:dyDescent="0.2"/>
    <row r="2844" ht="15" customHeight="1" x14ac:dyDescent="0.2"/>
    <row r="2845" ht="15" customHeight="1" x14ac:dyDescent="0.2"/>
    <row r="2846" ht="15" customHeight="1" x14ac:dyDescent="0.2"/>
    <row r="2847" ht="15" customHeight="1" x14ac:dyDescent="0.2"/>
    <row r="2848" ht="15" customHeight="1" x14ac:dyDescent="0.2"/>
    <row r="2849" ht="15" customHeight="1" x14ac:dyDescent="0.2"/>
    <row r="2850" ht="15" customHeight="1" x14ac:dyDescent="0.2"/>
    <row r="2851" ht="15" customHeight="1" x14ac:dyDescent="0.2"/>
    <row r="2852" ht="15" customHeight="1" x14ac:dyDescent="0.2"/>
    <row r="2853" ht="15" customHeight="1" x14ac:dyDescent="0.2"/>
    <row r="2854" ht="15" customHeight="1" x14ac:dyDescent="0.2"/>
    <row r="2855" ht="15" customHeight="1" x14ac:dyDescent="0.2"/>
    <row r="2856" ht="15" customHeight="1" x14ac:dyDescent="0.2"/>
    <row r="2857" ht="15" customHeight="1" x14ac:dyDescent="0.2"/>
    <row r="2858" ht="15" customHeight="1" x14ac:dyDescent="0.2"/>
    <row r="2859" ht="15" customHeight="1" x14ac:dyDescent="0.2"/>
    <row r="2860" ht="15" customHeight="1" x14ac:dyDescent="0.2"/>
    <row r="2861" ht="15" customHeight="1" x14ac:dyDescent="0.2"/>
    <row r="2862" ht="15" customHeight="1" x14ac:dyDescent="0.2"/>
    <row r="2863" ht="15" customHeight="1" x14ac:dyDescent="0.2"/>
    <row r="2864" ht="15" customHeight="1" x14ac:dyDescent="0.2"/>
    <row r="2865" ht="15" customHeight="1" x14ac:dyDescent="0.2"/>
    <row r="2866" ht="15" customHeight="1" x14ac:dyDescent="0.2"/>
    <row r="2867" ht="15" customHeight="1" x14ac:dyDescent="0.2"/>
    <row r="2868" ht="15" customHeight="1" x14ac:dyDescent="0.2"/>
    <row r="2869" ht="15" customHeight="1" x14ac:dyDescent="0.2"/>
    <row r="2870" ht="15" customHeight="1" x14ac:dyDescent="0.2"/>
    <row r="2871" ht="15" customHeight="1" x14ac:dyDescent="0.2"/>
    <row r="2872" ht="15" customHeight="1" x14ac:dyDescent="0.2"/>
    <row r="2873" ht="15" customHeight="1" x14ac:dyDescent="0.2"/>
    <row r="2874" ht="15" customHeight="1" x14ac:dyDescent="0.2"/>
    <row r="2875" ht="15" customHeight="1" x14ac:dyDescent="0.2"/>
    <row r="2876" ht="15" customHeight="1" x14ac:dyDescent="0.2"/>
    <row r="2877" ht="15" customHeight="1" x14ac:dyDescent="0.2"/>
    <row r="2878" ht="15" customHeight="1" x14ac:dyDescent="0.2"/>
    <row r="2879" ht="15" customHeight="1" x14ac:dyDescent="0.2"/>
    <row r="2880" ht="15" customHeight="1" x14ac:dyDescent="0.2"/>
    <row r="2881" ht="15" customHeight="1" x14ac:dyDescent="0.2"/>
    <row r="2882" ht="15" customHeight="1" x14ac:dyDescent="0.2"/>
    <row r="2883" ht="15" customHeight="1" x14ac:dyDescent="0.2"/>
    <row r="2884" ht="15" customHeight="1" x14ac:dyDescent="0.2"/>
    <row r="2885" ht="15" customHeight="1" x14ac:dyDescent="0.2"/>
    <row r="2886" ht="15" customHeight="1" x14ac:dyDescent="0.2"/>
    <row r="2887" ht="15" customHeight="1" x14ac:dyDescent="0.2"/>
    <row r="2888" ht="15" customHeight="1" x14ac:dyDescent="0.2"/>
    <row r="2889" ht="15" customHeight="1" x14ac:dyDescent="0.2"/>
    <row r="2890" ht="15" customHeight="1" x14ac:dyDescent="0.2"/>
    <row r="2891" ht="15" customHeight="1" x14ac:dyDescent="0.2"/>
    <row r="2892" ht="15" customHeight="1" x14ac:dyDescent="0.2"/>
    <row r="2893" ht="15" customHeight="1" x14ac:dyDescent="0.2"/>
    <row r="2894" ht="15" customHeight="1" x14ac:dyDescent="0.2"/>
    <row r="2895" ht="15" customHeight="1" x14ac:dyDescent="0.2"/>
    <row r="2896" ht="15" customHeight="1" x14ac:dyDescent="0.2"/>
    <row r="2897" ht="15" customHeight="1" x14ac:dyDescent="0.2"/>
    <row r="2898" ht="15" customHeight="1" x14ac:dyDescent="0.2"/>
    <row r="2899" ht="15" customHeight="1" x14ac:dyDescent="0.2"/>
    <row r="2900" ht="15" customHeight="1" x14ac:dyDescent="0.2"/>
    <row r="2901" ht="15" customHeight="1" x14ac:dyDescent="0.2"/>
    <row r="2902" ht="15" customHeight="1" x14ac:dyDescent="0.2"/>
    <row r="2903" ht="15" customHeight="1" x14ac:dyDescent="0.2"/>
    <row r="2904" ht="15" customHeight="1" x14ac:dyDescent="0.2"/>
    <row r="2905" ht="15" customHeight="1" x14ac:dyDescent="0.2"/>
    <row r="2906" ht="15" customHeight="1" x14ac:dyDescent="0.2"/>
    <row r="2907" ht="15" customHeight="1" x14ac:dyDescent="0.2"/>
    <row r="2908" ht="15" customHeight="1" x14ac:dyDescent="0.2"/>
    <row r="2909" ht="15" customHeight="1" x14ac:dyDescent="0.2"/>
    <row r="2910" ht="15" customHeight="1" x14ac:dyDescent="0.2"/>
    <row r="2911" ht="15" customHeight="1" x14ac:dyDescent="0.2"/>
    <row r="2912" ht="15" customHeight="1" x14ac:dyDescent="0.2"/>
    <row r="2913" ht="15" customHeight="1" x14ac:dyDescent="0.2"/>
    <row r="2914" ht="15" customHeight="1" x14ac:dyDescent="0.2"/>
    <row r="2915" ht="15" customHeight="1" x14ac:dyDescent="0.2"/>
    <row r="2916" ht="15" customHeight="1" x14ac:dyDescent="0.2"/>
    <row r="2917" ht="15" customHeight="1" x14ac:dyDescent="0.2"/>
    <row r="2918" ht="15" customHeight="1" x14ac:dyDescent="0.2"/>
    <row r="2919" ht="15" customHeight="1" x14ac:dyDescent="0.2"/>
    <row r="2920" ht="15" customHeight="1" x14ac:dyDescent="0.2"/>
    <row r="2921" ht="15" customHeight="1" x14ac:dyDescent="0.2"/>
    <row r="2922" ht="15" customHeight="1" x14ac:dyDescent="0.2"/>
    <row r="2923" ht="15" customHeight="1" x14ac:dyDescent="0.2"/>
    <row r="2924" ht="15" customHeight="1" x14ac:dyDescent="0.2"/>
    <row r="2925" ht="15" customHeight="1" x14ac:dyDescent="0.2"/>
    <row r="2926" ht="15" customHeight="1" x14ac:dyDescent="0.2"/>
    <row r="2927" ht="15" customHeight="1" x14ac:dyDescent="0.2"/>
    <row r="2928" ht="15" customHeight="1" x14ac:dyDescent="0.2"/>
    <row r="2929" ht="15" customHeight="1" x14ac:dyDescent="0.2"/>
    <row r="2930" ht="15" customHeight="1" x14ac:dyDescent="0.2"/>
    <row r="2931" ht="15" customHeight="1" x14ac:dyDescent="0.2"/>
    <row r="2932" ht="15" customHeight="1" x14ac:dyDescent="0.2"/>
    <row r="2933" ht="15" customHeight="1" x14ac:dyDescent="0.2"/>
    <row r="2934" ht="15" customHeight="1" x14ac:dyDescent="0.2"/>
    <row r="2935" ht="15" customHeight="1" x14ac:dyDescent="0.2"/>
    <row r="2936" ht="15" customHeight="1" x14ac:dyDescent="0.2"/>
    <row r="2937" ht="15" customHeight="1" x14ac:dyDescent="0.2"/>
    <row r="2938" ht="15" customHeight="1" x14ac:dyDescent="0.2"/>
    <row r="2939" ht="15" customHeight="1" x14ac:dyDescent="0.2"/>
    <row r="2940" ht="15" customHeight="1" x14ac:dyDescent="0.2"/>
    <row r="2941" ht="15" customHeight="1" x14ac:dyDescent="0.2"/>
    <row r="2942" ht="15" customHeight="1" x14ac:dyDescent="0.2"/>
    <row r="2943" ht="15" customHeight="1" x14ac:dyDescent="0.2"/>
    <row r="2944" ht="15" customHeight="1" x14ac:dyDescent="0.2"/>
    <row r="2945" ht="15" customHeight="1" x14ac:dyDescent="0.2"/>
    <row r="2946" ht="15" customHeight="1" x14ac:dyDescent="0.2"/>
    <row r="2947" ht="15" customHeight="1" x14ac:dyDescent="0.2"/>
    <row r="2948" ht="15" customHeight="1" x14ac:dyDescent="0.2"/>
    <row r="2949" ht="15" customHeight="1" x14ac:dyDescent="0.2"/>
    <row r="2950" ht="15" customHeight="1" x14ac:dyDescent="0.2"/>
    <row r="2951" ht="15" customHeight="1" x14ac:dyDescent="0.2"/>
    <row r="2952" ht="15" customHeight="1" x14ac:dyDescent="0.2"/>
    <row r="2953" ht="15" customHeight="1" x14ac:dyDescent="0.2"/>
    <row r="2954" ht="15" customHeight="1" x14ac:dyDescent="0.2"/>
    <row r="2955" ht="15" customHeight="1" x14ac:dyDescent="0.2"/>
    <row r="2956" ht="15" customHeight="1" x14ac:dyDescent="0.2"/>
    <row r="2957" ht="15" customHeight="1" x14ac:dyDescent="0.2"/>
    <row r="2958" ht="15" customHeight="1" x14ac:dyDescent="0.2"/>
    <row r="2959" ht="15" customHeight="1" x14ac:dyDescent="0.2"/>
    <row r="2960" ht="15" customHeight="1" x14ac:dyDescent="0.2"/>
    <row r="2961" ht="15" customHeight="1" x14ac:dyDescent="0.2"/>
    <row r="2962" ht="15" customHeight="1" x14ac:dyDescent="0.2"/>
    <row r="2963" ht="15" customHeight="1" x14ac:dyDescent="0.2"/>
    <row r="2964" ht="15" customHeight="1" x14ac:dyDescent="0.2"/>
    <row r="2965" ht="15" customHeight="1" x14ac:dyDescent="0.2"/>
    <row r="2966" ht="15" customHeight="1" x14ac:dyDescent="0.2"/>
    <row r="2967" ht="15" customHeight="1" x14ac:dyDescent="0.2"/>
    <row r="2968" ht="15" customHeight="1" x14ac:dyDescent="0.2"/>
    <row r="2969" ht="15" customHeight="1" x14ac:dyDescent="0.2"/>
    <row r="2970" ht="15" customHeight="1" x14ac:dyDescent="0.2"/>
    <row r="2971" ht="15" customHeight="1" x14ac:dyDescent="0.2"/>
    <row r="2972" ht="15" customHeight="1" x14ac:dyDescent="0.2"/>
    <row r="2973" ht="15" customHeight="1" x14ac:dyDescent="0.2"/>
    <row r="2974" ht="15" customHeight="1" x14ac:dyDescent="0.2"/>
    <row r="2975" ht="15" customHeight="1" x14ac:dyDescent="0.2"/>
    <row r="2976" ht="15" customHeight="1" x14ac:dyDescent="0.2"/>
    <row r="2977" ht="15" customHeight="1" x14ac:dyDescent="0.2"/>
    <row r="2978" ht="15" customHeight="1" x14ac:dyDescent="0.2"/>
    <row r="2979" ht="15" customHeight="1" x14ac:dyDescent="0.2"/>
    <row r="2980" ht="15" customHeight="1" x14ac:dyDescent="0.2"/>
    <row r="2981" ht="15" customHeight="1" x14ac:dyDescent="0.2"/>
    <row r="2982" ht="15" customHeight="1" x14ac:dyDescent="0.2"/>
    <row r="2983" ht="15" customHeight="1" x14ac:dyDescent="0.2"/>
    <row r="2984" ht="15" customHeight="1" x14ac:dyDescent="0.2"/>
    <row r="2985" ht="15" customHeight="1" x14ac:dyDescent="0.2"/>
    <row r="2986" ht="15" customHeight="1" x14ac:dyDescent="0.2"/>
    <row r="2987" ht="15" customHeight="1" x14ac:dyDescent="0.2"/>
    <row r="2988" ht="15" customHeight="1" x14ac:dyDescent="0.2"/>
    <row r="2989" ht="15" customHeight="1" x14ac:dyDescent="0.2"/>
    <row r="2990" ht="15" customHeight="1" x14ac:dyDescent="0.2"/>
    <row r="2991" ht="15" customHeight="1" x14ac:dyDescent="0.2"/>
    <row r="2992" ht="15" customHeight="1" x14ac:dyDescent="0.2"/>
    <row r="2993" ht="15" customHeight="1" x14ac:dyDescent="0.2"/>
    <row r="2994" ht="15" customHeight="1" x14ac:dyDescent="0.2"/>
    <row r="2995" ht="15" customHeight="1" x14ac:dyDescent="0.2"/>
    <row r="2996" ht="15" customHeight="1" x14ac:dyDescent="0.2"/>
    <row r="2997" ht="15" customHeight="1" x14ac:dyDescent="0.2"/>
    <row r="2998" ht="15" customHeight="1" x14ac:dyDescent="0.2"/>
    <row r="2999" ht="15" customHeight="1" x14ac:dyDescent="0.2"/>
    <row r="3000" ht="15" customHeight="1" x14ac:dyDescent="0.2"/>
    <row r="3001" ht="15" customHeight="1" x14ac:dyDescent="0.2"/>
    <row r="3002" ht="15" customHeight="1" x14ac:dyDescent="0.2"/>
    <row r="3003" ht="15" customHeight="1" x14ac:dyDescent="0.2"/>
    <row r="3004" ht="15" customHeight="1" x14ac:dyDescent="0.2"/>
    <row r="3005" ht="15" customHeight="1" x14ac:dyDescent="0.2"/>
    <row r="3006" ht="15" customHeight="1" x14ac:dyDescent="0.2"/>
    <row r="3007" ht="15" customHeight="1" x14ac:dyDescent="0.2"/>
    <row r="3008" ht="15" customHeight="1" x14ac:dyDescent="0.2"/>
    <row r="3009" ht="15" customHeight="1" x14ac:dyDescent="0.2"/>
    <row r="3010" ht="15" customHeight="1" x14ac:dyDescent="0.2"/>
    <row r="3011" ht="15" customHeight="1" x14ac:dyDescent="0.2"/>
    <row r="3012" ht="15" customHeight="1" x14ac:dyDescent="0.2"/>
    <row r="3013" ht="15" customHeight="1" x14ac:dyDescent="0.2"/>
    <row r="3014" ht="15" customHeight="1" x14ac:dyDescent="0.2"/>
    <row r="3015" ht="15" customHeight="1" x14ac:dyDescent="0.2"/>
    <row r="3016" ht="15" customHeight="1" x14ac:dyDescent="0.2"/>
    <row r="3017" ht="15" customHeight="1" x14ac:dyDescent="0.2"/>
    <row r="3018" ht="15" customHeight="1" x14ac:dyDescent="0.2"/>
    <row r="3019" ht="15" customHeight="1" x14ac:dyDescent="0.2"/>
    <row r="3020" ht="15" customHeight="1" x14ac:dyDescent="0.2"/>
    <row r="3021" ht="15" customHeight="1" x14ac:dyDescent="0.2"/>
    <row r="3022" ht="15" customHeight="1" x14ac:dyDescent="0.2"/>
    <row r="3023" ht="15" customHeight="1" x14ac:dyDescent="0.2"/>
    <row r="3024" ht="15" customHeight="1" x14ac:dyDescent="0.2"/>
    <row r="3025" ht="15" customHeight="1" x14ac:dyDescent="0.2"/>
    <row r="3026" ht="15" customHeight="1" x14ac:dyDescent="0.2"/>
    <row r="3027" ht="15" customHeight="1" x14ac:dyDescent="0.2"/>
    <row r="3028" ht="15" customHeight="1" x14ac:dyDescent="0.2"/>
    <row r="3029" ht="15" customHeight="1" x14ac:dyDescent="0.2"/>
    <row r="3030" ht="15" customHeight="1" x14ac:dyDescent="0.2"/>
    <row r="3031" ht="15" customHeight="1" x14ac:dyDescent="0.2"/>
    <row r="3032" ht="15" customHeight="1" x14ac:dyDescent="0.2"/>
    <row r="3033" ht="15" customHeight="1" x14ac:dyDescent="0.2"/>
    <row r="3034" ht="15" customHeight="1" x14ac:dyDescent="0.2"/>
    <row r="3035" ht="15" customHeight="1" x14ac:dyDescent="0.2"/>
    <row r="3036" ht="15" customHeight="1" x14ac:dyDescent="0.2"/>
    <row r="3037" ht="15" customHeight="1" x14ac:dyDescent="0.2"/>
    <row r="3038" ht="15" customHeight="1" x14ac:dyDescent="0.2"/>
    <row r="3039" ht="15" customHeight="1" x14ac:dyDescent="0.2"/>
    <row r="3040" ht="15" customHeight="1" x14ac:dyDescent="0.2"/>
    <row r="3041" ht="15" customHeight="1" x14ac:dyDescent="0.2"/>
    <row r="3042" ht="15" customHeight="1" x14ac:dyDescent="0.2"/>
    <row r="3043" ht="15" customHeight="1" x14ac:dyDescent="0.2"/>
    <row r="3044" ht="15" customHeight="1" x14ac:dyDescent="0.2"/>
    <row r="3045" ht="15" customHeight="1" x14ac:dyDescent="0.2"/>
    <row r="3046" ht="15" customHeight="1" x14ac:dyDescent="0.2"/>
    <row r="3047" ht="15" customHeight="1" x14ac:dyDescent="0.2"/>
    <row r="3048" ht="15" customHeight="1" x14ac:dyDescent="0.2"/>
    <row r="3049" ht="15" customHeight="1" x14ac:dyDescent="0.2"/>
    <row r="3050" ht="15" customHeight="1" x14ac:dyDescent="0.2"/>
    <row r="3051" ht="15" customHeight="1" x14ac:dyDescent="0.2"/>
    <row r="3052" ht="15" customHeight="1" x14ac:dyDescent="0.2"/>
    <row r="3053" ht="15" customHeight="1" x14ac:dyDescent="0.2"/>
    <row r="3054" ht="15" customHeight="1" x14ac:dyDescent="0.2"/>
    <row r="3055" ht="15" customHeight="1" x14ac:dyDescent="0.2"/>
    <row r="3056" ht="15" customHeight="1" x14ac:dyDescent="0.2"/>
    <row r="3057" ht="15" customHeight="1" x14ac:dyDescent="0.2"/>
    <row r="3058" ht="15" customHeight="1" x14ac:dyDescent="0.2"/>
    <row r="3059" ht="15" customHeight="1" x14ac:dyDescent="0.2"/>
    <row r="3060" ht="15" customHeight="1" x14ac:dyDescent="0.2"/>
    <row r="3061" ht="15" customHeight="1" x14ac:dyDescent="0.2"/>
    <row r="3062" ht="15" customHeight="1" x14ac:dyDescent="0.2"/>
    <row r="3063" ht="15" customHeight="1" x14ac:dyDescent="0.2"/>
    <row r="3064" ht="15" customHeight="1" x14ac:dyDescent="0.2"/>
    <row r="3065" ht="15" customHeight="1" x14ac:dyDescent="0.2"/>
    <row r="3066" ht="15" customHeight="1" x14ac:dyDescent="0.2"/>
    <row r="3067" ht="15" customHeight="1" x14ac:dyDescent="0.2"/>
    <row r="3068" ht="15" customHeight="1" x14ac:dyDescent="0.2"/>
    <row r="3069" ht="15" customHeight="1" x14ac:dyDescent="0.2"/>
    <row r="3070" ht="15" customHeight="1" x14ac:dyDescent="0.2"/>
    <row r="3071" ht="15" customHeight="1" x14ac:dyDescent="0.2"/>
    <row r="3072" ht="15" customHeight="1" x14ac:dyDescent="0.2"/>
    <row r="3073" ht="15" customHeight="1" x14ac:dyDescent="0.2"/>
    <row r="3074" ht="15" customHeight="1" x14ac:dyDescent="0.2"/>
    <row r="3075" ht="15" customHeight="1" x14ac:dyDescent="0.2"/>
    <row r="3076" ht="15" customHeight="1" x14ac:dyDescent="0.2"/>
    <row r="3077" ht="15" customHeight="1" x14ac:dyDescent="0.2"/>
    <row r="3078" ht="15" customHeight="1" x14ac:dyDescent="0.2"/>
    <row r="3079" ht="15" customHeight="1" x14ac:dyDescent="0.2"/>
    <row r="3080" ht="15" customHeight="1" x14ac:dyDescent="0.2"/>
    <row r="3081" ht="15" customHeight="1" x14ac:dyDescent="0.2"/>
    <row r="3082" ht="15" customHeight="1" x14ac:dyDescent="0.2"/>
    <row r="3083" ht="15" customHeight="1" x14ac:dyDescent="0.2"/>
    <row r="3084" ht="15" customHeight="1" x14ac:dyDescent="0.2"/>
    <row r="3085" ht="15" customHeight="1" x14ac:dyDescent="0.2"/>
    <row r="3086" ht="15" customHeight="1" x14ac:dyDescent="0.2"/>
    <row r="3087" ht="15" customHeight="1" x14ac:dyDescent="0.2"/>
    <row r="3088" ht="15" customHeight="1" x14ac:dyDescent="0.2"/>
    <row r="3089" ht="15" customHeight="1" x14ac:dyDescent="0.2"/>
    <row r="3090" ht="15" customHeight="1" x14ac:dyDescent="0.2"/>
    <row r="3091" ht="15" customHeight="1" x14ac:dyDescent="0.2"/>
    <row r="3092" ht="15" customHeight="1" x14ac:dyDescent="0.2"/>
    <row r="3093" ht="15" customHeight="1" x14ac:dyDescent="0.2"/>
    <row r="3094" ht="15" customHeight="1" x14ac:dyDescent="0.2"/>
    <row r="3095" ht="15" customHeight="1" x14ac:dyDescent="0.2"/>
    <row r="3096" ht="15" customHeight="1" x14ac:dyDescent="0.2"/>
    <row r="3097" ht="15" customHeight="1" x14ac:dyDescent="0.2"/>
    <row r="3098" ht="15" customHeight="1" x14ac:dyDescent="0.2"/>
    <row r="3099" ht="15" customHeight="1" x14ac:dyDescent="0.2"/>
    <row r="3100" ht="15" customHeight="1" x14ac:dyDescent="0.2"/>
    <row r="3101" ht="15" customHeight="1" x14ac:dyDescent="0.2"/>
    <row r="3102" ht="15" customHeight="1" x14ac:dyDescent="0.2"/>
    <row r="3103" ht="15" customHeight="1" x14ac:dyDescent="0.2"/>
    <row r="3104" ht="15" customHeight="1" x14ac:dyDescent="0.2"/>
    <row r="3105" ht="15" customHeight="1" x14ac:dyDescent="0.2"/>
    <row r="3106" ht="15" customHeight="1" x14ac:dyDescent="0.2"/>
    <row r="3107" ht="15" customHeight="1" x14ac:dyDescent="0.2"/>
    <row r="3108" ht="15" customHeight="1" x14ac:dyDescent="0.2"/>
    <row r="3109" ht="15" customHeight="1" x14ac:dyDescent="0.2"/>
    <row r="3110" ht="15" customHeight="1" x14ac:dyDescent="0.2"/>
    <row r="3111" ht="15" customHeight="1" x14ac:dyDescent="0.2"/>
    <row r="3112" ht="15" customHeight="1" x14ac:dyDescent="0.2"/>
    <row r="3113" ht="15" customHeight="1" x14ac:dyDescent="0.2"/>
    <row r="3114" ht="15" customHeight="1" x14ac:dyDescent="0.2"/>
    <row r="3115" ht="15" customHeight="1" x14ac:dyDescent="0.2"/>
    <row r="3116" ht="15" customHeight="1" x14ac:dyDescent="0.2"/>
    <row r="3117" ht="15" customHeight="1" x14ac:dyDescent="0.2"/>
    <row r="3118" ht="15" customHeight="1" x14ac:dyDescent="0.2"/>
    <row r="3119" ht="15" customHeight="1" x14ac:dyDescent="0.2"/>
    <row r="3120" ht="15" customHeight="1" x14ac:dyDescent="0.2"/>
    <row r="3121" ht="15" customHeight="1" x14ac:dyDescent="0.2"/>
    <row r="3122" ht="15" customHeight="1" x14ac:dyDescent="0.2"/>
    <row r="3123" ht="15" customHeight="1" x14ac:dyDescent="0.2"/>
    <row r="3124" ht="15" customHeight="1" x14ac:dyDescent="0.2"/>
    <row r="3125" ht="15" customHeight="1" x14ac:dyDescent="0.2"/>
    <row r="3126" ht="15" customHeight="1" x14ac:dyDescent="0.2"/>
    <row r="3127" ht="15" customHeight="1" x14ac:dyDescent="0.2"/>
    <row r="3128" ht="15" customHeight="1" x14ac:dyDescent="0.2"/>
    <row r="3129" ht="15" customHeight="1" x14ac:dyDescent="0.2"/>
    <row r="3130" ht="15" customHeight="1" x14ac:dyDescent="0.2"/>
    <row r="3131" ht="15" customHeight="1" x14ac:dyDescent="0.2"/>
    <row r="3132" ht="15" customHeight="1" x14ac:dyDescent="0.2"/>
    <row r="3133" ht="15" customHeight="1" x14ac:dyDescent="0.2"/>
    <row r="3134" ht="15" customHeight="1" x14ac:dyDescent="0.2"/>
    <row r="3135" ht="15" customHeight="1" x14ac:dyDescent="0.2"/>
    <row r="3136" ht="15" customHeight="1" x14ac:dyDescent="0.2"/>
    <row r="3137" ht="15" customHeight="1" x14ac:dyDescent="0.2"/>
    <row r="3138" ht="15" customHeight="1" x14ac:dyDescent="0.2"/>
    <row r="3139" ht="15" customHeight="1" x14ac:dyDescent="0.2"/>
    <row r="3140" ht="15" customHeight="1" x14ac:dyDescent="0.2"/>
    <row r="3141" ht="15" customHeight="1" x14ac:dyDescent="0.2"/>
    <row r="3142" ht="15" customHeight="1" x14ac:dyDescent="0.2"/>
    <row r="3143" ht="15" customHeight="1" x14ac:dyDescent="0.2"/>
    <row r="3144" ht="15" customHeight="1" x14ac:dyDescent="0.2"/>
    <row r="3145" ht="15" customHeight="1" x14ac:dyDescent="0.2"/>
    <row r="3146" ht="15" customHeight="1" x14ac:dyDescent="0.2"/>
    <row r="3147" ht="15" customHeight="1" x14ac:dyDescent="0.2"/>
    <row r="3148" ht="15" customHeight="1" x14ac:dyDescent="0.2"/>
    <row r="3149" ht="15" customHeight="1" x14ac:dyDescent="0.2"/>
    <row r="3150" ht="15" customHeight="1" x14ac:dyDescent="0.2"/>
    <row r="3151" ht="15" customHeight="1" x14ac:dyDescent="0.2"/>
    <row r="3152" ht="15" customHeight="1" x14ac:dyDescent="0.2"/>
    <row r="3153" ht="15" customHeight="1" x14ac:dyDescent="0.2"/>
    <row r="3154" ht="15" customHeight="1" x14ac:dyDescent="0.2"/>
    <row r="3155" ht="15" customHeight="1" x14ac:dyDescent="0.2"/>
    <row r="3156" ht="15" customHeight="1" x14ac:dyDescent="0.2"/>
    <row r="3157" ht="15" customHeight="1" x14ac:dyDescent="0.2"/>
    <row r="3158" ht="15" customHeight="1" x14ac:dyDescent="0.2"/>
    <row r="3159" ht="15" customHeight="1" x14ac:dyDescent="0.2"/>
    <row r="3160" ht="15" customHeight="1" x14ac:dyDescent="0.2"/>
    <row r="3161" ht="15" customHeight="1" x14ac:dyDescent="0.2"/>
    <row r="3162" ht="15" customHeight="1" x14ac:dyDescent="0.2"/>
    <row r="3163" ht="15" customHeight="1" x14ac:dyDescent="0.2"/>
    <row r="3164" ht="15" customHeight="1" x14ac:dyDescent="0.2"/>
    <row r="3165" ht="15" customHeight="1" x14ac:dyDescent="0.2"/>
    <row r="3166" ht="15" customHeight="1" x14ac:dyDescent="0.2"/>
    <row r="3167" ht="15" customHeight="1" x14ac:dyDescent="0.2"/>
    <row r="3168" ht="15" customHeight="1" x14ac:dyDescent="0.2"/>
    <row r="3169" ht="15" customHeight="1" x14ac:dyDescent="0.2"/>
    <row r="3170" ht="15" customHeight="1" x14ac:dyDescent="0.2"/>
    <row r="3171" ht="15" customHeight="1" x14ac:dyDescent="0.2"/>
    <row r="3172" ht="15" customHeight="1" x14ac:dyDescent="0.2"/>
    <row r="3173" ht="15" customHeight="1" x14ac:dyDescent="0.2"/>
    <row r="3174" ht="15" customHeight="1" x14ac:dyDescent="0.2"/>
    <row r="3175" ht="15" customHeight="1" x14ac:dyDescent="0.2"/>
    <row r="3176" ht="15" customHeight="1" x14ac:dyDescent="0.2"/>
    <row r="3177" ht="15" customHeight="1" x14ac:dyDescent="0.2"/>
    <row r="3178" ht="15" customHeight="1" x14ac:dyDescent="0.2"/>
    <row r="3179" ht="15" customHeight="1" x14ac:dyDescent="0.2"/>
    <row r="3180" ht="15" customHeight="1" x14ac:dyDescent="0.2"/>
    <row r="3181" ht="15" customHeight="1" x14ac:dyDescent="0.2"/>
    <row r="3182" ht="15" customHeight="1" x14ac:dyDescent="0.2"/>
    <row r="3183" ht="15" customHeight="1" x14ac:dyDescent="0.2"/>
    <row r="3184" ht="15" customHeight="1" x14ac:dyDescent="0.2"/>
    <row r="3185" ht="15" customHeight="1" x14ac:dyDescent="0.2"/>
    <row r="3186" ht="15" customHeight="1" x14ac:dyDescent="0.2"/>
    <row r="3187" ht="15" customHeight="1" x14ac:dyDescent="0.2"/>
    <row r="3188" ht="15" customHeight="1" x14ac:dyDescent="0.2"/>
    <row r="3189" ht="15" customHeight="1" x14ac:dyDescent="0.2"/>
    <row r="3190" ht="15" customHeight="1" x14ac:dyDescent="0.2"/>
    <row r="3191" ht="15" customHeight="1" x14ac:dyDescent="0.2"/>
    <row r="3192" ht="15" customHeight="1" x14ac:dyDescent="0.2"/>
    <row r="3193" ht="15" customHeight="1" x14ac:dyDescent="0.2"/>
    <row r="3194" ht="15" customHeight="1" x14ac:dyDescent="0.2"/>
    <row r="3195" ht="15" customHeight="1" x14ac:dyDescent="0.2"/>
    <row r="3196" ht="15" customHeight="1" x14ac:dyDescent="0.2"/>
    <row r="3197" ht="15" customHeight="1" x14ac:dyDescent="0.2"/>
    <row r="3198" ht="15" customHeight="1" x14ac:dyDescent="0.2"/>
    <row r="3199" ht="15" customHeight="1" x14ac:dyDescent="0.2"/>
    <row r="3200" ht="15" customHeight="1" x14ac:dyDescent="0.2"/>
    <row r="3201" ht="15" customHeight="1" x14ac:dyDescent="0.2"/>
    <row r="3202" ht="15" customHeight="1" x14ac:dyDescent="0.2"/>
    <row r="3203" ht="15" customHeight="1" x14ac:dyDescent="0.2"/>
    <row r="3204" ht="15" customHeight="1" x14ac:dyDescent="0.2"/>
    <row r="3205" ht="15" customHeight="1" x14ac:dyDescent="0.2"/>
    <row r="3206" ht="15" customHeight="1" x14ac:dyDescent="0.2"/>
    <row r="3207" ht="15" customHeight="1" x14ac:dyDescent="0.2"/>
    <row r="3208" ht="15" customHeight="1" x14ac:dyDescent="0.2"/>
    <row r="3209" ht="15" customHeight="1" x14ac:dyDescent="0.2"/>
    <row r="3210" ht="15" customHeight="1" x14ac:dyDescent="0.2"/>
    <row r="3211" ht="15" customHeight="1" x14ac:dyDescent="0.2"/>
    <row r="3212" ht="15" customHeight="1" x14ac:dyDescent="0.2"/>
    <row r="3213" ht="15" customHeight="1" x14ac:dyDescent="0.2"/>
    <row r="3214" ht="15" customHeight="1" x14ac:dyDescent="0.2"/>
    <row r="3215" ht="15" customHeight="1" x14ac:dyDescent="0.2"/>
    <row r="3216" ht="15" customHeight="1" x14ac:dyDescent="0.2"/>
    <row r="3217" ht="15" customHeight="1" x14ac:dyDescent="0.2"/>
    <row r="3218" ht="15" customHeight="1" x14ac:dyDescent="0.2"/>
    <row r="3219" ht="15" customHeight="1" x14ac:dyDescent="0.2"/>
    <row r="3220" ht="15" customHeight="1" x14ac:dyDescent="0.2"/>
    <row r="3221" ht="15" customHeight="1" x14ac:dyDescent="0.2"/>
    <row r="3222" ht="15" customHeight="1" x14ac:dyDescent="0.2"/>
    <row r="3223" ht="15" customHeight="1" x14ac:dyDescent="0.2"/>
    <row r="3224" ht="15" customHeight="1" x14ac:dyDescent="0.2"/>
    <row r="3225" ht="15" customHeight="1" x14ac:dyDescent="0.2"/>
    <row r="3226" ht="15" customHeight="1" x14ac:dyDescent="0.2"/>
    <row r="3227" ht="15" customHeight="1" x14ac:dyDescent="0.2"/>
    <row r="3228" ht="15" customHeight="1" x14ac:dyDescent="0.2"/>
    <row r="3229" ht="15" customHeight="1" x14ac:dyDescent="0.2"/>
    <row r="3230" ht="15" customHeight="1" x14ac:dyDescent="0.2"/>
    <row r="3231" ht="15" customHeight="1" x14ac:dyDescent="0.2"/>
    <row r="3232" ht="15" customHeight="1" x14ac:dyDescent="0.2"/>
    <row r="3233" ht="15" customHeight="1" x14ac:dyDescent="0.2"/>
    <row r="3234" ht="15" customHeight="1" x14ac:dyDescent="0.2"/>
    <row r="3235" ht="15" customHeight="1" x14ac:dyDescent="0.2"/>
    <row r="3236" ht="15" customHeight="1" x14ac:dyDescent="0.2"/>
    <row r="3237" ht="15" customHeight="1" x14ac:dyDescent="0.2"/>
    <row r="3238" ht="15" customHeight="1" x14ac:dyDescent="0.2"/>
    <row r="3239" ht="15" customHeight="1" x14ac:dyDescent="0.2"/>
    <row r="3240" ht="15" customHeight="1" x14ac:dyDescent="0.2"/>
    <row r="3241" ht="15" customHeight="1" x14ac:dyDescent="0.2"/>
    <row r="3242" ht="15" customHeight="1" x14ac:dyDescent="0.2"/>
    <row r="3243" ht="15" customHeight="1" x14ac:dyDescent="0.2"/>
    <row r="3244" ht="15" customHeight="1" x14ac:dyDescent="0.2"/>
    <row r="3245" ht="15" customHeight="1" x14ac:dyDescent="0.2"/>
    <row r="3246" ht="15" customHeight="1" x14ac:dyDescent="0.2"/>
    <row r="3247" ht="15" customHeight="1" x14ac:dyDescent="0.2"/>
    <row r="3248" ht="15" customHeight="1" x14ac:dyDescent="0.2"/>
    <row r="3249" ht="15" customHeight="1" x14ac:dyDescent="0.2"/>
    <row r="3250" ht="15" customHeight="1" x14ac:dyDescent="0.2"/>
    <row r="3251" ht="15" customHeight="1" x14ac:dyDescent="0.2"/>
    <row r="3252" ht="15" customHeight="1" x14ac:dyDescent="0.2"/>
    <row r="3253" ht="15" customHeight="1" x14ac:dyDescent="0.2"/>
    <row r="3254" ht="15" customHeight="1" x14ac:dyDescent="0.2"/>
    <row r="3255" ht="15" customHeight="1" x14ac:dyDescent="0.2"/>
    <row r="3256" ht="15" customHeight="1" x14ac:dyDescent="0.2"/>
    <row r="3257" ht="15" customHeight="1" x14ac:dyDescent="0.2"/>
    <row r="3258" ht="15" customHeight="1" x14ac:dyDescent="0.2"/>
    <row r="3259" ht="15" customHeight="1" x14ac:dyDescent="0.2"/>
    <row r="3260" ht="15" customHeight="1" x14ac:dyDescent="0.2"/>
    <row r="3261" ht="15" customHeight="1" x14ac:dyDescent="0.2"/>
    <row r="3262" ht="15" customHeight="1" x14ac:dyDescent="0.2"/>
    <row r="3263" ht="15" customHeight="1" x14ac:dyDescent="0.2"/>
    <row r="3264" ht="15" customHeight="1" x14ac:dyDescent="0.2"/>
    <row r="3265" ht="15" customHeight="1" x14ac:dyDescent="0.2"/>
    <row r="3266" ht="15" customHeight="1" x14ac:dyDescent="0.2"/>
    <row r="3267" ht="15" customHeight="1" x14ac:dyDescent="0.2"/>
    <row r="3268" ht="15" customHeight="1" x14ac:dyDescent="0.2"/>
    <row r="3269" ht="15" customHeight="1" x14ac:dyDescent="0.2"/>
    <row r="3270" ht="15" customHeight="1" x14ac:dyDescent="0.2"/>
    <row r="3271" ht="15" customHeight="1" x14ac:dyDescent="0.2"/>
    <row r="3272" ht="15" customHeight="1" x14ac:dyDescent="0.2"/>
    <row r="3273" ht="15" customHeight="1" x14ac:dyDescent="0.2"/>
    <row r="3274" ht="15" customHeight="1" x14ac:dyDescent="0.2"/>
    <row r="3275" ht="15" customHeight="1" x14ac:dyDescent="0.2"/>
    <row r="3276" ht="15" customHeight="1" x14ac:dyDescent="0.2"/>
    <row r="3277" ht="15" customHeight="1" x14ac:dyDescent="0.2"/>
    <row r="3278" ht="15" customHeight="1" x14ac:dyDescent="0.2"/>
    <row r="3279" ht="15" customHeight="1" x14ac:dyDescent="0.2"/>
    <row r="3280" ht="15" customHeight="1" x14ac:dyDescent="0.2"/>
    <row r="3281" ht="15" customHeight="1" x14ac:dyDescent="0.2"/>
    <row r="3282" ht="15" customHeight="1" x14ac:dyDescent="0.2"/>
    <row r="3283" ht="15" customHeight="1" x14ac:dyDescent="0.2"/>
    <row r="3284" ht="15" customHeight="1" x14ac:dyDescent="0.2"/>
    <row r="3285" ht="15" customHeight="1" x14ac:dyDescent="0.2"/>
    <row r="3286" ht="15" customHeight="1" x14ac:dyDescent="0.2"/>
    <row r="3287" ht="15" customHeight="1" x14ac:dyDescent="0.2"/>
    <row r="3288" ht="15" customHeight="1" x14ac:dyDescent="0.2"/>
    <row r="3289" ht="15" customHeight="1" x14ac:dyDescent="0.2"/>
    <row r="3290" ht="15" customHeight="1" x14ac:dyDescent="0.2"/>
    <row r="3291" ht="15" customHeight="1" x14ac:dyDescent="0.2"/>
    <row r="3292" ht="15" customHeight="1" x14ac:dyDescent="0.2"/>
    <row r="3293" ht="15" customHeight="1" x14ac:dyDescent="0.2"/>
    <row r="3294" ht="15" customHeight="1" x14ac:dyDescent="0.2"/>
    <row r="3295" ht="15" customHeight="1" x14ac:dyDescent="0.2"/>
    <row r="3296" ht="15" customHeight="1" x14ac:dyDescent="0.2"/>
    <row r="3297" ht="15" customHeight="1" x14ac:dyDescent="0.2"/>
    <row r="3298" ht="15" customHeight="1" x14ac:dyDescent="0.2"/>
    <row r="3299" ht="15" customHeight="1" x14ac:dyDescent="0.2"/>
    <row r="3300" ht="15" customHeight="1" x14ac:dyDescent="0.2"/>
    <row r="3301" ht="15" customHeight="1" x14ac:dyDescent="0.2"/>
    <row r="3302" ht="15" customHeight="1" x14ac:dyDescent="0.2"/>
    <row r="3303" ht="15" customHeight="1" x14ac:dyDescent="0.2"/>
    <row r="3304" ht="15" customHeight="1" x14ac:dyDescent="0.2"/>
    <row r="3305" ht="15" customHeight="1" x14ac:dyDescent="0.2"/>
    <row r="3306" ht="15" customHeight="1" x14ac:dyDescent="0.2"/>
    <row r="3307" ht="15" customHeight="1" x14ac:dyDescent="0.2"/>
    <row r="3308" ht="15" customHeight="1" x14ac:dyDescent="0.2"/>
    <row r="3309" ht="15" customHeight="1" x14ac:dyDescent="0.2"/>
    <row r="3310" ht="15" customHeight="1" x14ac:dyDescent="0.2"/>
    <row r="3311" ht="15" customHeight="1" x14ac:dyDescent="0.2"/>
    <row r="3312" ht="15" customHeight="1" x14ac:dyDescent="0.2"/>
    <row r="3313" ht="15" customHeight="1" x14ac:dyDescent="0.2"/>
    <row r="3314" ht="15" customHeight="1" x14ac:dyDescent="0.2"/>
    <row r="3315" ht="15" customHeight="1" x14ac:dyDescent="0.2"/>
    <row r="3316" ht="15" customHeight="1" x14ac:dyDescent="0.2"/>
    <row r="3317" ht="15" customHeight="1" x14ac:dyDescent="0.2"/>
    <row r="3318" ht="15" customHeight="1" x14ac:dyDescent="0.2"/>
    <row r="3319" ht="15" customHeight="1" x14ac:dyDescent="0.2"/>
    <row r="3320" ht="15" customHeight="1" x14ac:dyDescent="0.2"/>
    <row r="3321" ht="15" customHeight="1" x14ac:dyDescent="0.2"/>
    <row r="3322" ht="15" customHeight="1" x14ac:dyDescent="0.2"/>
    <row r="3323" ht="15" customHeight="1" x14ac:dyDescent="0.2"/>
    <row r="3324" ht="15" customHeight="1" x14ac:dyDescent="0.2"/>
    <row r="3325" ht="15" customHeight="1" x14ac:dyDescent="0.2"/>
    <row r="3326" ht="15" customHeight="1" x14ac:dyDescent="0.2"/>
    <row r="3327" ht="15" customHeight="1" x14ac:dyDescent="0.2"/>
    <row r="3328" ht="15" customHeight="1" x14ac:dyDescent="0.2"/>
    <row r="3329" ht="15" customHeight="1" x14ac:dyDescent="0.2"/>
    <row r="3330" ht="15" customHeight="1" x14ac:dyDescent="0.2"/>
    <row r="3331" ht="15" customHeight="1" x14ac:dyDescent="0.2"/>
    <row r="3332" ht="15" customHeight="1" x14ac:dyDescent="0.2"/>
    <row r="3333" ht="15" customHeight="1" x14ac:dyDescent="0.2"/>
    <row r="3334" ht="15" customHeight="1" x14ac:dyDescent="0.2"/>
    <row r="3335" ht="15" customHeight="1" x14ac:dyDescent="0.2"/>
    <row r="3336" ht="15" customHeight="1" x14ac:dyDescent="0.2"/>
    <row r="3337" ht="15" customHeight="1" x14ac:dyDescent="0.2"/>
    <row r="3338" ht="15" customHeight="1" x14ac:dyDescent="0.2"/>
    <row r="3339" ht="15" customHeight="1" x14ac:dyDescent="0.2"/>
    <row r="3340" ht="15" customHeight="1" x14ac:dyDescent="0.2"/>
    <row r="3341" ht="15" customHeight="1" x14ac:dyDescent="0.2"/>
    <row r="3342" ht="15" customHeight="1" x14ac:dyDescent="0.2"/>
    <row r="3343" ht="15" customHeight="1" x14ac:dyDescent="0.2"/>
    <row r="3344" ht="15" customHeight="1" x14ac:dyDescent="0.2"/>
    <row r="3345" ht="15" customHeight="1" x14ac:dyDescent="0.2"/>
    <row r="3346" ht="15" customHeight="1" x14ac:dyDescent="0.2"/>
    <row r="3347" ht="15" customHeight="1" x14ac:dyDescent="0.2"/>
    <row r="3348" ht="15" customHeight="1" x14ac:dyDescent="0.2"/>
    <row r="3349" ht="15" customHeight="1" x14ac:dyDescent="0.2"/>
    <row r="3350" ht="15" customHeight="1" x14ac:dyDescent="0.2"/>
    <row r="3351" ht="15" customHeight="1" x14ac:dyDescent="0.2"/>
    <row r="3352" ht="15" customHeight="1" x14ac:dyDescent="0.2"/>
    <row r="3353" ht="15" customHeight="1" x14ac:dyDescent="0.2"/>
    <row r="3354" ht="15" customHeight="1" x14ac:dyDescent="0.2"/>
    <row r="3355" ht="15" customHeight="1" x14ac:dyDescent="0.2"/>
    <row r="3356" ht="15" customHeight="1" x14ac:dyDescent="0.2"/>
    <row r="3357" ht="15" customHeight="1" x14ac:dyDescent="0.2"/>
    <row r="3358" ht="15" customHeight="1" x14ac:dyDescent="0.2"/>
    <row r="3359" ht="15" customHeight="1" x14ac:dyDescent="0.2"/>
    <row r="3360" ht="15" customHeight="1" x14ac:dyDescent="0.2"/>
    <row r="3361" ht="15" customHeight="1" x14ac:dyDescent="0.2"/>
    <row r="3362" ht="15" customHeight="1" x14ac:dyDescent="0.2"/>
    <row r="3363" ht="15" customHeight="1" x14ac:dyDescent="0.2"/>
    <row r="3364" ht="15" customHeight="1" x14ac:dyDescent="0.2"/>
    <row r="3365" ht="15" customHeight="1" x14ac:dyDescent="0.2"/>
    <row r="3366" ht="15" customHeight="1" x14ac:dyDescent="0.2"/>
    <row r="3367" ht="15" customHeight="1" x14ac:dyDescent="0.2"/>
    <row r="3368" ht="15" customHeight="1" x14ac:dyDescent="0.2"/>
    <row r="3369" ht="15" customHeight="1" x14ac:dyDescent="0.2"/>
    <row r="3370" ht="15" customHeight="1" x14ac:dyDescent="0.2"/>
    <row r="3371" ht="15" customHeight="1" x14ac:dyDescent="0.2"/>
    <row r="3372" ht="15" customHeight="1" x14ac:dyDescent="0.2"/>
    <row r="3373" ht="15" customHeight="1" x14ac:dyDescent="0.2"/>
    <row r="3374" ht="15" customHeight="1" x14ac:dyDescent="0.2"/>
    <row r="3375" ht="15" customHeight="1" x14ac:dyDescent="0.2"/>
    <row r="3376" ht="15" customHeight="1" x14ac:dyDescent="0.2"/>
    <row r="3377" ht="15" customHeight="1" x14ac:dyDescent="0.2"/>
    <row r="3378" ht="15" customHeight="1" x14ac:dyDescent="0.2"/>
    <row r="3379" ht="15" customHeight="1" x14ac:dyDescent="0.2"/>
    <row r="3380" ht="15" customHeight="1" x14ac:dyDescent="0.2"/>
    <row r="3381" ht="15" customHeight="1" x14ac:dyDescent="0.2"/>
    <row r="3382" ht="15" customHeight="1" x14ac:dyDescent="0.2"/>
    <row r="3383" ht="15" customHeight="1" x14ac:dyDescent="0.2"/>
    <row r="3384" ht="15" customHeight="1" x14ac:dyDescent="0.2"/>
    <row r="3385" ht="15" customHeight="1" x14ac:dyDescent="0.2"/>
    <row r="3386" ht="15" customHeight="1" x14ac:dyDescent="0.2"/>
    <row r="3387" ht="15" customHeight="1" x14ac:dyDescent="0.2"/>
    <row r="3388" ht="15" customHeight="1" x14ac:dyDescent="0.2"/>
    <row r="3389" ht="15" customHeight="1" x14ac:dyDescent="0.2"/>
    <row r="3390" ht="15" customHeight="1" x14ac:dyDescent="0.2"/>
    <row r="3391" ht="15" customHeight="1" x14ac:dyDescent="0.2"/>
    <row r="3392" ht="15" customHeight="1" x14ac:dyDescent="0.2"/>
    <row r="3393" ht="15" customHeight="1" x14ac:dyDescent="0.2"/>
    <row r="3394" ht="15" customHeight="1" x14ac:dyDescent="0.2"/>
    <row r="3395" ht="15" customHeight="1" x14ac:dyDescent="0.2"/>
    <row r="3396" ht="15" customHeight="1" x14ac:dyDescent="0.2"/>
    <row r="3397" ht="15" customHeight="1" x14ac:dyDescent="0.2"/>
    <row r="3398" ht="15" customHeight="1" x14ac:dyDescent="0.2"/>
    <row r="3399" ht="15" customHeight="1" x14ac:dyDescent="0.2"/>
    <row r="3400" ht="15" customHeight="1" x14ac:dyDescent="0.2"/>
    <row r="3401" ht="15" customHeight="1" x14ac:dyDescent="0.2"/>
    <row r="3402" ht="15" customHeight="1" x14ac:dyDescent="0.2"/>
    <row r="3403" ht="15" customHeight="1" x14ac:dyDescent="0.2"/>
    <row r="3404" ht="15" customHeight="1" x14ac:dyDescent="0.2"/>
    <row r="3405" ht="15" customHeight="1" x14ac:dyDescent="0.2"/>
    <row r="3406" ht="15" customHeight="1" x14ac:dyDescent="0.2"/>
    <row r="3407" ht="15" customHeight="1" x14ac:dyDescent="0.2"/>
    <row r="3408" ht="15" customHeight="1" x14ac:dyDescent="0.2"/>
    <row r="3409" ht="15" customHeight="1" x14ac:dyDescent="0.2"/>
    <row r="3410" ht="15" customHeight="1" x14ac:dyDescent="0.2"/>
    <row r="3411" ht="15" customHeight="1" x14ac:dyDescent="0.2"/>
    <row r="3412" ht="15" customHeight="1" x14ac:dyDescent="0.2"/>
    <row r="3413" ht="15" customHeight="1" x14ac:dyDescent="0.2"/>
    <row r="3414" ht="15" customHeight="1" x14ac:dyDescent="0.2"/>
    <row r="3415" ht="15" customHeight="1" x14ac:dyDescent="0.2"/>
    <row r="3416" ht="15" customHeight="1" x14ac:dyDescent="0.2"/>
    <row r="3417" ht="15" customHeight="1" x14ac:dyDescent="0.2"/>
    <row r="3418" ht="15" customHeight="1" x14ac:dyDescent="0.2"/>
    <row r="3419" ht="15" customHeight="1" x14ac:dyDescent="0.2"/>
    <row r="3420" ht="15" customHeight="1" x14ac:dyDescent="0.2"/>
    <row r="3421" ht="15" customHeight="1" x14ac:dyDescent="0.2"/>
    <row r="3422" ht="15" customHeight="1" x14ac:dyDescent="0.2"/>
    <row r="3423" ht="15" customHeight="1" x14ac:dyDescent="0.2"/>
    <row r="3424" ht="15" customHeight="1" x14ac:dyDescent="0.2"/>
    <row r="3425" ht="15" customHeight="1" x14ac:dyDescent="0.2"/>
    <row r="3426" ht="15" customHeight="1" x14ac:dyDescent="0.2"/>
    <row r="3427" ht="15" customHeight="1" x14ac:dyDescent="0.2"/>
    <row r="3428" ht="15" customHeight="1" x14ac:dyDescent="0.2"/>
    <row r="3429" ht="15" customHeight="1" x14ac:dyDescent="0.2"/>
    <row r="3430" ht="15" customHeight="1" x14ac:dyDescent="0.2"/>
    <row r="3431" ht="15" customHeight="1" x14ac:dyDescent="0.2"/>
    <row r="3432" ht="15" customHeight="1" x14ac:dyDescent="0.2"/>
    <row r="3433" ht="15" customHeight="1" x14ac:dyDescent="0.2"/>
    <row r="3434" ht="15" customHeight="1" x14ac:dyDescent="0.2"/>
    <row r="3435" ht="15" customHeight="1" x14ac:dyDescent="0.2"/>
    <row r="3436" ht="15" customHeight="1" x14ac:dyDescent="0.2"/>
    <row r="3437" ht="15" customHeight="1" x14ac:dyDescent="0.2"/>
    <row r="3438" ht="15" customHeight="1" x14ac:dyDescent="0.2"/>
    <row r="3439" ht="15" customHeight="1" x14ac:dyDescent="0.2"/>
    <row r="3440" ht="15" customHeight="1" x14ac:dyDescent="0.2"/>
    <row r="3441" ht="15" customHeight="1" x14ac:dyDescent="0.2"/>
    <row r="3442" ht="15" customHeight="1" x14ac:dyDescent="0.2"/>
    <row r="3443" ht="15" customHeight="1" x14ac:dyDescent="0.2"/>
    <row r="3444" ht="15" customHeight="1" x14ac:dyDescent="0.2"/>
    <row r="3445" ht="15" customHeight="1" x14ac:dyDescent="0.2"/>
    <row r="3446" ht="15" customHeight="1" x14ac:dyDescent="0.2"/>
    <row r="3447" ht="15" customHeight="1" x14ac:dyDescent="0.2"/>
    <row r="3448" ht="15" customHeight="1" x14ac:dyDescent="0.2"/>
    <row r="3449" ht="15" customHeight="1" x14ac:dyDescent="0.2"/>
    <row r="3450" ht="15" customHeight="1" x14ac:dyDescent="0.2"/>
    <row r="3451" ht="15" customHeight="1" x14ac:dyDescent="0.2"/>
    <row r="3452" ht="15" customHeight="1" x14ac:dyDescent="0.2"/>
    <row r="3453" ht="15" customHeight="1" x14ac:dyDescent="0.2"/>
    <row r="3454" ht="15" customHeight="1" x14ac:dyDescent="0.2"/>
    <row r="3455" ht="15" customHeight="1" x14ac:dyDescent="0.2"/>
    <row r="3456" ht="15" customHeight="1" x14ac:dyDescent="0.2"/>
    <row r="3457" ht="15" customHeight="1" x14ac:dyDescent="0.2"/>
    <row r="3458" ht="15" customHeight="1" x14ac:dyDescent="0.2"/>
    <row r="3459" ht="15" customHeight="1" x14ac:dyDescent="0.2"/>
    <row r="3460" ht="15" customHeight="1" x14ac:dyDescent="0.2"/>
    <row r="3461" ht="15" customHeight="1" x14ac:dyDescent="0.2"/>
    <row r="3462" ht="15" customHeight="1" x14ac:dyDescent="0.2"/>
    <row r="3463" ht="15" customHeight="1" x14ac:dyDescent="0.2"/>
    <row r="3464" ht="15" customHeight="1" x14ac:dyDescent="0.2"/>
    <row r="3465" ht="15" customHeight="1" x14ac:dyDescent="0.2"/>
    <row r="3466" ht="15" customHeight="1" x14ac:dyDescent="0.2"/>
    <row r="3467" ht="15" customHeight="1" x14ac:dyDescent="0.2"/>
    <row r="3468" ht="15" customHeight="1" x14ac:dyDescent="0.2"/>
    <row r="3469" ht="15" customHeight="1" x14ac:dyDescent="0.2"/>
    <row r="3470" ht="15" customHeight="1" x14ac:dyDescent="0.2"/>
    <row r="3471" ht="15" customHeight="1" x14ac:dyDescent="0.2"/>
    <row r="3472" ht="15" customHeight="1" x14ac:dyDescent="0.2"/>
    <row r="3473" ht="15" customHeight="1" x14ac:dyDescent="0.2"/>
    <row r="3474" ht="15" customHeight="1" x14ac:dyDescent="0.2"/>
    <row r="3475" ht="15" customHeight="1" x14ac:dyDescent="0.2"/>
    <row r="3476" ht="15" customHeight="1" x14ac:dyDescent="0.2"/>
    <row r="3477" ht="15" customHeight="1" x14ac:dyDescent="0.2"/>
    <row r="3478" ht="15" customHeight="1" x14ac:dyDescent="0.2"/>
    <row r="3479" ht="15" customHeight="1" x14ac:dyDescent="0.2"/>
    <row r="3480" ht="15" customHeight="1" x14ac:dyDescent="0.2"/>
    <row r="3481" ht="15" customHeight="1" x14ac:dyDescent="0.2"/>
    <row r="3482" ht="15" customHeight="1" x14ac:dyDescent="0.2"/>
    <row r="3483" ht="15" customHeight="1" x14ac:dyDescent="0.2"/>
    <row r="3484" ht="15" customHeight="1" x14ac:dyDescent="0.2"/>
    <row r="3485" ht="15" customHeight="1" x14ac:dyDescent="0.2"/>
    <row r="3486" ht="15" customHeight="1" x14ac:dyDescent="0.2"/>
    <row r="3487" ht="15" customHeight="1" x14ac:dyDescent="0.2"/>
    <row r="3488" ht="15" customHeight="1" x14ac:dyDescent="0.2"/>
    <row r="3489" ht="15" customHeight="1" x14ac:dyDescent="0.2"/>
    <row r="3490" ht="15" customHeight="1" x14ac:dyDescent="0.2"/>
    <row r="3491" ht="15" customHeight="1" x14ac:dyDescent="0.2"/>
    <row r="3492" ht="15" customHeight="1" x14ac:dyDescent="0.2"/>
    <row r="3493" ht="15" customHeight="1" x14ac:dyDescent="0.2"/>
    <row r="3494" ht="15" customHeight="1" x14ac:dyDescent="0.2"/>
    <row r="3495" ht="15" customHeight="1" x14ac:dyDescent="0.2"/>
    <row r="3496" ht="15" customHeight="1" x14ac:dyDescent="0.2"/>
    <row r="3497" ht="15" customHeight="1" x14ac:dyDescent="0.2"/>
    <row r="3498" ht="15" customHeight="1" x14ac:dyDescent="0.2"/>
    <row r="3499" ht="15" customHeight="1" x14ac:dyDescent="0.2"/>
    <row r="3500" ht="15" customHeight="1" x14ac:dyDescent="0.2"/>
    <row r="3501" ht="15" customHeight="1" x14ac:dyDescent="0.2"/>
    <row r="3502" ht="15" customHeight="1" x14ac:dyDescent="0.2"/>
    <row r="3503" ht="15" customHeight="1" x14ac:dyDescent="0.2"/>
    <row r="3504" ht="15" customHeight="1" x14ac:dyDescent="0.2"/>
    <row r="3505" ht="15" customHeight="1" x14ac:dyDescent="0.2"/>
    <row r="3506" ht="15" customHeight="1" x14ac:dyDescent="0.2"/>
    <row r="3507" ht="15" customHeight="1" x14ac:dyDescent="0.2"/>
    <row r="3508" ht="15" customHeight="1" x14ac:dyDescent="0.2"/>
    <row r="3509" ht="15" customHeight="1" x14ac:dyDescent="0.2"/>
    <row r="3510" ht="15" customHeight="1" x14ac:dyDescent="0.2"/>
    <row r="3511" ht="15" customHeight="1" x14ac:dyDescent="0.2"/>
    <row r="3512" ht="15" customHeight="1" x14ac:dyDescent="0.2"/>
    <row r="3513" ht="15" customHeight="1" x14ac:dyDescent="0.2"/>
    <row r="3514" ht="15" customHeight="1" x14ac:dyDescent="0.2"/>
    <row r="3515" ht="15" customHeight="1" x14ac:dyDescent="0.2"/>
    <row r="3516" ht="15" customHeight="1" x14ac:dyDescent="0.2"/>
    <row r="3517" ht="15" customHeight="1" x14ac:dyDescent="0.2"/>
    <row r="3518" ht="15" customHeight="1" x14ac:dyDescent="0.2"/>
    <row r="3519" ht="15" customHeight="1" x14ac:dyDescent="0.2"/>
    <row r="3520" ht="15" customHeight="1" x14ac:dyDescent="0.2"/>
    <row r="3521" ht="15" customHeight="1" x14ac:dyDescent="0.2"/>
    <row r="3522" ht="15" customHeight="1" x14ac:dyDescent="0.2"/>
    <row r="3523" ht="15" customHeight="1" x14ac:dyDescent="0.2"/>
    <row r="3524" ht="15" customHeight="1" x14ac:dyDescent="0.2"/>
    <row r="3525" ht="15" customHeight="1" x14ac:dyDescent="0.2"/>
    <row r="3526" ht="15" customHeight="1" x14ac:dyDescent="0.2"/>
    <row r="3527" ht="15" customHeight="1" x14ac:dyDescent="0.2"/>
    <row r="3528" ht="15" customHeight="1" x14ac:dyDescent="0.2"/>
    <row r="3529" ht="15" customHeight="1" x14ac:dyDescent="0.2"/>
    <row r="3530" ht="15" customHeight="1" x14ac:dyDescent="0.2"/>
    <row r="3531" ht="15" customHeight="1" x14ac:dyDescent="0.2"/>
    <row r="3532" ht="15" customHeight="1" x14ac:dyDescent="0.2"/>
    <row r="3533" ht="15" customHeight="1" x14ac:dyDescent="0.2"/>
    <row r="3534" ht="15" customHeight="1" x14ac:dyDescent="0.2"/>
    <row r="3535" ht="15" customHeight="1" x14ac:dyDescent="0.2"/>
    <row r="3536" ht="15" customHeight="1" x14ac:dyDescent="0.2"/>
    <row r="3537" ht="15" customHeight="1" x14ac:dyDescent="0.2"/>
    <row r="3538" ht="15" customHeight="1" x14ac:dyDescent="0.2"/>
    <row r="3539" ht="15" customHeight="1" x14ac:dyDescent="0.2"/>
    <row r="3540" ht="15" customHeight="1" x14ac:dyDescent="0.2"/>
    <row r="3541" ht="15" customHeight="1" x14ac:dyDescent="0.2"/>
    <row r="3542" ht="15" customHeight="1" x14ac:dyDescent="0.2"/>
    <row r="3543" ht="15" customHeight="1" x14ac:dyDescent="0.2"/>
    <row r="3544" ht="15" customHeight="1" x14ac:dyDescent="0.2"/>
    <row r="3545" ht="15" customHeight="1" x14ac:dyDescent="0.2"/>
    <row r="3546" ht="15" customHeight="1" x14ac:dyDescent="0.2"/>
    <row r="3547" ht="15" customHeight="1" x14ac:dyDescent="0.2"/>
    <row r="3548" ht="15" customHeight="1" x14ac:dyDescent="0.2"/>
    <row r="3549" ht="15" customHeight="1" x14ac:dyDescent="0.2"/>
    <row r="3550" ht="15" customHeight="1" x14ac:dyDescent="0.2"/>
    <row r="3551" ht="15" customHeight="1" x14ac:dyDescent="0.2"/>
    <row r="3552" ht="15" customHeight="1" x14ac:dyDescent="0.2"/>
    <row r="3553" ht="15" customHeight="1" x14ac:dyDescent="0.2"/>
    <row r="3554" ht="15" customHeight="1" x14ac:dyDescent="0.2"/>
    <row r="3555" ht="15" customHeight="1" x14ac:dyDescent="0.2"/>
    <row r="3556" ht="15" customHeight="1" x14ac:dyDescent="0.2"/>
    <row r="3557" ht="15" customHeight="1" x14ac:dyDescent="0.2"/>
    <row r="3558" ht="15" customHeight="1" x14ac:dyDescent="0.2"/>
    <row r="3559" ht="15" customHeight="1" x14ac:dyDescent="0.2"/>
    <row r="3560" ht="15" customHeight="1" x14ac:dyDescent="0.2"/>
    <row r="3561" ht="15" customHeight="1" x14ac:dyDescent="0.2"/>
    <row r="3562" ht="15" customHeight="1" x14ac:dyDescent="0.2"/>
    <row r="3563" ht="15" customHeight="1" x14ac:dyDescent="0.2"/>
    <row r="3564" ht="15" customHeight="1" x14ac:dyDescent="0.2"/>
    <row r="3565" ht="15" customHeight="1" x14ac:dyDescent="0.2"/>
    <row r="3566" ht="15" customHeight="1" x14ac:dyDescent="0.2"/>
    <row r="3567" ht="15" customHeight="1" x14ac:dyDescent="0.2"/>
    <row r="3568" ht="15" customHeight="1" x14ac:dyDescent="0.2"/>
    <row r="3569" ht="15" customHeight="1" x14ac:dyDescent="0.2"/>
    <row r="3570" ht="15" customHeight="1" x14ac:dyDescent="0.2"/>
    <row r="3571" ht="15" customHeight="1" x14ac:dyDescent="0.2"/>
    <row r="3572" ht="15" customHeight="1" x14ac:dyDescent="0.2"/>
    <row r="3573" ht="15" customHeight="1" x14ac:dyDescent="0.2"/>
    <row r="3574" ht="15" customHeight="1" x14ac:dyDescent="0.2"/>
    <row r="3575" ht="15" customHeight="1" x14ac:dyDescent="0.2"/>
    <row r="3576" ht="15" customHeight="1" x14ac:dyDescent="0.2"/>
    <row r="3577" ht="15" customHeight="1" x14ac:dyDescent="0.2"/>
    <row r="3578" ht="15" customHeight="1" x14ac:dyDescent="0.2"/>
    <row r="3579" ht="15" customHeight="1" x14ac:dyDescent="0.2"/>
    <row r="3580" ht="15" customHeight="1" x14ac:dyDescent="0.2"/>
    <row r="3581" ht="15" customHeight="1" x14ac:dyDescent="0.2"/>
    <row r="3582" ht="15" customHeight="1" x14ac:dyDescent="0.2"/>
    <row r="3583" ht="15" customHeight="1" x14ac:dyDescent="0.2"/>
    <row r="3584" ht="15" customHeight="1" x14ac:dyDescent="0.2"/>
    <row r="3585" ht="15" customHeight="1" x14ac:dyDescent="0.2"/>
    <row r="3586" ht="15" customHeight="1" x14ac:dyDescent="0.2"/>
    <row r="3587" ht="15" customHeight="1" x14ac:dyDescent="0.2"/>
    <row r="3588" ht="15" customHeight="1" x14ac:dyDescent="0.2"/>
    <row r="3589" ht="15" customHeight="1" x14ac:dyDescent="0.2"/>
    <row r="3590" ht="15" customHeight="1" x14ac:dyDescent="0.2"/>
    <row r="3591" ht="15" customHeight="1" x14ac:dyDescent="0.2"/>
    <row r="3592" ht="15" customHeight="1" x14ac:dyDescent="0.2"/>
    <row r="3593" ht="15" customHeight="1" x14ac:dyDescent="0.2"/>
    <row r="3594" ht="15" customHeight="1" x14ac:dyDescent="0.2"/>
    <row r="3595" ht="15" customHeight="1" x14ac:dyDescent="0.2"/>
    <row r="3596" ht="15" customHeight="1" x14ac:dyDescent="0.2"/>
    <row r="3597" ht="15" customHeight="1" x14ac:dyDescent="0.2"/>
    <row r="3598" ht="15" customHeight="1" x14ac:dyDescent="0.2"/>
    <row r="3599" ht="15" customHeight="1" x14ac:dyDescent="0.2"/>
    <row r="3600" ht="15" customHeight="1" x14ac:dyDescent="0.2"/>
    <row r="3601" ht="15" customHeight="1" x14ac:dyDescent="0.2"/>
    <row r="3602" ht="15" customHeight="1" x14ac:dyDescent="0.2"/>
    <row r="3603" ht="15" customHeight="1" x14ac:dyDescent="0.2"/>
    <row r="3604" ht="15" customHeight="1" x14ac:dyDescent="0.2"/>
    <row r="3605" ht="15" customHeight="1" x14ac:dyDescent="0.2"/>
    <row r="3606" ht="15" customHeight="1" x14ac:dyDescent="0.2"/>
    <row r="3607" ht="15" customHeight="1" x14ac:dyDescent="0.2"/>
    <row r="3608" ht="15" customHeight="1" x14ac:dyDescent="0.2"/>
    <row r="3609" ht="15" customHeight="1" x14ac:dyDescent="0.2"/>
    <row r="3610" ht="15" customHeight="1" x14ac:dyDescent="0.2"/>
    <row r="3611" ht="15" customHeight="1" x14ac:dyDescent="0.2"/>
    <row r="3612" ht="15" customHeight="1" x14ac:dyDescent="0.2"/>
    <row r="3613" ht="15" customHeight="1" x14ac:dyDescent="0.2"/>
    <row r="3614" ht="15" customHeight="1" x14ac:dyDescent="0.2"/>
    <row r="3615" ht="15" customHeight="1" x14ac:dyDescent="0.2"/>
    <row r="3616" ht="15" customHeight="1" x14ac:dyDescent="0.2"/>
    <row r="3617" ht="15" customHeight="1" x14ac:dyDescent="0.2"/>
    <row r="3618" ht="15" customHeight="1" x14ac:dyDescent="0.2"/>
    <row r="3619" ht="15" customHeight="1" x14ac:dyDescent="0.2"/>
    <row r="3620" ht="15" customHeight="1" x14ac:dyDescent="0.2"/>
    <row r="3621" ht="15" customHeight="1" x14ac:dyDescent="0.2"/>
    <row r="3622" ht="15" customHeight="1" x14ac:dyDescent="0.2"/>
    <row r="3623" ht="15" customHeight="1" x14ac:dyDescent="0.2"/>
    <row r="3624" ht="15" customHeight="1" x14ac:dyDescent="0.2"/>
    <row r="3625" ht="15" customHeight="1" x14ac:dyDescent="0.2"/>
    <row r="3626" ht="15" customHeight="1" x14ac:dyDescent="0.2"/>
    <row r="3627" ht="15" customHeight="1" x14ac:dyDescent="0.2"/>
    <row r="3628" ht="15" customHeight="1" x14ac:dyDescent="0.2"/>
    <row r="3629" ht="15" customHeight="1" x14ac:dyDescent="0.2"/>
    <row r="3630" ht="15" customHeight="1" x14ac:dyDescent="0.2"/>
    <row r="3631" ht="15" customHeight="1" x14ac:dyDescent="0.2"/>
    <row r="3632" ht="15" customHeight="1" x14ac:dyDescent="0.2"/>
    <row r="3633" ht="15" customHeight="1" x14ac:dyDescent="0.2"/>
    <row r="3634" ht="15" customHeight="1" x14ac:dyDescent="0.2"/>
    <row r="3635" ht="15" customHeight="1" x14ac:dyDescent="0.2"/>
    <row r="3636" ht="15" customHeight="1" x14ac:dyDescent="0.2"/>
    <row r="3637" ht="15" customHeight="1" x14ac:dyDescent="0.2"/>
    <row r="3638" ht="15" customHeight="1" x14ac:dyDescent="0.2"/>
    <row r="3639" ht="15" customHeight="1" x14ac:dyDescent="0.2"/>
    <row r="3640" ht="15" customHeight="1" x14ac:dyDescent="0.2"/>
    <row r="3641" ht="15" customHeight="1" x14ac:dyDescent="0.2"/>
    <row r="3642" ht="15" customHeight="1" x14ac:dyDescent="0.2"/>
    <row r="3643" ht="15" customHeight="1" x14ac:dyDescent="0.2"/>
    <row r="3644" ht="15" customHeight="1" x14ac:dyDescent="0.2"/>
    <row r="3645" ht="15" customHeight="1" x14ac:dyDescent="0.2"/>
    <row r="3646" ht="15" customHeight="1" x14ac:dyDescent="0.2"/>
    <row r="3647" ht="15" customHeight="1" x14ac:dyDescent="0.2"/>
    <row r="3648" ht="15" customHeight="1" x14ac:dyDescent="0.2"/>
    <row r="3649" ht="15" customHeight="1" x14ac:dyDescent="0.2"/>
    <row r="3650" ht="15" customHeight="1" x14ac:dyDescent="0.2"/>
    <row r="3651" ht="15" customHeight="1" x14ac:dyDescent="0.2"/>
    <row r="3652" ht="15" customHeight="1" x14ac:dyDescent="0.2"/>
    <row r="3653" ht="15" customHeight="1" x14ac:dyDescent="0.2"/>
    <row r="3654" ht="15" customHeight="1" x14ac:dyDescent="0.2"/>
    <row r="3655" ht="15" customHeight="1" x14ac:dyDescent="0.2"/>
    <row r="3656" ht="15" customHeight="1" x14ac:dyDescent="0.2"/>
    <row r="3657" ht="15" customHeight="1" x14ac:dyDescent="0.2"/>
    <row r="3658" ht="15" customHeight="1" x14ac:dyDescent="0.2"/>
    <row r="3659" ht="15" customHeight="1" x14ac:dyDescent="0.2"/>
    <row r="3660" ht="15" customHeight="1" x14ac:dyDescent="0.2"/>
    <row r="3661" ht="15" customHeight="1" x14ac:dyDescent="0.2"/>
    <row r="3662" ht="15" customHeight="1" x14ac:dyDescent="0.2"/>
    <row r="3663" ht="15" customHeight="1" x14ac:dyDescent="0.2"/>
    <row r="3664" ht="15" customHeight="1" x14ac:dyDescent="0.2"/>
    <row r="3665" ht="15" customHeight="1" x14ac:dyDescent="0.2"/>
    <row r="3666" ht="15" customHeight="1" x14ac:dyDescent="0.2"/>
    <row r="3667" ht="15" customHeight="1" x14ac:dyDescent="0.2"/>
    <row r="3668" ht="15" customHeight="1" x14ac:dyDescent="0.2"/>
    <row r="3669" ht="15" customHeight="1" x14ac:dyDescent="0.2"/>
    <row r="3670" ht="15" customHeight="1" x14ac:dyDescent="0.2"/>
    <row r="3671" ht="15" customHeight="1" x14ac:dyDescent="0.2"/>
    <row r="3672" ht="15" customHeight="1" x14ac:dyDescent="0.2"/>
    <row r="3673" ht="15" customHeight="1" x14ac:dyDescent="0.2"/>
    <row r="3674" ht="15" customHeight="1" x14ac:dyDescent="0.2"/>
    <row r="3675" ht="15" customHeight="1" x14ac:dyDescent="0.2"/>
    <row r="3676" ht="15" customHeight="1" x14ac:dyDescent="0.2"/>
    <row r="3677" ht="15" customHeight="1" x14ac:dyDescent="0.2"/>
    <row r="3678" ht="15" customHeight="1" x14ac:dyDescent="0.2"/>
    <row r="3679" ht="15" customHeight="1" x14ac:dyDescent="0.2"/>
    <row r="3680" ht="15" customHeight="1" x14ac:dyDescent="0.2"/>
    <row r="3681" ht="15" customHeight="1" x14ac:dyDescent="0.2"/>
    <row r="3682" ht="15" customHeight="1" x14ac:dyDescent="0.2"/>
    <row r="3683" ht="15" customHeight="1" x14ac:dyDescent="0.2"/>
    <row r="3684" ht="15" customHeight="1" x14ac:dyDescent="0.2"/>
    <row r="3685" ht="15" customHeight="1" x14ac:dyDescent="0.2"/>
    <row r="3686" ht="15" customHeight="1" x14ac:dyDescent="0.2"/>
    <row r="3687" ht="15" customHeight="1" x14ac:dyDescent="0.2"/>
    <row r="3688" ht="15" customHeight="1" x14ac:dyDescent="0.2"/>
    <row r="3689" ht="15" customHeight="1" x14ac:dyDescent="0.2"/>
    <row r="3690" ht="15" customHeight="1" x14ac:dyDescent="0.2"/>
    <row r="3691" ht="15" customHeight="1" x14ac:dyDescent="0.2"/>
    <row r="3692" ht="15" customHeight="1" x14ac:dyDescent="0.2"/>
    <row r="3693" ht="15" customHeight="1" x14ac:dyDescent="0.2"/>
    <row r="3694" ht="15" customHeight="1" x14ac:dyDescent="0.2"/>
    <row r="3695" ht="15" customHeight="1" x14ac:dyDescent="0.2"/>
    <row r="3696" ht="15" customHeight="1" x14ac:dyDescent="0.2"/>
    <row r="3697" ht="15" customHeight="1" x14ac:dyDescent="0.2"/>
    <row r="3698" ht="15" customHeight="1" x14ac:dyDescent="0.2"/>
    <row r="3699" ht="15" customHeight="1" x14ac:dyDescent="0.2"/>
    <row r="3700" ht="15" customHeight="1" x14ac:dyDescent="0.2"/>
    <row r="3701" ht="15" customHeight="1" x14ac:dyDescent="0.2"/>
    <row r="3702" ht="15" customHeight="1" x14ac:dyDescent="0.2"/>
    <row r="3703" ht="15" customHeight="1" x14ac:dyDescent="0.2"/>
    <row r="3704" ht="15" customHeight="1" x14ac:dyDescent="0.2"/>
    <row r="3705" ht="15" customHeight="1" x14ac:dyDescent="0.2"/>
    <row r="3706" ht="15" customHeight="1" x14ac:dyDescent="0.2"/>
    <row r="3707" ht="15" customHeight="1" x14ac:dyDescent="0.2"/>
    <row r="3708" ht="15" customHeight="1" x14ac:dyDescent="0.2"/>
    <row r="3709" ht="15" customHeight="1" x14ac:dyDescent="0.2"/>
    <row r="3710" ht="15" customHeight="1" x14ac:dyDescent="0.2"/>
    <row r="3711" ht="15" customHeight="1" x14ac:dyDescent="0.2"/>
    <row r="3712" ht="15" customHeight="1" x14ac:dyDescent="0.2"/>
    <row r="3713" ht="15" customHeight="1" x14ac:dyDescent="0.2"/>
    <row r="3714" ht="15" customHeight="1" x14ac:dyDescent="0.2"/>
    <row r="3715" ht="15" customHeight="1" x14ac:dyDescent="0.2"/>
    <row r="3716" ht="15" customHeight="1" x14ac:dyDescent="0.2"/>
    <row r="3717" ht="15" customHeight="1" x14ac:dyDescent="0.2"/>
    <row r="3718" ht="15" customHeight="1" x14ac:dyDescent="0.2"/>
    <row r="3719" ht="15" customHeight="1" x14ac:dyDescent="0.2"/>
    <row r="3720" ht="15" customHeight="1" x14ac:dyDescent="0.2"/>
    <row r="3721" ht="15" customHeight="1" x14ac:dyDescent="0.2"/>
    <row r="3722" ht="15" customHeight="1" x14ac:dyDescent="0.2"/>
    <row r="3723" ht="15" customHeight="1" x14ac:dyDescent="0.2"/>
    <row r="3724" ht="15" customHeight="1" x14ac:dyDescent="0.2"/>
    <row r="3725" ht="15" customHeight="1" x14ac:dyDescent="0.2"/>
    <row r="3726" ht="15" customHeight="1" x14ac:dyDescent="0.2"/>
    <row r="3727" ht="15" customHeight="1" x14ac:dyDescent="0.2"/>
    <row r="3728" ht="15" customHeight="1" x14ac:dyDescent="0.2"/>
    <row r="3729" ht="15" customHeight="1" x14ac:dyDescent="0.2"/>
    <row r="3730" ht="15" customHeight="1" x14ac:dyDescent="0.2"/>
    <row r="3731" ht="15" customHeight="1" x14ac:dyDescent="0.2"/>
    <row r="3732" ht="15" customHeight="1" x14ac:dyDescent="0.2"/>
    <row r="3733" ht="15" customHeight="1" x14ac:dyDescent="0.2"/>
    <row r="3734" ht="15" customHeight="1" x14ac:dyDescent="0.2"/>
    <row r="3735" ht="15" customHeight="1" x14ac:dyDescent="0.2"/>
    <row r="3736" ht="15" customHeight="1" x14ac:dyDescent="0.2"/>
    <row r="3737" ht="15" customHeight="1" x14ac:dyDescent="0.2"/>
    <row r="3738" ht="15" customHeight="1" x14ac:dyDescent="0.2"/>
    <row r="3739" ht="15" customHeight="1" x14ac:dyDescent="0.2"/>
    <row r="3740" ht="15" customHeight="1" x14ac:dyDescent="0.2"/>
    <row r="3741" ht="15" customHeight="1" x14ac:dyDescent="0.2"/>
    <row r="3742" ht="15" customHeight="1" x14ac:dyDescent="0.2"/>
    <row r="3743" ht="15" customHeight="1" x14ac:dyDescent="0.2"/>
    <row r="3744" ht="15" customHeight="1" x14ac:dyDescent="0.2"/>
    <row r="3745" ht="15" customHeight="1" x14ac:dyDescent="0.2"/>
    <row r="3746" ht="15" customHeight="1" x14ac:dyDescent="0.2"/>
    <row r="3747" ht="15" customHeight="1" x14ac:dyDescent="0.2"/>
    <row r="3748" ht="15" customHeight="1" x14ac:dyDescent="0.2"/>
    <row r="3749" ht="15" customHeight="1" x14ac:dyDescent="0.2"/>
    <row r="3750" ht="15" customHeight="1" x14ac:dyDescent="0.2"/>
    <row r="3751" ht="15" customHeight="1" x14ac:dyDescent="0.2"/>
    <row r="3752" ht="15" customHeight="1" x14ac:dyDescent="0.2"/>
    <row r="3753" ht="15" customHeight="1" x14ac:dyDescent="0.2"/>
    <row r="3754" ht="15" customHeight="1" x14ac:dyDescent="0.2"/>
    <row r="3755" ht="15" customHeight="1" x14ac:dyDescent="0.2"/>
    <row r="3756" ht="15" customHeight="1" x14ac:dyDescent="0.2"/>
    <row r="3757" ht="15" customHeight="1" x14ac:dyDescent="0.2"/>
    <row r="3758" ht="15" customHeight="1" x14ac:dyDescent="0.2"/>
    <row r="3759" ht="15" customHeight="1" x14ac:dyDescent="0.2"/>
    <row r="3760" ht="15" customHeight="1" x14ac:dyDescent="0.2"/>
    <row r="3761" ht="15" customHeight="1" x14ac:dyDescent="0.2"/>
    <row r="3762" ht="15" customHeight="1" x14ac:dyDescent="0.2"/>
    <row r="3763" ht="15" customHeight="1" x14ac:dyDescent="0.2"/>
    <row r="3764" ht="15" customHeight="1" x14ac:dyDescent="0.2"/>
    <row r="3765" ht="15" customHeight="1" x14ac:dyDescent="0.2"/>
    <row r="3766" ht="15" customHeight="1" x14ac:dyDescent="0.2"/>
    <row r="3767" ht="15" customHeight="1" x14ac:dyDescent="0.2"/>
    <row r="3768" ht="15" customHeight="1" x14ac:dyDescent="0.2"/>
    <row r="3769" ht="15" customHeight="1" x14ac:dyDescent="0.2"/>
    <row r="3770" ht="15" customHeight="1" x14ac:dyDescent="0.2"/>
    <row r="3771" ht="15" customHeight="1" x14ac:dyDescent="0.2"/>
    <row r="3772" ht="15" customHeight="1" x14ac:dyDescent="0.2"/>
    <row r="3773" ht="15" customHeight="1" x14ac:dyDescent="0.2"/>
    <row r="3774" ht="15" customHeight="1" x14ac:dyDescent="0.2"/>
    <row r="3775" ht="15" customHeight="1" x14ac:dyDescent="0.2"/>
    <row r="3776" ht="15" customHeight="1" x14ac:dyDescent="0.2"/>
    <row r="3777" ht="15" customHeight="1" x14ac:dyDescent="0.2"/>
    <row r="3778" ht="15" customHeight="1" x14ac:dyDescent="0.2"/>
    <row r="3779" ht="15" customHeight="1" x14ac:dyDescent="0.2"/>
    <row r="3780" ht="15" customHeight="1" x14ac:dyDescent="0.2"/>
    <row r="3781" ht="15" customHeight="1" x14ac:dyDescent="0.2"/>
    <row r="3782" ht="15" customHeight="1" x14ac:dyDescent="0.2"/>
    <row r="3783" ht="15" customHeight="1" x14ac:dyDescent="0.2"/>
    <row r="3784" ht="15" customHeight="1" x14ac:dyDescent="0.2"/>
    <row r="3785" ht="15" customHeight="1" x14ac:dyDescent="0.2"/>
    <row r="3786" ht="15" customHeight="1" x14ac:dyDescent="0.2"/>
    <row r="3787" ht="15" customHeight="1" x14ac:dyDescent="0.2"/>
    <row r="3788" ht="15" customHeight="1" x14ac:dyDescent="0.2"/>
    <row r="3789" ht="15" customHeight="1" x14ac:dyDescent="0.2"/>
    <row r="3790" ht="15" customHeight="1" x14ac:dyDescent="0.2"/>
    <row r="3791" ht="15" customHeight="1" x14ac:dyDescent="0.2"/>
    <row r="3792" ht="15" customHeight="1" x14ac:dyDescent="0.2"/>
    <row r="3793" ht="15" customHeight="1" x14ac:dyDescent="0.2"/>
    <row r="3794" ht="15" customHeight="1" x14ac:dyDescent="0.2"/>
    <row r="3795" ht="15" customHeight="1" x14ac:dyDescent="0.2"/>
    <row r="3796" ht="15" customHeight="1" x14ac:dyDescent="0.2"/>
    <row r="3797" ht="15" customHeight="1" x14ac:dyDescent="0.2"/>
    <row r="3798" ht="15" customHeight="1" x14ac:dyDescent="0.2"/>
    <row r="3799" ht="15" customHeight="1" x14ac:dyDescent="0.2"/>
    <row r="3800" ht="15" customHeight="1" x14ac:dyDescent="0.2"/>
    <row r="3801" ht="15" customHeight="1" x14ac:dyDescent="0.2"/>
    <row r="3802" ht="15" customHeight="1" x14ac:dyDescent="0.2"/>
    <row r="3803" ht="15" customHeight="1" x14ac:dyDescent="0.2"/>
    <row r="3804" ht="15" customHeight="1" x14ac:dyDescent="0.2"/>
    <row r="3805" ht="15" customHeight="1" x14ac:dyDescent="0.2"/>
    <row r="3806" ht="15" customHeight="1" x14ac:dyDescent="0.2"/>
    <row r="3807" ht="15" customHeight="1" x14ac:dyDescent="0.2"/>
    <row r="3808" ht="15" customHeight="1" x14ac:dyDescent="0.2"/>
    <row r="3809" ht="15" customHeight="1" x14ac:dyDescent="0.2"/>
    <row r="3810" ht="15" customHeight="1" x14ac:dyDescent="0.2"/>
    <row r="3811" ht="15" customHeight="1" x14ac:dyDescent="0.2"/>
    <row r="3812" ht="15" customHeight="1" x14ac:dyDescent="0.2"/>
    <row r="3813" ht="15" customHeight="1" x14ac:dyDescent="0.2"/>
    <row r="3814" ht="15" customHeight="1" x14ac:dyDescent="0.2"/>
    <row r="3815" ht="15" customHeight="1" x14ac:dyDescent="0.2"/>
    <row r="3816" ht="15" customHeight="1" x14ac:dyDescent="0.2"/>
    <row r="3817" ht="15" customHeight="1" x14ac:dyDescent="0.2"/>
    <row r="3818" ht="15" customHeight="1" x14ac:dyDescent="0.2"/>
    <row r="3819" ht="15" customHeight="1" x14ac:dyDescent="0.2"/>
    <row r="3820" ht="15" customHeight="1" x14ac:dyDescent="0.2"/>
    <row r="3821" ht="15" customHeight="1" x14ac:dyDescent="0.2"/>
    <row r="3822" ht="15" customHeight="1" x14ac:dyDescent="0.2"/>
    <row r="3823" ht="15" customHeight="1" x14ac:dyDescent="0.2"/>
    <row r="3824" ht="15" customHeight="1" x14ac:dyDescent="0.2"/>
    <row r="3825" ht="15" customHeight="1" x14ac:dyDescent="0.2"/>
    <row r="3826" ht="15" customHeight="1" x14ac:dyDescent="0.2"/>
    <row r="3827" ht="15" customHeight="1" x14ac:dyDescent="0.2"/>
    <row r="3828" ht="15" customHeight="1" x14ac:dyDescent="0.2"/>
    <row r="3829" ht="15" customHeight="1" x14ac:dyDescent="0.2"/>
    <row r="3830" ht="15" customHeight="1" x14ac:dyDescent="0.2"/>
    <row r="3831" ht="15" customHeight="1" x14ac:dyDescent="0.2"/>
    <row r="3832" ht="15" customHeight="1" x14ac:dyDescent="0.2"/>
    <row r="3833" ht="15" customHeight="1" x14ac:dyDescent="0.2"/>
    <row r="3834" ht="15" customHeight="1" x14ac:dyDescent="0.2"/>
    <row r="3835" ht="15" customHeight="1" x14ac:dyDescent="0.2"/>
    <row r="3836" ht="15" customHeight="1" x14ac:dyDescent="0.2"/>
    <row r="3837" ht="15" customHeight="1" x14ac:dyDescent="0.2"/>
    <row r="3838" ht="15" customHeight="1" x14ac:dyDescent="0.2"/>
    <row r="3839" ht="15" customHeight="1" x14ac:dyDescent="0.2"/>
    <row r="3840" ht="15" customHeight="1" x14ac:dyDescent="0.2"/>
    <row r="3841" ht="15" customHeight="1" x14ac:dyDescent="0.2"/>
    <row r="3842" ht="15" customHeight="1" x14ac:dyDescent="0.2"/>
    <row r="3843" ht="15" customHeight="1" x14ac:dyDescent="0.2"/>
    <row r="3844" ht="15" customHeight="1" x14ac:dyDescent="0.2"/>
    <row r="3845" ht="15" customHeight="1" x14ac:dyDescent="0.2"/>
    <row r="3846" ht="15" customHeight="1" x14ac:dyDescent="0.2"/>
    <row r="3847" ht="15" customHeight="1" x14ac:dyDescent="0.2"/>
    <row r="3848" ht="15" customHeight="1" x14ac:dyDescent="0.2"/>
    <row r="3849" ht="15" customHeight="1" x14ac:dyDescent="0.2"/>
    <row r="3850" ht="15" customHeight="1" x14ac:dyDescent="0.2"/>
    <row r="3851" ht="15" customHeight="1" x14ac:dyDescent="0.2"/>
    <row r="3852" ht="15" customHeight="1" x14ac:dyDescent="0.2"/>
    <row r="3853" ht="15" customHeight="1" x14ac:dyDescent="0.2"/>
    <row r="3854" ht="15" customHeight="1" x14ac:dyDescent="0.2"/>
    <row r="3855" ht="15" customHeight="1" x14ac:dyDescent="0.2"/>
    <row r="3856" ht="15" customHeight="1" x14ac:dyDescent="0.2"/>
    <row r="3857" ht="15" customHeight="1" x14ac:dyDescent="0.2"/>
    <row r="3858" ht="15" customHeight="1" x14ac:dyDescent="0.2"/>
    <row r="3859" ht="15" customHeight="1" x14ac:dyDescent="0.2"/>
    <row r="3860" ht="15" customHeight="1" x14ac:dyDescent="0.2"/>
    <row r="3861" ht="15" customHeight="1" x14ac:dyDescent="0.2"/>
    <row r="3862" ht="15" customHeight="1" x14ac:dyDescent="0.2"/>
    <row r="3863" ht="15" customHeight="1" x14ac:dyDescent="0.2"/>
    <row r="3864" ht="15" customHeight="1" x14ac:dyDescent="0.2"/>
    <row r="3865" ht="15" customHeight="1" x14ac:dyDescent="0.2"/>
    <row r="3866" ht="15" customHeight="1" x14ac:dyDescent="0.2"/>
    <row r="3867" ht="15" customHeight="1" x14ac:dyDescent="0.2"/>
    <row r="3868" ht="15" customHeight="1" x14ac:dyDescent="0.2"/>
    <row r="3869" ht="15" customHeight="1" x14ac:dyDescent="0.2"/>
    <row r="3870" ht="15" customHeight="1" x14ac:dyDescent="0.2"/>
    <row r="3871" ht="15" customHeight="1" x14ac:dyDescent="0.2"/>
    <row r="3872" ht="15" customHeight="1" x14ac:dyDescent="0.2"/>
    <row r="3873" ht="15" customHeight="1" x14ac:dyDescent="0.2"/>
    <row r="3874" ht="15" customHeight="1" x14ac:dyDescent="0.2"/>
    <row r="3875" ht="15" customHeight="1" x14ac:dyDescent="0.2"/>
    <row r="3876" ht="15" customHeight="1" x14ac:dyDescent="0.2"/>
    <row r="3877" ht="15" customHeight="1" x14ac:dyDescent="0.2"/>
    <row r="3878" ht="15" customHeight="1" x14ac:dyDescent="0.2"/>
    <row r="3879" ht="15" customHeight="1" x14ac:dyDescent="0.2"/>
    <row r="3880" ht="15" customHeight="1" x14ac:dyDescent="0.2"/>
    <row r="3881" ht="15" customHeight="1" x14ac:dyDescent="0.2"/>
    <row r="3882" ht="15" customHeight="1" x14ac:dyDescent="0.2"/>
    <row r="3883" ht="15" customHeight="1" x14ac:dyDescent="0.2"/>
    <row r="3884" ht="15" customHeight="1" x14ac:dyDescent="0.2"/>
    <row r="3885" ht="15" customHeight="1" x14ac:dyDescent="0.2"/>
    <row r="3886" ht="15" customHeight="1" x14ac:dyDescent="0.2"/>
    <row r="3887" ht="15" customHeight="1" x14ac:dyDescent="0.2"/>
    <row r="3888" ht="15" customHeight="1" x14ac:dyDescent="0.2"/>
    <row r="3889" ht="15" customHeight="1" x14ac:dyDescent="0.2"/>
    <row r="3890" ht="15" customHeight="1" x14ac:dyDescent="0.2"/>
    <row r="3891" ht="15" customHeight="1" x14ac:dyDescent="0.2"/>
    <row r="3892" ht="15" customHeight="1" x14ac:dyDescent="0.2"/>
    <row r="3893" ht="15" customHeight="1" x14ac:dyDescent="0.2"/>
    <row r="3894" ht="15" customHeight="1" x14ac:dyDescent="0.2"/>
    <row r="3895" ht="15" customHeight="1" x14ac:dyDescent="0.2"/>
    <row r="3896" ht="15" customHeight="1" x14ac:dyDescent="0.2"/>
    <row r="3897" ht="15" customHeight="1" x14ac:dyDescent="0.2"/>
    <row r="3898" ht="15" customHeight="1" x14ac:dyDescent="0.2"/>
    <row r="3899" ht="15" customHeight="1" x14ac:dyDescent="0.2"/>
    <row r="3900" ht="15" customHeight="1" x14ac:dyDescent="0.2"/>
    <row r="3901" ht="15" customHeight="1" x14ac:dyDescent="0.2"/>
    <row r="3902" ht="15" customHeight="1" x14ac:dyDescent="0.2"/>
    <row r="3903" ht="15" customHeight="1" x14ac:dyDescent="0.2"/>
    <row r="3904" ht="15" customHeight="1" x14ac:dyDescent="0.2"/>
    <row r="3905" ht="15" customHeight="1" x14ac:dyDescent="0.2"/>
    <row r="3906" ht="15" customHeight="1" x14ac:dyDescent="0.2"/>
    <row r="3907" ht="15" customHeight="1" x14ac:dyDescent="0.2"/>
    <row r="3908" ht="15" customHeight="1" x14ac:dyDescent="0.2"/>
    <row r="3909" ht="15" customHeight="1" x14ac:dyDescent="0.2"/>
    <row r="3910" ht="15" customHeight="1" x14ac:dyDescent="0.2"/>
    <row r="3911" ht="15" customHeight="1" x14ac:dyDescent="0.2"/>
    <row r="3912" ht="15" customHeight="1" x14ac:dyDescent="0.2"/>
    <row r="3913" ht="15" customHeight="1" x14ac:dyDescent="0.2"/>
    <row r="3914" ht="15" customHeight="1" x14ac:dyDescent="0.2"/>
    <row r="3915" ht="15" customHeight="1" x14ac:dyDescent="0.2"/>
    <row r="3916" ht="15" customHeight="1" x14ac:dyDescent="0.2"/>
    <row r="3917" ht="15" customHeight="1" x14ac:dyDescent="0.2"/>
    <row r="3918" ht="15" customHeight="1" x14ac:dyDescent="0.2"/>
    <row r="3919" ht="15" customHeight="1" x14ac:dyDescent="0.2"/>
    <row r="3920" ht="15" customHeight="1" x14ac:dyDescent="0.2"/>
    <row r="3921" ht="15" customHeight="1" x14ac:dyDescent="0.2"/>
    <row r="3922" ht="15" customHeight="1" x14ac:dyDescent="0.2"/>
    <row r="3923" ht="15" customHeight="1" x14ac:dyDescent="0.2"/>
    <row r="3924" ht="15" customHeight="1" x14ac:dyDescent="0.2"/>
    <row r="3925" ht="15" customHeight="1" x14ac:dyDescent="0.2"/>
    <row r="3926" ht="15" customHeight="1" x14ac:dyDescent="0.2"/>
    <row r="3927" ht="15" customHeight="1" x14ac:dyDescent="0.2"/>
    <row r="3928" ht="15" customHeight="1" x14ac:dyDescent="0.2"/>
    <row r="3929" ht="15" customHeight="1" x14ac:dyDescent="0.2"/>
    <row r="3930" ht="15" customHeight="1" x14ac:dyDescent="0.2"/>
    <row r="3931" ht="15" customHeight="1" x14ac:dyDescent="0.2"/>
    <row r="3932" ht="15" customHeight="1" x14ac:dyDescent="0.2"/>
    <row r="3933" ht="15" customHeight="1" x14ac:dyDescent="0.2"/>
    <row r="3934" ht="15" customHeight="1" x14ac:dyDescent="0.2"/>
    <row r="3935" ht="15" customHeight="1" x14ac:dyDescent="0.2"/>
    <row r="3936" ht="15" customHeight="1" x14ac:dyDescent="0.2"/>
    <row r="3937" ht="15" customHeight="1" x14ac:dyDescent="0.2"/>
    <row r="3938" ht="15" customHeight="1" x14ac:dyDescent="0.2"/>
    <row r="3939" ht="15" customHeight="1" x14ac:dyDescent="0.2"/>
    <row r="3940" ht="15" customHeight="1" x14ac:dyDescent="0.2"/>
    <row r="3941" ht="15" customHeight="1" x14ac:dyDescent="0.2"/>
    <row r="3942" ht="15" customHeight="1" x14ac:dyDescent="0.2"/>
    <row r="3943" ht="15" customHeight="1" x14ac:dyDescent="0.2"/>
    <row r="3944" ht="15" customHeight="1" x14ac:dyDescent="0.2"/>
    <row r="3945" ht="15" customHeight="1" x14ac:dyDescent="0.2"/>
    <row r="3946" ht="15" customHeight="1" x14ac:dyDescent="0.2"/>
    <row r="3947" ht="15" customHeight="1" x14ac:dyDescent="0.2"/>
    <row r="3948" ht="15" customHeight="1" x14ac:dyDescent="0.2"/>
    <row r="3949" ht="15" customHeight="1" x14ac:dyDescent="0.2"/>
    <row r="3950" ht="15" customHeight="1" x14ac:dyDescent="0.2"/>
    <row r="3951" ht="15" customHeight="1" x14ac:dyDescent="0.2"/>
    <row r="3952" ht="15" customHeight="1" x14ac:dyDescent="0.2"/>
    <row r="3953" ht="15" customHeight="1" x14ac:dyDescent="0.2"/>
    <row r="3954" ht="15" customHeight="1" x14ac:dyDescent="0.2"/>
    <row r="3955" ht="15" customHeight="1" x14ac:dyDescent="0.2"/>
    <row r="3956" ht="15" customHeight="1" x14ac:dyDescent="0.2"/>
    <row r="3957" ht="15" customHeight="1" x14ac:dyDescent="0.2"/>
    <row r="3958" ht="15" customHeight="1" x14ac:dyDescent="0.2"/>
    <row r="3959" ht="15" customHeight="1" x14ac:dyDescent="0.2"/>
    <row r="3960" ht="15" customHeight="1" x14ac:dyDescent="0.2"/>
    <row r="3961" ht="15" customHeight="1" x14ac:dyDescent="0.2"/>
    <row r="3962" ht="15" customHeight="1" x14ac:dyDescent="0.2"/>
    <row r="3963" ht="15" customHeight="1" x14ac:dyDescent="0.2"/>
    <row r="3964" ht="15" customHeight="1" x14ac:dyDescent="0.2"/>
    <row r="3965" ht="15" customHeight="1" x14ac:dyDescent="0.2"/>
    <row r="3966" ht="15" customHeight="1" x14ac:dyDescent="0.2"/>
    <row r="3967" ht="15" customHeight="1" x14ac:dyDescent="0.2"/>
    <row r="3968" ht="15" customHeight="1" x14ac:dyDescent="0.2"/>
    <row r="3969" ht="15" customHeight="1" x14ac:dyDescent="0.2"/>
    <row r="3970" ht="15" customHeight="1" x14ac:dyDescent="0.2"/>
    <row r="3971" ht="15" customHeight="1" x14ac:dyDescent="0.2"/>
    <row r="3972" ht="15" customHeight="1" x14ac:dyDescent="0.2"/>
    <row r="3973" ht="15" customHeight="1" x14ac:dyDescent="0.2"/>
    <row r="3974" ht="15" customHeight="1" x14ac:dyDescent="0.2"/>
    <row r="3975" ht="15" customHeight="1" x14ac:dyDescent="0.2"/>
    <row r="3976" ht="15" customHeight="1" x14ac:dyDescent="0.2"/>
    <row r="3977" ht="15" customHeight="1" x14ac:dyDescent="0.2"/>
    <row r="3978" ht="15" customHeight="1" x14ac:dyDescent="0.2"/>
    <row r="3979" ht="15" customHeight="1" x14ac:dyDescent="0.2"/>
    <row r="3980" ht="15" customHeight="1" x14ac:dyDescent="0.2"/>
    <row r="3981" ht="15" customHeight="1" x14ac:dyDescent="0.2"/>
    <row r="3982" ht="15" customHeight="1" x14ac:dyDescent="0.2"/>
    <row r="3983" ht="15" customHeight="1" x14ac:dyDescent="0.2"/>
    <row r="3984" ht="15" customHeight="1" x14ac:dyDescent="0.2"/>
    <row r="3985" ht="15" customHeight="1" x14ac:dyDescent="0.2"/>
    <row r="3986" ht="15" customHeight="1" x14ac:dyDescent="0.2"/>
    <row r="3987" ht="15" customHeight="1" x14ac:dyDescent="0.2"/>
    <row r="3988" ht="15" customHeight="1" x14ac:dyDescent="0.2"/>
    <row r="3989" ht="15" customHeight="1" x14ac:dyDescent="0.2"/>
    <row r="3990" ht="15" customHeight="1" x14ac:dyDescent="0.2"/>
    <row r="3991" ht="15" customHeight="1" x14ac:dyDescent="0.2"/>
    <row r="3992" ht="15" customHeight="1" x14ac:dyDescent="0.2"/>
    <row r="3993" ht="15" customHeight="1" x14ac:dyDescent="0.2"/>
    <row r="3994" ht="15" customHeight="1" x14ac:dyDescent="0.2"/>
    <row r="3995" ht="15" customHeight="1" x14ac:dyDescent="0.2"/>
    <row r="3996" ht="15" customHeight="1" x14ac:dyDescent="0.2"/>
    <row r="3997" ht="15" customHeight="1" x14ac:dyDescent="0.2"/>
    <row r="3998" ht="15" customHeight="1" x14ac:dyDescent="0.2"/>
    <row r="3999" ht="15" customHeight="1" x14ac:dyDescent="0.2"/>
    <row r="4000" ht="15" customHeight="1" x14ac:dyDescent="0.2"/>
    <row r="4001" ht="15" customHeight="1" x14ac:dyDescent="0.2"/>
    <row r="4002" ht="15" customHeight="1" x14ac:dyDescent="0.2"/>
    <row r="4003" ht="15" customHeight="1" x14ac:dyDescent="0.2"/>
    <row r="4004" ht="15" customHeight="1" x14ac:dyDescent="0.2"/>
    <row r="4005" ht="15" customHeight="1" x14ac:dyDescent="0.2"/>
    <row r="4006" ht="15" customHeight="1" x14ac:dyDescent="0.2"/>
    <row r="4007" ht="15" customHeight="1" x14ac:dyDescent="0.2"/>
    <row r="4008" ht="15" customHeight="1" x14ac:dyDescent="0.2"/>
    <row r="4009" ht="15" customHeight="1" x14ac:dyDescent="0.2"/>
    <row r="4010" ht="15" customHeight="1" x14ac:dyDescent="0.2"/>
    <row r="4011" ht="15" customHeight="1" x14ac:dyDescent="0.2"/>
    <row r="4012" ht="15" customHeight="1" x14ac:dyDescent="0.2"/>
    <row r="4013" ht="15" customHeight="1" x14ac:dyDescent="0.2"/>
    <row r="4014" ht="15" customHeight="1" x14ac:dyDescent="0.2"/>
    <row r="4015" ht="15" customHeight="1" x14ac:dyDescent="0.2"/>
    <row r="4016" ht="15" customHeight="1" x14ac:dyDescent="0.2"/>
    <row r="4017" ht="15" customHeight="1" x14ac:dyDescent="0.2"/>
    <row r="4018" ht="15" customHeight="1" x14ac:dyDescent="0.2"/>
    <row r="4019" ht="15" customHeight="1" x14ac:dyDescent="0.2"/>
    <row r="4020" ht="15" customHeight="1" x14ac:dyDescent="0.2"/>
    <row r="4021" ht="15" customHeight="1" x14ac:dyDescent="0.2"/>
    <row r="4022" ht="15" customHeight="1" x14ac:dyDescent="0.2"/>
    <row r="4023" ht="15" customHeight="1" x14ac:dyDescent="0.2"/>
    <row r="4024" ht="15" customHeight="1" x14ac:dyDescent="0.2"/>
    <row r="4025" ht="15" customHeight="1" x14ac:dyDescent="0.2"/>
    <row r="4026" ht="15" customHeight="1" x14ac:dyDescent="0.2"/>
    <row r="4027" ht="15" customHeight="1" x14ac:dyDescent="0.2"/>
    <row r="4028" ht="15" customHeight="1" x14ac:dyDescent="0.2"/>
    <row r="4029" ht="15" customHeight="1" x14ac:dyDescent="0.2"/>
    <row r="4030" ht="15" customHeight="1" x14ac:dyDescent="0.2"/>
    <row r="4031" ht="15" customHeight="1" x14ac:dyDescent="0.2"/>
    <row r="4032" ht="15" customHeight="1" x14ac:dyDescent="0.2"/>
    <row r="4033" ht="15" customHeight="1" x14ac:dyDescent="0.2"/>
    <row r="4034" ht="15" customHeight="1" x14ac:dyDescent="0.2"/>
    <row r="4035" ht="15" customHeight="1" x14ac:dyDescent="0.2"/>
    <row r="4036" ht="15" customHeight="1" x14ac:dyDescent="0.2"/>
    <row r="4037" ht="15" customHeight="1" x14ac:dyDescent="0.2"/>
    <row r="4038" ht="15" customHeight="1" x14ac:dyDescent="0.2"/>
    <row r="4039" ht="15" customHeight="1" x14ac:dyDescent="0.2"/>
    <row r="4040" ht="15" customHeight="1" x14ac:dyDescent="0.2"/>
    <row r="4041" ht="15" customHeight="1" x14ac:dyDescent="0.2"/>
    <row r="4042" ht="15" customHeight="1" x14ac:dyDescent="0.2"/>
    <row r="4043" ht="15" customHeight="1" x14ac:dyDescent="0.2"/>
    <row r="4044" ht="15" customHeight="1" x14ac:dyDescent="0.2"/>
    <row r="4045" ht="15" customHeight="1" x14ac:dyDescent="0.2"/>
    <row r="4046" ht="15" customHeight="1" x14ac:dyDescent="0.2"/>
    <row r="4047" ht="15" customHeight="1" x14ac:dyDescent="0.2"/>
    <row r="4048" ht="15" customHeight="1" x14ac:dyDescent="0.2"/>
    <row r="4049" ht="15" customHeight="1" x14ac:dyDescent="0.2"/>
    <row r="4050" ht="15" customHeight="1" x14ac:dyDescent="0.2"/>
    <row r="4051" ht="15" customHeight="1" x14ac:dyDescent="0.2"/>
    <row r="4052" ht="15" customHeight="1" x14ac:dyDescent="0.2"/>
    <row r="4053" ht="15" customHeight="1" x14ac:dyDescent="0.2"/>
    <row r="4054" ht="15" customHeight="1" x14ac:dyDescent="0.2"/>
    <row r="4055" ht="15" customHeight="1" x14ac:dyDescent="0.2"/>
    <row r="4056" ht="15" customHeight="1" x14ac:dyDescent="0.2"/>
    <row r="4057" ht="15" customHeight="1" x14ac:dyDescent="0.2"/>
    <row r="4058" ht="15" customHeight="1" x14ac:dyDescent="0.2"/>
    <row r="4059" ht="15" customHeight="1" x14ac:dyDescent="0.2"/>
    <row r="4060" ht="15" customHeight="1" x14ac:dyDescent="0.2"/>
    <row r="4061" ht="15" customHeight="1" x14ac:dyDescent="0.2"/>
    <row r="4062" ht="15" customHeight="1" x14ac:dyDescent="0.2"/>
    <row r="4063" ht="15" customHeight="1" x14ac:dyDescent="0.2"/>
    <row r="4064" ht="15" customHeight="1" x14ac:dyDescent="0.2"/>
    <row r="4065" ht="15" customHeight="1" x14ac:dyDescent="0.2"/>
    <row r="4066" ht="15" customHeight="1" x14ac:dyDescent="0.2"/>
    <row r="4067" ht="15" customHeight="1" x14ac:dyDescent="0.2"/>
    <row r="4068" ht="15" customHeight="1" x14ac:dyDescent="0.2"/>
    <row r="4069" ht="15" customHeight="1" x14ac:dyDescent="0.2"/>
    <row r="4070" ht="15" customHeight="1" x14ac:dyDescent="0.2"/>
    <row r="4071" ht="15" customHeight="1" x14ac:dyDescent="0.2"/>
    <row r="4072" ht="15" customHeight="1" x14ac:dyDescent="0.2"/>
    <row r="4073" ht="15" customHeight="1" x14ac:dyDescent="0.2"/>
    <row r="4074" ht="15" customHeight="1" x14ac:dyDescent="0.2"/>
    <row r="4075" ht="15" customHeight="1" x14ac:dyDescent="0.2"/>
    <row r="4076" ht="15" customHeight="1" x14ac:dyDescent="0.2"/>
    <row r="4077" ht="15" customHeight="1" x14ac:dyDescent="0.2"/>
    <row r="4078" ht="15" customHeight="1" x14ac:dyDescent="0.2"/>
    <row r="4079" ht="15" customHeight="1" x14ac:dyDescent="0.2"/>
    <row r="4080" ht="15" customHeight="1" x14ac:dyDescent="0.2"/>
    <row r="4081" ht="15" customHeight="1" x14ac:dyDescent="0.2"/>
    <row r="4082" ht="15" customHeight="1" x14ac:dyDescent="0.2"/>
    <row r="4083" ht="15" customHeight="1" x14ac:dyDescent="0.2"/>
    <row r="4084" ht="15" customHeight="1" x14ac:dyDescent="0.2"/>
    <row r="4085" ht="15" customHeight="1" x14ac:dyDescent="0.2"/>
    <row r="4086" ht="15" customHeight="1" x14ac:dyDescent="0.2"/>
    <row r="4087" ht="15" customHeight="1" x14ac:dyDescent="0.2"/>
    <row r="4088" ht="15" customHeight="1" x14ac:dyDescent="0.2"/>
    <row r="4089" ht="15" customHeight="1" x14ac:dyDescent="0.2"/>
    <row r="4090" ht="15" customHeight="1" x14ac:dyDescent="0.2"/>
    <row r="4091" ht="15" customHeight="1" x14ac:dyDescent="0.2"/>
    <row r="4092" ht="15" customHeight="1" x14ac:dyDescent="0.2"/>
    <row r="4093" ht="15" customHeight="1" x14ac:dyDescent="0.2"/>
    <row r="4094" ht="15" customHeight="1" x14ac:dyDescent="0.2"/>
    <row r="4095" ht="15" customHeight="1" x14ac:dyDescent="0.2"/>
    <row r="4096" ht="15" customHeight="1" x14ac:dyDescent="0.2"/>
    <row r="4097" ht="15" customHeight="1" x14ac:dyDescent="0.2"/>
    <row r="4098" ht="15" customHeight="1" x14ac:dyDescent="0.2"/>
    <row r="4099" ht="15" customHeight="1" x14ac:dyDescent="0.2"/>
    <row r="4100" ht="15" customHeight="1" x14ac:dyDescent="0.2"/>
    <row r="4101" ht="15" customHeight="1" x14ac:dyDescent="0.2"/>
    <row r="4102" ht="15" customHeight="1" x14ac:dyDescent="0.2"/>
    <row r="4103" ht="15" customHeight="1" x14ac:dyDescent="0.2"/>
    <row r="4104" ht="15" customHeight="1" x14ac:dyDescent="0.2"/>
    <row r="4105" ht="15" customHeight="1" x14ac:dyDescent="0.2"/>
    <row r="4106" ht="15" customHeight="1" x14ac:dyDescent="0.2"/>
    <row r="4107" ht="15" customHeight="1" x14ac:dyDescent="0.2"/>
    <row r="4108" ht="15" customHeight="1" x14ac:dyDescent="0.2"/>
    <row r="4109" ht="15" customHeight="1" x14ac:dyDescent="0.2"/>
    <row r="4110" ht="15" customHeight="1" x14ac:dyDescent="0.2"/>
    <row r="4111" ht="15" customHeight="1" x14ac:dyDescent="0.2"/>
    <row r="4112" ht="15" customHeight="1" x14ac:dyDescent="0.2"/>
    <row r="4113" ht="15" customHeight="1" x14ac:dyDescent="0.2"/>
    <row r="4114" ht="15" customHeight="1" x14ac:dyDescent="0.2"/>
    <row r="4115" ht="15" customHeight="1" x14ac:dyDescent="0.2"/>
    <row r="4116" ht="15" customHeight="1" x14ac:dyDescent="0.2"/>
    <row r="4117" ht="15" customHeight="1" x14ac:dyDescent="0.2"/>
    <row r="4118" ht="15" customHeight="1" x14ac:dyDescent="0.2"/>
    <row r="4119" ht="15" customHeight="1" x14ac:dyDescent="0.2"/>
    <row r="4120" ht="15" customHeight="1" x14ac:dyDescent="0.2"/>
    <row r="4121" ht="15" customHeight="1" x14ac:dyDescent="0.2"/>
    <row r="4122" ht="15" customHeight="1" x14ac:dyDescent="0.2"/>
    <row r="4123" ht="15" customHeight="1" x14ac:dyDescent="0.2"/>
    <row r="4124" ht="15" customHeight="1" x14ac:dyDescent="0.2"/>
    <row r="4125" ht="15" customHeight="1" x14ac:dyDescent="0.2"/>
    <row r="4126" ht="15" customHeight="1" x14ac:dyDescent="0.2"/>
    <row r="4127" ht="15" customHeight="1" x14ac:dyDescent="0.2"/>
    <row r="4128" ht="15" customHeight="1" x14ac:dyDescent="0.2"/>
    <row r="4129" ht="15" customHeight="1" x14ac:dyDescent="0.2"/>
    <row r="4130" ht="15" customHeight="1" x14ac:dyDescent="0.2"/>
    <row r="4131" ht="15" customHeight="1" x14ac:dyDescent="0.2"/>
    <row r="4132" ht="15" customHeight="1" x14ac:dyDescent="0.2"/>
    <row r="4133" ht="15" customHeight="1" x14ac:dyDescent="0.2"/>
    <row r="4134" ht="15" customHeight="1" x14ac:dyDescent="0.2"/>
    <row r="4135" ht="15" customHeight="1" x14ac:dyDescent="0.2"/>
    <row r="4136" ht="15" customHeight="1" x14ac:dyDescent="0.2"/>
    <row r="4137" ht="15" customHeight="1" x14ac:dyDescent="0.2"/>
    <row r="4138" ht="15" customHeight="1" x14ac:dyDescent="0.2"/>
    <row r="4139" ht="15" customHeight="1" x14ac:dyDescent="0.2"/>
    <row r="4140" ht="15" customHeight="1" x14ac:dyDescent="0.2"/>
    <row r="4141" ht="15" customHeight="1" x14ac:dyDescent="0.2"/>
    <row r="4142" ht="15" customHeight="1" x14ac:dyDescent="0.2"/>
    <row r="4143" ht="15" customHeight="1" x14ac:dyDescent="0.2"/>
    <row r="4144" ht="15" customHeight="1" x14ac:dyDescent="0.2"/>
    <row r="4145" ht="15" customHeight="1" x14ac:dyDescent="0.2"/>
    <row r="4146" ht="15" customHeight="1" x14ac:dyDescent="0.2"/>
    <row r="4147" ht="15" customHeight="1" x14ac:dyDescent="0.2"/>
    <row r="4148" ht="15" customHeight="1" x14ac:dyDescent="0.2"/>
    <row r="4149" ht="15" customHeight="1" x14ac:dyDescent="0.2"/>
    <row r="4150" ht="15" customHeight="1" x14ac:dyDescent="0.2"/>
    <row r="4151" ht="15" customHeight="1" x14ac:dyDescent="0.2"/>
    <row r="4152" ht="15" customHeight="1" x14ac:dyDescent="0.2"/>
    <row r="4153" ht="15" customHeight="1" x14ac:dyDescent="0.2"/>
    <row r="4154" ht="15" customHeight="1" x14ac:dyDescent="0.2"/>
    <row r="4155" ht="15" customHeight="1" x14ac:dyDescent="0.2"/>
    <row r="4156" ht="15" customHeight="1" x14ac:dyDescent="0.2"/>
    <row r="4157" ht="15" customHeight="1" x14ac:dyDescent="0.2"/>
    <row r="4158" ht="15" customHeight="1" x14ac:dyDescent="0.2"/>
    <row r="4159" ht="15" customHeight="1" x14ac:dyDescent="0.2"/>
    <row r="4160" ht="15" customHeight="1" x14ac:dyDescent="0.2"/>
    <row r="4161" ht="15" customHeight="1" x14ac:dyDescent="0.2"/>
    <row r="4162" ht="15" customHeight="1" x14ac:dyDescent="0.2"/>
    <row r="4163" ht="15" customHeight="1" x14ac:dyDescent="0.2"/>
    <row r="4164" ht="15" customHeight="1" x14ac:dyDescent="0.2"/>
    <row r="4165" ht="15" customHeight="1" x14ac:dyDescent="0.2"/>
    <row r="4166" ht="15" customHeight="1" x14ac:dyDescent="0.2"/>
    <row r="4167" ht="15" customHeight="1" x14ac:dyDescent="0.2"/>
    <row r="4168" ht="15" customHeight="1" x14ac:dyDescent="0.2"/>
    <row r="4169" ht="15" customHeight="1" x14ac:dyDescent="0.2"/>
    <row r="4170" ht="15" customHeight="1" x14ac:dyDescent="0.2"/>
    <row r="4171" ht="15" customHeight="1" x14ac:dyDescent="0.2"/>
    <row r="4172" ht="15" customHeight="1" x14ac:dyDescent="0.2"/>
    <row r="4173" ht="15" customHeight="1" x14ac:dyDescent="0.2"/>
    <row r="4174" ht="15" customHeight="1" x14ac:dyDescent="0.2"/>
    <row r="4175" ht="15" customHeight="1" x14ac:dyDescent="0.2"/>
    <row r="4176" ht="15" customHeight="1" x14ac:dyDescent="0.2"/>
    <row r="4177" ht="15" customHeight="1" x14ac:dyDescent="0.2"/>
    <row r="4178" ht="15" customHeight="1" x14ac:dyDescent="0.2"/>
    <row r="4179" ht="15" customHeight="1" x14ac:dyDescent="0.2"/>
    <row r="4180" ht="15" customHeight="1" x14ac:dyDescent="0.2"/>
    <row r="4181" ht="15" customHeight="1" x14ac:dyDescent="0.2"/>
    <row r="4182" ht="15" customHeight="1" x14ac:dyDescent="0.2"/>
    <row r="4183" ht="15" customHeight="1" x14ac:dyDescent="0.2"/>
    <row r="4184" ht="15" customHeight="1" x14ac:dyDescent="0.2"/>
    <row r="4185" ht="15" customHeight="1" x14ac:dyDescent="0.2"/>
    <row r="4186" ht="15" customHeight="1" x14ac:dyDescent="0.2"/>
    <row r="4187" ht="15" customHeight="1" x14ac:dyDescent="0.2"/>
    <row r="4188" ht="15" customHeight="1" x14ac:dyDescent="0.2"/>
    <row r="4189" ht="15" customHeight="1" x14ac:dyDescent="0.2"/>
    <row r="4190" ht="15" customHeight="1" x14ac:dyDescent="0.2"/>
    <row r="4191" ht="15" customHeight="1" x14ac:dyDescent="0.2"/>
    <row r="4192" ht="15" customHeight="1" x14ac:dyDescent="0.2"/>
    <row r="4193" ht="15" customHeight="1" x14ac:dyDescent="0.2"/>
    <row r="4194" ht="15" customHeight="1" x14ac:dyDescent="0.2"/>
    <row r="4195" ht="15" customHeight="1" x14ac:dyDescent="0.2"/>
    <row r="4196" ht="15" customHeight="1" x14ac:dyDescent="0.2"/>
    <row r="4197" ht="15" customHeight="1" x14ac:dyDescent="0.2"/>
    <row r="4198" ht="15" customHeight="1" x14ac:dyDescent="0.2"/>
    <row r="4199" ht="15" customHeight="1" x14ac:dyDescent="0.2"/>
    <row r="4200" ht="15" customHeight="1" x14ac:dyDescent="0.2"/>
    <row r="4201" ht="15" customHeight="1" x14ac:dyDescent="0.2"/>
    <row r="4202" ht="15" customHeight="1" x14ac:dyDescent="0.2"/>
    <row r="4203" ht="15" customHeight="1" x14ac:dyDescent="0.2"/>
    <row r="4204" ht="15" customHeight="1" x14ac:dyDescent="0.2"/>
    <row r="4205" ht="15" customHeight="1" x14ac:dyDescent="0.2"/>
    <row r="4206" ht="15" customHeight="1" x14ac:dyDescent="0.2"/>
    <row r="4207" ht="15" customHeight="1" x14ac:dyDescent="0.2"/>
    <row r="4208" ht="15" customHeight="1" x14ac:dyDescent="0.2"/>
    <row r="4209" ht="15" customHeight="1" x14ac:dyDescent="0.2"/>
    <row r="4210" ht="15" customHeight="1" x14ac:dyDescent="0.2"/>
    <row r="4211" ht="15" customHeight="1" x14ac:dyDescent="0.2"/>
    <row r="4212" ht="15" customHeight="1" x14ac:dyDescent="0.2"/>
    <row r="4213" ht="15" customHeight="1" x14ac:dyDescent="0.2"/>
    <row r="4214" ht="15" customHeight="1" x14ac:dyDescent="0.2"/>
    <row r="4215" ht="15" customHeight="1" x14ac:dyDescent="0.2"/>
    <row r="4216" ht="15" customHeight="1" x14ac:dyDescent="0.2"/>
    <row r="4217" ht="15" customHeight="1" x14ac:dyDescent="0.2"/>
    <row r="4218" ht="15" customHeight="1" x14ac:dyDescent="0.2"/>
    <row r="4219" ht="15" customHeight="1" x14ac:dyDescent="0.2"/>
    <row r="4220" ht="15" customHeight="1" x14ac:dyDescent="0.2"/>
    <row r="4221" ht="15" customHeight="1" x14ac:dyDescent="0.2"/>
    <row r="4222" ht="15" customHeight="1" x14ac:dyDescent="0.2"/>
    <row r="4223" ht="15" customHeight="1" x14ac:dyDescent="0.2"/>
    <row r="4224" ht="15" customHeight="1" x14ac:dyDescent="0.2"/>
    <row r="4225" ht="15" customHeight="1" x14ac:dyDescent="0.2"/>
    <row r="4226" ht="15" customHeight="1" x14ac:dyDescent="0.2"/>
    <row r="4227" ht="15" customHeight="1" x14ac:dyDescent="0.2"/>
    <row r="4228" ht="15" customHeight="1" x14ac:dyDescent="0.2"/>
    <row r="4229" ht="15" customHeight="1" x14ac:dyDescent="0.2"/>
    <row r="4230" ht="15" customHeight="1" x14ac:dyDescent="0.2"/>
    <row r="4231" ht="15" customHeight="1" x14ac:dyDescent="0.2"/>
    <row r="4232" ht="15" customHeight="1" x14ac:dyDescent="0.2"/>
    <row r="4233" ht="15" customHeight="1" x14ac:dyDescent="0.2"/>
    <row r="4234" ht="15" customHeight="1" x14ac:dyDescent="0.2"/>
    <row r="4235" ht="15" customHeight="1" x14ac:dyDescent="0.2"/>
    <row r="4236" ht="15" customHeight="1" x14ac:dyDescent="0.2"/>
    <row r="4237" ht="15" customHeight="1" x14ac:dyDescent="0.2"/>
    <row r="4238" ht="15" customHeight="1" x14ac:dyDescent="0.2"/>
    <row r="4239" ht="15" customHeight="1" x14ac:dyDescent="0.2"/>
    <row r="4240" ht="15" customHeight="1" x14ac:dyDescent="0.2"/>
    <row r="4241" ht="15" customHeight="1" x14ac:dyDescent="0.2"/>
    <row r="4242" ht="15" customHeight="1" x14ac:dyDescent="0.2"/>
    <row r="4243" ht="15" customHeight="1" x14ac:dyDescent="0.2"/>
    <row r="4244" ht="15" customHeight="1" x14ac:dyDescent="0.2"/>
    <row r="4245" ht="15" customHeight="1" x14ac:dyDescent="0.2"/>
    <row r="4246" ht="15" customHeight="1" x14ac:dyDescent="0.2"/>
    <row r="4247" ht="15" customHeight="1" x14ac:dyDescent="0.2"/>
    <row r="4248" ht="15" customHeight="1" x14ac:dyDescent="0.2"/>
    <row r="4249" ht="15" customHeight="1" x14ac:dyDescent="0.2"/>
    <row r="4250" ht="15" customHeight="1" x14ac:dyDescent="0.2"/>
    <row r="4251" ht="15" customHeight="1" x14ac:dyDescent="0.2"/>
    <row r="4252" ht="15" customHeight="1" x14ac:dyDescent="0.2"/>
    <row r="4253" ht="15" customHeight="1" x14ac:dyDescent="0.2"/>
    <row r="4254" ht="15" customHeight="1" x14ac:dyDescent="0.2"/>
    <row r="4255" ht="15" customHeight="1" x14ac:dyDescent="0.2"/>
    <row r="4256" ht="15" customHeight="1" x14ac:dyDescent="0.2"/>
    <row r="4257" ht="15" customHeight="1" x14ac:dyDescent="0.2"/>
    <row r="4258" ht="15" customHeight="1" x14ac:dyDescent="0.2"/>
    <row r="4259" ht="15" customHeight="1" x14ac:dyDescent="0.2"/>
    <row r="4260" ht="15" customHeight="1" x14ac:dyDescent="0.2"/>
    <row r="4261" ht="15" customHeight="1" x14ac:dyDescent="0.2"/>
    <row r="4262" ht="15" customHeight="1" x14ac:dyDescent="0.2"/>
    <row r="4263" ht="15" customHeight="1" x14ac:dyDescent="0.2"/>
    <row r="4264" ht="15" customHeight="1" x14ac:dyDescent="0.2"/>
    <row r="4265" ht="15" customHeight="1" x14ac:dyDescent="0.2"/>
    <row r="4266" ht="15" customHeight="1" x14ac:dyDescent="0.2"/>
    <row r="4267" ht="15" customHeight="1" x14ac:dyDescent="0.2"/>
    <row r="4268" ht="15" customHeight="1" x14ac:dyDescent="0.2"/>
    <row r="4269" ht="15" customHeight="1" x14ac:dyDescent="0.2"/>
    <row r="4270" ht="15" customHeight="1" x14ac:dyDescent="0.2"/>
    <row r="4271" ht="15" customHeight="1" x14ac:dyDescent="0.2"/>
    <row r="4272" ht="15" customHeight="1" x14ac:dyDescent="0.2"/>
    <row r="4273" ht="15" customHeight="1" x14ac:dyDescent="0.2"/>
    <row r="4274" ht="15" customHeight="1" x14ac:dyDescent="0.2"/>
    <row r="4275" ht="15" customHeight="1" x14ac:dyDescent="0.2"/>
    <row r="4276" ht="15" customHeight="1" x14ac:dyDescent="0.2"/>
    <row r="4277" ht="15" customHeight="1" x14ac:dyDescent="0.2"/>
    <row r="4278" ht="15" customHeight="1" x14ac:dyDescent="0.2"/>
    <row r="4279" ht="15" customHeight="1" x14ac:dyDescent="0.2"/>
    <row r="4280" ht="15" customHeight="1" x14ac:dyDescent="0.2"/>
    <row r="4281" ht="15" customHeight="1" x14ac:dyDescent="0.2"/>
    <row r="4282" ht="15" customHeight="1" x14ac:dyDescent="0.2"/>
    <row r="4283" ht="15" customHeight="1" x14ac:dyDescent="0.2"/>
    <row r="4284" ht="15" customHeight="1" x14ac:dyDescent="0.2"/>
    <row r="4285" ht="15" customHeight="1" x14ac:dyDescent="0.2"/>
    <row r="4286" ht="15" customHeight="1" x14ac:dyDescent="0.2"/>
    <row r="4287" ht="15" customHeight="1" x14ac:dyDescent="0.2"/>
    <row r="4288" ht="15" customHeight="1" x14ac:dyDescent="0.2"/>
    <row r="4289" ht="15" customHeight="1" x14ac:dyDescent="0.2"/>
    <row r="4290" ht="15" customHeight="1" x14ac:dyDescent="0.2"/>
    <row r="4291" ht="15" customHeight="1" x14ac:dyDescent="0.2"/>
    <row r="4292" ht="15" customHeight="1" x14ac:dyDescent="0.2"/>
    <row r="4293" ht="15" customHeight="1" x14ac:dyDescent="0.2"/>
    <row r="4294" ht="15" customHeight="1" x14ac:dyDescent="0.2"/>
    <row r="4295" ht="15" customHeight="1" x14ac:dyDescent="0.2"/>
    <row r="4296" ht="15" customHeight="1" x14ac:dyDescent="0.2"/>
    <row r="4297" ht="15" customHeight="1" x14ac:dyDescent="0.2"/>
    <row r="4298" ht="15" customHeight="1" x14ac:dyDescent="0.2"/>
    <row r="4299" ht="15" customHeight="1" x14ac:dyDescent="0.2"/>
    <row r="4300" ht="15" customHeight="1" x14ac:dyDescent="0.2"/>
    <row r="4301" ht="15" customHeight="1" x14ac:dyDescent="0.2"/>
    <row r="4302" ht="15" customHeight="1" x14ac:dyDescent="0.2"/>
    <row r="4303" ht="15" customHeight="1" x14ac:dyDescent="0.2"/>
    <row r="4304" ht="15" customHeight="1" x14ac:dyDescent="0.2"/>
    <row r="4305" ht="15" customHeight="1" x14ac:dyDescent="0.2"/>
    <row r="4306" ht="15" customHeight="1" x14ac:dyDescent="0.2"/>
    <row r="4307" ht="15" customHeight="1" x14ac:dyDescent="0.2"/>
    <row r="4308" ht="15" customHeight="1" x14ac:dyDescent="0.2"/>
    <row r="4309" ht="15" customHeight="1" x14ac:dyDescent="0.2"/>
    <row r="4310" ht="15" customHeight="1" x14ac:dyDescent="0.2"/>
    <row r="4311" ht="15" customHeight="1" x14ac:dyDescent="0.2"/>
    <row r="4312" ht="15" customHeight="1" x14ac:dyDescent="0.2"/>
    <row r="4313" ht="15" customHeight="1" x14ac:dyDescent="0.2"/>
    <row r="4314" ht="15" customHeight="1" x14ac:dyDescent="0.2"/>
    <row r="4315" ht="15" customHeight="1" x14ac:dyDescent="0.2"/>
    <row r="4316" ht="15" customHeight="1" x14ac:dyDescent="0.2"/>
    <row r="4317" ht="15" customHeight="1" x14ac:dyDescent="0.2"/>
    <row r="4318" ht="15" customHeight="1" x14ac:dyDescent="0.2"/>
    <row r="4319" ht="15" customHeight="1" x14ac:dyDescent="0.2"/>
    <row r="4320" ht="15" customHeight="1" x14ac:dyDescent="0.2"/>
    <row r="4321" ht="15" customHeight="1" x14ac:dyDescent="0.2"/>
    <row r="4322" ht="15" customHeight="1" x14ac:dyDescent="0.2"/>
    <row r="4323" ht="15" customHeight="1" x14ac:dyDescent="0.2"/>
    <row r="4324" ht="15" customHeight="1" x14ac:dyDescent="0.2"/>
    <row r="4325" ht="15" customHeight="1" x14ac:dyDescent="0.2"/>
    <row r="4326" ht="15" customHeight="1" x14ac:dyDescent="0.2"/>
    <row r="4327" ht="15" customHeight="1" x14ac:dyDescent="0.2"/>
    <row r="4328" ht="15" customHeight="1" x14ac:dyDescent="0.2"/>
    <row r="4329" ht="15" customHeight="1" x14ac:dyDescent="0.2"/>
    <row r="4330" ht="15" customHeight="1" x14ac:dyDescent="0.2"/>
    <row r="4331" ht="15" customHeight="1" x14ac:dyDescent="0.2"/>
    <row r="4332" ht="15" customHeight="1" x14ac:dyDescent="0.2"/>
    <row r="4333" ht="15" customHeight="1" x14ac:dyDescent="0.2"/>
    <row r="4334" ht="15" customHeight="1" x14ac:dyDescent="0.2"/>
    <row r="4335" ht="15" customHeight="1" x14ac:dyDescent="0.2"/>
    <row r="4336" ht="15" customHeight="1" x14ac:dyDescent="0.2"/>
    <row r="4337" ht="15" customHeight="1" x14ac:dyDescent="0.2"/>
    <row r="4338" ht="15" customHeight="1" x14ac:dyDescent="0.2"/>
    <row r="4339" ht="15" customHeight="1" x14ac:dyDescent="0.2"/>
    <row r="4340" ht="15" customHeight="1" x14ac:dyDescent="0.2"/>
    <row r="4341" ht="15" customHeight="1" x14ac:dyDescent="0.2"/>
    <row r="4342" ht="15" customHeight="1" x14ac:dyDescent="0.2"/>
    <row r="4343" ht="15" customHeight="1" x14ac:dyDescent="0.2"/>
    <row r="4344" ht="15" customHeight="1" x14ac:dyDescent="0.2"/>
    <row r="4345" ht="15" customHeight="1" x14ac:dyDescent="0.2"/>
    <row r="4346" ht="15" customHeight="1" x14ac:dyDescent="0.2"/>
    <row r="4347" ht="15" customHeight="1" x14ac:dyDescent="0.2"/>
    <row r="4348" ht="15" customHeight="1" x14ac:dyDescent="0.2"/>
    <row r="4349" ht="15" customHeight="1" x14ac:dyDescent="0.2"/>
    <row r="4350" ht="15" customHeight="1" x14ac:dyDescent="0.2"/>
    <row r="4351" ht="15" customHeight="1" x14ac:dyDescent="0.2"/>
    <row r="4352" ht="15" customHeight="1" x14ac:dyDescent="0.2"/>
    <row r="4353" ht="15" customHeight="1" x14ac:dyDescent="0.2"/>
    <row r="4354" ht="15" customHeight="1" x14ac:dyDescent="0.2"/>
    <row r="4355" ht="15" customHeight="1" x14ac:dyDescent="0.2"/>
    <row r="4356" ht="15" customHeight="1" x14ac:dyDescent="0.2"/>
    <row r="4357" ht="15" customHeight="1" x14ac:dyDescent="0.2"/>
    <row r="4358" ht="15" customHeight="1" x14ac:dyDescent="0.2"/>
    <row r="4359" ht="15" customHeight="1" x14ac:dyDescent="0.2"/>
    <row r="4360" ht="15" customHeight="1" x14ac:dyDescent="0.2"/>
    <row r="4361" ht="15" customHeight="1" x14ac:dyDescent="0.2"/>
    <row r="4362" ht="15" customHeight="1" x14ac:dyDescent="0.2"/>
    <row r="4363" ht="15" customHeight="1" x14ac:dyDescent="0.2"/>
    <row r="4364" ht="15" customHeight="1" x14ac:dyDescent="0.2"/>
    <row r="4365" ht="15" customHeight="1" x14ac:dyDescent="0.2"/>
    <row r="4366" ht="15" customHeight="1" x14ac:dyDescent="0.2"/>
    <row r="4367" ht="15" customHeight="1" x14ac:dyDescent="0.2"/>
    <row r="4368" ht="15" customHeight="1" x14ac:dyDescent="0.2"/>
    <row r="4369" ht="15" customHeight="1" x14ac:dyDescent="0.2"/>
    <row r="4370" ht="15" customHeight="1" x14ac:dyDescent="0.2"/>
    <row r="4371" ht="15" customHeight="1" x14ac:dyDescent="0.2"/>
    <row r="4372" ht="15" customHeight="1" x14ac:dyDescent="0.2"/>
    <row r="4373" ht="15" customHeight="1" x14ac:dyDescent="0.2"/>
    <row r="4374" ht="15" customHeight="1" x14ac:dyDescent="0.2"/>
    <row r="4375" ht="15" customHeight="1" x14ac:dyDescent="0.2"/>
    <row r="4376" ht="15" customHeight="1" x14ac:dyDescent="0.2"/>
    <row r="4377" ht="15" customHeight="1" x14ac:dyDescent="0.2"/>
    <row r="4378" ht="15" customHeight="1" x14ac:dyDescent="0.2"/>
    <row r="4379" ht="15" customHeight="1" x14ac:dyDescent="0.2"/>
    <row r="4380" ht="15" customHeight="1" x14ac:dyDescent="0.2"/>
    <row r="4381" ht="15" customHeight="1" x14ac:dyDescent="0.2"/>
    <row r="4382" ht="15" customHeight="1" x14ac:dyDescent="0.2"/>
    <row r="4383" ht="15" customHeight="1" x14ac:dyDescent="0.2"/>
    <row r="4384" ht="15" customHeight="1" x14ac:dyDescent="0.2"/>
    <row r="4385" ht="15" customHeight="1" x14ac:dyDescent="0.2"/>
    <row r="4386" ht="15" customHeight="1" x14ac:dyDescent="0.2"/>
    <row r="4387" ht="15" customHeight="1" x14ac:dyDescent="0.2"/>
    <row r="4388" ht="15" customHeight="1" x14ac:dyDescent="0.2"/>
    <row r="4389" ht="15" customHeight="1" x14ac:dyDescent="0.2"/>
    <row r="4390" ht="15" customHeight="1" x14ac:dyDescent="0.2"/>
    <row r="4391" ht="15" customHeight="1" x14ac:dyDescent="0.2"/>
    <row r="4392" ht="15" customHeight="1" x14ac:dyDescent="0.2"/>
    <row r="4393" ht="15" customHeight="1" x14ac:dyDescent="0.2"/>
    <row r="4394" ht="15" customHeight="1" x14ac:dyDescent="0.2"/>
    <row r="4395" ht="15" customHeight="1" x14ac:dyDescent="0.2"/>
    <row r="4396" ht="15" customHeight="1" x14ac:dyDescent="0.2"/>
    <row r="4397" ht="15" customHeight="1" x14ac:dyDescent="0.2"/>
    <row r="4398" ht="15" customHeight="1" x14ac:dyDescent="0.2"/>
    <row r="4399" ht="15" customHeight="1" x14ac:dyDescent="0.2"/>
    <row r="4400" ht="15" customHeight="1" x14ac:dyDescent="0.2"/>
    <row r="4401" ht="15" customHeight="1" x14ac:dyDescent="0.2"/>
    <row r="4402" ht="15" customHeight="1" x14ac:dyDescent="0.2"/>
    <row r="4403" ht="15" customHeight="1" x14ac:dyDescent="0.2"/>
    <row r="4404" ht="15" customHeight="1" x14ac:dyDescent="0.2"/>
    <row r="4405" ht="15" customHeight="1" x14ac:dyDescent="0.2"/>
    <row r="4406" ht="15" customHeight="1" x14ac:dyDescent="0.2"/>
    <row r="4407" ht="15" customHeight="1" x14ac:dyDescent="0.2"/>
    <row r="4408" ht="15" customHeight="1" x14ac:dyDescent="0.2"/>
    <row r="4409" ht="15" customHeight="1" x14ac:dyDescent="0.2"/>
    <row r="4410" ht="15" customHeight="1" x14ac:dyDescent="0.2"/>
    <row r="4411" ht="15" customHeight="1" x14ac:dyDescent="0.2"/>
    <row r="4412" ht="15" customHeight="1" x14ac:dyDescent="0.2"/>
    <row r="4413" ht="15" customHeight="1" x14ac:dyDescent="0.2"/>
    <row r="4414" ht="15" customHeight="1" x14ac:dyDescent="0.2"/>
    <row r="4415" ht="15" customHeight="1" x14ac:dyDescent="0.2"/>
    <row r="4416" ht="15" customHeight="1" x14ac:dyDescent="0.2"/>
    <row r="4417" ht="15" customHeight="1" x14ac:dyDescent="0.2"/>
    <row r="4418" ht="15" customHeight="1" x14ac:dyDescent="0.2"/>
    <row r="4419" ht="15" customHeight="1" x14ac:dyDescent="0.2"/>
    <row r="4420" ht="15" customHeight="1" x14ac:dyDescent="0.2"/>
    <row r="4421" ht="15" customHeight="1" x14ac:dyDescent="0.2"/>
    <row r="4422" ht="15" customHeight="1" x14ac:dyDescent="0.2"/>
    <row r="4423" ht="15" customHeight="1" x14ac:dyDescent="0.2"/>
    <row r="4424" ht="15" customHeight="1" x14ac:dyDescent="0.2"/>
    <row r="4425" ht="15" customHeight="1" x14ac:dyDescent="0.2"/>
    <row r="4426" ht="15" customHeight="1" x14ac:dyDescent="0.2"/>
    <row r="4427" ht="15" customHeight="1" x14ac:dyDescent="0.2"/>
    <row r="4428" ht="15" customHeight="1" x14ac:dyDescent="0.2"/>
    <row r="4429" ht="15" customHeight="1" x14ac:dyDescent="0.2"/>
    <row r="4430" ht="15" customHeight="1" x14ac:dyDescent="0.2"/>
    <row r="4431" ht="15" customHeight="1" x14ac:dyDescent="0.2"/>
    <row r="4432" ht="15" customHeight="1" x14ac:dyDescent="0.2"/>
    <row r="4433" ht="15" customHeight="1" x14ac:dyDescent="0.2"/>
    <row r="4434" ht="15" customHeight="1" x14ac:dyDescent="0.2"/>
    <row r="4435" ht="15" customHeight="1" x14ac:dyDescent="0.2"/>
    <row r="4436" ht="15" customHeight="1" x14ac:dyDescent="0.2"/>
    <row r="4437" ht="15" customHeight="1" x14ac:dyDescent="0.2"/>
    <row r="4438" ht="15" customHeight="1" x14ac:dyDescent="0.2"/>
    <row r="4439" ht="15" customHeight="1" x14ac:dyDescent="0.2"/>
    <row r="4440" ht="15" customHeight="1" x14ac:dyDescent="0.2"/>
    <row r="4441" ht="15" customHeight="1" x14ac:dyDescent="0.2"/>
    <row r="4442" ht="15" customHeight="1" x14ac:dyDescent="0.2"/>
    <row r="4443" ht="15" customHeight="1" x14ac:dyDescent="0.2"/>
    <row r="4444" ht="15" customHeight="1" x14ac:dyDescent="0.2"/>
    <row r="4445" ht="15" customHeight="1" x14ac:dyDescent="0.2"/>
    <row r="4446" ht="15" customHeight="1" x14ac:dyDescent="0.2"/>
    <row r="4447" ht="15" customHeight="1" x14ac:dyDescent="0.2"/>
    <row r="4448" ht="15" customHeight="1" x14ac:dyDescent="0.2"/>
    <row r="4449" ht="15" customHeight="1" x14ac:dyDescent="0.2"/>
    <row r="4450" ht="15" customHeight="1" x14ac:dyDescent="0.2"/>
    <row r="4451" ht="15" customHeight="1" x14ac:dyDescent="0.2"/>
    <row r="4452" ht="15" customHeight="1" x14ac:dyDescent="0.2"/>
    <row r="4453" ht="15" customHeight="1" x14ac:dyDescent="0.2"/>
    <row r="4454" ht="15" customHeight="1" x14ac:dyDescent="0.2"/>
    <row r="4455" ht="15" customHeight="1" x14ac:dyDescent="0.2"/>
    <row r="4456" ht="15" customHeight="1" x14ac:dyDescent="0.2"/>
    <row r="4457" ht="15" customHeight="1" x14ac:dyDescent="0.2"/>
    <row r="4458" ht="15" customHeight="1" x14ac:dyDescent="0.2"/>
    <row r="4459" ht="15" customHeight="1" x14ac:dyDescent="0.2"/>
    <row r="4460" ht="15" customHeight="1" x14ac:dyDescent="0.2"/>
    <row r="4461" ht="15" customHeight="1" x14ac:dyDescent="0.2"/>
    <row r="4462" ht="15" customHeight="1" x14ac:dyDescent="0.2"/>
    <row r="4463" ht="15" customHeight="1" x14ac:dyDescent="0.2"/>
    <row r="4464" ht="15" customHeight="1" x14ac:dyDescent="0.2"/>
    <row r="4465" ht="15" customHeight="1" x14ac:dyDescent="0.2"/>
    <row r="4466" ht="15" customHeight="1" x14ac:dyDescent="0.2"/>
    <row r="4467" ht="15" customHeight="1" x14ac:dyDescent="0.2"/>
    <row r="4468" ht="15" customHeight="1" x14ac:dyDescent="0.2"/>
    <row r="4469" ht="15" customHeight="1" x14ac:dyDescent="0.2"/>
    <row r="4470" ht="15" customHeight="1" x14ac:dyDescent="0.2"/>
    <row r="4471" ht="15" customHeight="1" x14ac:dyDescent="0.2"/>
    <row r="4472" ht="15" customHeight="1" x14ac:dyDescent="0.2"/>
    <row r="4473" ht="15" customHeight="1" x14ac:dyDescent="0.2"/>
    <row r="4474" ht="15" customHeight="1" x14ac:dyDescent="0.2"/>
    <row r="4475" ht="15" customHeight="1" x14ac:dyDescent="0.2"/>
    <row r="4476" ht="15" customHeight="1" x14ac:dyDescent="0.2"/>
    <row r="4477" ht="15" customHeight="1" x14ac:dyDescent="0.2"/>
    <row r="4478" ht="15" customHeight="1" x14ac:dyDescent="0.2"/>
    <row r="4479" ht="15" customHeight="1" x14ac:dyDescent="0.2"/>
    <row r="4480" ht="15" customHeight="1" x14ac:dyDescent="0.2"/>
    <row r="4481" ht="15" customHeight="1" x14ac:dyDescent="0.2"/>
    <row r="4482" ht="15" customHeight="1" x14ac:dyDescent="0.2"/>
    <row r="4483" ht="15" customHeight="1" x14ac:dyDescent="0.2"/>
    <row r="4484" ht="15" customHeight="1" x14ac:dyDescent="0.2"/>
    <row r="4485" ht="15" customHeight="1" x14ac:dyDescent="0.2"/>
    <row r="4486" ht="15" customHeight="1" x14ac:dyDescent="0.2"/>
    <row r="4487" ht="15" customHeight="1" x14ac:dyDescent="0.2"/>
    <row r="4488" ht="15" customHeight="1" x14ac:dyDescent="0.2"/>
    <row r="4489" ht="15" customHeight="1" x14ac:dyDescent="0.2"/>
    <row r="4490" ht="15" customHeight="1" x14ac:dyDescent="0.2"/>
    <row r="4491" ht="15" customHeight="1" x14ac:dyDescent="0.2"/>
    <row r="4492" ht="15" customHeight="1" x14ac:dyDescent="0.2"/>
    <row r="4493" ht="15" customHeight="1" x14ac:dyDescent="0.2"/>
    <row r="4494" ht="15" customHeight="1" x14ac:dyDescent="0.2"/>
    <row r="4495" ht="15" customHeight="1" x14ac:dyDescent="0.2"/>
    <row r="4496" ht="15" customHeight="1" x14ac:dyDescent="0.2"/>
    <row r="4497" ht="15" customHeight="1" x14ac:dyDescent="0.2"/>
    <row r="4498" ht="15" customHeight="1" x14ac:dyDescent="0.2"/>
    <row r="4499" ht="15" customHeight="1" x14ac:dyDescent="0.2"/>
    <row r="4500" ht="15" customHeight="1" x14ac:dyDescent="0.2"/>
    <row r="4501" ht="15" customHeight="1" x14ac:dyDescent="0.2"/>
    <row r="4502" ht="15" customHeight="1" x14ac:dyDescent="0.2"/>
    <row r="4503" ht="15" customHeight="1" x14ac:dyDescent="0.2"/>
    <row r="4504" ht="15" customHeight="1" x14ac:dyDescent="0.2"/>
    <row r="4505" ht="15" customHeight="1" x14ac:dyDescent="0.2"/>
    <row r="4506" ht="15" customHeight="1" x14ac:dyDescent="0.2"/>
    <row r="4507" ht="15" customHeight="1" x14ac:dyDescent="0.2"/>
    <row r="4508" ht="15" customHeight="1" x14ac:dyDescent="0.2"/>
    <row r="4509" ht="15" customHeight="1" x14ac:dyDescent="0.2"/>
    <row r="4510" ht="15" customHeight="1" x14ac:dyDescent="0.2"/>
    <row r="4511" ht="15" customHeight="1" x14ac:dyDescent="0.2"/>
    <row r="4512" ht="15" customHeight="1" x14ac:dyDescent="0.2"/>
    <row r="4513" ht="15" customHeight="1" x14ac:dyDescent="0.2"/>
    <row r="4514" ht="15" customHeight="1" x14ac:dyDescent="0.2"/>
    <row r="4515" ht="15" customHeight="1" x14ac:dyDescent="0.2"/>
    <row r="4516" ht="15" customHeight="1" x14ac:dyDescent="0.2"/>
    <row r="4517" ht="15" customHeight="1" x14ac:dyDescent="0.2"/>
    <row r="4518" ht="15" customHeight="1" x14ac:dyDescent="0.2"/>
    <row r="4519" ht="15" customHeight="1" x14ac:dyDescent="0.2"/>
    <row r="4520" ht="15" customHeight="1" x14ac:dyDescent="0.2"/>
    <row r="4521" ht="15" customHeight="1" x14ac:dyDescent="0.2"/>
    <row r="4522" ht="15" customHeight="1" x14ac:dyDescent="0.2"/>
    <row r="4523" ht="15" customHeight="1" x14ac:dyDescent="0.2"/>
    <row r="4524" ht="15" customHeight="1" x14ac:dyDescent="0.2"/>
    <row r="4525" ht="15" customHeight="1" x14ac:dyDescent="0.2"/>
    <row r="4526" ht="15" customHeight="1" x14ac:dyDescent="0.2"/>
    <row r="4527" ht="15" customHeight="1" x14ac:dyDescent="0.2"/>
    <row r="4528" ht="15" customHeight="1" x14ac:dyDescent="0.2"/>
    <row r="4529" ht="15" customHeight="1" x14ac:dyDescent="0.2"/>
    <row r="4530" ht="15" customHeight="1" x14ac:dyDescent="0.2"/>
    <row r="4531" ht="15" customHeight="1" x14ac:dyDescent="0.2"/>
    <row r="4532" ht="15" customHeight="1" x14ac:dyDescent="0.2"/>
    <row r="4533" ht="15" customHeight="1" x14ac:dyDescent="0.2"/>
    <row r="4534" ht="15" customHeight="1" x14ac:dyDescent="0.2"/>
    <row r="4535" ht="15" customHeight="1" x14ac:dyDescent="0.2"/>
    <row r="4536" ht="15" customHeight="1" x14ac:dyDescent="0.2"/>
    <row r="4537" ht="15" customHeight="1" x14ac:dyDescent="0.2"/>
    <row r="4538" ht="15" customHeight="1" x14ac:dyDescent="0.2"/>
    <row r="4539" ht="15" customHeight="1" x14ac:dyDescent="0.2"/>
    <row r="4540" ht="15" customHeight="1" x14ac:dyDescent="0.2"/>
    <row r="4541" ht="15" customHeight="1" x14ac:dyDescent="0.2"/>
    <row r="4542" ht="15" customHeight="1" x14ac:dyDescent="0.2"/>
    <row r="4543" ht="15" customHeight="1" x14ac:dyDescent="0.2"/>
    <row r="4544" ht="15" customHeight="1" x14ac:dyDescent="0.2"/>
    <row r="4545" ht="15" customHeight="1" x14ac:dyDescent="0.2"/>
    <row r="4546" ht="15" customHeight="1" x14ac:dyDescent="0.2"/>
    <row r="4547" ht="15" customHeight="1" x14ac:dyDescent="0.2"/>
    <row r="4548" ht="15" customHeight="1" x14ac:dyDescent="0.2"/>
    <row r="4549" ht="15" customHeight="1" x14ac:dyDescent="0.2"/>
    <row r="4550" ht="15" customHeight="1" x14ac:dyDescent="0.2"/>
    <row r="4551" ht="15" customHeight="1" x14ac:dyDescent="0.2"/>
    <row r="4552" ht="15" customHeight="1" x14ac:dyDescent="0.2"/>
    <row r="4553" ht="15" customHeight="1" x14ac:dyDescent="0.2"/>
    <row r="4554" ht="15" customHeight="1" x14ac:dyDescent="0.2"/>
    <row r="4555" ht="15" customHeight="1" x14ac:dyDescent="0.2"/>
    <row r="4556" ht="15" customHeight="1" x14ac:dyDescent="0.2"/>
    <row r="4557" ht="15" customHeight="1" x14ac:dyDescent="0.2"/>
    <row r="4558" ht="15" customHeight="1" x14ac:dyDescent="0.2"/>
    <row r="4559" ht="15" customHeight="1" x14ac:dyDescent="0.2"/>
    <row r="4560" ht="15" customHeight="1" x14ac:dyDescent="0.2"/>
    <row r="4561" ht="15" customHeight="1" x14ac:dyDescent="0.2"/>
    <row r="4562" ht="15" customHeight="1" x14ac:dyDescent="0.2"/>
    <row r="4563" ht="15" customHeight="1" x14ac:dyDescent="0.2"/>
    <row r="4564" ht="15" customHeight="1" x14ac:dyDescent="0.2"/>
    <row r="4565" ht="15" customHeight="1" x14ac:dyDescent="0.2"/>
    <row r="4566" ht="15" customHeight="1" x14ac:dyDescent="0.2"/>
    <row r="4567" ht="15" customHeight="1" x14ac:dyDescent="0.2"/>
    <row r="4568" ht="15" customHeight="1" x14ac:dyDescent="0.2"/>
    <row r="4569" ht="15" customHeight="1" x14ac:dyDescent="0.2"/>
    <row r="4570" ht="15" customHeight="1" x14ac:dyDescent="0.2"/>
    <row r="4571" ht="15" customHeight="1" x14ac:dyDescent="0.2"/>
    <row r="4572" ht="15" customHeight="1" x14ac:dyDescent="0.2"/>
    <row r="4573" ht="15" customHeight="1" x14ac:dyDescent="0.2"/>
    <row r="4574" ht="15" customHeight="1" x14ac:dyDescent="0.2"/>
    <row r="4575" ht="15" customHeight="1" x14ac:dyDescent="0.2"/>
    <row r="4576" ht="15" customHeight="1" x14ac:dyDescent="0.2"/>
    <row r="4577" ht="15" customHeight="1" x14ac:dyDescent="0.2"/>
    <row r="4578" ht="15" customHeight="1" x14ac:dyDescent="0.2"/>
    <row r="4579" ht="15" customHeight="1" x14ac:dyDescent="0.2"/>
    <row r="4580" ht="15" customHeight="1" x14ac:dyDescent="0.2"/>
    <row r="4581" ht="15" customHeight="1" x14ac:dyDescent="0.2"/>
    <row r="4582" ht="15" customHeight="1" x14ac:dyDescent="0.2"/>
    <row r="4583" ht="15" customHeight="1" x14ac:dyDescent="0.2"/>
    <row r="4584" ht="15" customHeight="1" x14ac:dyDescent="0.2"/>
    <row r="4585" ht="15" customHeight="1" x14ac:dyDescent="0.2"/>
    <row r="4586" ht="15" customHeight="1" x14ac:dyDescent="0.2"/>
    <row r="4587" ht="15" customHeight="1" x14ac:dyDescent="0.2"/>
    <row r="4588" ht="15" customHeight="1" x14ac:dyDescent="0.2"/>
    <row r="4589" ht="15" customHeight="1" x14ac:dyDescent="0.2"/>
    <row r="4590" ht="15" customHeight="1" x14ac:dyDescent="0.2"/>
    <row r="4591" ht="15" customHeight="1" x14ac:dyDescent="0.2"/>
    <row r="4592" ht="15" customHeight="1" x14ac:dyDescent="0.2"/>
    <row r="4593" ht="15" customHeight="1" x14ac:dyDescent="0.2"/>
    <row r="4594" ht="15" customHeight="1" x14ac:dyDescent="0.2"/>
    <row r="4595" ht="15" customHeight="1" x14ac:dyDescent="0.2"/>
    <row r="4596" ht="15" customHeight="1" x14ac:dyDescent="0.2"/>
    <row r="4597" ht="15" customHeight="1" x14ac:dyDescent="0.2"/>
    <row r="4598" ht="15" customHeight="1" x14ac:dyDescent="0.2"/>
    <row r="4599" ht="15" customHeight="1" x14ac:dyDescent="0.2"/>
    <row r="4600" ht="15" customHeight="1" x14ac:dyDescent="0.2"/>
    <row r="4601" ht="15" customHeight="1" x14ac:dyDescent="0.2"/>
    <row r="4602" ht="15" customHeight="1" x14ac:dyDescent="0.2"/>
    <row r="4603" ht="15" customHeight="1" x14ac:dyDescent="0.2"/>
    <row r="4604" ht="15" customHeight="1" x14ac:dyDescent="0.2"/>
    <row r="4605" ht="15" customHeight="1" x14ac:dyDescent="0.2"/>
    <row r="4606" ht="15" customHeight="1" x14ac:dyDescent="0.2"/>
    <row r="4607" ht="15" customHeight="1" x14ac:dyDescent="0.2"/>
    <row r="4608" ht="15" customHeight="1" x14ac:dyDescent="0.2"/>
    <row r="4609" ht="15" customHeight="1" x14ac:dyDescent="0.2"/>
    <row r="4610" ht="15" customHeight="1" x14ac:dyDescent="0.2"/>
    <row r="4611" ht="15" customHeight="1" x14ac:dyDescent="0.2"/>
    <row r="4612" ht="15" customHeight="1" x14ac:dyDescent="0.2"/>
    <row r="4613" ht="15" customHeight="1" x14ac:dyDescent="0.2"/>
    <row r="4614" ht="15" customHeight="1" x14ac:dyDescent="0.2"/>
    <row r="4615" ht="15" customHeight="1" x14ac:dyDescent="0.2"/>
    <row r="4616" ht="15" customHeight="1" x14ac:dyDescent="0.2"/>
    <row r="4617" ht="15" customHeight="1" x14ac:dyDescent="0.2"/>
    <row r="4618" ht="15" customHeight="1" x14ac:dyDescent="0.2"/>
    <row r="4619" ht="15" customHeight="1" x14ac:dyDescent="0.2"/>
    <row r="4620" ht="15" customHeight="1" x14ac:dyDescent="0.2"/>
    <row r="4621" ht="15" customHeight="1" x14ac:dyDescent="0.2"/>
    <row r="4622" ht="15" customHeight="1" x14ac:dyDescent="0.2"/>
    <row r="4623" ht="15" customHeight="1" x14ac:dyDescent="0.2"/>
    <row r="4624" ht="15" customHeight="1" x14ac:dyDescent="0.2"/>
    <row r="4625" ht="15" customHeight="1" x14ac:dyDescent="0.2"/>
    <row r="4626" ht="15" customHeight="1" x14ac:dyDescent="0.2"/>
    <row r="4627" ht="15" customHeight="1" x14ac:dyDescent="0.2"/>
    <row r="4628" ht="15" customHeight="1" x14ac:dyDescent="0.2"/>
    <row r="4629" ht="15" customHeight="1" x14ac:dyDescent="0.2"/>
    <row r="4630" ht="15" customHeight="1" x14ac:dyDescent="0.2"/>
    <row r="4631" ht="15" customHeight="1" x14ac:dyDescent="0.2"/>
    <row r="4632" ht="15" customHeight="1" x14ac:dyDescent="0.2"/>
    <row r="4633" ht="15" customHeight="1" x14ac:dyDescent="0.2"/>
    <row r="4634" ht="15" customHeight="1" x14ac:dyDescent="0.2"/>
    <row r="4635" ht="15" customHeight="1" x14ac:dyDescent="0.2"/>
    <row r="4636" ht="15" customHeight="1" x14ac:dyDescent="0.2"/>
    <row r="4637" ht="15" customHeight="1" x14ac:dyDescent="0.2"/>
    <row r="4638" ht="15" customHeight="1" x14ac:dyDescent="0.2"/>
    <row r="4639" ht="15" customHeight="1" x14ac:dyDescent="0.2"/>
    <row r="4640" ht="15" customHeight="1" x14ac:dyDescent="0.2"/>
    <row r="4641" ht="15" customHeight="1" x14ac:dyDescent="0.2"/>
    <row r="4642" ht="15" customHeight="1" x14ac:dyDescent="0.2"/>
    <row r="4643" ht="15" customHeight="1" x14ac:dyDescent="0.2"/>
    <row r="4644" ht="15" customHeight="1" x14ac:dyDescent="0.2"/>
    <row r="4645" ht="15" customHeight="1" x14ac:dyDescent="0.2"/>
    <row r="4646" ht="15" customHeight="1" x14ac:dyDescent="0.2"/>
    <row r="4647" ht="15" customHeight="1" x14ac:dyDescent="0.2"/>
    <row r="4648" ht="15" customHeight="1" x14ac:dyDescent="0.2"/>
    <row r="4649" ht="15" customHeight="1" x14ac:dyDescent="0.2"/>
    <row r="4650" ht="15" customHeight="1" x14ac:dyDescent="0.2"/>
    <row r="4651" ht="15" customHeight="1" x14ac:dyDescent="0.2"/>
    <row r="4652" ht="15" customHeight="1" x14ac:dyDescent="0.2"/>
    <row r="4653" ht="15" customHeight="1" x14ac:dyDescent="0.2"/>
    <row r="4654" ht="15" customHeight="1" x14ac:dyDescent="0.2"/>
    <row r="4655" ht="15" customHeight="1" x14ac:dyDescent="0.2"/>
    <row r="4656" ht="15" customHeight="1" x14ac:dyDescent="0.2"/>
    <row r="4657" ht="15" customHeight="1" x14ac:dyDescent="0.2"/>
    <row r="4658" ht="15" customHeight="1" x14ac:dyDescent="0.2"/>
    <row r="4659" ht="15" customHeight="1" x14ac:dyDescent="0.2"/>
    <row r="4660" ht="15" customHeight="1" x14ac:dyDescent="0.2"/>
    <row r="4661" ht="15" customHeight="1" x14ac:dyDescent="0.2"/>
    <row r="4662" ht="15" customHeight="1" x14ac:dyDescent="0.2"/>
    <row r="4663" ht="15" customHeight="1" x14ac:dyDescent="0.2"/>
    <row r="4664" ht="15" customHeight="1" x14ac:dyDescent="0.2"/>
    <row r="4665" ht="15" customHeight="1" x14ac:dyDescent="0.2"/>
    <row r="4666" ht="15" customHeight="1" x14ac:dyDescent="0.2"/>
    <row r="4667" ht="15" customHeight="1" x14ac:dyDescent="0.2"/>
    <row r="4668" ht="15" customHeight="1" x14ac:dyDescent="0.2"/>
    <row r="4669" ht="15" customHeight="1" x14ac:dyDescent="0.2"/>
    <row r="4670" ht="15" customHeight="1" x14ac:dyDescent="0.2"/>
    <row r="4671" ht="15" customHeight="1" x14ac:dyDescent="0.2"/>
    <row r="4672" ht="15" customHeight="1" x14ac:dyDescent="0.2"/>
    <row r="4673" ht="15" customHeight="1" x14ac:dyDescent="0.2"/>
    <row r="4674" ht="15" customHeight="1" x14ac:dyDescent="0.2"/>
    <row r="4675" ht="15" customHeight="1" x14ac:dyDescent="0.2"/>
    <row r="4676" ht="15" customHeight="1" x14ac:dyDescent="0.2"/>
    <row r="4677" ht="15" customHeight="1" x14ac:dyDescent="0.2"/>
    <row r="4678" ht="15" customHeight="1" x14ac:dyDescent="0.2"/>
    <row r="4679" ht="15" customHeight="1" x14ac:dyDescent="0.2"/>
    <row r="4680" ht="15" customHeight="1" x14ac:dyDescent="0.2"/>
    <row r="4681" ht="15" customHeight="1" x14ac:dyDescent="0.2"/>
    <row r="4682" ht="15" customHeight="1" x14ac:dyDescent="0.2"/>
    <row r="4683" ht="15" customHeight="1" x14ac:dyDescent="0.2"/>
    <row r="4684" ht="15" customHeight="1" x14ac:dyDescent="0.2"/>
    <row r="4685" ht="15" customHeight="1" x14ac:dyDescent="0.2"/>
    <row r="4686" ht="15" customHeight="1" x14ac:dyDescent="0.2"/>
    <row r="4687" ht="15" customHeight="1" x14ac:dyDescent="0.2"/>
    <row r="4688" ht="15" customHeight="1" x14ac:dyDescent="0.2"/>
    <row r="4689" ht="15" customHeight="1" x14ac:dyDescent="0.2"/>
    <row r="4690" ht="15" customHeight="1" x14ac:dyDescent="0.2"/>
    <row r="4691" ht="15" customHeight="1" x14ac:dyDescent="0.2"/>
    <row r="4692" ht="15" customHeight="1" x14ac:dyDescent="0.2"/>
    <row r="4693" ht="15" customHeight="1" x14ac:dyDescent="0.2"/>
    <row r="4694" ht="15" customHeight="1" x14ac:dyDescent="0.2"/>
    <row r="4695" ht="15" customHeight="1" x14ac:dyDescent="0.2"/>
    <row r="4696" ht="15" customHeight="1" x14ac:dyDescent="0.2"/>
    <row r="4697" ht="15" customHeight="1" x14ac:dyDescent="0.2"/>
    <row r="4698" ht="15" customHeight="1" x14ac:dyDescent="0.2"/>
    <row r="4699" ht="15" customHeight="1" x14ac:dyDescent="0.2"/>
    <row r="4700" ht="15" customHeight="1" x14ac:dyDescent="0.2"/>
    <row r="4701" ht="15" customHeight="1" x14ac:dyDescent="0.2"/>
    <row r="4702" ht="15" customHeight="1" x14ac:dyDescent="0.2"/>
    <row r="4703" ht="15" customHeight="1" x14ac:dyDescent="0.2"/>
    <row r="4704" ht="15" customHeight="1" x14ac:dyDescent="0.2"/>
    <row r="4705" ht="15" customHeight="1" x14ac:dyDescent="0.2"/>
    <row r="4706" ht="15" customHeight="1" x14ac:dyDescent="0.2"/>
    <row r="4707" ht="15" customHeight="1" x14ac:dyDescent="0.2"/>
    <row r="4708" ht="15" customHeight="1" x14ac:dyDescent="0.2"/>
    <row r="4709" ht="15" customHeight="1" x14ac:dyDescent="0.2"/>
    <row r="4710" ht="15" customHeight="1" x14ac:dyDescent="0.2"/>
    <row r="4711" ht="15" customHeight="1" x14ac:dyDescent="0.2"/>
    <row r="4712" ht="15" customHeight="1" x14ac:dyDescent="0.2"/>
    <row r="4713" ht="15" customHeight="1" x14ac:dyDescent="0.2"/>
    <row r="4714" ht="15" customHeight="1" x14ac:dyDescent="0.2"/>
    <row r="4715" ht="15" customHeight="1" x14ac:dyDescent="0.2"/>
    <row r="4716" ht="15" customHeight="1" x14ac:dyDescent="0.2"/>
    <row r="4717" ht="15" customHeight="1" x14ac:dyDescent="0.2"/>
    <row r="4718" ht="15" customHeight="1" x14ac:dyDescent="0.2"/>
    <row r="4719" ht="15" customHeight="1" x14ac:dyDescent="0.2"/>
    <row r="4720" ht="15" customHeight="1" x14ac:dyDescent="0.2"/>
    <row r="4721" ht="15" customHeight="1" x14ac:dyDescent="0.2"/>
    <row r="4722" ht="15" customHeight="1" x14ac:dyDescent="0.2"/>
    <row r="4723" ht="15" customHeight="1" x14ac:dyDescent="0.2"/>
    <row r="4724" ht="15" customHeight="1" x14ac:dyDescent="0.2"/>
    <row r="4725" ht="15" customHeight="1" x14ac:dyDescent="0.2"/>
    <row r="4726" ht="15" customHeight="1" x14ac:dyDescent="0.2"/>
    <row r="4727" ht="15" customHeight="1" x14ac:dyDescent="0.2"/>
    <row r="4728" ht="15" customHeight="1" x14ac:dyDescent="0.2"/>
    <row r="4729" ht="15" customHeight="1" x14ac:dyDescent="0.2"/>
    <row r="4730" ht="15" customHeight="1" x14ac:dyDescent="0.2"/>
    <row r="4731" ht="15" customHeight="1" x14ac:dyDescent="0.2"/>
    <row r="4732" ht="15" customHeight="1" x14ac:dyDescent="0.2"/>
    <row r="4733" ht="15" customHeight="1" x14ac:dyDescent="0.2"/>
    <row r="4734" ht="15" customHeight="1" x14ac:dyDescent="0.2"/>
    <row r="4735" ht="15" customHeight="1" x14ac:dyDescent="0.2"/>
    <row r="4736" ht="15" customHeight="1" x14ac:dyDescent="0.2"/>
    <row r="4737" ht="15" customHeight="1" x14ac:dyDescent="0.2"/>
    <row r="4738" ht="15" customHeight="1" x14ac:dyDescent="0.2"/>
    <row r="4739" ht="15" customHeight="1" x14ac:dyDescent="0.2"/>
    <row r="4740" ht="15" customHeight="1" x14ac:dyDescent="0.2"/>
    <row r="4741" ht="15" customHeight="1" x14ac:dyDescent="0.2"/>
    <row r="4742" ht="15" customHeight="1" x14ac:dyDescent="0.2"/>
    <row r="4743" ht="15" customHeight="1" x14ac:dyDescent="0.2"/>
    <row r="4744" ht="15" customHeight="1" x14ac:dyDescent="0.2"/>
    <row r="4745" ht="15" customHeight="1" x14ac:dyDescent="0.2"/>
    <row r="4746" ht="15" customHeight="1" x14ac:dyDescent="0.2"/>
    <row r="4747" ht="15" customHeight="1" x14ac:dyDescent="0.2"/>
    <row r="4748" ht="15" customHeight="1" x14ac:dyDescent="0.2"/>
    <row r="4749" ht="15" customHeight="1" x14ac:dyDescent="0.2"/>
    <row r="4750" ht="15" customHeight="1" x14ac:dyDescent="0.2"/>
    <row r="4751" ht="15" customHeight="1" x14ac:dyDescent="0.2"/>
    <row r="4752" ht="15" customHeight="1" x14ac:dyDescent="0.2"/>
    <row r="4753" ht="15" customHeight="1" x14ac:dyDescent="0.2"/>
    <row r="4754" ht="15" customHeight="1" x14ac:dyDescent="0.2"/>
    <row r="4755" ht="15" customHeight="1" x14ac:dyDescent="0.2"/>
    <row r="4756" ht="15" customHeight="1" x14ac:dyDescent="0.2"/>
    <row r="4757" ht="15" customHeight="1" x14ac:dyDescent="0.2"/>
    <row r="4758" ht="15" customHeight="1" x14ac:dyDescent="0.2"/>
    <row r="4759" ht="15" customHeight="1" x14ac:dyDescent="0.2"/>
    <row r="4760" ht="15" customHeight="1" x14ac:dyDescent="0.2"/>
    <row r="4761" ht="15" customHeight="1" x14ac:dyDescent="0.2"/>
    <row r="4762" ht="15" customHeight="1" x14ac:dyDescent="0.2"/>
    <row r="4763" ht="15" customHeight="1" x14ac:dyDescent="0.2"/>
    <row r="4764" ht="15" customHeight="1" x14ac:dyDescent="0.2"/>
    <row r="4765" ht="15" customHeight="1" x14ac:dyDescent="0.2"/>
    <row r="4766" ht="15" customHeight="1" x14ac:dyDescent="0.2"/>
    <row r="4767" ht="15" customHeight="1" x14ac:dyDescent="0.2"/>
    <row r="4768" ht="15" customHeight="1" x14ac:dyDescent="0.2"/>
    <row r="4769" ht="15" customHeight="1" x14ac:dyDescent="0.2"/>
    <row r="4770" ht="15" customHeight="1" x14ac:dyDescent="0.2"/>
    <row r="4771" ht="15" customHeight="1" x14ac:dyDescent="0.2"/>
    <row r="4772" ht="15" customHeight="1" x14ac:dyDescent="0.2"/>
    <row r="4773" ht="15" customHeight="1" x14ac:dyDescent="0.2"/>
    <row r="4774" ht="15" customHeight="1" x14ac:dyDescent="0.2"/>
    <row r="4775" ht="15" customHeight="1" x14ac:dyDescent="0.2"/>
    <row r="4776" ht="15" customHeight="1" x14ac:dyDescent="0.2"/>
    <row r="4777" ht="15" customHeight="1" x14ac:dyDescent="0.2"/>
    <row r="4778" ht="15" customHeight="1" x14ac:dyDescent="0.2"/>
    <row r="4779" ht="15" customHeight="1" x14ac:dyDescent="0.2"/>
    <row r="4780" ht="15" customHeight="1" x14ac:dyDescent="0.2"/>
    <row r="4781" ht="15" customHeight="1" x14ac:dyDescent="0.2"/>
    <row r="4782" ht="15" customHeight="1" x14ac:dyDescent="0.2"/>
    <row r="4783" ht="15" customHeight="1" x14ac:dyDescent="0.2"/>
    <row r="4784" ht="15" customHeight="1" x14ac:dyDescent="0.2"/>
    <row r="4785" ht="15" customHeight="1" x14ac:dyDescent="0.2"/>
    <row r="4786" ht="15" customHeight="1" x14ac:dyDescent="0.2"/>
    <row r="4787" ht="15" customHeight="1" x14ac:dyDescent="0.2"/>
    <row r="4788" ht="15" customHeight="1" x14ac:dyDescent="0.2"/>
    <row r="4789" ht="15" customHeight="1" x14ac:dyDescent="0.2"/>
    <row r="4790" ht="15" customHeight="1" x14ac:dyDescent="0.2"/>
    <row r="4791" ht="15" customHeight="1" x14ac:dyDescent="0.2"/>
    <row r="4792" ht="15" customHeight="1" x14ac:dyDescent="0.2"/>
    <row r="4793" ht="15" customHeight="1" x14ac:dyDescent="0.2"/>
    <row r="4794" ht="15" customHeight="1" x14ac:dyDescent="0.2"/>
    <row r="4795" ht="15" customHeight="1" x14ac:dyDescent="0.2"/>
    <row r="4796" ht="15" customHeight="1" x14ac:dyDescent="0.2"/>
    <row r="4797" ht="15" customHeight="1" x14ac:dyDescent="0.2"/>
    <row r="4798" ht="15" customHeight="1" x14ac:dyDescent="0.2"/>
    <row r="4799" ht="15" customHeight="1" x14ac:dyDescent="0.2"/>
    <row r="4800" ht="15" customHeight="1" x14ac:dyDescent="0.2"/>
    <row r="4801" ht="15" customHeight="1" x14ac:dyDescent="0.2"/>
    <row r="4802" ht="15" customHeight="1" x14ac:dyDescent="0.2"/>
    <row r="4803" ht="15" customHeight="1" x14ac:dyDescent="0.2"/>
    <row r="4804" ht="15" customHeight="1" x14ac:dyDescent="0.2"/>
    <row r="4805" ht="15" customHeight="1" x14ac:dyDescent="0.2"/>
    <row r="4806" ht="15" customHeight="1" x14ac:dyDescent="0.2"/>
    <row r="4807" ht="15" customHeight="1" x14ac:dyDescent="0.2"/>
    <row r="4808" ht="15" customHeight="1" x14ac:dyDescent="0.2"/>
    <row r="4809" ht="15" customHeight="1" x14ac:dyDescent="0.2"/>
    <row r="4810" ht="15" customHeight="1" x14ac:dyDescent="0.2"/>
    <row r="4811" ht="15" customHeight="1" x14ac:dyDescent="0.2"/>
    <row r="4812" ht="15" customHeight="1" x14ac:dyDescent="0.2"/>
    <row r="4813" ht="15" customHeight="1" x14ac:dyDescent="0.2"/>
    <row r="4814" ht="15" customHeight="1" x14ac:dyDescent="0.2"/>
    <row r="4815" ht="15" customHeight="1" x14ac:dyDescent="0.2"/>
    <row r="4816" ht="15" customHeight="1" x14ac:dyDescent="0.2"/>
    <row r="4817" ht="15" customHeight="1" x14ac:dyDescent="0.2"/>
    <row r="4818" ht="15" customHeight="1" x14ac:dyDescent="0.2"/>
    <row r="4819" ht="15" customHeight="1" x14ac:dyDescent="0.2"/>
    <row r="4820" ht="15" customHeight="1" x14ac:dyDescent="0.2"/>
    <row r="4821" ht="15" customHeight="1" x14ac:dyDescent="0.2"/>
    <row r="4822" ht="15" customHeight="1" x14ac:dyDescent="0.2"/>
    <row r="4823" ht="15" customHeight="1" x14ac:dyDescent="0.2"/>
    <row r="4824" ht="15" customHeight="1" x14ac:dyDescent="0.2"/>
    <row r="4825" ht="15" customHeight="1" x14ac:dyDescent="0.2"/>
    <row r="4826" ht="15" customHeight="1" x14ac:dyDescent="0.2"/>
    <row r="4827" ht="15" customHeight="1" x14ac:dyDescent="0.2"/>
    <row r="4828" ht="15" customHeight="1" x14ac:dyDescent="0.2"/>
    <row r="4829" ht="15" customHeight="1" x14ac:dyDescent="0.2"/>
    <row r="4830" ht="15" customHeight="1" x14ac:dyDescent="0.2"/>
    <row r="4831" ht="15" customHeight="1" x14ac:dyDescent="0.2"/>
    <row r="4832" ht="15" customHeight="1" x14ac:dyDescent="0.2"/>
    <row r="4833" ht="15" customHeight="1" x14ac:dyDescent="0.2"/>
    <row r="4834" ht="15" customHeight="1" x14ac:dyDescent="0.2"/>
    <row r="4835" ht="15" customHeight="1" x14ac:dyDescent="0.2"/>
    <row r="4836" ht="15" customHeight="1" x14ac:dyDescent="0.2"/>
    <row r="4837" ht="15" customHeight="1" x14ac:dyDescent="0.2"/>
    <row r="4838" ht="15" customHeight="1" x14ac:dyDescent="0.2"/>
    <row r="4839" ht="15" customHeight="1" x14ac:dyDescent="0.2"/>
    <row r="4840" ht="15" customHeight="1" x14ac:dyDescent="0.2"/>
    <row r="4841" ht="15" customHeight="1" x14ac:dyDescent="0.2"/>
    <row r="4842" ht="15" customHeight="1" x14ac:dyDescent="0.2"/>
    <row r="4843" ht="15" customHeight="1" x14ac:dyDescent="0.2"/>
    <row r="4844" ht="15" customHeight="1" x14ac:dyDescent="0.2"/>
    <row r="4845" ht="15" customHeight="1" x14ac:dyDescent="0.2"/>
    <row r="4846" ht="15" customHeight="1" x14ac:dyDescent="0.2"/>
    <row r="4847" ht="15" customHeight="1" x14ac:dyDescent="0.2"/>
    <row r="4848" ht="15" customHeight="1" x14ac:dyDescent="0.2"/>
    <row r="4849" ht="15" customHeight="1" x14ac:dyDescent="0.2"/>
    <row r="4850" ht="15" customHeight="1" x14ac:dyDescent="0.2"/>
    <row r="4851" ht="15" customHeight="1" x14ac:dyDescent="0.2"/>
    <row r="4852" ht="15" customHeight="1" x14ac:dyDescent="0.2"/>
    <row r="4853" ht="15" customHeight="1" x14ac:dyDescent="0.2"/>
    <row r="4854" ht="15" customHeight="1" x14ac:dyDescent="0.2"/>
    <row r="4855" ht="15" customHeight="1" x14ac:dyDescent="0.2"/>
    <row r="4856" ht="15" customHeight="1" x14ac:dyDescent="0.2"/>
    <row r="4857" ht="15" customHeight="1" x14ac:dyDescent="0.2"/>
    <row r="4858" ht="15" customHeight="1" x14ac:dyDescent="0.2"/>
    <row r="4859" ht="15" customHeight="1" x14ac:dyDescent="0.2"/>
    <row r="4860" ht="15" customHeight="1" x14ac:dyDescent="0.2"/>
    <row r="4861" ht="15" customHeight="1" x14ac:dyDescent="0.2"/>
    <row r="4862" ht="15" customHeight="1" x14ac:dyDescent="0.2"/>
    <row r="4863" ht="15" customHeight="1" x14ac:dyDescent="0.2"/>
    <row r="4864" ht="15" customHeight="1" x14ac:dyDescent="0.2"/>
    <row r="4865" ht="15" customHeight="1" x14ac:dyDescent="0.2"/>
    <row r="4866" ht="15" customHeight="1" x14ac:dyDescent="0.2"/>
    <row r="4867" ht="15" customHeight="1" x14ac:dyDescent="0.2"/>
    <row r="4868" ht="15" customHeight="1" x14ac:dyDescent="0.2"/>
    <row r="4869" ht="15" customHeight="1" x14ac:dyDescent="0.2"/>
    <row r="4870" ht="15" customHeight="1" x14ac:dyDescent="0.2"/>
    <row r="4871" ht="15" customHeight="1" x14ac:dyDescent="0.2"/>
    <row r="4872" ht="15" customHeight="1" x14ac:dyDescent="0.2"/>
    <row r="4873" ht="15" customHeight="1" x14ac:dyDescent="0.2"/>
    <row r="4874" ht="15" customHeight="1" x14ac:dyDescent="0.2"/>
    <row r="4875" ht="15" customHeight="1" x14ac:dyDescent="0.2"/>
    <row r="4876" ht="15" customHeight="1" x14ac:dyDescent="0.2"/>
    <row r="4877" ht="15" customHeight="1" x14ac:dyDescent="0.2"/>
    <row r="4878" ht="15" customHeight="1" x14ac:dyDescent="0.2"/>
    <row r="4879" ht="15" customHeight="1" x14ac:dyDescent="0.2"/>
    <row r="4880" ht="15" customHeight="1" x14ac:dyDescent="0.2"/>
    <row r="4881" ht="15" customHeight="1" x14ac:dyDescent="0.2"/>
    <row r="4882" ht="15" customHeight="1" x14ac:dyDescent="0.2"/>
    <row r="4883" ht="15" customHeight="1" x14ac:dyDescent="0.2"/>
    <row r="4884" ht="15" customHeight="1" x14ac:dyDescent="0.2"/>
    <row r="4885" ht="15" customHeight="1" x14ac:dyDescent="0.2"/>
    <row r="4886" ht="15" customHeight="1" x14ac:dyDescent="0.2"/>
    <row r="4887" ht="15" customHeight="1" x14ac:dyDescent="0.2"/>
    <row r="4888" ht="15" customHeight="1" x14ac:dyDescent="0.2"/>
    <row r="4889" ht="15" customHeight="1" x14ac:dyDescent="0.2"/>
    <row r="4890" ht="15" customHeight="1" x14ac:dyDescent="0.2"/>
    <row r="4891" ht="15" customHeight="1" x14ac:dyDescent="0.2"/>
    <row r="4892" ht="15" customHeight="1" x14ac:dyDescent="0.2"/>
    <row r="4893" ht="15" customHeight="1" x14ac:dyDescent="0.2"/>
    <row r="4894" ht="15" customHeight="1" x14ac:dyDescent="0.2"/>
    <row r="4895" ht="15" customHeight="1" x14ac:dyDescent="0.2"/>
    <row r="4896" ht="15" customHeight="1" x14ac:dyDescent="0.2"/>
    <row r="4897" ht="15" customHeight="1" x14ac:dyDescent="0.2"/>
    <row r="4898" ht="15" customHeight="1" x14ac:dyDescent="0.2"/>
    <row r="4899" ht="15" customHeight="1" x14ac:dyDescent="0.2"/>
    <row r="4900" ht="15" customHeight="1" x14ac:dyDescent="0.2"/>
    <row r="4901" ht="15" customHeight="1" x14ac:dyDescent="0.2"/>
    <row r="4902" ht="15" customHeight="1" x14ac:dyDescent="0.2"/>
    <row r="4903" ht="15" customHeight="1" x14ac:dyDescent="0.2"/>
    <row r="4904" ht="15" customHeight="1" x14ac:dyDescent="0.2"/>
    <row r="4905" ht="15" customHeight="1" x14ac:dyDescent="0.2"/>
    <row r="4906" ht="15" customHeight="1" x14ac:dyDescent="0.2"/>
    <row r="4907" ht="15" customHeight="1" x14ac:dyDescent="0.2"/>
    <row r="4908" ht="15" customHeight="1" x14ac:dyDescent="0.2"/>
    <row r="4909" ht="15" customHeight="1" x14ac:dyDescent="0.2"/>
    <row r="4910" ht="15" customHeight="1" x14ac:dyDescent="0.2"/>
    <row r="4911" ht="15" customHeight="1" x14ac:dyDescent="0.2"/>
    <row r="4912" ht="15" customHeight="1" x14ac:dyDescent="0.2"/>
    <row r="4913" ht="15" customHeight="1" x14ac:dyDescent="0.2"/>
    <row r="4914" ht="15" customHeight="1" x14ac:dyDescent="0.2"/>
    <row r="4915" ht="15" customHeight="1" x14ac:dyDescent="0.2"/>
    <row r="4916" ht="15" customHeight="1" x14ac:dyDescent="0.2"/>
    <row r="4917" ht="15" customHeight="1" x14ac:dyDescent="0.2"/>
    <row r="4918" ht="15" customHeight="1" x14ac:dyDescent="0.2"/>
    <row r="4919" ht="15" customHeight="1" x14ac:dyDescent="0.2"/>
    <row r="4920" ht="15" customHeight="1" x14ac:dyDescent="0.2"/>
    <row r="4921" ht="15" customHeight="1" x14ac:dyDescent="0.2"/>
    <row r="4922" ht="15" customHeight="1" x14ac:dyDescent="0.2"/>
    <row r="4923" ht="15" customHeight="1" x14ac:dyDescent="0.2"/>
    <row r="4924" ht="15" customHeight="1" x14ac:dyDescent="0.2"/>
    <row r="4925" ht="15" customHeight="1" x14ac:dyDescent="0.2"/>
    <row r="4926" ht="15" customHeight="1" x14ac:dyDescent="0.2"/>
    <row r="4927" ht="15" customHeight="1" x14ac:dyDescent="0.2"/>
    <row r="4928" ht="15" customHeight="1" x14ac:dyDescent="0.2"/>
    <row r="4929" ht="15" customHeight="1" x14ac:dyDescent="0.2"/>
    <row r="4930" ht="15" customHeight="1" x14ac:dyDescent="0.2"/>
    <row r="4931" ht="15" customHeight="1" x14ac:dyDescent="0.2"/>
    <row r="4932" ht="15" customHeight="1" x14ac:dyDescent="0.2"/>
    <row r="4933" ht="15" customHeight="1" x14ac:dyDescent="0.2"/>
    <row r="4934" ht="15" customHeight="1" x14ac:dyDescent="0.2"/>
    <row r="4935" ht="15" customHeight="1" x14ac:dyDescent="0.2"/>
    <row r="4936" ht="15" customHeight="1" x14ac:dyDescent="0.2"/>
    <row r="4937" ht="15" customHeight="1" x14ac:dyDescent="0.2"/>
    <row r="4938" ht="15" customHeight="1" x14ac:dyDescent="0.2"/>
    <row r="4939" ht="15" customHeight="1" x14ac:dyDescent="0.2"/>
    <row r="4940" ht="15" customHeight="1" x14ac:dyDescent="0.2"/>
    <row r="4941" ht="15" customHeight="1" x14ac:dyDescent="0.2"/>
    <row r="4942" ht="15" customHeight="1" x14ac:dyDescent="0.2"/>
    <row r="4943" ht="15" customHeight="1" x14ac:dyDescent="0.2"/>
    <row r="4944" ht="15" customHeight="1" x14ac:dyDescent="0.2"/>
    <row r="4945" ht="15" customHeight="1" x14ac:dyDescent="0.2"/>
    <row r="4946" ht="15" customHeight="1" x14ac:dyDescent="0.2"/>
    <row r="4947" ht="15" customHeight="1" x14ac:dyDescent="0.2"/>
    <row r="4948" ht="15" customHeight="1" x14ac:dyDescent="0.2"/>
    <row r="4949" ht="15" customHeight="1" x14ac:dyDescent="0.2"/>
    <row r="4950" ht="15" customHeight="1" x14ac:dyDescent="0.2"/>
    <row r="4951" ht="15" customHeight="1" x14ac:dyDescent="0.2"/>
    <row r="4952" ht="15" customHeight="1" x14ac:dyDescent="0.2"/>
    <row r="4953" ht="15" customHeight="1" x14ac:dyDescent="0.2"/>
    <row r="4954" ht="15" customHeight="1" x14ac:dyDescent="0.2"/>
    <row r="4955" ht="15" customHeight="1" x14ac:dyDescent="0.2"/>
    <row r="4956" ht="15" customHeight="1" x14ac:dyDescent="0.2"/>
    <row r="4957" ht="15" customHeight="1" x14ac:dyDescent="0.2"/>
    <row r="4958" ht="15" customHeight="1" x14ac:dyDescent="0.2"/>
    <row r="4959" ht="15" customHeight="1" x14ac:dyDescent="0.2"/>
    <row r="4960" ht="15" customHeight="1" x14ac:dyDescent="0.2"/>
    <row r="4961" ht="15" customHeight="1" x14ac:dyDescent="0.2"/>
    <row r="4962" ht="15" customHeight="1" x14ac:dyDescent="0.2"/>
    <row r="4963" ht="15" customHeight="1" x14ac:dyDescent="0.2"/>
    <row r="4964" ht="15" customHeight="1" x14ac:dyDescent="0.2"/>
    <row r="4965" ht="15" customHeight="1" x14ac:dyDescent="0.2"/>
    <row r="4966" ht="15" customHeight="1" x14ac:dyDescent="0.2"/>
    <row r="4967" ht="15" customHeight="1" x14ac:dyDescent="0.2"/>
    <row r="4968" ht="15" customHeight="1" x14ac:dyDescent="0.2"/>
    <row r="4969" ht="15" customHeight="1" x14ac:dyDescent="0.2"/>
    <row r="4970" ht="15" customHeight="1" x14ac:dyDescent="0.2"/>
    <row r="4971" ht="15" customHeight="1" x14ac:dyDescent="0.2"/>
    <row r="4972" ht="15" customHeight="1" x14ac:dyDescent="0.2"/>
    <row r="4973" ht="15" customHeight="1" x14ac:dyDescent="0.2"/>
    <row r="4974" ht="15" customHeight="1" x14ac:dyDescent="0.2"/>
    <row r="4975" ht="15" customHeight="1" x14ac:dyDescent="0.2"/>
    <row r="4976" ht="15" customHeight="1" x14ac:dyDescent="0.2"/>
    <row r="4977" ht="15" customHeight="1" x14ac:dyDescent="0.2"/>
    <row r="4978" ht="15" customHeight="1" x14ac:dyDescent="0.2"/>
    <row r="4979" ht="15" customHeight="1" x14ac:dyDescent="0.2"/>
    <row r="4980" ht="15" customHeight="1" x14ac:dyDescent="0.2"/>
    <row r="4981" ht="15" customHeight="1" x14ac:dyDescent="0.2"/>
    <row r="4982" ht="15" customHeight="1" x14ac:dyDescent="0.2"/>
    <row r="4983" ht="15" customHeight="1" x14ac:dyDescent="0.2"/>
    <row r="4984" ht="15" customHeight="1" x14ac:dyDescent="0.2"/>
    <row r="4985" ht="15" customHeight="1" x14ac:dyDescent="0.2"/>
    <row r="4986" ht="15" customHeight="1" x14ac:dyDescent="0.2"/>
    <row r="4987" ht="15" customHeight="1" x14ac:dyDescent="0.2"/>
    <row r="4988" ht="15" customHeight="1" x14ac:dyDescent="0.2"/>
    <row r="4989" ht="15" customHeight="1" x14ac:dyDescent="0.2"/>
    <row r="4990" ht="15" customHeight="1" x14ac:dyDescent="0.2"/>
    <row r="4991" ht="15" customHeight="1" x14ac:dyDescent="0.2"/>
    <row r="4992" ht="15" customHeight="1" x14ac:dyDescent="0.2"/>
    <row r="4993" ht="15" customHeight="1" x14ac:dyDescent="0.2"/>
    <row r="4994" ht="15" customHeight="1" x14ac:dyDescent="0.2"/>
    <row r="4995" ht="15" customHeight="1" x14ac:dyDescent="0.2"/>
    <row r="4996" ht="15" customHeight="1" x14ac:dyDescent="0.2"/>
    <row r="4997" ht="15" customHeight="1" x14ac:dyDescent="0.2"/>
    <row r="4998" ht="15" customHeight="1" x14ac:dyDescent="0.2"/>
    <row r="4999" ht="15" customHeight="1" x14ac:dyDescent="0.2"/>
    <row r="5000" ht="15" customHeight="1" x14ac:dyDescent="0.2"/>
    <row r="5001" ht="15" customHeight="1" x14ac:dyDescent="0.2"/>
    <row r="5002" ht="15" customHeight="1" x14ac:dyDescent="0.2"/>
    <row r="5003" ht="15" customHeight="1" x14ac:dyDescent="0.2"/>
    <row r="5004" ht="15" customHeight="1" x14ac:dyDescent="0.2"/>
    <row r="5005" ht="15" customHeight="1" x14ac:dyDescent="0.2"/>
    <row r="5006" ht="15" customHeight="1" x14ac:dyDescent="0.2"/>
    <row r="5007" ht="15" customHeight="1" x14ac:dyDescent="0.2"/>
    <row r="5008" ht="15" customHeight="1" x14ac:dyDescent="0.2"/>
    <row r="5009" ht="15" customHeight="1" x14ac:dyDescent="0.2"/>
    <row r="5010" ht="15" customHeight="1" x14ac:dyDescent="0.2"/>
    <row r="5011" ht="15" customHeight="1" x14ac:dyDescent="0.2"/>
    <row r="5012" ht="15" customHeight="1" x14ac:dyDescent="0.2"/>
    <row r="5013" ht="15" customHeight="1" x14ac:dyDescent="0.2"/>
    <row r="5014" ht="15" customHeight="1" x14ac:dyDescent="0.2"/>
    <row r="5015" ht="15" customHeight="1" x14ac:dyDescent="0.2"/>
    <row r="5016" ht="15" customHeight="1" x14ac:dyDescent="0.2"/>
    <row r="5017" ht="15" customHeight="1" x14ac:dyDescent="0.2"/>
    <row r="5018" ht="15" customHeight="1" x14ac:dyDescent="0.2"/>
    <row r="5019" ht="15" customHeight="1" x14ac:dyDescent="0.2"/>
    <row r="5020" ht="15" customHeight="1" x14ac:dyDescent="0.2"/>
    <row r="5021" ht="15" customHeight="1" x14ac:dyDescent="0.2"/>
    <row r="5022" ht="15" customHeight="1" x14ac:dyDescent="0.2"/>
    <row r="5023" ht="15" customHeight="1" x14ac:dyDescent="0.2"/>
    <row r="5024" ht="15" customHeight="1" x14ac:dyDescent="0.2"/>
    <row r="5025" ht="15" customHeight="1" x14ac:dyDescent="0.2"/>
    <row r="5026" ht="15" customHeight="1" x14ac:dyDescent="0.2"/>
    <row r="5027" ht="15" customHeight="1" x14ac:dyDescent="0.2"/>
    <row r="5028" ht="15" customHeight="1" x14ac:dyDescent="0.2"/>
    <row r="5029" ht="15" customHeight="1" x14ac:dyDescent="0.2"/>
    <row r="5030" ht="15" customHeight="1" x14ac:dyDescent="0.2"/>
    <row r="5031" ht="15" customHeight="1" x14ac:dyDescent="0.2"/>
    <row r="5032" ht="15" customHeight="1" x14ac:dyDescent="0.2"/>
    <row r="5033" ht="15" customHeight="1" x14ac:dyDescent="0.2"/>
    <row r="5034" ht="15" customHeight="1" x14ac:dyDescent="0.2"/>
    <row r="5035" ht="15" customHeight="1" x14ac:dyDescent="0.2"/>
    <row r="5036" ht="15" customHeight="1" x14ac:dyDescent="0.2"/>
    <row r="5037" ht="15" customHeight="1" x14ac:dyDescent="0.2"/>
    <row r="5038" ht="15" customHeight="1" x14ac:dyDescent="0.2"/>
    <row r="5039" ht="15" customHeight="1" x14ac:dyDescent="0.2"/>
    <row r="5040" ht="15" customHeight="1" x14ac:dyDescent="0.2"/>
    <row r="5041" ht="15" customHeight="1" x14ac:dyDescent="0.2"/>
    <row r="5042" ht="15" customHeight="1" x14ac:dyDescent="0.2"/>
    <row r="5043" ht="15" customHeight="1" x14ac:dyDescent="0.2"/>
    <row r="5044" ht="15" customHeight="1" x14ac:dyDescent="0.2"/>
    <row r="5045" ht="15" customHeight="1" x14ac:dyDescent="0.2"/>
    <row r="5046" ht="15" customHeight="1" x14ac:dyDescent="0.2"/>
    <row r="5047" ht="15" customHeight="1" x14ac:dyDescent="0.2"/>
    <row r="5048" ht="15" customHeight="1" x14ac:dyDescent="0.2"/>
    <row r="5049" ht="15" customHeight="1" x14ac:dyDescent="0.2"/>
    <row r="5050" ht="15" customHeight="1" x14ac:dyDescent="0.2"/>
    <row r="5051" ht="15" customHeight="1" x14ac:dyDescent="0.2"/>
    <row r="5052" ht="15" customHeight="1" x14ac:dyDescent="0.2"/>
    <row r="5053" ht="15" customHeight="1" x14ac:dyDescent="0.2"/>
    <row r="5054" ht="15" customHeight="1" x14ac:dyDescent="0.2"/>
    <row r="5055" ht="15" customHeight="1" x14ac:dyDescent="0.2"/>
    <row r="5056" ht="15" customHeight="1" x14ac:dyDescent="0.2"/>
    <row r="5057" ht="15" customHeight="1" x14ac:dyDescent="0.2"/>
    <row r="5058" ht="15" customHeight="1" x14ac:dyDescent="0.2"/>
    <row r="5059" ht="15" customHeight="1" x14ac:dyDescent="0.2"/>
    <row r="5060" ht="15" customHeight="1" x14ac:dyDescent="0.2"/>
    <row r="5061" ht="15" customHeight="1" x14ac:dyDescent="0.2"/>
    <row r="5062" ht="15" customHeight="1" x14ac:dyDescent="0.2"/>
    <row r="5063" ht="15" customHeight="1" x14ac:dyDescent="0.2"/>
    <row r="5064" ht="15" customHeight="1" x14ac:dyDescent="0.2"/>
    <row r="5065" ht="15" customHeight="1" x14ac:dyDescent="0.2"/>
    <row r="5066" ht="15" customHeight="1" x14ac:dyDescent="0.2"/>
    <row r="5067" ht="15" customHeight="1" x14ac:dyDescent="0.2"/>
    <row r="5068" ht="15" customHeight="1" x14ac:dyDescent="0.2"/>
    <row r="5069" ht="15" customHeight="1" x14ac:dyDescent="0.2"/>
    <row r="5070" ht="15" customHeight="1" x14ac:dyDescent="0.2"/>
    <row r="5071" ht="15" customHeight="1" x14ac:dyDescent="0.2"/>
    <row r="5072" ht="15" customHeight="1" x14ac:dyDescent="0.2"/>
    <row r="5073" ht="15" customHeight="1" x14ac:dyDescent="0.2"/>
    <row r="5074" ht="15" customHeight="1" x14ac:dyDescent="0.2"/>
    <row r="5075" ht="15" customHeight="1" x14ac:dyDescent="0.2"/>
    <row r="5076" ht="15" customHeight="1" x14ac:dyDescent="0.2"/>
    <row r="5077" ht="15" customHeight="1" x14ac:dyDescent="0.2"/>
    <row r="5078" ht="15" customHeight="1" x14ac:dyDescent="0.2"/>
    <row r="5079" ht="15" customHeight="1" x14ac:dyDescent="0.2"/>
    <row r="5080" ht="15" customHeight="1" x14ac:dyDescent="0.2"/>
    <row r="5081" ht="15" customHeight="1" x14ac:dyDescent="0.2"/>
    <row r="5082" ht="15" customHeight="1" x14ac:dyDescent="0.2"/>
    <row r="5083" ht="15" customHeight="1" x14ac:dyDescent="0.2"/>
    <row r="5084" ht="15" customHeight="1" x14ac:dyDescent="0.2"/>
    <row r="5085" ht="15" customHeight="1" x14ac:dyDescent="0.2"/>
    <row r="5086" ht="15" customHeight="1" x14ac:dyDescent="0.2"/>
    <row r="5087" ht="15" customHeight="1" x14ac:dyDescent="0.2"/>
    <row r="5088" ht="15" customHeight="1" x14ac:dyDescent="0.2"/>
    <row r="5089" ht="15" customHeight="1" x14ac:dyDescent="0.2"/>
    <row r="5090" ht="15" customHeight="1" x14ac:dyDescent="0.2"/>
    <row r="5091" ht="15" customHeight="1" x14ac:dyDescent="0.2"/>
    <row r="5092" ht="15" customHeight="1" x14ac:dyDescent="0.2"/>
    <row r="5093" ht="15" customHeight="1" x14ac:dyDescent="0.2"/>
    <row r="5094" ht="15" customHeight="1" x14ac:dyDescent="0.2"/>
    <row r="5095" ht="15" customHeight="1" x14ac:dyDescent="0.2"/>
    <row r="5096" ht="15" customHeight="1" x14ac:dyDescent="0.2"/>
    <row r="5097" ht="15" customHeight="1" x14ac:dyDescent="0.2"/>
    <row r="5098" ht="15" customHeight="1" x14ac:dyDescent="0.2"/>
    <row r="5099" ht="15" customHeight="1" x14ac:dyDescent="0.2"/>
    <row r="5100" ht="15" customHeight="1" x14ac:dyDescent="0.2"/>
    <row r="5101" ht="15" customHeight="1" x14ac:dyDescent="0.2"/>
    <row r="5102" ht="15" customHeight="1" x14ac:dyDescent="0.2"/>
    <row r="5103" ht="15" customHeight="1" x14ac:dyDescent="0.2"/>
    <row r="5104" ht="15" customHeight="1" x14ac:dyDescent="0.2"/>
    <row r="5105" ht="15" customHeight="1" x14ac:dyDescent="0.2"/>
    <row r="5106" ht="15" customHeight="1" x14ac:dyDescent="0.2"/>
    <row r="5107" ht="15" customHeight="1" x14ac:dyDescent="0.2"/>
    <row r="5108" ht="15" customHeight="1" x14ac:dyDescent="0.2"/>
    <row r="5109" ht="15" customHeight="1" x14ac:dyDescent="0.2"/>
    <row r="5110" ht="15" customHeight="1" x14ac:dyDescent="0.2"/>
    <row r="5111" ht="15" customHeight="1" x14ac:dyDescent="0.2"/>
    <row r="5112" ht="15" customHeight="1" x14ac:dyDescent="0.2"/>
    <row r="5113" ht="15" customHeight="1" x14ac:dyDescent="0.2"/>
    <row r="5114" ht="15" customHeight="1" x14ac:dyDescent="0.2"/>
    <row r="5115" ht="15" customHeight="1" x14ac:dyDescent="0.2"/>
    <row r="5116" ht="15" customHeight="1" x14ac:dyDescent="0.2"/>
    <row r="5117" ht="15" customHeight="1" x14ac:dyDescent="0.2"/>
    <row r="5118" ht="15" customHeight="1" x14ac:dyDescent="0.2"/>
    <row r="5119" ht="15" customHeight="1" x14ac:dyDescent="0.2"/>
    <row r="5120" ht="15" customHeight="1" x14ac:dyDescent="0.2"/>
    <row r="5121" ht="15" customHeight="1" x14ac:dyDescent="0.2"/>
    <row r="5122" ht="15" customHeight="1" x14ac:dyDescent="0.2"/>
    <row r="5123" ht="15" customHeight="1" x14ac:dyDescent="0.2"/>
    <row r="5124" ht="15" customHeight="1" x14ac:dyDescent="0.2"/>
    <row r="5125" ht="15" customHeight="1" x14ac:dyDescent="0.2"/>
    <row r="5126" ht="15" customHeight="1" x14ac:dyDescent="0.2"/>
    <row r="5127" ht="15" customHeight="1" x14ac:dyDescent="0.2"/>
    <row r="5128" ht="15" customHeight="1" x14ac:dyDescent="0.2"/>
    <row r="5129" ht="15" customHeight="1" x14ac:dyDescent="0.2"/>
    <row r="5130" ht="15" customHeight="1" x14ac:dyDescent="0.2"/>
    <row r="5131" ht="15" customHeight="1" x14ac:dyDescent="0.2"/>
    <row r="5132" ht="15" customHeight="1" x14ac:dyDescent="0.2"/>
    <row r="5133" ht="15" customHeight="1" x14ac:dyDescent="0.2"/>
    <row r="5134" ht="15" customHeight="1" x14ac:dyDescent="0.2"/>
    <row r="5135" ht="15" customHeight="1" x14ac:dyDescent="0.2"/>
    <row r="5136" ht="15" customHeight="1" x14ac:dyDescent="0.2"/>
    <row r="5137" ht="15" customHeight="1" x14ac:dyDescent="0.2"/>
    <row r="5138" ht="15" customHeight="1" x14ac:dyDescent="0.2"/>
    <row r="5139" ht="15" customHeight="1" x14ac:dyDescent="0.2"/>
    <row r="5140" ht="15" customHeight="1" x14ac:dyDescent="0.2"/>
    <row r="5141" ht="15" customHeight="1" x14ac:dyDescent="0.2"/>
    <row r="5142" ht="15" customHeight="1" x14ac:dyDescent="0.2"/>
    <row r="5143" ht="15" customHeight="1" x14ac:dyDescent="0.2"/>
    <row r="5144" ht="15" customHeight="1" x14ac:dyDescent="0.2"/>
    <row r="5145" ht="15" customHeight="1" x14ac:dyDescent="0.2"/>
    <row r="5146" ht="15" customHeight="1" x14ac:dyDescent="0.2"/>
    <row r="5147" ht="15" customHeight="1" x14ac:dyDescent="0.2"/>
    <row r="5148" ht="15" customHeight="1" x14ac:dyDescent="0.2"/>
    <row r="5149" ht="15" customHeight="1" x14ac:dyDescent="0.2"/>
    <row r="5150" ht="15" customHeight="1" x14ac:dyDescent="0.2"/>
    <row r="5151" ht="15" customHeight="1" x14ac:dyDescent="0.2"/>
    <row r="5152" ht="15" customHeight="1" x14ac:dyDescent="0.2"/>
    <row r="5153" ht="15" customHeight="1" x14ac:dyDescent="0.2"/>
    <row r="5154" ht="15" customHeight="1" x14ac:dyDescent="0.2"/>
    <row r="5155" ht="15" customHeight="1" x14ac:dyDescent="0.2"/>
    <row r="5156" ht="15" customHeight="1" x14ac:dyDescent="0.2"/>
    <row r="5157" ht="15" customHeight="1" x14ac:dyDescent="0.2"/>
    <row r="5158" ht="15" customHeight="1" x14ac:dyDescent="0.2"/>
    <row r="5159" ht="15" customHeight="1" x14ac:dyDescent="0.2"/>
    <row r="5160" ht="15" customHeight="1" x14ac:dyDescent="0.2"/>
    <row r="5161" ht="15" customHeight="1" x14ac:dyDescent="0.2"/>
    <row r="5162" ht="15" customHeight="1" x14ac:dyDescent="0.2"/>
    <row r="5163" ht="15" customHeight="1" x14ac:dyDescent="0.2"/>
    <row r="5164" ht="15" customHeight="1" x14ac:dyDescent="0.2"/>
    <row r="5165" ht="15" customHeight="1" x14ac:dyDescent="0.2"/>
    <row r="5166" ht="15" customHeight="1" x14ac:dyDescent="0.2"/>
    <row r="5167" ht="15" customHeight="1" x14ac:dyDescent="0.2"/>
    <row r="5168" ht="15" customHeight="1" x14ac:dyDescent="0.2"/>
    <row r="5169" ht="15" customHeight="1" x14ac:dyDescent="0.2"/>
    <row r="5170" ht="15" customHeight="1" x14ac:dyDescent="0.2"/>
    <row r="5171" ht="15" customHeight="1" x14ac:dyDescent="0.2"/>
    <row r="5172" ht="15" customHeight="1" x14ac:dyDescent="0.2"/>
    <row r="5173" ht="15" customHeight="1" x14ac:dyDescent="0.2"/>
    <row r="5174" ht="15" customHeight="1" x14ac:dyDescent="0.2"/>
    <row r="5175" ht="15" customHeight="1" x14ac:dyDescent="0.2"/>
    <row r="5176" ht="15" customHeight="1" x14ac:dyDescent="0.2"/>
    <row r="5177" ht="15" customHeight="1" x14ac:dyDescent="0.2"/>
    <row r="5178" ht="15" customHeight="1" x14ac:dyDescent="0.2"/>
    <row r="5179" ht="15" customHeight="1" x14ac:dyDescent="0.2"/>
    <row r="5180" ht="15" customHeight="1" x14ac:dyDescent="0.2"/>
    <row r="5181" ht="15" customHeight="1" x14ac:dyDescent="0.2"/>
    <row r="5182" ht="15" customHeight="1" x14ac:dyDescent="0.2"/>
    <row r="5183" ht="15" customHeight="1" x14ac:dyDescent="0.2"/>
    <row r="5184" ht="15" customHeight="1" x14ac:dyDescent="0.2"/>
    <row r="5185" ht="15" customHeight="1" x14ac:dyDescent="0.2"/>
    <row r="5186" ht="15" customHeight="1" x14ac:dyDescent="0.2"/>
    <row r="5187" ht="15" customHeight="1" x14ac:dyDescent="0.2"/>
    <row r="5188" ht="15" customHeight="1" x14ac:dyDescent="0.2"/>
    <row r="5189" ht="15" customHeight="1" x14ac:dyDescent="0.2"/>
    <row r="5190" ht="15" customHeight="1" x14ac:dyDescent="0.2"/>
    <row r="5191" ht="15" customHeight="1" x14ac:dyDescent="0.2"/>
    <row r="5192" ht="15" customHeight="1" x14ac:dyDescent="0.2"/>
    <row r="5193" ht="15" customHeight="1" x14ac:dyDescent="0.2"/>
    <row r="5194" ht="15" customHeight="1" x14ac:dyDescent="0.2"/>
    <row r="5195" ht="15" customHeight="1" x14ac:dyDescent="0.2"/>
    <row r="5196" ht="15" customHeight="1" x14ac:dyDescent="0.2"/>
    <row r="5197" ht="15" customHeight="1" x14ac:dyDescent="0.2"/>
    <row r="5198" ht="15" customHeight="1" x14ac:dyDescent="0.2"/>
    <row r="5199" ht="15" customHeight="1" x14ac:dyDescent="0.2"/>
    <row r="5200" ht="15" customHeight="1" x14ac:dyDescent="0.2"/>
    <row r="5201" ht="15" customHeight="1" x14ac:dyDescent="0.2"/>
    <row r="5202" ht="15" customHeight="1" x14ac:dyDescent="0.2"/>
    <row r="5203" ht="15" customHeight="1" x14ac:dyDescent="0.2"/>
    <row r="5204" ht="15" customHeight="1" x14ac:dyDescent="0.2"/>
    <row r="5205" ht="15" customHeight="1" x14ac:dyDescent="0.2"/>
    <row r="5206" ht="15" customHeight="1" x14ac:dyDescent="0.2"/>
    <row r="5207" ht="15" customHeight="1" x14ac:dyDescent="0.2"/>
    <row r="5208" ht="15" customHeight="1" x14ac:dyDescent="0.2"/>
    <row r="5209" ht="15" customHeight="1" x14ac:dyDescent="0.2"/>
    <row r="5210" ht="15" customHeight="1" x14ac:dyDescent="0.2"/>
    <row r="5211" ht="15" customHeight="1" x14ac:dyDescent="0.2"/>
    <row r="5212" ht="15" customHeight="1" x14ac:dyDescent="0.2"/>
    <row r="5213" ht="15" customHeight="1" x14ac:dyDescent="0.2"/>
    <row r="5214" ht="15" customHeight="1" x14ac:dyDescent="0.2"/>
    <row r="5215" ht="15" customHeight="1" x14ac:dyDescent="0.2"/>
    <row r="5216" ht="15" customHeight="1" x14ac:dyDescent="0.2"/>
    <row r="5217" ht="15" customHeight="1" x14ac:dyDescent="0.2"/>
    <row r="5218" ht="15" customHeight="1" x14ac:dyDescent="0.2"/>
    <row r="5219" ht="15" customHeight="1" x14ac:dyDescent="0.2"/>
    <row r="5220" ht="15" customHeight="1" x14ac:dyDescent="0.2"/>
    <row r="5221" ht="15" customHeight="1" x14ac:dyDescent="0.2"/>
    <row r="5222" ht="15" customHeight="1" x14ac:dyDescent="0.2"/>
    <row r="5223" ht="15" customHeight="1" x14ac:dyDescent="0.2"/>
    <row r="5224" ht="15" customHeight="1" x14ac:dyDescent="0.2"/>
    <row r="5225" ht="15" customHeight="1" x14ac:dyDescent="0.2"/>
    <row r="5226" ht="15" customHeight="1" x14ac:dyDescent="0.2"/>
    <row r="5227" ht="15" customHeight="1" x14ac:dyDescent="0.2"/>
    <row r="5228" ht="15" customHeight="1" x14ac:dyDescent="0.2"/>
    <row r="5229" ht="15" customHeight="1" x14ac:dyDescent="0.2"/>
    <row r="5230" ht="15" customHeight="1" x14ac:dyDescent="0.2"/>
    <row r="5231" ht="15" customHeight="1" x14ac:dyDescent="0.2"/>
    <row r="5232" ht="15" customHeight="1" x14ac:dyDescent="0.2"/>
    <row r="5233" ht="15" customHeight="1" x14ac:dyDescent="0.2"/>
    <row r="5234" ht="15" customHeight="1" x14ac:dyDescent="0.2"/>
    <row r="5235" ht="15" customHeight="1" x14ac:dyDescent="0.2"/>
    <row r="5236" ht="15" customHeight="1" x14ac:dyDescent="0.2"/>
    <row r="5237" ht="15" customHeight="1" x14ac:dyDescent="0.2"/>
    <row r="5238" ht="15" customHeight="1" x14ac:dyDescent="0.2"/>
    <row r="5239" ht="15" customHeight="1" x14ac:dyDescent="0.2"/>
    <row r="5240" ht="15" customHeight="1" x14ac:dyDescent="0.2"/>
    <row r="5241" ht="15" customHeight="1" x14ac:dyDescent="0.2"/>
    <row r="5242" ht="15" customHeight="1" x14ac:dyDescent="0.2"/>
    <row r="5243" ht="15" customHeight="1" x14ac:dyDescent="0.2"/>
    <row r="5244" ht="15" customHeight="1" x14ac:dyDescent="0.2"/>
    <row r="5245" ht="15" customHeight="1" x14ac:dyDescent="0.2"/>
    <row r="5246" ht="15" customHeight="1" x14ac:dyDescent="0.2"/>
    <row r="5247" ht="15" customHeight="1" x14ac:dyDescent="0.2"/>
    <row r="5248" ht="15" customHeight="1" x14ac:dyDescent="0.2"/>
    <row r="5249" ht="15" customHeight="1" x14ac:dyDescent="0.2"/>
    <row r="5250" ht="15" customHeight="1" x14ac:dyDescent="0.2"/>
    <row r="5251" ht="15" customHeight="1" x14ac:dyDescent="0.2"/>
    <row r="5252" ht="15" customHeight="1" x14ac:dyDescent="0.2"/>
    <row r="5253" ht="15" customHeight="1" x14ac:dyDescent="0.2"/>
    <row r="5254" ht="15" customHeight="1" x14ac:dyDescent="0.2"/>
    <row r="5255" ht="15" customHeight="1" x14ac:dyDescent="0.2"/>
    <row r="5256" ht="15" customHeight="1" x14ac:dyDescent="0.2"/>
    <row r="5257" ht="15" customHeight="1" x14ac:dyDescent="0.2"/>
    <row r="5258" ht="15" customHeight="1" x14ac:dyDescent="0.2"/>
    <row r="5259" ht="15" customHeight="1" x14ac:dyDescent="0.2"/>
    <row r="5260" ht="15" customHeight="1" x14ac:dyDescent="0.2"/>
    <row r="5261" ht="15" customHeight="1" x14ac:dyDescent="0.2"/>
    <row r="5262" ht="15" customHeight="1" x14ac:dyDescent="0.2"/>
    <row r="5263" ht="15" customHeight="1" x14ac:dyDescent="0.2"/>
    <row r="5264" ht="15" customHeight="1" x14ac:dyDescent="0.2"/>
    <row r="5265" ht="15" customHeight="1" x14ac:dyDescent="0.2"/>
    <row r="5266" ht="15" customHeight="1" x14ac:dyDescent="0.2"/>
    <row r="5267" ht="15" customHeight="1" x14ac:dyDescent="0.2"/>
    <row r="5268" ht="15" customHeight="1" x14ac:dyDescent="0.2"/>
    <row r="5269" ht="15" customHeight="1" x14ac:dyDescent="0.2"/>
    <row r="5270" ht="15" customHeight="1" x14ac:dyDescent="0.2"/>
    <row r="5271" ht="15" customHeight="1" x14ac:dyDescent="0.2"/>
    <row r="5272" ht="15" customHeight="1" x14ac:dyDescent="0.2"/>
    <row r="5273" ht="15" customHeight="1" x14ac:dyDescent="0.2"/>
    <row r="5274" ht="15" customHeight="1" x14ac:dyDescent="0.2"/>
    <row r="5275" ht="15" customHeight="1" x14ac:dyDescent="0.2"/>
    <row r="5276" ht="15" customHeight="1" x14ac:dyDescent="0.2"/>
    <row r="5277" ht="15" customHeight="1" x14ac:dyDescent="0.2"/>
    <row r="5278" ht="15" customHeight="1" x14ac:dyDescent="0.2"/>
    <row r="5279" ht="15" customHeight="1" x14ac:dyDescent="0.2"/>
    <row r="5280" ht="15" customHeight="1" x14ac:dyDescent="0.2"/>
    <row r="5281" ht="15" customHeight="1" x14ac:dyDescent="0.2"/>
    <row r="5282" ht="15" customHeight="1" x14ac:dyDescent="0.2"/>
    <row r="5283" ht="15" customHeight="1" x14ac:dyDescent="0.2"/>
    <row r="5284" ht="15" customHeight="1" x14ac:dyDescent="0.2"/>
    <row r="5285" ht="15" customHeight="1" x14ac:dyDescent="0.2"/>
    <row r="5286" ht="15" customHeight="1" x14ac:dyDescent="0.2"/>
    <row r="5287" ht="15" customHeight="1" x14ac:dyDescent="0.2"/>
    <row r="5288" ht="15" customHeight="1" x14ac:dyDescent="0.2"/>
    <row r="5289" ht="15" customHeight="1" x14ac:dyDescent="0.2"/>
    <row r="5290" ht="15" customHeight="1" x14ac:dyDescent="0.2"/>
    <row r="5291" ht="15" customHeight="1" x14ac:dyDescent="0.2"/>
    <row r="5292" ht="15" customHeight="1" x14ac:dyDescent="0.2"/>
    <row r="5293" ht="15" customHeight="1" x14ac:dyDescent="0.2"/>
    <row r="5294" ht="15" customHeight="1" x14ac:dyDescent="0.2"/>
    <row r="5295" ht="15" customHeight="1" x14ac:dyDescent="0.2"/>
    <row r="5296" ht="15" customHeight="1" x14ac:dyDescent="0.2"/>
    <row r="5297" ht="15" customHeight="1" x14ac:dyDescent="0.2"/>
    <row r="5298" ht="15" customHeight="1" x14ac:dyDescent="0.2"/>
    <row r="5299" ht="15" customHeight="1" x14ac:dyDescent="0.2"/>
    <row r="5300" ht="15" customHeight="1" x14ac:dyDescent="0.2"/>
    <row r="5301" ht="15" customHeight="1" x14ac:dyDescent="0.2"/>
    <row r="5302" ht="15" customHeight="1" x14ac:dyDescent="0.2"/>
    <row r="5303" ht="15" customHeight="1" x14ac:dyDescent="0.2"/>
    <row r="5304" ht="15" customHeight="1" x14ac:dyDescent="0.2"/>
    <row r="5305" ht="15" customHeight="1" x14ac:dyDescent="0.2"/>
    <row r="5306" ht="15" customHeight="1" x14ac:dyDescent="0.2"/>
    <row r="5307" ht="15" customHeight="1" x14ac:dyDescent="0.2"/>
    <row r="5308" ht="15" customHeight="1" x14ac:dyDescent="0.2"/>
    <row r="5309" ht="15" customHeight="1" x14ac:dyDescent="0.2"/>
    <row r="5310" ht="15" customHeight="1" x14ac:dyDescent="0.2"/>
    <row r="5311" ht="15" customHeight="1" x14ac:dyDescent="0.2"/>
    <row r="5312" ht="15" customHeight="1" x14ac:dyDescent="0.2"/>
    <row r="5313" ht="15" customHeight="1" x14ac:dyDescent="0.2"/>
    <row r="5314" ht="15" customHeight="1" x14ac:dyDescent="0.2"/>
    <row r="5315" ht="15" customHeight="1" x14ac:dyDescent="0.2"/>
    <row r="5316" ht="15" customHeight="1" x14ac:dyDescent="0.2"/>
    <row r="5317" ht="15" customHeight="1" x14ac:dyDescent="0.2"/>
    <row r="5318" ht="15" customHeight="1" x14ac:dyDescent="0.2"/>
    <row r="5319" ht="15" customHeight="1" x14ac:dyDescent="0.2"/>
    <row r="5320" ht="15" customHeight="1" x14ac:dyDescent="0.2"/>
    <row r="5321" ht="15" customHeight="1" x14ac:dyDescent="0.2"/>
    <row r="5322" ht="15" customHeight="1" x14ac:dyDescent="0.2"/>
    <row r="5323" ht="15" customHeight="1" x14ac:dyDescent="0.2"/>
    <row r="5324" ht="15" customHeight="1" x14ac:dyDescent="0.2"/>
    <row r="5325" ht="15" customHeight="1" x14ac:dyDescent="0.2"/>
    <row r="5326" ht="15" customHeight="1" x14ac:dyDescent="0.2"/>
    <row r="5327" ht="15" customHeight="1" x14ac:dyDescent="0.2"/>
    <row r="5328" ht="15" customHeight="1" x14ac:dyDescent="0.2"/>
    <row r="5329" ht="15" customHeight="1" x14ac:dyDescent="0.2"/>
    <row r="5330" ht="15" customHeight="1" x14ac:dyDescent="0.2"/>
    <row r="5331" ht="15" customHeight="1" x14ac:dyDescent="0.2"/>
    <row r="5332" ht="15" customHeight="1" x14ac:dyDescent="0.2"/>
    <row r="5333" ht="15" customHeight="1" x14ac:dyDescent="0.2"/>
    <row r="5334" ht="15" customHeight="1" x14ac:dyDescent="0.2"/>
    <row r="5335" ht="15" customHeight="1" x14ac:dyDescent="0.2"/>
    <row r="5336" ht="15" customHeight="1" x14ac:dyDescent="0.2"/>
    <row r="5337" ht="15" customHeight="1" x14ac:dyDescent="0.2"/>
    <row r="5338" ht="15" customHeight="1" x14ac:dyDescent="0.2"/>
    <row r="5339" ht="15" customHeight="1" x14ac:dyDescent="0.2"/>
    <row r="5340" ht="15" customHeight="1" x14ac:dyDescent="0.2"/>
    <row r="5341" ht="15" customHeight="1" x14ac:dyDescent="0.2"/>
    <row r="5342" ht="15" customHeight="1" x14ac:dyDescent="0.2"/>
    <row r="5343" ht="15" customHeight="1" x14ac:dyDescent="0.2"/>
    <row r="5344" ht="15" customHeight="1" x14ac:dyDescent="0.2"/>
    <row r="5345" ht="15" customHeight="1" x14ac:dyDescent="0.2"/>
    <row r="5346" ht="15" customHeight="1" x14ac:dyDescent="0.2"/>
    <row r="5347" ht="15" customHeight="1" x14ac:dyDescent="0.2"/>
    <row r="5348" ht="15" customHeight="1" x14ac:dyDescent="0.2"/>
    <row r="5349" ht="15" customHeight="1" x14ac:dyDescent="0.2"/>
    <row r="5350" ht="15" customHeight="1" x14ac:dyDescent="0.2"/>
    <row r="5351" ht="15" customHeight="1" x14ac:dyDescent="0.2"/>
    <row r="5352" ht="15" customHeight="1" x14ac:dyDescent="0.2"/>
    <row r="5353" ht="15" customHeight="1" x14ac:dyDescent="0.2"/>
    <row r="5354" ht="15" customHeight="1" x14ac:dyDescent="0.2"/>
    <row r="5355" ht="15" customHeight="1" x14ac:dyDescent="0.2"/>
    <row r="5356" ht="15" customHeight="1" x14ac:dyDescent="0.2"/>
    <row r="5357" ht="15" customHeight="1" x14ac:dyDescent="0.2"/>
    <row r="5358" ht="15" customHeight="1" x14ac:dyDescent="0.2"/>
    <row r="5359" ht="15" customHeight="1" x14ac:dyDescent="0.2"/>
    <row r="5360" ht="15" customHeight="1" x14ac:dyDescent="0.2"/>
    <row r="5361" ht="15" customHeight="1" x14ac:dyDescent="0.2"/>
    <row r="5362" ht="15" customHeight="1" x14ac:dyDescent="0.2"/>
    <row r="5363" ht="15" customHeight="1" x14ac:dyDescent="0.2"/>
    <row r="5364" ht="15" customHeight="1" x14ac:dyDescent="0.2"/>
    <row r="5365" ht="15" customHeight="1" x14ac:dyDescent="0.2"/>
    <row r="5366" ht="15" customHeight="1" x14ac:dyDescent="0.2"/>
    <row r="5367" ht="15" customHeight="1" x14ac:dyDescent="0.2"/>
    <row r="5368" ht="15" customHeight="1" x14ac:dyDescent="0.2"/>
    <row r="5369" ht="15" customHeight="1" x14ac:dyDescent="0.2"/>
    <row r="5370" ht="15" customHeight="1" x14ac:dyDescent="0.2"/>
    <row r="5371" ht="15" customHeight="1" x14ac:dyDescent="0.2"/>
    <row r="5372" ht="15" customHeight="1" x14ac:dyDescent="0.2"/>
    <row r="5373" ht="15" customHeight="1" x14ac:dyDescent="0.2"/>
    <row r="5374" ht="15" customHeight="1" x14ac:dyDescent="0.2"/>
    <row r="5375" ht="15" customHeight="1" x14ac:dyDescent="0.2"/>
    <row r="5376" ht="15" customHeight="1" x14ac:dyDescent="0.2"/>
    <row r="5377" ht="15" customHeight="1" x14ac:dyDescent="0.2"/>
    <row r="5378" ht="15" customHeight="1" x14ac:dyDescent="0.2"/>
    <row r="5379" ht="15" customHeight="1" x14ac:dyDescent="0.2"/>
    <row r="5380" ht="15" customHeight="1" x14ac:dyDescent="0.2"/>
    <row r="5381" ht="15" customHeight="1" x14ac:dyDescent="0.2"/>
    <row r="5382" ht="15" customHeight="1" x14ac:dyDescent="0.2"/>
    <row r="5383" ht="15" customHeight="1" x14ac:dyDescent="0.2"/>
    <row r="5384" ht="15" customHeight="1" x14ac:dyDescent="0.2"/>
    <row r="5385" ht="15" customHeight="1" x14ac:dyDescent="0.2"/>
    <row r="5386" ht="15" customHeight="1" x14ac:dyDescent="0.2"/>
    <row r="5387" ht="15" customHeight="1" x14ac:dyDescent="0.2"/>
    <row r="5388" ht="15" customHeight="1" x14ac:dyDescent="0.2"/>
    <row r="5389" ht="15" customHeight="1" x14ac:dyDescent="0.2"/>
    <row r="5390" ht="15" customHeight="1" x14ac:dyDescent="0.2"/>
    <row r="5391" ht="15" customHeight="1" x14ac:dyDescent="0.2"/>
    <row r="5392" ht="15" customHeight="1" x14ac:dyDescent="0.2"/>
    <row r="5393" ht="15" customHeight="1" x14ac:dyDescent="0.2"/>
    <row r="5394" ht="15" customHeight="1" x14ac:dyDescent="0.2"/>
    <row r="5395" ht="15" customHeight="1" x14ac:dyDescent="0.2"/>
    <row r="5396" ht="15" customHeight="1" x14ac:dyDescent="0.2"/>
    <row r="5397" ht="15" customHeight="1" x14ac:dyDescent="0.2"/>
    <row r="5398" ht="15" customHeight="1" x14ac:dyDescent="0.2"/>
    <row r="5399" ht="15" customHeight="1" x14ac:dyDescent="0.2"/>
    <row r="5400" ht="15" customHeight="1" x14ac:dyDescent="0.2"/>
    <row r="5401" ht="15" customHeight="1" x14ac:dyDescent="0.2"/>
    <row r="5402" ht="15" customHeight="1" x14ac:dyDescent="0.2"/>
    <row r="5403" ht="15" customHeight="1" x14ac:dyDescent="0.2"/>
    <row r="5404" ht="15" customHeight="1" x14ac:dyDescent="0.2"/>
    <row r="5405" ht="15" customHeight="1" x14ac:dyDescent="0.2"/>
    <row r="5406" ht="15" customHeight="1" x14ac:dyDescent="0.2"/>
    <row r="5407" ht="15" customHeight="1" x14ac:dyDescent="0.2"/>
    <row r="5408" ht="15" customHeight="1" x14ac:dyDescent="0.2"/>
    <row r="5409" ht="15" customHeight="1" x14ac:dyDescent="0.2"/>
    <row r="5410" ht="15" customHeight="1" x14ac:dyDescent="0.2"/>
    <row r="5411" ht="15" customHeight="1" x14ac:dyDescent="0.2"/>
    <row r="5412" ht="15" customHeight="1" x14ac:dyDescent="0.2"/>
    <row r="5413" ht="15" customHeight="1" x14ac:dyDescent="0.2"/>
    <row r="5414" ht="15" customHeight="1" x14ac:dyDescent="0.2"/>
    <row r="5415" ht="15" customHeight="1" x14ac:dyDescent="0.2"/>
    <row r="5416" ht="15" customHeight="1" x14ac:dyDescent="0.2"/>
    <row r="5417" ht="15" customHeight="1" x14ac:dyDescent="0.2"/>
    <row r="5418" ht="15" customHeight="1" x14ac:dyDescent="0.2"/>
    <row r="5419" ht="15" customHeight="1" x14ac:dyDescent="0.2"/>
    <row r="5420" ht="15" customHeight="1" x14ac:dyDescent="0.2"/>
    <row r="5421" ht="15" customHeight="1" x14ac:dyDescent="0.2"/>
    <row r="5422" ht="15" customHeight="1" x14ac:dyDescent="0.2"/>
    <row r="5423" ht="15" customHeight="1" x14ac:dyDescent="0.2"/>
    <row r="5424" ht="15" customHeight="1" x14ac:dyDescent="0.2"/>
    <row r="5425" ht="15" customHeight="1" x14ac:dyDescent="0.2"/>
    <row r="5426" ht="15" customHeight="1" x14ac:dyDescent="0.2"/>
    <row r="5427" ht="15" customHeight="1" x14ac:dyDescent="0.2"/>
    <row r="5428" ht="15" customHeight="1" x14ac:dyDescent="0.2"/>
    <row r="5429" ht="15" customHeight="1" x14ac:dyDescent="0.2"/>
    <row r="5430" ht="15" customHeight="1" x14ac:dyDescent="0.2"/>
    <row r="5431" ht="15" customHeight="1" x14ac:dyDescent="0.2"/>
    <row r="5432" ht="15" customHeight="1" x14ac:dyDescent="0.2"/>
    <row r="5433" ht="15" customHeight="1" x14ac:dyDescent="0.2"/>
    <row r="5434" ht="15" customHeight="1" x14ac:dyDescent="0.2"/>
    <row r="5435" ht="15" customHeight="1" x14ac:dyDescent="0.2"/>
    <row r="5436" ht="15" customHeight="1" x14ac:dyDescent="0.2"/>
    <row r="5437" ht="15" customHeight="1" x14ac:dyDescent="0.2"/>
    <row r="5438" ht="15" customHeight="1" x14ac:dyDescent="0.2"/>
    <row r="5439" ht="15" customHeight="1" x14ac:dyDescent="0.2"/>
    <row r="5440" ht="15" customHeight="1" x14ac:dyDescent="0.2"/>
    <row r="5441" ht="15" customHeight="1" x14ac:dyDescent="0.2"/>
    <row r="5442" ht="15" customHeight="1" x14ac:dyDescent="0.2"/>
    <row r="5443" ht="15" customHeight="1" x14ac:dyDescent="0.2"/>
    <row r="5444" ht="15" customHeight="1" x14ac:dyDescent="0.2"/>
    <row r="5445" ht="15" customHeight="1" x14ac:dyDescent="0.2"/>
    <row r="5446" ht="15" customHeight="1" x14ac:dyDescent="0.2"/>
    <row r="5447" ht="15" customHeight="1" x14ac:dyDescent="0.2"/>
    <row r="5448" ht="15" customHeight="1" x14ac:dyDescent="0.2"/>
    <row r="5449" ht="15" customHeight="1" x14ac:dyDescent="0.2"/>
    <row r="5450" ht="15" customHeight="1" x14ac:dyDescent="0.2"/>
    <row r="5451" ht="15" customHeight="1" x14ac:dyDescent="0.2"/>
    <row r="5452" ht="15" customHeight="1" x14ac:dyDescent="0.2"/>
    <row r="5453" ht="15" customHeight="1" x14ac:dyDescent="0.2"/>
    <row r="5454" ht="15" customHeight="1" x14ac:dyDescent="0.2"/>
    <row r="5455" ht="15" customHeight="1" x14ac:dyDescent="0.2"/>
    <row r="5456" ht="15" customHeight="1" x14ac:dyDescent="0.2"/>
    <row r="5457" ht="15" customHeight="1" x14ac:dyDescent="0.2"/>
    <row r="5458" ht="15" customHeight="1" x14ac:dyDescent="0.2"/>
    <row r="5459" ht="15" customHeight="1" x14ac:dyDescent="0.2"/>
    <row r="5460" ht="15" customHeight="1" x14ac:dyDescent="0.2"/>
    <row r="5461" ht="15" customHeight="1" x14ac:dyDescent="0.2"/>
    <row r="5462" ht="15" customHeight="1" x14ac:dyDescent="0.2"/>
    <row r="5463" ht="15" customHeight="1" x14ac:dyDescent="0.2"/>
    <row r="5464" ht="15" customHeight="1" x14ac:dyDescent="0.2"/>
    <row r="5465" ht="15" customHeight="1" x14ac:dyDescent="0.2"/>
    <row r="5466" ht="15" customHeight="1" x14ac:dyDescent="0.2"/>
    <row r="5467" ht="15" customHeight="1" x14ac:dyDescent="0.2"/>
    <row r="5468" ht="15" customHeight="1" x14ac:dyDescent="0.2"/>
    <row r="5469" ht="15" customHeight="1" x14ac:dyDescent="0.2"/>
    <row r="5470" ht="15" customHeight="1" x14ac:dyDescent="0.2"/>
    <row r="5471" ht="15" customHeight="1" x14ac:dyDescent="0.2"/>
    <row r="5472" ht="15" customHeight="1" x14ac:dyDescent="0.2"/>
    <row r="5473" ht="15" customHeight="1" x14ac:dyDescent="0.2"/>
    <row r="5474" ht="15" customHeight="1" x14ac:dyDescent="0.2"/>
    <row r="5475" ht="15" customHeight="1" x14ac:dyDescent="0.2"/>
    <row r="5476" ht="15" customHeight="1" x14ac:dyDescent="0.2"/>
    <row r="5477" ht="15" customHeight="1" x14ac:dyDescent="0.2"/>
    <row r="5478" ht="15" customHeight="1" x14ac:dyDescent="0.2"/>
    <row r="5479" ht="15" customHeight="1" x14ac:dyDescent="0.2"/>
    <row r="5480" ht="15" customHeight="1" x14ac:dyDescent="0.2"/>
    <row r="5481" ht="15" customHeight="1" x14ac:dyDescent="0.2"/>
    <row r="5482" ht="15" customHeight="1" x14ac:dyDescent="0.2"/>
    <row r="5483" ht="15" customHeight="1" x14ac:dyDescent="0.2"/>
    <row r="5484" ht="15" customHeight="1" x14ac:dyDescent="0.2"/>
    <row r="5485" ht="15" customHeight="1" x14ac:dyDescent="0.2"/>
    <row r="5486" ht="15" customHeight="1" x14ac:dyDescent="0.2"/>
    <row r="5487" ht="15" customHeight="1" x14ac:dyDescent="0.2"/>
    <row r="5488" ht="15" customHeight="1" x14ac:dyDescent="0.2"/>
    <row r="5489" ht="15" customHeight="1" x14ac:dyDescent="0.2"/>
    <row r="5490" ht="15" customHeight="1" x14ac:dyDescent="0.2"/>
    <row r="5491" ht="15" customHeight="1" x14ac:dyDescent="0.2"/>
    <row r="5492" ht="15" customHeight="1" x14ac:dyDescent="0.2"/>
    <row r="5493" ht="15" customHeight="1" x14ac:dyDescent="0.2"/>
    <row r="5494" ht="15" customHeight="1" x14ac:dyDescent="0.2"/>
    <row r="5495" ht="15" customHeight="1" x14ac:dyDescent="0.2"/>
    <row r="5496" ht="15" customHeight="1" x14ac:dyDescent="0.2"/>
    <row r="5497" ht="15" customHeight="1" x14ac:dyDescent="0.2"/>
    <row r="5498" ht="15" customHeight="1" x14ac:dyDescent="0.2"/>
    <row r="5499" ht="15" customHeight="1" x14ac:dyDescent="0.2"/>
    <row r="5500" ht="15" customHeight="1" x14ac:dyDescent="0.2"/>
    <row r="5501" ht="15" customHeight="1" x14ac:dyDescent="0.2"/>
    <row r="5502" ht="15" customHeight="1" x14ac:dyDescent="0.2"/>
    <row r="5503" ht="15" customHeight="1" x14ac:dyDescent="0.2"/>
    <row r="5504" ht="15" customHeight="1" x14ac:dyDescent="0.2"/>
    <row r="5505" ht="15" customHeight="1" x14ac:dyDescent="0.2"/>
    <row r="5506" ht="15" customHeight="1" x14ac:dyDescent="0.2"/>
    <row r="5507" ht="15" customHeight="1" x14ac:dyDescent="0.2"/>
    <row r="5508" ht="15" customHeight="1" x14ac:dyDescent="0.2"/>
    <row r="5509" ht="15" customHeight="1" x14ac:dyDescent="0.2"/>
    <row r="5510" ht="15" customHeight="1" x14ac:dyDescent="0.2"/>
    <row r="5511" ht="15" customHeight="1" x14ac:dyDescent="0.2"/>
    <row r="5512" ht="15" customHeight="1" x14ac:dyDescent="0.2"/>
    <row r="5513" ht="15" customHeight="1" x14ac:dyDescent="0.2"/>
    <row r="5514" ht="15" customHeight="1" x14ac:dyDescent="0.2"/>
    <row r="5515" ht="15" customHeight="1" x14ac:dyDescent="0.2"/>
    <row r="5516" ht="15" customHeight="1" x14ac:dyDescent="0.2"/>
    <row r="5517" ht="15" customHeight="1" x14ac:dyDescent="0.2"/>
    <row r="5518" ht="15" customHeight="1" x14ac:dyDescent="0.2"/>
    <row r="5519" ht="15" customHeight="1" x14ac:dyDescent="0.2"/>
    <row r="5520" ht="15" customHeight="1" x14ac:dyDescent="0.2"/>
    <row r="5521" ht="15" customHeight="1" x14ac:dyDescent="0.2"/>
    <row r="5522" ht="15" customHeight="1" x14ac:dyDescent="0.2"/>
    <row r="5523" ht="15" customHeight="1" x14ac:dyDescent="0.2"/>
    <row r="5524" ht="15" customHeight="1" x14ac:dyDescent="0.2"/>
    <row r="5525" ht="15" customHeight="1" x14ac:dyDescent="0.2"/>
    <row r="5526" ht="15" customHeight="1" x14ac:dyDescent="0.2"/>
    <row r="5527" ht="15" customHeight="1" x14ac:dyDescent="0.2"/>
    <row r="5528" ht="15" customHeight="1" x14ac:dyDescent="0.2"/>
    <row r="5529" ht="15" customHeight="1" x14ac:dyDescent="0.2"/>
    <row r="5530" ht="15" customHeight="1" x14ac:dyDescent="0.2"/>
    <row r="5531" ht="15" customHeight="1" x14ac:dyDescent="0.2"/>
    <row r="5532" ht="15" customHeight="1" x14ac:dyDescent="0.2"/>
    <row r="5533" ht="15" customHeight="1" x14ac:dyDescent="0.2"/>
    <row r="5534" ht="15" customHeight="1" x14ac:dyDescent="0.2"/>
    <row r="5535" ht="15" customHeight="1" x14ac:dyDescent="0.2"/>
    <row r="5536" ht="15" customHeight="1" x14ac:dyDescent="0.2"/>
    <row r="5537" ht="15" customHeight="1" x14ac:dyDescent="0.2"/>
    <row r="5538" ht="15" customHeight="1" x14ac:dyDescent="0.2"/>
    <row r="5539" ht="15" customHeight="1" x14ac:dyDescent="0.2"/>
    <row r="5540" ht="15" customHeight="1" x14ac:dyDescent="0.2"/>
    <row r="5541" ht="15" customHeight="1" x14ac:dyDescent="0.2"/>
    <row r="5542" ht="15" customHeight="1" x14ac:dyDescent="0.2"/>
    <row r="5543" ht="15" customHeight="1" x14ac:dyDescent="0.2"/>
    <row r="5544" ht="15" customHeight="1" x14ac:dyDescent="0.2"/>
    <row r="5545" ht="15" customHeight="1" x14ac:dyDescent="0.2"/>
    <row r="5546" ht="15" customHeight="1" x14ac:dyDescent="0.2"/>
    <row r="5547" ht="15" customHeight="1" x14ac:dyDescent="0.2"/>
    <row r="5548" ht="15" customHeight="1" x14ac:dyDescent="0.2"/>
    <row r="5549" ht="15" customHeight="1" x14ac:dyDescent="0.2"/>
    <row r="5550" ht="15" customHeight="1" x14ac:dyDescent="0.2"/>
    <row r="5551" ht="15" customHeight="1" x14ac:dyDescent="0.2"/>
    <row r="5552" ht="15" customHeight="1" x14ac:dyDescent="0.2"/>
    <row r="5553" ht="15" customHeight="1" x14ac:dyDescent="0.2"/>
    <row r="5554" ht="15" customHeight="1" x14ac:dyDescent="0.2"/>
    <row r="5555" ht="15" customHeight="1" x14ac:dyDescent="0.2"/>
    <row r="5556" ht="15" customHeight="1" x14ac:dyDescent="0.2"/>
    <row r="5557" ht="15" customHeight="1" x14ac:dyDescent="0.2"/>
    <row r="5558" ht="15" customHeight="1" x14ac:dyDescent="0.2"/>
    <row r="5559" ht="15" customHeight="1" x14ac:dyDescent="0.2"/>
    <row r="5560" ht="15" customHeight="1" x14ac:dyDescent="0.2"/>
    <row r="5561" ht="15" customHeight="1" x14ac:dyDescent="0.2"/>
    <row r="5562" ht="15" customHeight="1" x14ac:dyDescent="0.2"/>
    <row r="5563" ht="15" customHeight="1" x14ac:dyDescent="0.2"/>
    <row r="5564" ht="15" customHeight="1" x14ac:dyDescent="0.2"/>
    <row r="5565" ht="15" customHeight="1" x14ac:dyDescent="0.2"/>
    <row r="5566" ht="15" customHeight="1" x14ac:dyDescent="0.2"/>
    <row r="5567" ht="15" customHeight="1" x14ac:dyDescent="0.2"/>
    <row r="5568" ht="15" customHeight="1" x14ac:dyDescent="0.2"/>
    <row r="5569" ht="15" customHeight="1" x14ac:dyDescent="0.2"/>
    <row r="5570" ht="15" customHeight="1" x14ac:dyDescent="0.2"/>
    <row r="5571" ht="15" customHeight="1" x14ac:dyDescent="0.2"/>
    <row r="5572" ht="15" customHeight="1" x14ac:dyDescent="0.2"/>
    <row r="5573" ht="15" customHeight="1" x14ac:dyDescent="0.2"/>
    <row r="5574" ht="15" customHeight="1" x14ac:dyDescent="0.2"/>
    <row r="5575" ht="15" customHeight="1" x14ac:dyDescent="0.2"/>
    <row r="5576" ht="15" customHeight="1" x14ac:dyDescent="0.2"/>
    <row r="5577" ht="15" customHeight="1" x14ac:dyDescent="0.2"/>
    <row r="5578" ht="15" customHeight="1" x14ac:dyDescent="0.2"/>
    <row r="5579" ht="15" customHeight="1" x14ac:dyDescent="0.2"/>
    <row r="5580" ht="15" customHeight="1" x14ac:dyDescent="0.2"/>
    <row r="5581" ht="15" customHeight="1" x14ac:dyDescent="0.2"/>
    <row r="5582" ht="15" customHeight="1" x14ac:dyDescent="0.2"/>
    <row r="5583" ht="15" customHeight="1" x14ac:dyDescent="0.2"/>
    <row r="5584" ht="15" customHeight="1" x14ac:dyDescent="0.2"/>
    <row r="5585" ht="15" customHeight="1" x14ac:dyDescent="0.2"/>
    <row r="5586" ht="15" customHeight="1" x14ac:dyDescent="0.2"/>
    <row r="5587" ht="15" customHeight="1" x14ac:dyDescent="0.2"/>
    <row r="5588" ht="15" customHeight="1" x14ac:dyDescent="0.2"/>
    <row r="5589" ht="15" customHeight="1" x14ac:dyDescent="0.2"/>
    <row r="5590" ht="15" customHeight="1" x14ac:dyDescent="0.2"/>
    <row r="5591" ht="15" customHeight="1" x14ac:dyDescent="0.2"/>
    <row r="5592" ht="15" customHeight="1" x14ac:dyDescent="0.2"/>
    <row r="5593" ht="15" customHeight="1" x14ac:dyDescent="0.2"/>
    <row r="5594" ht="15" customHeight="1" x14ac:dyDescent="0.2"/>
    <row r="5595" ht="15" customHeight="1" x14ac:dyDescent="0.2"/>
    <row r="5596" ht="15" customHeight="1" x14ac:dyDescent="0.2"/>
    <row r="5597" ht="15" customHeight="1" x14ac:dyDescent="0.2"/>
    <row r="5598" ht="15" customHeight="1" x14ac:dyDescent="0.2"/>
    <row r="5599" ht="15" customHeight="1" x14ac:dyDescent="0.2"/>
    <row r="5600" ht="15" customHeight="1" x14ac:dyDescent="0.2"/>
    <row r="5601" ht="15" customHeight="1" x14ac:dyDescent="0.2"/>
    <row r="5602" ht="15" customHeight="1" x14ac:dyDescent="0.2"/>
    <row r="5603" ht="15" customHeight="1" x14ac:dyDescent="0.2"/>
    <row r="5604" ht="15" customHeight="1" x14ac:dyDescent="0.2"/>
    <row r="5605" ht="15" customHeight="1" x14ac:dyDescent="0.2"/>
    <row r="5606" ht="15" customHeight="1" x14ac:dyDescent="0.2"/>
    <row r="5607" ht="15" customHeight="1" x14ac:dyDescent="0.2"/>
    <row r="5608" ht="15" customHeight="1" x14ac:dyDescent="0.2"/>
    <row r="5609" ht="15" customHeight="1" x14ac:dyDescent="0.2"/>
    <row r="5610" ht="15" customHeight="1" x14ac:dyDescent="0.2"/>
    <row r="5611" ht="15" customHeight="1" x14ac:dyDescent="0.2"/>
    <row r="5612" ht="15" customHeight="1" x14ac:dyDescent="0.2"/>
    <row r="5613" ht="15" customHeight="1" x14ac:dyDescent="0.2"/>
    <row r="5614" ht="15" customHeight="1" x14ac:dyDescent="0.2"/>
    <row r="5615" ht="15" customHeight="1" x14ac:dyDescent="0.2"/>
    <row r="5616" ht="15" customHeight="1" x14ac:dyDescent="0.2"/>
    <row r="5617" ht="15" customHeight="1" x14ac:dyDescent="0.2"/>
    <row r="5618" ht="15" customHeight="1" x14ac:dyDescent="0.2"/>
    <row r="5619" ht="15" customHeight="1" x14ac:dyDescent="0.2"/>
    <row r="5620" ht="15" customHeight="1" x14ac:dyDescent="0.2"/>
    <row r="5621" ht="15" customHeight="1" x14ac:dyDescent="0.2"/>
    <row r="5622" ht="15" customHeight="1" x14ac:dyDescent="0.2"/>
    <row r="5623" ht="15" customHeight="1" x14ac:dyDescent="0.2"/>
    <row r="5624" ht="15" customHeight="1" x14ac:dyDescent="0.2"/>
    <row r="5625" ht="15" customHeight="1" x14ac:dyDescent="0.2"/>
    <row r="5626" ht="15" customHeight="1" x14ac:dyDescent="0.2"/>
    <row r="5627" ht="15" customHeight="1" x14ac:dyDescent="0.2"/>
    <row r="5628" ht="15" customHeight="1" x14ac:dyDescent="0.2"/>
    <row r="5629" ht="15" customHeight="1" x14ac:dyDescent="0.2"/>
    <row r="5630" ht="15" customHeight="1" x14ac:dyDescent="0.2"/>
    <row r="5631" ht="15" customHeight="1" x14ac:dyDescent="0.2"/>
    <row r="5632" ht="15" customHeight="1" x14ac:dyDescent="0.2"/>
    <row r="5633" ht="15" customHeight="1" x14ac:dyDescent="0.2"/>
    <row r="5634" ht="15" customHeight="1" x14ac:dyDescent="0.2"/>
    <row r="5635" ht="15" customHeight="1" x14ac:dyDescent="0.2"/>
    <row r="5636" ht="15" customHeight="1" x14ac:dyDescent="0.2"/>
    <row r="5637" ht="15" customHeight="1" x14ac:dyDescent="0.2"/>
    <row r="5638" ht="15" customHeight="1" x14ac:dyDescent="0.2"/>
    <row r="5639" ht="15" customHeight="1" x14ac:dyDescent="0.2"/>
    <row r="5640" ht="15" customHeight="1" x14ac:dyDescent="0.2"/>
    <row r="5641" ht="15" customHeight="1" x14ac:dyDescent="0.2"/>
    <row r="5642" ht="15" customHeight="1" x14ac:dyDescent="0.2"/>
    <row r="5643" ht="15" customHeight="1" x14ac:dyDescent="0.2"/>
    <row r="5644" ht="15" customHeight="1" x14ac:dyDescent="0.2"/>
    <row r="5645" ht="15" customHeight="1" x14ac:dyDescent="0.2"/>
    <row r="5646" ht="15" customHeight="1" x14ac:dyDescent="0.2"/>
    <row r="5647" ht="15" customHeight="1" x14ac:dyDescent="0.2"/>
    <row r="5648" ht="15" customHeight="1" x14ac:dyDescent="0.2"/>
    <row r="5649" ht="15" customHeight="1" x14ac:dyDescent="0.2"/>
    <row r="5650" ht="15" customHeight="1" x14ac:dyDescent="0.2"/>
    <row r="5651" ht="15" customHeight="1" x14ac:dyDescent="0.2"/>
    <row r="5652" ht="15" customHeight="1" x14ac:dyDescent="0.2"/>
    <row r="5653" ht="15" customHeight="1" x14ac:dyDescent="0.2"/>
    <row r="5654" ht="15" customHeight="1" x14ac:dyDescent="0.2"/>
    <row r="5655" ht="15" customHeight="1" x14ac:dyDescent="0.2"/>
    <row r="5656" ht="15" customHeight="1" x14ac:dyDescent="0.2"/>
    <row r="5657" ht="15" customHeight="1" x14ac:dyDescent="0.2"/>
    <row r="5658" ht="15" customHeight="1" x14ac:dyDescent="0.2"/>
    <row r="5659" ht="15" customHeight="1" x14ac:dyDescent="0.2"/>
    <row r="5660" ht="15" customHeight="1" x14ac:dyDescent="0.2"/>
    <row r="5661" ht="15" customHeight="1" x14ac:dyDescent="0.2"/>
    <row r="5662" ht="15" customHeight="1" x14ac:dyDescent="0.2"/>
    <row r="5663" ht="15" customHeight="1" x14ac:dyDescent="0.2"/>
    <row r="5664" ht="15" customHeight="1" x14ac:dyDescent="0.2"/>
    <row r="5665" ht="15" customHeight="1" x14ac:dyDescent="0.2"/>
    <row r="5666" ht="15" customHeight="1" x14ac:dyDescent="0.2"/>
    <row r="5667" ht="15" customHeight="1" x14ac:dyDescent="0.2"/>
    <row r="5668" ht="15" customHeight="1" x14ac:dyDescent="0.2"/>
    <row r="5669" ht="15" customHeight="1" x14ac:dyDescent="0.2"/>
    <row r="5670" ht="15" customHeight="1" x14ac:dyDescent="0.2"/>
    <row r="5671" ht="15" customHeight="1" x14ac:dyDescent="0.2"/>
    <row r="5672" ht="15" customHeight="1" x14ac:dyDescent="0.2"/>
    <row r="5673" ht="15" customHeight="1" x14ac:dyDescent="0.2"/>
    <row r="5674" ht="15" customHeight="1" x14ac:dyDescent="0.2"/>
    <row r="5675" ht="15" customHeight="1" x14ac:dyDescent="0.2"/>
    <row r="5676" ht="15" customHeight="1" x14ac:dyDescent="0.2"/>
    <row r="5677" ht="15" customHeight="1" x14ac:dyDescent="0.2"/>
    <row r="5678" ht="15" customHeight="1" x14ac:dyDescent="0.2"/>
    <row r="5679" ht="15" customHeight="1" x14ac:dyDescent="0.2"/>
    <row r="5680" ht="15" customHeight="1" x14ac:dyDescent="0.2"/>
    <row r="5681" ht="15" customHeight="1" x14ac:dyDescent="0.2"/>
    <row r="5682" ht="15" customHeight="1" x14ac:dyDescent="0.2"/>
    <row r="5683" ht="15" customHeight="1" x14ac:dyDescent="0.2"/>
    <row r="5684" ht="15" customHeight="1" x14ac:dyDescent="0.2"/>
    <row r="5685" ht="15" customHeight="1" x14ac:dyDescent="0.2"/>
    <row r="5686" ht="15" customHeight="1" x14ac:dyDescent="0.2"/>
    <row r="5687" ht="15" customHeight="1" x14ac:dyDescent="0.2"/>
    <row r="5688" ht="15" customHeight="1" x14ac:dyDescent="0.2"/>
    <row r="5689" ht="15" customHeight="1" x14ac:dyDescent="0.2"/>
    <row r="5690" ht="15" customHeight="1" x14ac:dyDescent="0.2"/>
    <row r="5691" ht="15" customHeight="1" x14ac:dyDescent="0.2"/>
    <row r="5692" ht="15" customHeight="1" x14ac:dyDescent="0.2"/>
    <row r="5693" ht="15" customHeight="1" x14ac:dyDescent="0.2"/>
    <row r="5694" ht="15" customHeight="1" x14ac:dyDescent="0.2"/>
    <row r="5695" ht="15" customHeight="1" x14ac:dyDescent="0.2"/>
    <row r="5696" ht="15" customHeight="1" x14ac:dyDescent="0.2"/>
    <row r="5697" ht="15" customHeight="1" x14ac:dyDescent="0.2"/>
    <row r="5698" ht="15" customHeight="1" x14ac:dyDescent="0.2"/>
    <row r="5699" ht="15" customHeight="1" x14ac:dyDescent="0.2"/>
    <row r="5700" ht="15" customHeight="1" x14ac:dyDescent="0.2"/>
    <row r="5701" ht="15" customHeight="1" x14ac:dyDescent="0.2"/>
    <row r="5702" ht="15" customHeight="1" x14ac:dyDescent="0.2"/>
    <row r="5703" ht="15" customHeight="1" x14ac:dyDescent="0.2"/>
    <row r="5704" ht="15" customHeight="1" x14ac:dyDescent="0.2"/>
    <row r="5705" ht="15" customHeight="1" x14ac:dyDescent="0.2"/>
    <row r="5706" ht="15" customHeight="1" x14ac:dyDescent="0.2"/>
    <row r="5707" ht="15" customHeight="1" x14ac:dyDescent="0.2"/>
    <row r="5708" ht="15" customHeight="1" x14ac:dyDescent="0.2"/>
    <row r="5709" ht="15" customHeight="1" x14ac:dyDescent="0.2"/>
    <row r="5710" ht="15" customHeight="1" x14ac:dyDescent="0.2"/>
    <row r="5711" ht="15" customHeight="1" x14ac:dyDescent="0.2"/>
    <row r="5712" ht="15" customHeight="1" x14ac:dyDescent="0.2"/>
    <row r="5713" ht="15" customHeight="1" x14ac:dyDescent="0.2"/>
    <row r="5714" ht="15" customHeight="1" x14ac:dyDescent="0.2"/>
    <row r="5715" ht="15" customHeight="1" x14ac:dyDescent="0.2"/>
    <row r="5716" ht="15" customHeight="1" x14ac:dyDescent="0.2"/>
    <row r="5717" ht="15" customHeight="1" x14ac:dyDescent="0.2"/>
    <row r="5718" ht="15" customHeight="1" x14ac:dyDescent="0.2"/>
    <row r="5719" ht="15" customHeight="1" x14ac:dyDescent="0.2"/>
    <row r="5720" ht="15" customHeight="1" x14ac:dyDescent="0.2"/>
    <row r="5721" ht="15" customHeight="1" x14ac:dyDescent="0.2"/>
    <row r="5722" ht="15" customHeight="1" x14ac:dyDescent="0.2"/>
    <row r="5723" ht="15" customHeight="1" x14ac:dyDescent="0.2"/>
    <row r="5724" ht="15" customHeight="1" x14ac:dyDescent="0.2"/>
    <row r="5725" ht="15" customHeight="1" x14ac:dyDescent="0.2"/>
    <row r="5726" ht="15" customHeight="1" x14ac:dyDescent="0.2"/>
    <row r="5727" ht="15" customHeight="1" x14ac:dyDescent="0.2"/>
    <row r="5728" ht="15" customHeight="1" x14ac:dyDescent="0.2"/>
    <row r="5729" ht="15" customHeight="1" x14ac:dyDescent="0.2"/>
    <row r="5730" ht="15" customHeight="1" x14ac:dyDescent="0.2"/>
    <row r="5731" ht="15" customHeight="1" x14ac:dyDescent="0.2"/>
    <row r="5732" ht="15" customHeight="1" x14ac:dyDescent="0.2"/>
    <row r="5733" ht="15" customHeight="1" x14ac:dyDescent="0.2"/>
    <row r="5734" ht="15" customHeight="1" x14ac:dyDescent="0.2"/>
    <row r="5735" ht="15" customHeight="1" x14ac:dyDescent="0.2"/>
    <row r="5736" ht="15" customHeight="1" x14ac:dyDescent="0.2"/>
    <row r="5737" ht="15" customHeight="1" x14ac:dyDescent="0.2"/>
    <row r="5738" ht="15" customHeight="1" x14ac:dyDescent="0.2"/>
    <row r="5739" ht="15" customHeight="1" x14ac:dyDescent="0.2"/>
    <row r="5740" ht="15" customHeight="1" x14ac:dyDescent="0.2"/>
    <row r="5741" ht="15" customHeight="1" x14ac:dyDescent="0.2"/>
    <row r="5742" ht="15" customHeight="1" x14ac:dyDescent="0.2"/>
    <row r="5743" ht="15" customHeight="1" x14ac:dyDescent="0.2"/>
    <row r="5744" ht="15" customHeight="1" x14ac:dyDescent="0.2"/>
    <row r="5745" ht="15" customHeight="1" x14ac:dyDescent="0.2"/>
    <row r="5746" ht="15" customHeight="1" x14ac:dyDescent="0.2"/>
    <row r="5747" ht="15" customHeight="1" x14ac:dyDescent="0.2"/>
    <row r="5748" ht="15" customHeight="1" x14ac:dyDescent="0.2"/>
    <row r="5749" ht="15" customHeight="1" x14ac:dyDescent="0.2"/>
    <row r="5750" ht="15" customHeight="1" x14ac:dyDescent="0.2"/>
    <row r="5751" ht="15" customHeight="1" x14ac:dyDescent="0.2"/>
    <row r="5752" ht="15" customHeight="1" x14ac:dyDescent="0.2"/>
    <row r="5753" ht="15" customHeight="1" x14ac:dyDescent="0.2"/>
    <row r="5754" ht="15" customHeight="1" x14ac:dyDescent="0.2"/>
    <row r="5755" ht="15" customHeight="1" x14ac:dyDescent="0.2"/>
    <row r="5756" ht="15" customHeight="1" x14ac:dyDescent="0.2"/>
    <row r="5757" ht="15" customHeight="1" x14ac:dyDescent="0.2"/>
    <row r="5758" ht="15" customHeight="1" x14ac:dyDescent="0.2"/>
    <row r="5759" ht="15" customHeight="1" x14ac:dyDescent="0.2"/>
    <row r="5760" ht="15" customHeight="1" x14ac:dyDescent="0.2"/>
    <row r="5761" ht="15" customHeight="1" x14ac:dyDescent="0.2"/>
    <row r="5762" ht="15" customHeight="1" x14ac:dyDescent="0.2"/>
    <row r="5763" ht="15" customHeight="1" x14ac:dyDescent="0.2"/>
    <row r="5764" ht="15" customHeight="1" x14ac:dyDescent="0.2"/>
    <row r="5765" ht="15" customHeight="1" x14ac:dyDescent="0.2"/>
    <row r="5766" ht="15" customHeight="1" x14ac:dyDescent="0.2"/>
    <row r="5767" ht="15" customHeight="1" x14ac:dyDescent="0.2"/>
    <row r="5768" ht="15" customHeight="1" x14ac:dyDescent="0.2"/>
    <row r="5769" ht="15" customHeight="1" x14ac:dyDescent="0.2"/>
    <row r="5770" ht="15" customHeight="1" x14ac:dyDescent="0.2"/>
    <row r="5771" ht="15" customHeight="1" x14ac:dyDescent="0.2"/>
    <row r="5772" ht="15" customHeight="1" x14ac:dyDescent="0.2"/>
    <row r="5773" ht="15" customHeight="1" x14ac:dyDescent="0.2"/>
    <row r="5774" ht="15" customHeight="1" x14ac:dyDescent="0.2"/>
    <row r="5775" ht="15" customHeight="1" x14ac:dyDescent="0.2"/>
    <row r="5776" ht="15" customHeight="1" x14ac:dyDescent="0.2"/>
    <row r="5777" ht="15" customHeight="1" x14ac:dyDescent="0.2"/>
    <row r="5778" ht="15" customHeight="1" x14ac:dyDescent="0.2"/>
    <row r="5779" ht="15" customHeight="1" x14ac:dyDescent="0.2"/>
    <row r="5780" ht="15" customHeight="1" x14ac:dyDescent="0.2"/>
    <row r="5781" ht="15" customHeight="1" x14ac:dyDescent="0.2"/>
    <row r="5782" ht="15" customHeight="1" x14ac:dyDescent="0.2"/>
    <row r="5783" ht="15" customHeight="1" x14ac:dyDescent="0.2"/>
    <row r="5784" ht="15" customHeight="1" x14ac:dyDescent="0.2"/>
    <row r="5785" ht="15" customHeight="1" x14ac:dyDescent="0.2"/>
    <row r="5786" ht="15" customHeight="1" x14ac:dyDescent="0.2"/>
    <row r="5787" ht="15" customHeight="1" x14ac:dyDescent="0.2"/>
    <row r="5788" ht="15" customHeight="1" x14ac:dyDescent="0.2"/>
    <row r="5789" ht="15" customHeight="1" x14ac:dyDescent="0.2"/>
    <row r="5790" ht="15" customHeight="1" x14ac:dyDescent="0.2"/>
    <row r="5791" ht="15" customHeight="1" x14ac:dyDescent="0.2"/>
    <row r="5792" ht="15" customHeight="1" x14ac:dyDescent="0.2"/>
    <row r="5793" ht="15" customHeight="1" x14ac:dyDescent="0.2"/>
    <row r="5794" ht="15" customHeight="1" x14ac:dyDescent="0.2"/>
    <row r="5795" ht="15" customHeight="1" x14ac:dyDescent="0.2"/>
    <row r="5796" ht="15" customHeight="1" x14ac:dyDescent="0.2"/>
    <row r="5797" ht="15" customHeight="1" x14ac:dyDescent="0.2"/>
    <row r="5798" ht="15" customHeight="1" x14ac:dyDescent="0.2"/>
    <row r="5799" ht="15" customHeight="1" x14ac:dyDescent="0.2"/>
    <row r="5800" ht="15" customHeight="1" x14ac:dyDescent="0.2"/>
    <row r="5801" ht="15" customHeight="1" x14ac:dyDescent="0.2"/>
    <row r="5802" ht="15" customHeight="1" x14ac:dyDescent="0.2"/>
    <row r="5803" ht="15" customHeight="1" x14ac:dyDescent="0.2"/>
    <row r="5804" ht="15" customHeight="1" x14ac:dyDescent="0.2"/>
    <row r="5805" ht="15" customHeight="1" x14ac:dyDescent="0.2"/>
    <row r="5806" ht="15" customHeight="1" x14ac:dyDescent="0.2"/>
    <row r="5807" ht="15" customHeight="1" x14ac:dyDescent="0.2"/>
    <row r="5808" ht="15" customHeight="1" x14ac:dyDescent="0.2"/>
    <row r="5809" ht="15" customHeight="1" x14ac:dyDescent="0.2"/>
    <row r="5810" ht="15" customHeight="1" x14ac:dyDescent="0.2"/>
    <row r="5811" ht="15" customHeight="1" x14ac:dyDescent="0.2"/>
    <row r="5812" ht="15" customHeight="1" x14ac:dyDescent="0.2"/>
    <row r="5813" ht="15" customHeight="1" x14ac:dyDescent="0.2"/>
    <row r="5814" ht="15" customHeight="1" x14ac:dyDescent="0.2"/>
    <row r="5815" ht="15" customHeight="1" x14ac:dyDescent="0.2"/>
    <row r="5816" ht="15" customHeight="1" x14ac:dyDescent="0.2"/>
    <row r="5817" ht="15" customHeight="1" x14ac:dyDescent="0.2"/>
    <row r="5818" ht="15" customHeight="1" x14ac:dyDescent="0.2"/>
    <row r="5819" ht="15" customHeight="1" x14ac:dyDescent="0.2"/>
    <row r="5820" ht="15" customHeight="1" x14ac:dyDescent="0.2"/>
    <row r="5821" ht="15" customHeight="1" x14ac:dyDescent="0.2"/>
    <row r="5822" ht="15" customHeight="1" x14ac:dyDescent="0.2"/>
    <row r="5823" ht="15" customHeight="1" x14ac:dyDescent="0.2"/>
    <row r="5824" ht="15" customHeight="1" x14ac:dyDescent="0.2"/>
    <row r="5825" ht="15" customHeight="1" x14ac:dyDescent="0.2"/>
    <row r="5826" ht="15" customHeight="1" x14ac:dyDescent="0.2"/>
    <row r="5827" ht="15" customHeight="1" x14ac:dyDescent="0.2"/>
    <row r="5828" ht="15" customHeight="1" x14ac:dyDescent="0.2"/>
    <row r="5829" ht="15" customHeight="1" x14ac:dyDescent="0.2"/>
    <row r="5830" ht="15" customHeight="1" x14ac:dyDescent="0.2"/>
    <row r="5831" ht="15" customHeight="1" x14ac:dyDescent="0.2"/>
    <row r="5832" ht="15" customHeight="1" x14ac:dyDescent="0.2"/>
    <row r="5833" ht="15" customHeight="1" x14ac:dyDescent="0.2"/>
    <row r="5834" ht="15" customHeight="1" x14ac:dyDescent="0.2"/>
    <row r="5835" ht="15" customHeight="1" x14ac:dyDescent="0.2"/>
    <row r="5836" ht="15" customHeight="1" x14ac:dyDescent="0.2"/>
    <row r="5837" ht="15" customHeight="1" x14ac:dyDescent="0.2"/>
    <row r="5838" ht="15" customHeight="1" x14ac:dyDescent="0.2"/>
    <row r="5839" ht="15" customHeight="1" x14ac:dyDescent="0.2"/>
    <row r="5840" ht="15" customHeight="1" x14ac:dyDescent="0.2"/>
    <row r="5841" ht="15" customHeight="1" x14ac:dyDescent="0.2"/>
    <row r="5842" ht="15" customHeight="1" x14ac:dyDescent="0.2"/>
    <row r="5843" ht="15" customHeight="1" x14ac:dyDescent="0.2"/>
    <row r="5844" ht="15" customHeight="1" x14ac:dyDescent="0.2"/>
    <row r="5845" ht="15" customHeight="1" x14ac:dyDescent="0.2"/>
    <row r="5846" ht="15" customHeight="1" x14ac:dyDescent="0.2"/>
    <row r="5847" ht="15" customHeight="1" x14ac:dyDescent="0.2"/>
    <row r="5848" ht="15" customHeight="1" x14ac:dyDescent="0.2"/>
    <row r="5849" ht="15" customHeight="1" x14ac:dyDescent="0.2"/>
    <row r="5850" ht="15" customHeight="1" x14ac:dyDescent="0.2"/>
    <row r="5851" ht="15" customHeight="1" x14ac:dyDescent="0.2"/>
    <row r="5852" ht="15" customHeight="1" x14ac:dyDescent="0.2"/>
    <row r="5853" ht="15" customHeight="1" x14ac:dyDescent="0.2"/>
    <row r="5854" ht="15" customHeight="1" x14ac:dyDescent="0.2"/>
    <row r="5855" ht="15" customHeight="1" x14ac:dyDescent="0.2"/>
    <row r="5856" ht="15" customHeight="1" x14ac:dyDescent="0.2"/>
    <row r="5857" ht="15" customHeight="1" x14ac:dyDescent="0.2"/>
    <row r="5858" ht="15" customHeight="1" x14ac:dyDescent="0.2"/>
    <row r="5859" ht="15" customHeight="1" x14ac:dyDescent="0.2"/>
    <row r="5860" ht="15" customHeight="1" x14ac:dyDescent="0.2"/>
    <row r="5861" ht="15" customHeight="1" x14ac:dyDescent="0.2"/>
    <row r="5862" ht="15" customHeight="1" x14ac:dyDescent="0.2"/>
    <row r="5863" ht="15" customHeight="1" x14ac:dyDescent="0.2"/>
    <row r="5864" ht="15" customHeight="1" x14ac:dyDescent="0.2"/>
    <row r="5865" ht="15" customHeight="1" x14ac:dyDescent="0.2"/>
    <row r="5866" ht="15" customHeight="1" x14ac:dyDescent="0.2"/>
    <row r="5867" ht="15" customHeight="1" x14ac:dyDescent="0.2"/>
    <row r="5868" ht="15" customHeight="1" x14ac:dyDescent="0.2"/>
    <row r="5869" ht="15" customHeight="1" x14ac:dyDescent="0.2"/>
    <row r="5870" ht="15" customHeight="1" x14ac:dyDescent="0.2"/>
    <row r="5871" ht="15" customHeight="1" x14ac:dyDescent="0.2"/>
    <row r="5872" ht="15" customHeight="1" x14ac:dyDescent="0.2"/>
    <row r="5873" ht="15" customHeight="1" x14ac:dyDescent="0.2"/>
    <row r="5874" ht="15" customHeight="1" x14ac:dyDescent="0.2"/>
    <row r="5875" ht="15" customHeight="1" x14ac:dyDescent="0.2"/>
    <row r="5876" ht="15" customHeight="1" x14ac:dyDescent="0.2"/>
    <row r="5877" ht="15" customHeight="1" x14ac:dyDescent="0.2"/>
    <row r="5878" ht="15" customHeight="1" x14ac:dyDescent="0.2"/>
    <row r="5879" ht="15" customHeight="1" x14ac:dyDescent="0.2"/>
    <row r="5880" ht="15" customHeight="1" x14ac:dyDescent="0.2"/>
    <row r="5881" ht="15" customHeight="1" x14ac:dyDescent="0.2"/>
    <row r="5882" ht="15" customHeight="1" x14ac:dyDescent="0.2"/>
    <row r="5883" ht="15" customHeight="1" x14ac:dyDescent="0.2"/>
    <row r="5884" ht="15" customHeight="1" x14ac:dyDescent="0.2"/>
    <row r="5885" ht="15" customHeight="1" x14ac:dyDescent="0.2"/>
    <row r="5886" ht="15" customHeight="1" x14ac:dyDescent="0.2"/>
    <row r="5887" ht="15" customHeight="1" x14ac:dyDescent="0.2"/>
    <row r="5888" ht="15" customHeight="1" x14ac:dyDescent="0.2"/>
    <row r="5889" ht="15" customHeight="1" x14ac:dyDescent="0.2"/>
    <row r="5890" ht="15" customHeight="1" x14ac:dyDescent="0.2"/>
    <row r="5891" ht="15" customHeight="1" x14ac:dyDescent="0.2"/>
    <row r="5892" ht="15" customHeight="1" x14ac:dyDescent="0.2"/>
    <row r="5893" ht="15" customHeight="1" x14ac:dyDescent="0.2"/>
    <row r="5894" ht="15" customHeight="1" x14ac:dyDescent="0.2"/>
    <row r="5895" ht="15" customHeight="1" x14ac:dyDescent="0.2"/>
    <row r="5896" ht="15" customHeight="1" x14ac:dyDescent="0.2"/>
    <row r="5897" ht="15" customHeight="1" x14ac:dyDescent="0.2"/>
    <row r="5898" ht="15" customHeight="1" x14ac:dyDescent="0.2"/>
    <row r="5899" ht="15" customHeight="1" x14ac:dyDescent="0.2"/>
    <row r="5900" ht="15" customHeight="1" x14ac:dyDescent="0.2"/>
    <row r="5901" ht="15" customHeight="1" x14ac:dyDescent="0.2"/>
    <row r="5902" ht="15" customHeight="1" x14ac:dyDescent="0.2"/>
    <row r="5903" ht="15" customHeight="1" x14ac:dyDescent="0.2"/>
    <row r="5904" ht="15" customHeight="1" x14ac:dyDescent="0.2"/>
    <row r="5905" ht="15" customHeight="1" x14ac:dyDescent="0.2"/>
    <row r="5906" ht="15" customHeight="1" x14ac:dyDescent="0.2"/>
    <row r="5907" ht="15" customHeight="1" x14ac:dyDescent="0.2"/>
    <row r="5908" ht="15" customHeight="1" x14ac:dyDescent="0.2"/>
    <row r="5909" ht="15" customHeight="1" x14ac:dyDescent="0.2"/>
    <row r="5910" ht="15" customHeight="1" x14ac:dyDescent="0.2"/>
    <row r="5911" ht="15" customHeight="1" x14ac:dyDescent="0.2"/>
    <row r="5912" ht="15" customHeight="1" x14ac:dyDescent="0.2"/>
    <row r="5913" ht="15" customHeight="1" x14ac:dyDescent="0.2"/>
    <row r="5914" ht="15" customHeight="1" x14ac:dyDescent="0.2"/>
    <row r="5915" ht="15" customHeight="1" x14ac:dyDescent="0.2"/>
    <row r="5916" ht="15" customHeight="1" x14ac:dyDescent="0.2"/>
    <row r="5917" ht="15" customHeight="1" x14ac:dyDescent="0.2"/>
    <row r="5918" ht="15" customHeight="1" x14ac:dyDescent="0.2"/>
    <row r="5919" ht="15" customHeight="1" x14ac:dyDescent="0.2"/>
    <row r="5920" ht="15" customHeight="1" x14ac:dyDescent="0.2"/>
    <row r="5921" ht="15" customHeight="1" x14ac:dyDescent="0.2"/>
    <row r="5922" ht="15" customHeight="1" x14ac:dyDescent="0.2"/>
    <row r="5923" ht="15" customHeight="1" x14ac:dyDescent="0.2"/>
    <row r="5924" ht="15" customHeight="1" x14ac:dyDescent="0.2"/>
    <row r="5925" ht="15" customHeight="1" x14ac:dyDescent="0.2"/>
    <row r="5926" ht="15" customHeight="1" x14ac:dyDescent="0.2"/>
    <row r="5927" ht="15" customHeight="1" x14ac:dyDescent="0.2"/>
    <row r="5928" ht="15" customHeight="1" x14ac:dyDescent="0.2"/>
    <row r="5929" ht="15" customHeight="1" x14ac:dyDescent="0.2"/>
    <row r="5930" ht="15" customHeight="1" x14ac:dyDescent="0.2"/>
    <row r="5931" ht="15" customHeight="1" x14ac:dyDescent="0.2"/>
    <row r="5932" ht="15" customHeight="1" x14ac:dyDescent="0.2"/>
    <row r="5933" ht="15" customHeight="1" x14ac:dyDescent="0.2"/>
    <row r="5934" ht="15" customHeight="1" x14ac:dyDescent="0.2"/>
    <row r="5935" ht="15" customHeight="1" x14ac:dyDescent="0.2"/>
    <row r="5936" ht="15" customHeight="1" x14ac:dyDescent="0.2"/>
    <row r="5937" ht="15" customHeight="1" x14ac:dyDescent="0.2"/>
    <row r="5938" ht="15" customHeight="1" x14ac:dyDescent="0.2"/>
    <row r="5939" ht="15" customHeight="1" x14ac:dyDescent="0.2"/>
    <row r="5940" ht="15" customHeight="1" x14ac:dyDescent="0.2"/>
    <row r="5941" ht="15" customHeight="1" x14ac:dyDescent="0.2"/>
    <row r="5942" ht="15" customHeight="1" x14ac:dyDescent="0.2"/>
    <row r="5943" ht="15" customHeight="1" x14ac:dyDescent="0.2"/>
    <row r="5944" ht="15" customHeight="1" x14ac:dyDescent="0.2"/>
    <row r="5945" ht="15" customHeight="1" x14ac:dyDescent="0.2"/>
    <row r="5946" ht="15" customHeight="1" x14ac:dyDescent="0.2"/>
    <row r="5947" ht="15" customHeight="1" x14ac:dyDescent="0.2"/>
    <row r="5948" ht="15" customHeight="1" x14ac:dyDescent="0.2"/>
    <row r="5949" ht="15" customHeight="1" x14ac:dyDescent="0.2"/>
    <row r="5950" ht="15" customHeight="1" x14ac:dyDescent="0.2"/>
    <row r="5951" ht="15" customHeight="1" x14ac:dyDescent="0.2"/>
    <row r="5952" ht="15" customHeight="1" x14ac:dyDescent="0.2"/>
    <row r="5953" ht="15" customHeight="1" x14ac:dyDescent="0.2"/>
    <row r="5954" ht="15" customHeight="1" x14ac:dyDescent="0.2"/>
    <row r="5955" ht="15" customHeight="1" x14ac:dyDescent="0.2"/>
    <row r="5956" ht="15" customHeight="1" x14ac:dyDescent="0.2"/>
    <row r="5957" ht="15" customHeight="1" x14ac:dyDescent="0.2"/>
    <row r="5958" ht="15" customHeight="1" x14ac:dyDescent="0.2"/>
    <row r="5959" ht="15" customHeight="1" x14ac:dyDescent="0.2"/>
    <row r="5960" ht="15" customHeight="1" x14ac:dyDescent="0.2"/>
    <row r="5961" ht="15" customHeight="1" x14ac:dyDescent="0.2"/>
    <row r="5962" ht="15" customHeight="1" x14ac:dyDescent="0.2"/>
    <row r="5963" ht="15" customHeight="1" x14ac:dyDescent="0.2"/>
    <row r="5964" ht="15" customHeight="1" x14ac:dyDescent="0.2"/>
    <row r="5965" ht="15" customHeight="1" x14ac:dyDescent="0.2"/>
    <row r="5966" ht="15" customHeight="1" x14ac:dyDescent="0.2"/>
    <row r="5967" ht="15" customHeight="1" x14ac:dyDescent="0.2"/>
    <row r="5968" ht="15" customHeight="1" x14ac:dyDescent="0.2"/>
    <row r="5969" ht="15" customHeight="1" x14ac:dyDescent="0.2"/>
    <row r="5970" ht="15" customHeight="1" x14ac:dyDescent="0.2"/>
    <row r="5971" ht="15" customHeight="1" x14ac:dyDescent="0.2"/>
    <row r="5972" ht="15" customHeight="1" x14ac:dyDescent="0.2"/>
    <row r="5973" ht="15" customHeight="1" x14ac:dyDescent="0.2"/>
    <row r="5974" ht="15" customHeight="1" x14ac:dyDescent="0.2"/>
    <row r="5975" ht="15" customHeight="1" x14ac:dyDescent="0.2"/>
    <row r="5976" ht="15" customHeight="1" x14ac:dyDescent="0.2"/>
    <row r="5977" ht="15" customHeight="1" x14ac:dyDescent="0.2"/>
    <row r="5978" ht="15" customHeight="1" x14ac:dyDescent="0.2"/>
    <row r="5979" ht="15" customHeight="1" x14ac:dyDescent="0.2"/>
    <row r="5980" ht="15" customHeight="1" x14ac:dyDescent="0.2"/>
    <row r="5981" ht="15" customHeight="1" x14ac:dyDescent="0.2"/>
    <row r="5982" ht="15" customHeight="1" x14ac:dyDescent="0.2"/>
    <row r="5983" ht="15" customHeight="1" x14ac:dyDescent="0.2"/>
    <row r="5984" ht="15" customHeight="1" x14ac:dyDescent="0.2"/>
    <row r="5985" ht="15" customHeight="1" x14ac:dyDescent="0.2"/>
    <row r="5986" ht="15" customHeight="1" x14ac:dyDescent="0.2"/>
    <row r="5987" ht="15" customHeight="1" x14ac:dyDescent="0.2"/>
    <row r="5988" ht="15" customHeight="1" x14ac:dyDescent="0.2"/>
    <row r="5989" ht="15" customHeight="1" x14ac:dyDescent="0.2"/>
    <row r="5990" ht="15" customHeight="1" x14ac:dyDescent="0.2"/>
    <row r="5991" ht="15" customHeight="1" x14ac:dyDescent="0.2"/>
    <row r="5992" ht="15" customHeight="1" x14ac:dyDescent="0.2"/>
    <row r="5993" ht="15" customHeight="1" x14ac:dyDescent="0.2"/>
    <row r="5994" ht="15" customHeight="1" x14ac:dyDescent="0.2"/>
    <row r="5995" ht="15" customHeight="1" x14ac:dyDescent="0.2"/>
    <row r="5996" ht="15" customHeight="1" x14ac:dyDescent="0.2"/>
    <row r="5997" ht="15" customHeight="1" x14ac:dyDescent="0.2"/>
    <row r="5998" ht="15" customHeight="1" x14ac:dyDescent="0.2"/>
    <row r="5999" ht="15" customHeight="1" x14ac:dyDescent="0.2"/>
    <row r="6000" ht="15" customHeight="1" x14ac:dyDescent="0.2"/>
    <row r="6001" ht="15" customHeight="1" x14ac:dyDescent="0.2"/>
    <row r="6002" ht="15" customHeight="1" x14ac:dyDescent="0.2"/>
    <row r="6003" ht="15" customHeight="1" x14ac:dyDescent="0.2"/>
    <row r="6004" ht="15" customHeight="1" x14ac:dyDescent="0.2"/>
    <row r="6005" ht="15" customHeight="1" x14ac:dyDescent="0.2"/>
    <row r="6006" ht="15" customHeight="1" x14ac:dyDescent="0.2"/>
    <row r="6007" ht="15" customHeight="1" x14ac:dyDescent="0.2"/>
    <row r="6008" ht="15" customHeight="1" x14ac:dyDescent="0.2"/>
    <row r="6009" ht="15" customHeight="1" x14ac:dyDescent="0.2"/>
    <row r="6010" ht="15" customHeight="1" x14ac:dyDescent="0.2"/>
    <row r="6011" ht="15" customHeight="1" x14ac:dyDescent="0.2"/>
    <row r="6012" ht="15" customHeight="1" x14ac:dyDescent="0.2"/>
    <row r="6013" ht="15" customHeight="1" x14ac:dyDescent="0.2"/>
    <row r="6014" ht="15" customHeight="1" x14ac:dyDescent="0.2"/>
    <row r="6015" ht="15" customHeight="1" x14ac:dyDescent="0.2"/>
    <row r="6016" ht="15" customHeight="1" x14ac:dyDescent="0.2"/>
    <row r="6017" ht="15" customHeight="1" x14ac:dyDescent="0.2"/>
    <row r="6018" ht="15" customHeight="1" x14ac:dyDescent="0.2"/>
    <row r="6019" ht="15" customHeight="1" x14ac:dyDescent="0.2"/>
    <row r="6020" ht="15" customHeight="1" x14ac:dyDescent="0.2"/>
    <row r="6021" ht="15" customHeight="1" x14ac:dyDescent="0.2"/>
    <row r="6022" ht="15" customHeight="1" x14ac:dyDescent="0.2"/>
    <row r="6023" ht="15" customHeight="1" x14ac:dyDescent="0.2"/>
    <row r="6024" ht="15" customHeight="1" x14ac:dyDescent="0.2"/>
    <row r="6025" ht="15" customHeight="1" x14ac:dyDescent="0.2"/>
    <row r="6026" ht="15" customHeight="1" x14ac:dyDescent="0.2"/>
    <row r="6027" ht="15" customHeight="1" x14ac:dyDescent="0.2"/>
    <row r="6028" ht="15" customHeight="1" x14ac:dyDescent="0.2"/>
    <row r="6029" ht="15" customHeight="1" x14ac:dyDescent="0.2"/>
    <row r="6030" ht="15" customHeight="1" x14ac:dyDescent="0.2"/>
    <row r="6031" ht="15" customHeight="1" x14ac:dyDescent="0.2"/>
    <row r="6032" ht="15" customHeight="1" x14ac:dyDescent="0.2"/>
    <row r="6033" ht="15" customHeight="1" x14ac:dyDescent="0.2"/>
    <row r="6034" ht="15" customHeight="1" x14ac:dyDescent="0.2"/>
    <row r="6035" ht="15" customHeight="1" x14ac:dyDescent="0.2"/>
    <row r="6036" ht="15" customHeight="1" x14ac:dyDescent="0.2"/>
    <row r="6037" ht="15" customHeight="1" x14ac:dyDescent="0.2"/>
    <row r="6038" ht="15" customHeight="1" x14ac:dyDescent="0.2"/>
    <row r="6039" ht="15" customHeight="1" x14ac:dyDescent="0.2"/>
    <row r="6040" ht="15" customHeight="1" x14ac:dyDescent="0.2"/>
    <row r="6041" ht="15" customHeight="1" x14ac:dyDescent="0.2"/>
    <row r="6042" ht="15" customHeight="1" x14ac:dyDescent="0.2"/>
    <row r="6043" ht="15" customHeight="1" x14ac:dyDescent="0.2"/>
    <row r="6044" ht="15" customHeight="1" x14ac:dyDescent="0.2"/>
    <row r="6045" ht="15" customHeight="1" x14ac:dyDescent="0.2"/>
    <row r="6046" ht="15" customHeight="1" x14ac:dyDescent="0.2"/>
    <row r="6047" ht="15" customHeight="1" x14ac:dyDescent="0.2"/>
    <row r="6048" ht="15" customHeight="1" x14ac:dyDescent="0.2"/>
    <row r="6049" ht="15" customHeight="1" x14ac:dyDescent="0.2"/>
    <row r="6050" ht="15" customHeight="1" x14ac:dyDescent="0.2"/>
    <row r="6051" ht="15" customHeight="1" x14ac:dyDescent="0.2"/>
    <row r="6052" ht="15" customHeight="1" x14ac:dyDescent="0.2"/>
    <row r="6053" ht="15" customHeight="1" x14ac:dyDescent="0.2"/>
    <row r="6054" ht="15" customHeight="1" x14ac:dyDescent="0.2"/>
    <row r="6055" ht="15" customHeight="1" x14ac:dyDescent="0.2"/>
    <row r="6056" ht="15" customHeight="1" x14ac:dyDescent="0.2"/>
    <row r="6057" ht="15" customHeight="1" x14ac:dyDescent="0.2"/>
    <row r="6058" ht="15" customHeight="1" x14ac:dyDescent="0.2"/>
    <row r="6059" ht="15" customHeight="1" x14ac:dyDescent="0.2"/>
    <row r="6060" ht="15" customHeight="1" x14ac:dyDescent="0.2"/>
    <row r="6061" ht="15" customHeight="1" x14ac:dyDescent="0.2"/>
    <row r="6062" ht="15" customHeight="1" x14ac:dyDescent="0.2"/>
    <row r="6063" ht="15" customHeight="1" x14ac:dyDescent="0.2"/>
    <row r="6064" ht="15" customHeight="1" x14ac:dyDescent="0.2"/>
    <row r="6065" ht="15" customHeight="1" x14ac:dyDescent="0.2"/>
    <row r="6066" ht="15" customHeight="1" x14ac:dyDescent="0.2"/>
    <row r="6067" ht="15" customHeight="1" x14ac:dyDescent="0.2"/>
    <row r="6068" ht="15" customHeight="1" x14ac:dyDescent="0.2"/>
    <row r="6069" ht="15" customHeight="1" x14ac:dyDescent="0.2"/>
    <row r="6070" ht="15" customHeight="1" x14ac:dyDescent="0.2"/>
    <row r="6071" ht="15" customHeight="1" x14ac:dyDescent="0.2"/>
    <row r="6072" ht="15" customHeight="1" x14ac:dyDescent="0.2"/>
    <row r="6073" ht="15" customHeight="1" x14ac:dyDescent="0.2"/>
    <row r="6074" ht="15" customHeight="1" x14ac:dyDescent="0.2"/>
    <row r="6075" ht="15" customHeight="1" x14ac:dyDescent="0.2"/>
    <row r="6076" ht="15" customHeight="1" x14ac:dyDescent="0.2"/>
    <row r="6077" ht="15" customHeight="1" x14ac:dyDescent="0.2"/>
    <row r="6078" ht="15" customHeight="1" x14ac:dyDescent="0.2"/>
    <row r="6079" ht="15" customHeight="1" x14ac:dyDescent="0.2"/>
    <row r="6080" ht="15" customHeight="1" x14ac:dyDescent="0.2"/>
    <row r="6081" ht="15" customHeight="1" x14ac:dyDescent="0.2"/>
    <row r="6082" ht="15" customHeight="1" x14ac:dyDescent="0.2"/>
    <row r="6083" ht="15" customHeight="1" x14ac:dyDescent="0.2"/>
    <row r="6084" ht="15" customHeight="1" x14ac:dyDescent="0.2"/>
    <row r="6085" ht="15" customHeight="1" x14ac:dyDescent="0.2"/>
    <row r="6086" ht="15" customHeight="1" x14ac:dyDescent="0.2"/>
    <row r="6087" ht="15" customHeight="1" x14ac:dyDescent="0.2"/>
    <row r="6088" ht="15" customHeight="1" x14ac:dyDescent="0.2"/>
    <row r="6089" ht="15" customHeight="1" x14ac:dyDescent="0.2"/>
    <row r="6090" ht="15" customHeight="1" x14ac:dyDescent="0.2"/>
    <row r="6091" ht="15" customHeight="1" x14ac:dyDescent="0.2"/>
    <row r="6092" ht="15" customHeight="1" x14ac:dyDescent="0.2"/>
    <row r="6093" ht="15" customHeight="1" x14ac:dyDescent="0.2"/>
    <row r="6094" ht="15" customHeight="1" x14ac:dyDescent="0.2"/>
    <row r="6095" ht="15" customHeight="1" x14ac:dyDescent="0.2"/>
    <row r="6096" ht="15" customHeight="1" x14ac:dyDescent="0.2"/>
    <row r="6097" ht="15" customHeight="1" x14ac:dyDescent="0.2"/>
    <row r="6098" ht="15" customHeight="1" x14ac:dyDescent="0.2"/>
    <row r="6099" ht="15" customHeight="1" x14ac:dyDescent="0.2"/>
    <row r="6100" ht="15" customHeight="1" x14ac:dyDescent="0.2"/>
    <row r="6101" ht="15" customHeight="1" x14ac:dyDescent="0.2"/>
    <row r="6102" ht="15" customHeight="1" x14ac:dyDescent="0.2"/>
    <row r="6103" ht="15" customHeight="1" x14ac:dyDescent="0.2"/>
    <row r="6104" ht="15" customHeight="1" x14ac:dyDescent="0.2"/>
    <row r="6105" ht="15" customHeight="1" x14ac:dyDescent="0.2"/>
    <row r="6106" ht="15" customHeight="1" x14ac:dyDescent="0.2"/>
    <row r="6107" ht="15" customHeight="1" x14ac:dyDescent="0.2"/>
    <row r="6108" ht="15" customHeight="1" x14ac:dyDescent="0.2"/>
    <row r="6109" ht="15" customHeight="1" x14ac:dyDescent="0.2"/>
    <row r="6110" ht="15" customHeight="1" x14ac:dyDescent="0.2"/>
    <row r="6111" ht="15" customHeight="1" x14ac:dyDescent="0.2"/>
    <row r="6112" ht="15" customHeight="1" x14ac:dyDescent="0.2"/>
    <row r="6113" ht="15" customHeight="1" x14ac:dyDescent="0.2"/>
    <row r="6114" ht="15" customHeight="1" x14ac:dyDescent="0.2"/>
    <row r="6115" ht="15" customHeight="1" x14ac:dyDescent="0.2"/>
    <row r="6116" ht="15" customHeight="1" x14ac:dyDescent="0.2"/>
    <row r="6117" ht="15" customHeight="1" x14ac:dyDescent="0.2"/>
    <row r="6118" ht="15" customHeight="1" x14ac:dyDescent="0.2"/>
    <row r="6119" ht="15" customHeight="1" x14ac:dyDescent="0.2"/>
    <row r="6120" ht="15" customHeight="1" x14ac:dyDescent="0.2"/>
    <row r="6121" ht="15" customHeight="1" x14ac:dyDescent="0.2"/>
    <row r="6122" ht="15" customHeight="1" x14ac:dyDescent="0.2"/>
    <row r="6123" ht="15" customHeight="1" x14ac:dyDescent="0.2"/>
    <row r="6124" ht="15" customHeight="1" x14ac:dyDescent="0.2"/>
    <row r="6125" ht="15" customHeight="1" x14ac:dyDescent="0.2"/>
    <row r="6126" ht="15" customHeight="1" x14ac:dyDescent="0.2"/>
    <row r="6127" ht="15" customHeight="1" x14ac:dyDescent="0.2"/>
    <row r="6128" ht="15" customHeight="1" x14ac:dyDescent="0.2"/>
    <row r="6129" ht="15" customHeight="1" x14ac:dyDescent="0.2"/>
    <row r="6130" ht="15" customHeight="1" x14ac:dyDescent="0.2"/>
    <row r="6131" ht="15" customHeight="1" x14ac:dyDescent="0.2"/>
    <row r="6132" ht="15" customHeight="1" x14ac:dyDescent="0.2"/>
    <row r="6133" ht="15" customHeight="1" x14ac:dyDescent="0.2"/>
    <row r="6134" ht="15" customHeight="1" x14ac:dyDescent="0.2"/>
    <row r="6135" ht="15" customHeight="1" x14ac:dyDescent="0.2"/>
    <row r="6136" ht="15" customHeight="1" x14ac:dyDescent="0.2"/>
    <row r="6137" ht="15" customHeight="1" x14ac:dyDescent="0.2"/>
    <row r="6138" ht="15" customHeight="1" x14ac:dyDescent="0.2"/>
    <row r="6139" ht="15" customHeight="1" x14ac:dyDescent="0.2"/>
    <row r="6140" ht="15" customHeight="1" x14ac:dyDescent="0.2"/>
    <row r="6141" ht="15" customHeight="1" x14ac:dyDescent="0.2"/>
    <row r="6142" ht="15" customHeight="1" x14ac:dyDescent="0.2"/>
    <row r="6143" ht="15" customHeight="1" x14ac:dyDescent="0.2"/>
    <row r="6144" ht="15" customHeight="1" x14ac:dyDescent="0.2"/>
    <row r="6145" ht="15" customHeight="1" x14ac:dyDescent="0.2"/>
    <row r="6146" ht="15" customHeight="1" x14ac:dyDescent="0.2"/>
    <row r="6147" ht="15" customHeight="1" x14ac:dyDescent="0.2"/>
    <row r="6148" ht="15" customHeight="1" x14ac:dyDescent="0.2"/>
    <row r="6149" ht="15" customHeight="1" x14ac:dyDescent="0.2"/>
    <row r="6150" ht="15" customHeight="1" x14ac:dyDescent="0.2"/>
    <row r="6151" ht="15" customHeight="1" x14ac:dyDescent="0.2"/>
    <row r="6152" ht="15" customHeight="1" x14ac:dyDescent="0.2"/>
    <row r="6153" ht="15" customHeight="1" x14ac:dyDescent="0.2"/>
    <row r="6154" ht="15" customHeight="1" x14ac:dyDescent="0.2"/>
    <row r="6155" ht="15" customHeight="1" x14ac:dyDescent="0.2"/>
    <row r="6156" ht="15" customHeight="1" x14ac:dyDescent="0.2"/>
    <row r="6157" ht="15" customHeight="1" x14ac:dyDescent="0.2"/>
    <row r="6158" ht="15" customHeight="1" x14ac:dyDescent="0.2"/>
    <row r="6159" ht="15" customHeight="1" x14ac:dyDescent="0.2"/>
    <row r="6160" ht="15" customHeight="1" x14ac:dyDescent="0.2"/>
    <row r="6161" ht="15" customHeight="1" x14ac:dyDescent="0.2"/>
    <row r="6162" ht="15" customHeight="1" x14ac:dyDescent="0.2"/>
    <row r="6163" ht="15" customHeight="1" x14ac:dyDescent="0.2"/>
    <row r="6164" ht="15" customHeight="1" x14ac:dyDescent="0.2"/>
    <row r="6165" ht="15" customHeight="1" x14ac:dyDescent="0.2"/>
    <row r="6166" ht="15" customHeight="1" x14ac:dyDescent="0.2"/>
    <row r="6167" ht="15" customHeight="1" x14ac:dyDescent="0.2"/>
    <row r="6168" ht="15" customHeight="1" x14ac:dyDescent="0.2"/>
    <row r="6169" ht="15" customHeight="1" x14ac:dyDescent="0.2"/>
    <row r="6170" ht="15" customHeight="1" x14ac:dyDescent="0.2"/>
    <row r="6171" ht="15" customHeight="1" x14ac:dyDescent="0.2"/>
    <row r="6172" ht="15" customHeight="1" x14ac:dyDescent="0.2"/>
    <row r="6173" ht="15" customHeight="1" x14ac:dyDescent="0.2"/>
    <row r="6174" ht="15" customHeight="1" x14ac:dyDescent="0.2"/>
    <row r="6175" ht="15" customHeight="1" x14ac:dyDescent="0.2"/>
    <row r="6176" ht="15" customHeight="1" x14ac:dyDescent="0.2"/>
    <row r="6177" ht="15" customHeight="1" x14ac:dyDescent="0.2"/>
    <row r="6178" ht="15" customHeight="1" x14ac:dyDescent="0.2"/>
    <row r="6179" ht="15" customHeight="1" x14ac:dyDescent="0.2"/>
    <row r="6180" ht="15" customHeight="1" x14ac:dyDescent="0.2"/>
    <row r="6181" ht="15" customHeight="1" x14ac:dyDescent="0.2"/>
    <row r="6182" ht="15" customHeight="1" x14ac:dyDescent="0.2"/>
    <row r="6183" ht="15" customHeight="1" x14ac:dyDescent="0.2"/>
    <row r="6184" ht="15" customHeight="1" x14ac:dyDescent="0.2"/>
    <row r="6185" ht="15" customHeight="1" x14ac:dyDescent="0.2"/>
    <row r="6186" ht="15" customHeight="1" x14ac:dyDescent="0.2"/>
    <row r="6187" ht="15" customHeight="1" x14ac:dyDescent="0.2"/>
    <row r="6188" ht="15" customHeight="1" x14ac:dyDescent="0.2"/>
    <row r="6189" ht="15" customHeight="1" x14ac:dyDescent="0.2"/>
    <row r="6190" ht="15" customHeight="1" x14ac:dyDescent="0.2"/>
    <row r="6191" ht="15" customHeight="1" x14ac:dyDescent="0.2"/>
    <row r="6192" ht="15" customHeight="1" x14ac:dyDescent="0.2"/>
    <row r="6193" ht="15" customHeight="1" x14ac:dyDescent="0.2"/>
    <row r="6194" ht="15" customHeight="1" x14ac:dyDescent="0.2"/>
    <row r="6195" ht="15" customHeight="1" x14ac:dyDescent="0.2"/>
    <row r="6196" ht="15" customHeight="1" x14ac:dyDescent="0.2"/>
    <row r="6197" ht="15" customHeight="1" x14ac:dyDescent="0.2"/>
    <row r="6198" ht="15" customHeight="1" x14ac:dyDescent="0.2"/>
    <row r="6199" ht="15" customHeight="1" x14ac:dyDescent="0.2"/>
    <row r="6200" ht="15" customHeight="1" x14ac:dyDescent="0.2"/>
    <row r="6201" ht="15" customHeight="1" x14ac:dyDescent="0.2"/>
    <row r="6202" ht="15" customHeight="1" x14ac:dyDescent="0.2"/>
    <row r="6203" ht="15" customHeight="1" x14ac:dyDescent="0.2"/>
    <row r="6204" ht="15" customHeight="1" x14ac:dyDescent="0.2"/>
    <row r="6205" ht="15" customHeight="1" x14ac:dyDescent="0.2"/>
    <row r="6206" ht="15" customHeight="1" x14ac:dyDescent="0.2"/>
    <row r="6207" ht="15" customHeight="1" x14ac:dyDescent="0.2"/>
    <row r="6208" ht="15" customHeight="1" x14ac:dyDescent="0.2"/>
    <row r="6209" ht="15" customHeight="1" x14ac:dyDescent="0.2"/>
    <row r="6210" ht="15" customHeight="1" x14ac:dyDescent="0.2"/>
    <row r="6211" ht="15" customHeight="1" x14ac:dyDescent="0.2"/>
    <row r="6212" ht="15" customHeight="1" x14ac:dyDescent="0.2"/>
    <row r="6213" ht="15" customHeight="1" x14ac:dyDescent="0.2"/>
    <row r="6214" ht="15" customHeight="1" x14ac:dyDescent="0.2"/>
    <row r="6215" ht="15" customHeight="1" x14ac:dyDescent="0.2"/>
    <row r="6216" ht="15" customHeight="1" x14ac:dyDescent="0.2"/>
    <row r="6217" ht="15" customHeight="1" x14ac:dyDescent="0.2"/>
    <row r="6218" ht="15" customHeight="1" x14ac:dyDescent="0.2"/>
    <row r="6219" ht="15" customHeight="1" x14ac:dyDescent="0.2"/>
    <row r="6220" ht="15" customHeight="1" x14ac:dyDescent="0.2"/>
    <row r="6221" ht="15" customHeight="1" x14ac:dyDescent="0.2"/>
    <row r="6222" ht="15" customHeight="1" x14ac:dyDescent="0.2"/>
    <row r="6223" ht="15" customHeight="1" x14ac:dyDescent="0.2"/>
    <row r="6224" ht="15" customHeight="1" x14ac:dyDescent="0.2"/>
    <row r="6225" ht="15" customHeight="1" x14ac:dyDescent="0.2"/>
    <row r="6226" ht="15" customHeight="1" x14ac:dyDescent="0.2"/>
    <row r="6227" ht="15" customHeight="1" x14ac:dyDescent="0.2"/>
    <row r="6228" ht="15" customHeight="1" x14ac:dyDescent="0.2"/>
    <row r="6229" ht="15" customHeight="1" x14ac:dyDescent="0.2"/>
    <row r="6230" ht="15" customHeight="1" x14ac:dyDescent="0.2"/>
    <row r="6231" ht="15" customHeight="1" x14ac:dyDescent="0.2"/>
    <row r="6232" ht="15" customHeight="1" x14ac:dyDescent="0.2"/>
    <row r="6233" ht="15" customHeight="1" x14ac:dyDescent="0.2"/>
    <row r="6234" ht="15" customHeight="1" x14ac:dyDescent="0.2"/>
    <row r="6235" ht="15" customHeight="1" x14ac:dyDescent="0.2"/>
    <row r="6236" ht="15" customHeight="1" x14ac:dyDescent="0.2"/>
    <row r="6237" ht="15" customHeight="1" x14ac:dyDescent="0.2"/>
    <row r="6238" ht="15" customHeight="1" x14ac:dyDescent="0.2"/>
    <row r="6239" ht="15" customHeight="1" x14ac:dyDescent="0.2"/>
    <row r="6240" ht="15" customHeight="1" x14ac:dyDescent="0.2"/>
    <row r="6241" ht="15" customHeight="1" x14ac:dyDescent="0.2"/>
    <row r="6242" ht="15" customHeight="1" x14ac:dyDescent="0.2"/>
    <row r="6243" ht="15" customHeight="1" x14ac:dyDescent="0.2"/>
    <row r="6244" ht="15" customHeight="1" x14ac:dyDescent="0.2"/>
    <row r="6245" ht="15" customHeight="1" x14ac:dyDescent="0.2"/>
    <row r="6246" ht="15" customHeight="1" x14ac:dyDescent="0.2"/>
    <row r="6247" ht="15" customHeight="1" x14ac:dyDescent="0.2"/>
    <row r="6248" ht="15" customHeight="1" x14ac:dyDescent="0.2"/>
    <row r="6249" ht="15" customHeight="1" x14ac:dyDescent="0.2"/>
    <row r="6250" ht="15" customHeight="1" x14ac:dyDescent="0.2"/>
    <row r="6251" ht="15" customHeight="1" x14ac:dyDescent="0.2"/>
    <row r="6252" ht="15" customHeight="1" x14ac:dyDescent="0.2"/>
    <row r="6253" ht="15" customHeight="1" x14ac:dyDescent="0.2"/>
    <row r="6254" ht="15" customHeight="1" x14ac:dyDescent="0.2"/>
    <row r="6255" ht="15" customHeight="1" x14ac:dyDescent="0.2"/>
    <row r="6256" ht="15" customHeight="1" x14ac:dyDescent="0.2"/>
    <row r="6257" ht="15" customHeight="1" x14ac:dyDescent="0.2"/>
    <row r="6258" ht="15" customHeight="1" x14ac:dyDescent="0.2"/>
    <row r="6259" ht="15" customHeight="1" x14ac:dyDescent="0.2"/>
    <row r="6260" ht="15" customHeight="1" x14ac:dyDescent="0.2"/>
    <row r="6261" ht="15" customHeight="1" x14ac:dyDescent="0.2"/>
    <row r="6262" ht="15" customHeight="1" x14ac:dyDescent="0.2"/>
    <row r="6263" ht="15" customHeight="1" x14ac:dyDescent="0.2"/>
    <row r="6264" ht="15" customHeight="1" x14ac:dyDescent="0.2"/>
    <row r="6265" ht="15" customHeight="1" x14ac:dyDescent="0.2"/>
    <row r="6266" ht="15" customHeight="1" x14ac:dyDescent="0.2"/>
    <row r="6267" ht="15" customHeight="1" x14ac:dyDescent="0.2"/>
    <row r="6268" ht="15" customHeight="1" x14ac:dyDescent="0.2"/>
    <row r="6269" ht="15" customHeight="1" x14ac:dyDescent="0.2"/>
    <row r="6270" ht="15" customHeight="1" x14ac:dyDescent="0.2"/>
    <row r="6271" ht="15" customHeight="1" x14ac:dyDescent="0.2"/>
    <row r="6272" ht="15" customHeight="1" x14ac:dyDescent="0.2"/>
    <row r="6273" ht="15" customHeight="1" x14ac:dyDescent="0.2"/>
    <row r="6274" ht="15" customHeight="1" x14ac:dyDescent="0.2"/>
    <row r="6275" ht="15" customHeight="1" x14ac:dyDescent="0.2"/>
    <row r="6276" ht="15" customHeight="1" x14ac:dyDescent="0.2"/>
    <row r="6277" ht="15" customHeight="1" x14ac:dyDescent="0.2"/>
    <row r="6278" ht="15" customHeight="1" x14ac:dyDescent="0.2"/>
    <row r="6279" ht="15" customHeight="1" x14ac:dyDescent="0.2"/>
    <row r="6280" ht="15" customHeight="1" x14ac:dyDescent="0.2"/>
    <row r="6281" ht="15" customHeight="1" x14ac:dyDescent="0.2"/>
    <row r="6282" ht="15" customHeight="1" x14ac:dyDescent="0.2"/>
    <row r="6283" ht="15" customHeight="1" x14ac:dyDescent="0.2"/>
    <row r="6284" ht="15" customHeight="1" x14ac:dyDescent="0.2"/>
    <row r="6285" ht="15" customHeight="1" x14ac:dyDescent="0.2"/>
    <row r="6286" ht="15" customHeight="1" x14ac:dyDescent="0.2"/>
    <row r="6287" ht="15" customHeight="1" x14ac:dyDescent="0.2"/>
    <row r="6288" ht="15" customHeight="1" x14ac:dyDescent="0.2"/>
    <row r="6289" ht="15" customHeight="1" x14ac:dyDescent="0.2"/>
    <row r="6290" ht="15" customHeight="1" x14ac:dyDescent="0.2"/>
    <row r="6291" ht="15" customHeight="1" x14ac:dyDescent="0.2"/>
    <row r="6292" ht="15" customHeight="1" x14ac:dyDescent="0.2"/>
    <row r="6293" ht="15" customHeight="1" x14ac:dyDescent="0.2"/>
    <row r="6294" ht="15" customHeight="1" x14ac:dyDescent="0.2"/>
    <row r="6295" ht="15" customHeight="1" x14ac:dyDescent="0.2"/>
    <row r="6296" ht="15" customHeight="1" x14ac:dyDescent="0.2"/>
    <row r="6297" ht="15" customHeight="1" x14ac:dyDescent="0.2"/>
    <row r="6298" ht="15" customHeight="1" x14ac:dyDescent="0.2"/>
    <row r="6299" ht="15" customHeight="1" x14ac:dyDescent="0.2"/>
    <row r="6300" ht="15" customHeight="1" x14ac:dyDescent="0.2"/>
    <row r="6301" ht="15" customHeight="1" x14ac:dyDescent="0.2"/>
    <row r="6302" ht="15" customHeight="1" x14ac:dyDescent="0.2"/>
    <row r="6303" ht="15" customHeight="1" x14ac:dyDescent="0.2"/>
    <row r="6304" ht="15" customHeight="1" x14ac:dyDescent="0.2"/>
    <row r="6305" ht="15" customHeight="1" x14ac:dyDescent="0.2"/>
    <row r="6306" ht="15" customHeight="1" x14ac:dyDescent="0.2"/>
    <row r="6307" ht="15" customHeight="1" x14ac:dyDescent="0.2"/>
    <row r="6308" ht="15" customHeight="1" x14ac:dyDescent="0.2"/>
    <row r="6309" ht="15" customHeight="1" x14ac:dyDescent="0.2"/>
    <row r="6310" ht="15" customHeight="1" x14ac:dyDescent="0.2"/>
    <row r="6311" ht="15" customHeight="1" x14ac:dyDescent="0.2"/>
    <row r="6312" ht="15" customHeight="1" x14ac:dyDescent="0.2"/>
    <row r="6313" ht="15" customHeight="1" x14ac:dyDescent="0.2"/>
    <row r="6314" ht="15" customHeight="1" x14ac:dyDescent="0.2"/>
    <row r="6315" ht="15" customHeight="1" x14ac:dyDescent="0.2"/>
    <row r="6316" ht="15" customHeight="1" x14ac:dyDescent="0.2"/>
    <row r="6317" ht="15" customHeight="1" x14ac:dyDescent="0.2"/>
    <row r="6318" ht="15" customHeight="1" x14ac:dyDescent="0.2"/>
    <row r="6319" ht="15" customHeight="1" x14ac:dyDescent="0.2"/>
    <row r="6320" ht="15" customHeight="1" x14ac:dyDescent="0.2"/>
    <row r="6321" ht="15" customHeight="1" x14ac:dyDescent="0.2"/>
    <row r="6322" ht="15" customHeight="1" x14ac:dyDescent="0.2"/>
    <row r="6323" ht="15" customHeight="1" x14ac:dyDescent="0.2"/>
    <row r="6324" ht="15" customHeight="1" x14ac:dyDescent="0.2"/>
    <row r="6325" ht="15" customHeight="1" x14ac:dyDescent="0.2"/>
    <row r="6326" ht="15" customHeight="1" x14ac:dyDescent="0.2"/>
    <row r="6327" ht="15" customHeight="1" x14ac:dyDescent="0.2"/>
    <row r="6328" ht="15" customHeight="1" x14ac:dyDescent="0.2"/>
    <row r="6329" ht="15" customHeight="1" x14ac:dyDescent="0.2"/>
    <row r="6330" ht="15" customHeight="1" x14ac:dyDescent="0.2"/>
    <row r="6331" ht="15" customHeight="1" x14ac:dyDescent="0.2"/>
    <row r="6332" ht="15" customHeight="1" x14ac:dyDescent="0.2"/>
    <row r="6333" ht="15" customHeight="1" x14ac:dyDescent="0.2"/>
    <row r="6334" ht="15" customHeight="1" x14ac:dyDescent="0.2"/>
    <row r="6335" ht="15" customHeight="1" x14ac:dyDescent="0.2"/>
    <row r="6336" ht="15" customHeight="1" x14ac:dyDescent="0.2"/>
    <row r="6337" ht="15" customHeight="1" x14ac:dyDescent="0.2"/>
    <row r="6338" ht="15" customHeight="1" x14ac:dyDescent="0.2"/>
    <row r="6339" ht="15" customHeight="1" x14ac:dyDescent="0.2"/>
    <row r="6340" ht="15" customHeight="1" x14ac:dyDescent="0.2"/>
    <row r="6341" ht="15" customHeight="1" x14ac:dyDescent="0.2"/>
    <row r="6342" ht="15" customHeight="1" x14ac:dyDescent="0.2"/>
    <row r="6343" ht="15" customHeight="1" x14ac:dyDescent="0.2"/>
    <row r="6344" ht="15" customHeight="1" x14ac:dyDescent="0.2"/>
    <row r="6345" ht="15" customHeight="1" x14ac:dyDescent="0.2"/>
    <row r="6346" ht="15" customHeight="1" x14ac:dyDescent="0.2"/>
    <row r="6347" ht="15" customHeight="1" x14ac:dyDescent="0.2"/>
    <row r="6348" ht="15" customHeight="1" x14ac:dyDescent="0.2"/>
    <row r="6349" ht="15" customHeight="1" x14ac:dyDescent="0.2"/>
    <row r="6350" ht="15" customHeight="1" x14ac:dyDescent="0.2"/>
    <row r="6351" ht="15" customHeight="1" x14ac:dyDescent="0.2"/>
    <row r="6352" ht="15" customHeight="1" x14ac:dyDescent="0.2"/>
    <row r="6353" ht="15" customHeight="1" x14ac:dyDescent="0.2"/>
    <row r="6354" ht="15" customHeight="1" x14ac:dyDescent="0.2"/>
    <row r="6355" ht="15" customHeight="1" x14ac:dyDescent="0.2"/>
    <row r="6356" ht="15" customHeight="1" x14ac:dyDescent="0.2"/>
    <row r="6357" ht="15" customHeight="1" x14ac:dyDescent="0.2"/>
    <row r="6358" ht="15" customHeight="1" x14ac:dyDescent="0.2"/>
    <row r="6359" ht="15" customHeight="1" x14ac:dyDescent="0.2"/>
    <row r="6360" ht="15" customHeight="1" x14ac:dyDescent="0.2"/>
    <row r="6361" ht="15" customHeight="1" x14ac:dyDescent="0.2"/>
    <row r="6362" ht="15" customHeight="1" x14ac:dyDescent="0.2"/>
    <row r="6363" ht="15" customHeight="1" x14ac:dyDescent="0.2"/>
    <row r="6364" ht="15" customHeight="1" x14ac:dyDescent="0.2"/>
    <row r="6365" ht="15" customHeight="1" x14ac:dyDescent="0.2"/>
    <row r="6366" ht="15" customHeight="1" x14ac:dyDescent="0.2"/>
    <row r="6367" ht="15" customHeight="1" x14ac:dyDescent="0.2"/>
    <row r="6368" ht="15" customHeight="1" x14ac:dyDescent="0.2"/>
    <row r="6369" ht="15" customHeight="1" x14ac:dyDescent="0.2"/>
    <row r="6370" ht="15" customHeight="1" x14ac:dyDescent="0.2"/>
    <row r="6371" ht="15" customHeight="1" x14ac:dyDescent="0.2"/>
    <row r="6372" ht="15" customHeight="1" x14ac:dyDescent="0.2"/>
    <row r="6373" ht="15" customHeight="1" x14ac:dyDescent="0.2"/>
    <row r="6374" ht="15" customHeight="1" x14ac:dyDescent="0.2"/>
    <row r="6375" ht="15" customHeight="1" x14ac:dyDescent="0.2"/>
    <row r="6376" ht="15" customHeight="1" x14ac:dyDescent="0.2"/>
    <row r="6377" ht="15" customHeight="1" x14ac:dyDescent="0.2"/>
    <row r="6378" ht="15" customHeight="1" x14ac:dyDescent="0.2"/>
    <row r="6379" ht="15" customHeight="1" x14ac:dyDescent="0.2"/>
    <row r="6380" ht="15" customHeight="1" x14ac:dyDescent="0.2"/>
    <row r="6381" ht="15" customHeight="1" x14ac:dyDescent="0.2"/>
    <row r="6382" ht="15" customHeight="1" x14ac:dyDescent="0.2"/>
    <row r="6383" ht="15" customHeight="1" x14ac:dyDescent="0.2"/>
    <row r="6384" ht="15" customHeight="1" x14ac:dyDescent="0.2"/>
    <row r="6385" ht="15" customHeight="1" x14ac:dyDescent="0.2"/>
    <row r="6386" ht="15" customHeight="1" x14ac:dyDescent="0.2"/>
    <row r="6387" ht="15" customHeight="1" x14ac:dyDescent="0.2"/>
    <row r="6388" ht="15" customHeight="1" x14ac:dyDescent="0.2"/>
    <row r="6389" ht="15" customHeight="1" x14ac:dyDescent="0.2"/>
    <row r="6390" ht="15" customHeight="1" x14ac:dyDescent="0.2"/>
    <row r="6391" ht="15" customHeight="1" x14ac:dyDescent="0.2"/>
    <row r="6392" ht="15" customHeight="1" x14ac:dyDescent="0.2"/>
    <row r="6393" ht="15" customHeight="1" x14ac:dyDescent="0.2"/>
    <row r="6394" ht="15" customHeight="1" x14ac:dyDescent="0.2"/>
    <row r="6395" ht="15" customHeight="1" x14ac:dyDescent="0.2"/>
    <row r="6396" ht="15" customHeight="1" x14ac:dyDescent="0.2"/>
    <row r="6397" ht="15" customHeight="1" x14ac:dyDescent="0.2"/>
    <row r="6398" ht="15" customHeight="1" x14ac:dyDescent="0.2"/>
    <row r="6399" ht="15" customHeight="1" x14ac:dyDescent="0.2"/>
    <row r="6400" ht="15" customHeight="1" x14ac:dyDescent="0.2"/>
    <row r="6401" ht="15" customHeight="1" x14ac:dyDescent="0.2"/>
    <row r="6402" ht="15" customHeight="1" x14ac:dyDescent="0.2"/>
    <row r="6403" ht="15" customHeight="1" x14ac:dyDescent="0.2"/>
    <row r="6404" ht="15" customHeight="1" x14ac:dyDescent="0.2"/>
    <row r="6405" ht="15" customHeight="1" x14ac:dyDescent="0.2"/>
    <row r="6406" ht="15" customHeight="1" x14ac:dyDescent="0.2"/>
    <row r="6407" ht="15" customHeight="1" x14ac:dyDescent="0.2"/>
    <row r="6408" ht="15" customHeight="1" x14ac:dyDescent="0.2"/>
    <row r="6409" ht="15" customHeight="1" x14ac:dyDescent="0.2"/>
    <row r="6410" ht="15" customHeight="1" x14ac:dyDescent="0.2"/>
    <row r="6411" ht="15" customHeight="1" x14ac:dyDescent="0.2"/>
    <row r="6412" ht="15" customHeight="1" x14ac:dyDescent="0.2"/>
    <row r="6413" ht="15" customHeight="1" x14ac:dyDescent="0.2"/>
    <row r="6414" ht="15" customHeight="1" x14ac:dyDescent="0.2"/>
    <row r="6415" ht="15" customHeight="1" x14ac:dyDescent="0.2"/>
    <row r="6416" ht="15" customHeight="1" x14ac:dyDescent="0.2"/>
    <row r="6417" ht="15" customHeight="1" x14ac:dyDescent="0.2"/>
    <row r="6418" ht="15" customHeight="1" x14ac:dyDescent="0.2"/>
    <row r="6419" ht="15" customHeight="1" x14ac:dyDescent="0.2"/>
    <row r="6420" ht="15" customHeight="1" x14ac:dyDescent="0.2"/>
    <row r="6421" ht="15" customHeight="1" x14ac:dyDescent="0.2"/>
    <row r="6422" ht="15" customHeight="1" x14ac:dyDescent="0.2"/>
    <row r="6423" ht="15" customHeight="1" x14ac:dyDescent="0.2"/>
    <row r="6424" ht="15" customHeight="1" x14ac:dyDescent="0.2"/>
    <row r="6425" ht="15" customHeight="1" x14ac:dyDescent="0.2"/>
    <row r="6426" ht="15" customHeight="1" x14ac:dyDescent="0.2"/>
    <row r="6427" ht="15" customHeight="1" x14ac:dyDescent="0.2"/>
    <row r="6428" ht="15" customHeight="1" x14ac:dyDescent="0.2"/>
    <row r="6429" ht="15" customHeight="1" x14ac:dyDescent="0.2"/>
    <row r="6430" ht="15" customHeight="1" x14ac:dyDescent="0.2"/>
    <row r="6431" ht="15" customHeight="1" x14ac:dyDescent="0.2"/>
    <row r="6432" ht="15" customHeight="1" x14ac:dyDescent="0.2"/>
    <row r="6433" ht="15" customHeight="1" x14ac:dyDescent="0.2"/>
    <row r="6434" ht="15" customHeight="1" x14ac:dyDescent="0.2"/>
    <row r="6435" ht="15" customHeight="1" x14ac:dyDescent="0.2"/>
    <row r="6436" ht="15" customHeight="1" x14ac:dyDescent="0.2"/>
    <row r="6437" ht="15" customHeight="1" x14ac:dyDescent="0.2"/>
    <row r="6438" ht="15" customHeight="1" x14ac:dyDescent="0.2"/>
    <row r="6439" ht="15" customHeight="1" x14ac:dyDescent="0.2"/>
    <row r="6440" ht="15" customHeight="1" x14ac:dyDescent="0.2"/>
    <row r="6441" ht="15" customHeight="1" x14ac:dyDescent="0.2"/>
    <row r="6442" ht="15" customHeight="1" x14ac:dyDescent="0.2"/>
    <row r="6443" ht="15" customHeight="1" x14ac:dyDescent="0.2"/>
    <row r="6444" ht="15" customHeight="1" x14ac:dyDescent="0.2"/>
    <row r="6445" ht="15" customHeight="1" x14ac:dyDescent="0.2"/>
    <row r="6446" ht="15" customHeight="1" x14ac:dyDescent="0.2"/>
    <row r="6447" ht="15" customHeight="1" x14ac:dyDescent="0.2"/>
    <row r="6448" ht="15" customHeight="1" x14ac:dyDescent="0.2"/>
    <row r="6449" ht="15" customHeight="1" x14ac:dyDescent="0.2"/>
    <row r="6450" ht="15" customHeight="1" x14ac:dyDescent="0.2"/>
    <row r="6451" ht="15" customHeight="1" x14ac:dyDescent="0.2"/>
    <row r="6452" ht="15" customHeight="1" x14ac:dyDescent="0.2"/>
    <row r="6453" ht="15" customHeight="1" x14ac:dyDescent="0.2"/>
    <row r="6454" ht="15" customHeight="1" x14ac:dyDescent="0.2"/>
    <row r="6455" ht="15" customHeight="1" x14ac:dyDescent="0.2"/>
    <row r="6456" ht="15" customHeight="1" x14ac:dyDescent="0.2"/>
    <row r="6457" ht="15" customHeight="1" x14ac:dyDescent="0.2"/>
    <row r="6458" ht="15" customHeight="1" x14ac:dyDescent="0.2"/>
    <row r="6459" ht="15" customHeight="1" x14ac:dyDescent="0.2"/>
    <row r="6460" ht="15" customHeight="1" x14ac:dyDescent="0.2"/>
    <row r="6461" ht="15" customHeight="1" x14ac:dyDescent="0.2"/>
    <row r="6462" ht="15" customHeight="1" x14ac:dyDescent="0.2"/>
    <row r="6463" ht="15" customHeight="1" x14ac:dyDescent="0.2"/>
    <row r="6464" ht="15" customHeight="1" x14ac:dyDescent="0.2"/>
    <row r="6465" ht="15" customHeight="1" x14ac:dyDescent="0.2"/>
    <row r="6466" ht="15" customHeight="1" x14ac:dyDescent="0.2"/>
    <row r="6467" ht="15" customHeight="1" x14ac:dyDescent="0.2"/>
    <row r="6468" ht="15" customHeight="1" x14ac:dyDescent="0.2"/>
    <row r="6469" ht="15" customHeight="1" x14ac:dyDescent="0.2"/>
    <row r="6470" ht="15" customHeight="1" x14ac:dyDescent="0.2"/>
    <row r="6471" ht="15" customHeight="1" x14ac:dyDescent="0.2"/>
    <row r="6472" ht="15" customHeight="1" x14ac:dyDescent="0.2"/>
    <row r="6473" ht="15" customHeight="1" x14ac:dyDescent="0.2"/>
    <row r="6474" ht="15" customHeight="1" x14ac:dyDescent="0.2"/>
    <row r="6475" ht="15" customHeight="1" x14ac:dyDescent="0.2"/>
    <row r="6476" ht="15" customHeight="1" x14ac:dyDescent="0.2"/>
    <row r="6477" ht="15" customHeight="1" x14ac:dyDescent="0.2"/>
    <row r="6478" ht="15" customHeight="1" x14ac:dyDescent="0.2"/>
    <row r="6479" ht="15" customHeight="1" x14ac:dyDescent="0.2"/>
    <row r="6480" ht="15" customHeight="1" x14ac:dyDescent="0.2"/>
    <row r="6481" ht="15" customHeight="1" x14ac:dyDescent="0.2"/>
    <row r="6482" ht="15" customHeight="1" x14ac:dyDescent="0.2"/>
    <row r="6483" ht="15" customHeight="1" x14ac:dyDescent="0.2"/>
    <row r="6484" ht="15" customHeight="1" x14ac:dyDescent="0.2"/>
    <row r="6485" ht="15" customHeight="1" x14ac:dyDescent="0.2"/>
    <row r="6486" ht="15" customHeight="1" x14ac:dyDescent="0.2"/>
    <row r="6487" ht="15" customHeight="1" x14ac:dyDescent="0.2"/>
    <row r="6488" ht="15" customHeight="1" x14ac:dyDescent="0.2"/>
    <row r="6489" ht="15" customHeight="1" x14ac:dyDescent="0.2"/>
    <row r="6490" ht="15" customHeight="1" x14ac:dyDescent="0.2"/>
    <row r="6491" ht="15" customHeight="1" x14ac:dyDescent="0.2"/>
    <row r="6492" ht="15" customHeight="1" x14ac:dyDescent="0.2"/>
    <row r="6493" ht="15" customHeight="1" x14ac:dyDescent="0.2"/>
    <row r="6494" ht="15" customHeight="1" x14ac:dyDescent="0.2"/>
    <row r="6495" ht="15" customHeight="1" x14ac:dyDescent="0.2"/>
    <row r="6496" ht="15" customHeight="1" x14ac:dyDescent="0.2"/>
    <row r="6497" ht="15" customHeight="1" x14ac:dyDescent="0.2"/>
    <row r="6498" ht="15" customHeight="1" x14ac:dyDescent="0.2"/>
    <row r="6499" ht="15" customHeight="1" x14ac:dyDescent="0.2"/>
    <row r="6500" ht="15" customHeight="1" x14ac:dyDescent="0.2"/>
    <row r="6501" ht="15" customHeight="1" x14ac:dyDescent="0.2"/>
    <row r="6502" ht="15" customHeight="1" x14ac:dyDescent="0.2"/>
    <row r="6503" ht="15" customHeight="1" x14ac:dyDescent="0.2"/>
    <row r="6504" ht="15" customHeight="1" x14ac:dyDescent="0.2"/>
    <row r="6505" ht="15" customHeight="1" x14ac:dyDescent="0.2"/>
    <row r="6506" ht="15" customHeight="1" x14ac:dyDescent="0.2"/>
    <row r="6507" ht="15" customHeight="1" x14ac:dyDescent="0.2"/>
    <row r="6508" ht="15" customHeight="1" x14ac:dyDescent="0.2"/>
    <row r="6509" ht="15" customHeight="1" x14ac:dyDescent="0.2"/>
    <row r="6510" ht="15" customHeight="1" x14ac:dyDescent="0.2"/>
    <row r="6511" ht="15" customHeight="1" x14ac:dyDescent="0.2"/>
    <row r="6512" ht="15" customHeight="1" x14ac:dyDescent="0.2"/>
    <row r="6513" ht="15" customHeight="1" x14ac:dyDescent="0.2"/>
    <row r="6514" ht="15" customHeight="1" x14ac:dyDescent="0.2"/>
    <row r="6515" ht="15" customHeight="1" x14ac:dyDescent="0.2"/>
    <row r="6516" ht="15" customHeight="1" x14ac:dyDescent="0.2"/>
    <row r="6517" ht="15" customHeight="1" x14ac:dyDescent="0.2"/>
    <row r="6518" ht="15" customHeight="1" x14ac:dyDescent="0.2"/>
    <row r="6519" ht="15" customHeight="1" x14ac:dyDescent="0.2"/>
    <row r="6520" ht="15" customHeight="1" x14ac:dyDescent="0.2"/>
    <row r="6521" ht="15" customHeight="1" x14ac:dyDescent="0.2"/>
    <row r="6522" ht="15" customHeight="1" x14ac:dyDescent="0.2"/>
    <row r="6523" ht="15" customHeight="1" x14ac:dyDescent="0.2"/>
    <row r="6524" ht="15" customHeight="1" x14ac:dyDescent="0.2"/>
    <row r="6525" ht="15" customHeight="1" x14ac:dyDescent="0.2"/>
    <row r="6526" ht="15" customHeight="1" x14ac:dyDescent="0.2"/>
    <row r="6527" ht="15" customHeight="1" x14ac:dyDescent="0.2"/>
    <row r="6528" ht="15" customHeight="1" x14ac:dyDescent="0.2"/>
    <row r="6529" ht="15" customHeight="1" x14ac:dyDescent="0.2"/>
    <row r="6530" ht="15" customHeight="1" x14ac:dyDescent="0.2"/>
    <row r="6531" ht="15" customHeight="1" x14ac:dyDescent="0.2"/>
    <row r="6532" ht="15" customHeight="1" x14ac:dyDescent="0.2"/>
    <row r="6533" ht="15" customHeight="1" x14ac:dyDescent="0.2"/>
    <row r="6534" ht="15" customHeight="1" x14ac:dyDescent="0.2"/>
    <row r="6535" ht="15" customHeight="1" x14ac:dyDescent="0.2"/>
    <row r="6536" ht="15" customHeight="1" x14ac:dyDescent="0.2"/>
    <row r="6537" ht="15" customHeight="1" x14ac:dyDescent="0.2"/>
    <row r="6538" ht="15" customHeight="1" x14ac:dyDescent="0.2"/>
    <row r="6539" ht="15" customHeight="1" x14ac:dyDescent="0.2"/>
    <row r="6540" ht="15" customHeight="1" x14ac:dyDescent="0.2"/>
    <row r="6541" ht="15" customHeight="1" x14ac:dyDescent="0.2"/>
    <row r="6542" ht="15" customHeight="1" x14ac:dyDescent="0.2"/>
    <row r="6543" ht="15" customHeight="1" x14ac:dyDescent="0.2"/>
    <row r="6544" ht="15" customHeight="1" x14ac:dyDescent="0.2"/>
    <row r="6545" ht="15" customHeight="1" x14ac:dyDescent="0.2"/>
    <row r="6546" ht="15" customHeight="1" x14ac:dyDescent="0.2"/>
    <row r="6547" ht="15" customHeight="1" x14ac:dyDescent="0.2"/>
    <row r="6548" ht="15" customHeight="1" x14ac:dyDescent="0.2"/>
    <row r="6549" ht="15" customHeight="1" x14ac:dyDescent="0.2"/>
    <row r="6550" ht="15" customHeight="1" x14ac:dyDescent="0.2"/>
    <row r="6551" ht="15" customHeight="1" x14ac:dyDescent="0.2"/>
    <row r="6552" ht="15" customHeight="1" x14ac:dyDescent="0.2"/>
    <row r="6553" ht="15" customHeight="1" x14ac:dyDescent="0.2"/>
    <row r="6554" ht="15" customHeight="1" x14ac:dyDescent="0.2"/>
    <row r="6555" ht="15" customHeight="1" x14ac:dyDescent="0.2"/>
    <row r="6556" ht="15" customHeight="1" x14ac:dyDescent="0.2"/>
    <row r="6557" ht="15" customHeight="1" x14ac:dyDescent="0.2"/>
    <row r="6558" ht="15" customHeight="1" x14ac:dyDescent="0.2"/>
    <row r="6559" ht="15" customHeight="1" x14ac:dyDescent="0.2"/>
    <row r="6560" ht="15" customHeight="1" x14ac:dyDescent="0.2"/>
    <row r="6561" ht="15" customHeight="1" x14ac:dyDescent="0.2"/>
    <row r="6562" ht="15" customHeight="1" x14ac:dyDescent="0.2"/>
    <row r="6563" ht="15" customHeight="1" x14ac:dyDescent="0.2"/>
    <row r="6564" ht="15" customHeight="1" x14ac:dyDescent="0.2"/>
    <row r="6565" ht="15" customHeight="1" x14ac:dyDescent="0.2"/>
    <row r="6566" ht="15" customHeight="1" x14ac:dyDescent="0.2"/>
    <row r="6567" ht="15" customHeight="1" x14ac:dyDescent="0.2"/>
    <row r="6568" ht="15" customHeight="1" x14ac:dyDescent="0.2"/>
    <row r="6569" ht="15" customHeight="1" x14ac:dyDescent="0.2"/>
    <row r="6570" ht="15" customHeight="1" x14ac:dyDescent="0.2"/>
    <row r="6571" ht="15" customHeight="1" x14ac:dyDescent="0.2"/>
    <row r="6572" ht="15" customHeight="1" x14ac:dyDescent="0.2"/>
    <row r="6573" ht="15" customHeight="1" x14ac:dyDescent="0.2"/>
    <row r="6574" ht="15" customHeight="1" x14ac:dyDescent="0.2"/>
    <row r="6575" ht="15" customHeight="1" x14ac:dyDescent="0.2"/>
    <row r="6576" ht="15" customHeight="1" x14ac:dyDescent="0.2"/>
    <row r="6577" ht="15" customHeight="1" x14ac:dyDescent="0.2"/>
    <row r="6578" ht="15" customHeight="1" x14ac:dyDescent="0.2"/>
    <row r="6579" ht="15" customHeight="1" x14ac:dyDescent="0.2"/>
    <row r="6580" ht="15" customHeight="1" x14ac:dyDescent="0.2"/>
    <row r="6581" ht="15" customHeight="1" x14ac:dyDescent="0.2"/>
    <row r="6582" ht="15" customHeight="1" x14ac:dyDescent="0.2"/>
    <row r="6583" ht="15" customHeight="1" x14ac:dyDescent="0.2"/>
    <row r="6584" ht="15" customHeight="1" x14ac:dyDescent="0.2"/>
    <row r="6585" ht="15" customHeight="1" x14ac:dyDescent="0.2"/>
    <row r="6586" ht="15" customHeight="1" x14ac:dyDescent="0.2"/>
    <row r="6587" ht="15" customHeight="1" x14ac:dyDescent="0.2"/>
    <row r="6588" ht="15" customHeight="1" x14ac:dyDescent="0.2"/>
    <row r="6589" ht="15" customHeight="1" x14ac:dyDescent="0.2"/>
    <row r="6590" ht="15" customHeight="1" x14ac:dyDescent="0.2"/>
    <row r="6591" ht="15" customHeight="1" x14ac:dyDescent="0.2"/>
    <row r="6592" ht="15" customHeight="1" x14ac:dyDescent="0.2"/>
    <row r="6593" ht="15" customHeight="1" x14ac:dyDescent="0.2"/>
    <row r="6594" ht="15" customHeight="1" x14ac:dyDescent="0.2"/>
    <row r="6595" ht="15" customHeight="1" x14ac:dyDescent="0.2"/>
    <row r="6596" ht="15" customHeight="1" x14ac:dyDescent="0.2"/>
    <row r="6597" ht="15" customHeight="1" x14ac:dyDescent="0.2"/>
    <row r="6598" ht="15" customHeight="1" x14ac:dyDescent="0.2"/>
    <row r="6599" ht="15" customHeight="1" x14ac:dyDescent="0.2"/>
    <row r="6600" ht="15" customHeight="1" x14ac:dyDescent="0.2"/>
    <row r="6601" ht="15" customHeight="1" x14ac:dyDescent="0.2"/>
    <row r="6602" ht="15" customHeight="1" x14ac:dyDescent="0.2"/>
    <row r="6603" ht="15" customHeight="1" x14ac:dyDescent="0.2"/>
    <row r="6604" ht="15" customHeight="1" x14ac:dyDescent="0.2"/>
    <row r="6605" ht="15" customHeight="1" x14ac:dyDescent="0.2"/>
    <row r="6606" ht="15" customHeight="1" x14ac:dyDescent="0.2"/>
    <row r="6607" ht="15" customHeight="1" x14ac:dyDescent="0.2"/>
    <row r="6608" ht="15" customHeight="1" x14ac:dyDescent="0.2"/>
    <row r="6609" ht="15" customHeight="1" x14ac:dyDescent="0.2"/>
    <row r="6610" ht="15" customHeight="1" x14ac:dyDescent="0.2"/>
    <row r="6611" ht="15" customHeight="1" x14ac:dyDescent="0.2"/>
    <row r="6612" ht="15" customHeight="1" x14ac:dyDescent="0.2"/>
    <row r="6613" ht="15" customHeight="1" x14ac:dyDescent="0.2"/>
    <row r="6614" ht="15" customHeight="1" x14ac:dyDescent="0.2"/>
    <row r="6615" ht="15" customHeight="1" x14ac:dyDescent="0.2"/>
    <row r="6616" ht="15" customHeight="1" x14ac:dyDescent="0.2"/>
    <row r="6617" ht="15" customHeight="1" x14ac:dyDescent="0.2"/>
    <row r="6618" ht="15" customHeight="1" x14ac:dyDescent="0.2"/>
    <row r="6619" ht="15" customHeight="1" x14ac:dyDescent="0.2"/>
    <row r="6620" ht="15" customHeight="1" x14ac:dyDescent="0.2"/>
    <row r="6621" ht="15" customHeight="1" x14ac:dyDescent="0.2"/>
    <row r="6622" ht="15" customHeight="1" x14ac:dyDescent="0.2"/>
    <row r="6623" ht="15" customHeight="1" x14ac:dyDescent="0.2"/>
    <row r="6624" ht="15" customHeight="1" x14ac:dyDescent="0.2"/>
    <row r="6625" ht="15" customHeight="1" x14ac:dyDescent="0.2"/>
    <row r="6626" ht="15" customHeight="1" x14ac:dyDescent="0.2"/>
    <row r="6627" ht="15" customHeight="1" x14ac:dyDescent="0.2"/>
    <row r="6628" ht="15" customHeight="1" x14ac:dyDescent="0.2"/>
    <row r="6629" ht="15" customHeight="1" x14ac:dyDescent="0.2"/>
    <row r="6630" ht="15" customHeight="1" x14ac:dyDescent="0.2"/>
    <row r="6631" ht="15" customHeight="1" x14ac:dyDescent="0.2"/>
    <row r="6632" ht="15" customHeight="1" x14ac:dyDescent="0.2"/>
    <row r="6633" ht="15" customHeight="1" x14ac:dyDescent="0.2"/>
    <row r="6634" ht="15" customHeight="1" x14ac:dyDescent="0.2"/>
    <row r="6635" ht="15" customHeight="1" x14ac:dyDescent="0.2"/>
    <row r="6636" ht="15" customHeight="1" x14ac:dyDescent="0.2"/>
    <row r="6637" ht="15" customHeight="1" x14ac:dyDescent="0.2"/>
    <row r="6638" ht="15" customHeight="1" x14ac:dyDescent="0.2"/>
    <row r="6639" ht="15" customHeight="1" x14ac:dyDescent="0.2"/>
    <row r="6640" ht="15" customHeight="1" x14ac:dyDescent="0.2"/>
    <row r="6641" ht="15" customHeight="1" x14ac:dyDescent="0.2"/>
    <row r="6642" ht="15" customHeight="1" x14ac:dyDescent="0.2"/>
    <row r="6643" ht="15" customHeight="1" x14ac:dyDescent="0.2"/>
    <row r="6644" ht="15" customHeight="1" x14ac:dyDescent="0.2"/>
    <row r="6645" ht="15" customHeight="1" x14ac:dyDescent="0.2"/>
    <row r="6646" ht="15" customHeight="1" x14ac:dyDescent="0.2"/>
    <row r="6647" ht="15" customHeight="1" x14ac:dyDescent="0.2"/>
    <row r="6648" ht="15" customHeight="1" x14ac:dyDescent="0.2"/>
    <row r="6649" ht="15" customHeight="1" x14ac:dyDescent="0.2"/>
    <row r="6650" ht="15" customHeight="1" x14ac:dyDescent="0.2"/>
    <row r="6651" ht="15" customHeight="1" x14ac:dyDescent="0.2"/>
    <row r="6652" ht="15" customHeight="1" x14ac:dyDescent="0.2"/>
    <row r="6653" ht="15" customHeight="1" x14ac:dyDescent="0.2"/>
    <row r="6654" ht="15" customHeight="1" x14ac:dyDescent="0.2"/>
    <row r="6655" ht="15" customHeight="1" x14ac:dyDescent="0.2"/>
    <row r="6656" ht="15" customHeight="1" x14ac:dyDescent="0.2"/>
    <row r="6657" ht="15" customHeight="1" x14ac:dyDescent="0.2"/>
    <row r="6658" ht="15" customHeight="1" x14ac:dyDescent="0.2"/>
    <row r="6659" ht="15" customHeight="1" x14ac:dyDescent="0.2"/>
    <row r="6660" ht="15" customHeight="1" x14ac:dyDescent="0.2"/>
    <row r="6661" ht="15" customHeight="1" x14ac:dyDescent="0.2"/>
    <row r="6662" ht="15" customHeight="1" x14ac:dyDescent="0.2"/>
    <row r="6663" ht="15" customHeight="1" x14ac:dyDescent="0.2"/>
    <row r="6664" ht="15" customHeight="1" x14ac:dyDescent="0.2"/>
    <row r="6665" ht="15" customHeight="1" x14ac:dyDescent="0.2"/>
    <row r="6666" ht="15" customHeight="1" x14ac:dyDescent="0.2"/>
    <row r="6667" ht="15" customHeight="1" x14ac:dyDescent="0.2"/>
    <row r="6668" ht="15" customHeight="1" x14ac:dyDescent="0.2"/>
    <row r="6669" ht="15" customHeight="1" x14ac:dyDescent="0.2"/>
    <row r="6670" ht="15" customHeight="1" x14ac:dyDescent="0.2"/>
    <row r="6671" ht="15" customHeight="1" x14ac:dyDescent="0.2"/>
    <row r="6672" ht="15" customHeight="1" x14ac:dyDescent="0.2"/>
    <row r="6673" ht="15" customHeight="1" x14ac:dyDescent="0.2"/>
    <row r="6674" ht="15" customHeight="1" x14ac:dyDescent="0.2"/>
    <row r="6675" ht="15" customHeight="1" x14ac:dyDescent="0.2"/>
    <row r="6676" ht="15" customHeight="1" x14ac:dyDescent="0.2"/>
    <row r="6677" ht="15" customHeight="1" x14ac:dyDescent="0.2"/>
    <row r="6678" ht="15" customHeight="1" x14ac:dyDescent="0.2"/>
    <row r="6679" ht="15" customHeight="1" x14ac:dyDescent="0.2"/>
    <row r="6680" ht="15" customHeight="1" x14ac:dyDescent="0.2"/>
    <row r="6681" ht="15" customHeight="1" x14ac:dyDescent="0.2"/>
    <row r="6682" ht="15" customHeight="1" x14ac:dyDescent="0.2"/>
    <row r="6683" ht="15" customHeight="1" x14ac:dyDescent="0.2"/>
    <row r="6684" ht="15" customHeight="1" x14ac:dyDescent="0.2"/>
    <row r="6685" ht="15" customHeight="1" x14ac:dyDescent="0.2"/>
    <row r="6686" ht="15" customHeight="1" x14ac:dyDescent="0.2"/>
    <row r="6687" ht="15" customHeight="1" x14ac:dyDescent="0.2"/>
    <row r="6688" ht="15" customHeight="1" x14ac:dyDescent="0.2"/>
    <row r="6689" ht="15" customHeight="1" x14ac:dyDescent="0.2"/>
    <row r="6690" ht="15" customHeight="1" x14ac:dyDescent="0.2"/>
    <row r="6691" ht="15" customHeight="1" x14ac:dyDescent="0.2"/>
    <row r="6692" ht="15" customHeight="1" x14ac:dyDescent="0.2"/>
    <row r="6693" ht="15" customHeight="1" x14ac:dyDescent="0.2"/>
    <row r="6694" ht="15" customHeight="1" x14ac:dyDescent="0.2"/>
    <row r="6695" ht="15" customHeight="1" x14ac:dyDescent="0.2"/>
    <row r="6696" ht="15" customHeight="1" x14ac:dyDescent="0.2"/>
    <row r="6697" ht="15" customHeight="1" x14ac:dyDescent="0.2"/>
    <row r="6698" ht="15" customHeight="1" x14ac:dyDescent="0.2"/>
    <row r="6699" ht="15" customHeight="1" x14ac:dyDescent="0.2"/>
    <row r="6700" ht="15" customHeight="1" x14ac:dyDescent="0.2"/>
    <row r="6701" ht="15" customHeight="1" x14ac:dyDescent="0.2"/>
    <row r="6702" ht="15" customHeight="1" x14ac:dyDescent="0.2"/>
    <row r="6703" ht="15" customHeight="1" x14ac:dyDescent="0.2"/>
    <row r="6704" ht="15" customHeight="1" x14ac:dyDescent="0.2"/>
    <row r="6705" ht="15" customHeight="1" x14ac:dyDescent="0.2"/>
    <row r="6706" ht="15" customHeight="1" x14ac:dyDescent="0.2"/>
    <row r="6707" ht="15" customHeight="1" x14ac:dyDescent="0.2"/>
    <row r="6708" ht="15" customHeight="1" x14ac:dyDescent="0.2"/>
    <row r="6709" ht="15" customHeight="1" x14ac:dyDescent="0.2"/>
    <row r="6710" ht="15" customHeight="1" x14ac:dyDescent="0.2"/>
    <row r="6711" ht="15" customHeight="1" x14ac:dyDescent="0.2"/>
    <row r="6712" ht="15" customHeight="1" x14ac:dyDescent="0.2"/>
    <row r="6713" ht="15" customHeight="1" x14ac:dyDescent="0.2"/>
    <row r="6714" ht="15" customHeight="1" x14ac:dyDescent="0.2"/>
    <row r="6715" ht="15" customHeight="1" x14ac:dyDescent="0.2"/>
    <row r="6716" ht="15" customHeight="1" x14ac:dyDescent="0.2"/>
    <row r="6717" ht="15" customHeight="1" x14ac:dyDescent="0.2"/>
    <row r="6718" ht="15" customHeight="1" x14ac:dyDescent="0.2"/>
    <row r="6719" ht="15" customHeight="1" x14ac:dyDescent="0.2"/>
    <row r="6720" ht="15" customHeight="1" x14ac:dyDescent="0.2"/>
    <row r="6721" ht="15" customHeight="1" x14ac:dyDescent="0.2"/>
    <row r="6722" ht="15" customHeight="1" x14ac:dyDescent="0.2"/>
    <row r="6723" ht="15" customHeight="1" x14ac:dyDescent="0.2"/>
    <row r="6724" ht="15" customHeight="1" x14ac:dyDescent="0.2"/>
    <row r="6725" ht="15" customHeight="1" x14ac:dyDescent="0.2"/>
    <row r="6726" ht="15" customHeight="1" x14ac:dyDescent="0.2"/>
    <row r="6727" ht="15" customHeight="1" x14ac:dyDescent="0.2"/>
    <row r="6728" ht="15" customHeight="1" x14ac:dyDescent="0.2"/>
    <row r="6729" ht="15" customHeight="1" x14ac:dyDescent="0.2"/>
    <row r="6730" ht="15" customHeight="1" x14ac:dyDescent="0.2"/>
    <row r="6731" ht="15" customHeight="1" x14ac:dyDescent="0.2"/>
    <row r="6732" ht="15" customHeight="1" x14ac:dyDescent="0.2"/>
    <row r="6733" ht="15" customHeight="1" x14ac:dyDescent="0.2"/>
    <row r="6734" ht="15" customHeight="1" x14ac:dyDescent="0.2"/>
    <row r="6735" ht="15" customHeight="1" x14ac:dyDescent="0.2"/>
    <row r="6736" ht="15" customHeight="1" x14ac:dyDescent="0.2"/>
    <row r="6737" ht="15" customHeight="1" x14ac:dyDescent="0.2"/>
    <row r="6738" ht="15" customHeight="1" x14ac:dyDescent="0.2"/>
    <row r="6739" ht="15" customHeight="1" x14ac:dyDescent="0.2"/>
    <row r="6740" ht="15" customHeight="1" x14ac:dyDescent="0.2"/>
    <row r="6741" ht="15" customHeight="1" x14ac:dyDescent="0.2"/>
    <row r="6742" ht="15" customHeight="1" x14ac:dyDescent="0.2"/>
    <row r="6743" ht="15" customHeight="1" x14ac:dyDescent="0.2"/>
    <row r="6744" ht="15" customHeight="1" x14ac:dyDescent="0.2"/>
    <row r="6745" ht="15" customHeight="1" x14ac:dyDescent="0.2"/>
    <row r="6746" ht="15" customHeight="1" x14ac:dyDescent="0.2"/>
    <row r="6747" ht="15" customHeight="1" x14ac:dyDescent="0.2"/>
    <row r="6748" ht="15" customHeight="1" x14ac:dyDescent="0.2"/>
    <row r="6749" ht="15" customHeight="1" x14ac:dyDescent="0.2"/>
    <row r="6750" ht="15" customHeight="1" x14ac:dyDescent="0.2"/>
    <row r="6751" ht="15" customHeight="1" x14ac:dyDescent="0.2"/>
    <row r="6752" ht="15" customHeight="1" x14ac:dyDescent="0.2"/>
    <row r="6753" ht="15" customHeight="1" x14ac:dyDescent="0.2"/>
    <row r="6754" ht="15" customHeight="1" x14ac:dyDescent="0.2"/>
    <row r="6755" ht="15" customHeight="1" x14ac:dyDescent="0.2"/>
    <row r="6756" ht="15" customHeight="1" x14ac:dyDescent="0.2"/>
    <row r="6757" ht="15" customHeight="1" x14ac:dyDescent="0.2"/>
    <row r="6758" ht="15" customHeight="1" x14ac:dyDescent="0.2"/>
    <row r="6759" ht="15" customHeight="1" x14ac:dyDescent="0.2"/>
    <row r="6760" ht="15" customHeight="1" x14ac:dyDescent="0.2"/>
    <row r="6761" ht="15" customHeight="1" x14ac:dyDescent="0.2"/>
    <row r="6762" ht="15" customHeight="1" x14ac:dyDescent="0.2"/>
    <row r="6763" ht="15" customHeight="1" x14ac:dyDescent="0.2"/>
    <row r="6764" ht="15" customHeight="1" x14ac:dyDescent="0.2"/>
    <row r="6765" ht="15" customHeight="1" x14ac:dyDescent="0.2"/>
    <row r="6766" ht="15" customHeight="1" x14ac:dyDescent="0.2"/>
    <row r="6767" ht="15" customHeight="1" x14ac:dyDescent="0.2"/>
    <row r="6768" ht="15" customHeight="1" x14ac:dyDescent="0.2"/>
    <row r="6769" ht="15" customHeight="1" x14ac:dyDescent="0.2"/>
    <row r="6770" ht="15" customHeight="1" x14ac:dyDescent="0.2"/>
    <row r="6771" ht="15" customHeight="1" x14ac:dyDescent="0.2"/>
    <row r="6772" ht="15" customHeight="1" x14ac:dyDescent="0.2"/>
    <row r="6773" ht="15" customHeight="1" x14ac:dyDescent="0.2"/>
    <row r="6774" ht="15" customHeight="1" x14ac:dyDescent="0.2"/>
    <row r="6775" ht="15" customHeight="1" x14ac:dyDescent="0.2"/>
    <row r="6776" ht="15" customHeight="1" x14ac:dyDescent="0.2"/>
    <row r="6777" ht="15" customHeight="1" x14ac:dyDescent="0.2"/>
    <row r="6778" ht="15" customHeight="1" x14ac:dyDescent="0.2"/>
    <row r="6779" ht="15" customHeight="1" x14ac:dyDescent="0.2"/>
    <row r="6780" ht="15" customHeight="1" x14ac:dyDescent="0.2"/>
    <row r="6781" ht="15" customHeight="1" x14ac:dyDescent="0.2"/>
    <row r="6782" ht="15" customHeight="1" x14ac:dyDescent="0.2"/>
    <row r="6783" ht="15" customHeight="1" x14ac:dyDescent="0.2"/>
    <row r="6784" ht="15" customHeight="1" x14ac:dyDescent="0.2"/>
    <row r="6785" ht="15" customHeight="1" x14ac:dyDescent="0.2"/>
    <row r="6786" ht="15" customHeight="1" x14ac:dyDescent="0.2"/>
    <row r="6787" ht="15" customHeight="1" x14ac:dyDescent="0.2"/>
    <row r="6788" ht="15" customHeight="1" x14ac:dyDescent="0.2"/>
    <row r="6789" ht="15" customHeight="1" x14ac:dyDescent="0.2"/>
    <row r="6790" ht="15" customHeight="1" x14ac:dyDescent="0.2"/>
    <row r="6791" ht="15" customHeight="1" x14ac:dyDescent="0.2"/>
    <row r="6792" ht="15" customHeight="1" x14ac:dyDescent="0.2"/>
    <row r="6793" ht="15" customHeight="1" x14ac:dyDescent="0.2"/>
    <row r="6794" ht="15" customHeight="1" x14ac:dyDescent="0.2"/>
    <row r="6795" ht="15" customHeight="1" x14ac:dyDescent="0.2"/>
    <row r="6796" ht="15" customHeight="1" x14ac:dyDescent="0.2"/>
    <row r="6797" ht="15" customHeight="1" x14ac:dyDescent="0.2"/>
    <row r="6798" ht="15" customHeight="1" x14ac:dyDescent="0.2"/>
    <row r="6799" ht="15" customHeight="1" x14ac:dyDescent="0.2"/>
    <row r="6800" ht="15" customHeight="1" x14ac:dyDescent="0.2"/>
    <row r="6801" ht="15" customHeight="1" x14ac:dyDescent="0.2"/>
    <row r="6802" ht="15" customHeight="1" x14ac:dyDescent="0.2"/>
    <row r="6803" ht="15" customHeight="1" x14ac:dyDescent="0.2"/>
    <row r="6804" ht="15" customHeight="1" x14ac:dyDescent="0.2"/>
    <row r="6805" ht="15" customHeight="1" x14ac:dyDescent="0.2"/>
    <row r="6806" ht="15" customHeight="1" x14ac:dyDescent="0.2"/>
    <row r="6807" ht="15" customHeight="1" x14ac:dyDescent="0.2"/>
    <row r="6808" ht="15" customHeight="1" x14ac:dyDescent="0.2"/>
    <row r="6809" ht="15" customHeight="1" x14ac:dyDescent="0.2"/>
    <row r="6810" ht="15" customHeight="1" x14ac:dyDescent="0.2"/>
    <row r="6811" ht="15" customHeight="1" x14ac:dyDescent="0.2"/>
    <row r="6812" ht="15" customHeight="1" x14ac:dyDescent="0.2"/>
    <row r="6813" ht="15" customHeight="1" x14ac:dyDescent="0.2"/>
    <row r="6814" ht="15" customHeight="1" x14ac:dyDescent="0.2"/>
    <row r="6815" ht="15" customHeight="1" x14ac:dyDescent="0.2"/>
    <row r="6816" ht="15" customHeight="1" x14ac:dyDescent="0.2"/>
    <row r="6817" ht="15" customHeight="1" x14ac:dyDescent="0.2"/>
    <row r="6818" ht="15" customHeight="1" x14ac:dyDescent="0.2"/>
    <row r="6819" ht="15" customHeight="1" x14ac:dyDescent="0.2"/>
    <row r="6820" ht="15" customHeight="1" x14ac:dyDescent="0.2"/>
    <row r="6821" ht="15" customHeight="1" x14ac:dyDescent="0.2"/>
    <row r="6822" ht="15" customHeight="1" x14ac:dyDescent="0.2"/>
    <row r="6823" ht="15" customHeight="1" x14ac:dyDescent="0.2"/>
    <row r="6824" ht="15" customHeight="1" x14ac:dyDescent="0.2"/>
    <row r="6825" ht="15" customHeight="1" x14ac:dyDescent="0.2"/>
    <row r="6826" ht="15" customHeight="1" x14ac:dyDescent="0.2"/>
    <row r="6827" ht="15" customHeight="1" x14ac:dyDescent="0.2"/>
    <row r="6828" ht="15" customHeight="1" x14ac:dyDescent="0.2"/>
    <row r="6829" ht="15" customHeight="1" x14ac:dyDescent="0.2"/>
    <row r="6830" ht="15" customHeight="1" x14ac:dyDescent="0.2"/>
    <row r="6831" ht="15" customHeight="1" x14ac:dyDescent="0.2"/>
    <row r="6832" ht="15" customHeight="1" x14ac:dyDescent="0.2"/>
    <row r="6833" ht="15" customHeight="1" x14ac:dyDescent="0.2"/>
    <row r="6834" ht="15" customHeight="1" x14ac:dyDescent="0.2"/>
    <row r="6835" ht="15" customHeight="1" x14ac:dyDescent="0.2"/>
    <row r="6836" ht="15" customHeight="1" x14ac:dyDescent="0.2"/>
    <row r="6837" ht="15" customHeight="1" x14ac:dyDescent="0.2"/>
    <row r="6838" ht="15" customHeight="1" x14ac:dyDescent="0.2"/>
    <row r="6839" ht="15" customHeight="1" x14ac:dyDescent="0.2"/>
    <row r="6840" ht="15" customHeight="1" x14ac:dyDescent="0.2"/>
    <row r="6841" ht="15" customHeight="1" x14ac:dyDescent="0.2"/>
    <row r="6842" ht="15" customHeight="1" x14ac:dyDescent="0.2"/>
    <row r="6843" ht="15" customHeight="1" x14ac:dyDescent="0.2"/>
    <row r="6844" ht="15" customHeight="1" x14ac:dyDescent="0.2"/>
    <row r="6845" ht="15" customHeight="1" x14ac:dyDescent="0.2"/>
    <row r="6846" ht="15" customHeight="1" x14ac:dyDescent="0.2"/>
    <row r="6847" ht="15" customHeight="1" x14ac:dyDescent="0.2"/>
    <row r="6848" ht="15" customHeight="1" x14ac:dyDescent="0.2"/>
    <row r="6849" ht="15" customHeight="1" x14ac:dyDescent="0.2"/>
    <row r="6850" ht="15" customHeight="1" x14ac:dyDescent="0.2"/>
    <row r="6851" ht="15" customHeight="1" x14ac:dyDescent="0.2"/>
    <row r="6852" ht="15" customHeight="1" x14ac:dyDescent="0.2"/>
    <row r="6853" ht="15" customHeight="1" x14ac:dyDescent="0.2"/>
    <row r="6854" ht="15" customHeight="1" x14ac:dyDescent="0.2"/>
    <row r="6855" ht="15" customHeight="1" x14ac:dyDescent="0.2"/>
    <row r="6856" ht="15" customHeight="1" x14ac:dyDescent="0.2"/>
    <row r="6857" ht="15" customHeight="1" x14ac:dyDescent="0.2"/>
    <row r="6858" ht="15" customHeight="1" x14ac:dyDescent="0.2"/>
    <row r="6859" ht="15" customHeight="1" x14ac:dyDescent="0.2"/>
    <row r="6860" ht="15" customHeight="1" x14ac:dyDescent="0.2"/>
    <row r="6861" ht="15" customHeight="1" x14ac:dyDescent="0.2"/>
    <row r="6862" ht="15" customHeight="1" x14ac:dyDescent="0.2"/>
    <row r="6863" ht="15" customHeight="1" x14ac:dyDescent="0.2"/>
    <row r="6864" ht="15" customHeight="1" x14ac:dyDescent="0.2"/>
    <row r="6865" ht="15" customHeight="1" x14ac:dyDescent="0.2"/>
    <row r="6866" ht="15" customHeight="1" x14ac:dyDescent="0.2"/>
    <row r="6867" ht="15" customHeight="1" x14ac:dyDescent="0.2"/>
    <row r="6868" ht="15" customHeight="1" x14ac:dyDescent="0.2"/>
    <row r="6869" ht="15" customHeight="1" x14ac:dyDescent="0.2"/>
    <row r="6870" ht="15" customHeight="1" x14ac:dyDescent="0.2"/>
    <row r="6871" ht="15" customHeight="1" x14ac:dyDescent="0.2"/>
    <row r="6872" ht="15" customHeight="1" x14ac:dyDescent="0.2"/>
    <row r="6873" ht="15" customHeight="1" x14ac:dyDescent="0.2"/>
    <row r="6874" ht="15" customHeight="1" x14ac:dyDescent="0.2"/>
    <row r="6875" ht="15" customHeight="1" x14ac:dyDescent="0.2"/>
    <row r="6876" ht="15" customHeight="1" x14ac:dyDescent="0.2"/>
    <row r="6877" ht="15" customHeight="1" x14ac:dyDescent="0.2"/>
    <row r="6878" ht="15" customHeight="1" x14ac:dyDescent="0.2"/>
    <row r="6879" ht="15" customHeight="1" x14ac:dyDescent="0.2"/>
    <row r="6880" ht="15" customHeight="1" x14ac:dyDescent="0.2"/>
    <row r="6881" ht="15" customHeight="1" x14ac:dyDescent="0.2"/>
    <row r="6882" ht="15" customHeight="1" x14ac:dyDescent="0.2"/>
    <row r="6883" ht="15" customHeight="1" x14ac:dyDescent="0.2"/>
    <row r="6884" ht="15" customHeight="1" x14ac:dyDescent="0.2"/>
    <row r="6885" ht="15" customHeight="1" x14ac:dyDescent="0.2"/>
    <row r="6886" ht="15" customHeight="1" x14ac:dyDescent="0.2"/>
    <row r="6887" ht="15" customHeight="1" x14ac:dyDescent="0.2"/>
    <row r="6888" ht="15" customHeight="1" x14ac:dyDescent="0.2"/>
    <row r="6889" ht="15" customHeight="1" x14ac:dyDescent="0.2"/>
    <row r="6890" ht="15" customHeight="1" x14ac:dyDescent="0.2"/>
    <row r="6891" ht="15" customHeight="1" x14ac:dyDescent="0.2"/>
    <row r="6892" ht="15" customHeight="1" x14ac:dyDescent="0.2"/>
    <row r="6893" ht="15" customHeight="1" x14ac:dyDescent="0.2"/>
    <row r="6894" ht="15" customHeight="1" x14ac:dyDescent="0.2"/>
    <row r="6895" ht="15" customHeight="1" x14ac:dyDescent="0.2"/>
    <row r="6896" ht="15" customHeight="1" x14ac:dyDescent="0.2"/>
    <row r="6897" ht="15" customHeight="1" x14ac:dyDescent="0.2"/>
    <row r="6898" ht="15" customHeight="1" x14ac:dyDescent="0.2"/>
    <row r="6899" ht="15" customHeight="1" x14ac:dyDescent="0.2"/>
    <row r="6900" ht="15" customHeight="1" x14ac:dyDescent="0.2"/>
    <row r="6901" ht="15" customHeight="1" x14ac:dyDescent="0.2"/>
    <row r="6902" ht="15" customHeight="1" x14ac:dyDescent="0.2"/>
    <row r="6903" ht="15" customHeight="1" x14ac:dyDescent="0.2"/>
    <row r="6904" ht="15" customHeight="1" x14ac:dyDescent="0.2"/>
    <row r="6905" ht="15" customHeight="1" x14ac:dyDescent="0.2"/>
    <row r="6906" ht="15" customHeight="1" x14ac:dyDescent="0.2"/>
    <row r="6907" ht="15" customHeight="1" x14ac:dyDescent="0.2"/>
    <row r="6908" ht="15" customHeight="1" x14ac:dyDescent="0.2"/>
    <row r="6909" ht="15" customHeight="1" x14ac:dyDescent="0.2"/>
    <row r="6910" ht="15" customHeight="1" x14ac:dyDescent="0.2"/>
    <row r="6911" ht="15" customHeight="1" x14ac:dyDescent="0.2"/>
    <row r="6912" ht="15" customHeight="1" x14ac:dyDescent="0.2"/>
    <row r="6913" ht="15" customHeight="1" x14ac:dyDescent="0.2"/>
    <row r="6914" ht="15" customHeight="1" x14ac:dyDescent="0.2"/>
    <row r="6915" ht="15" customHeight="1" x14ac:dyDescent="0.2"/>
    <row r="6916" ht="15" customHeight="1" x14ac:dyDescent="0.2"/>
    <row r="6917" ht="15" customHeight="1" x14ac:dyDescent="0.2"/>
    <row r="6918" ht="15" customHeight="1" x14ac:dyDescent="0.2"/>
    <row r="6919" ht="15" customHeight="1" x14ac:dyDescent="0.2"/>
    <row r="6920" ht="15" customHeight="1" x14ac:dyDescent="0.2"/>
    <row r="6921" ht="15" customHeight="1" x14ac:dyDescent="0.2"/>
    <row r="6922" ht="15" customHeight="1" x14ac:dyDescent="0.2"/>
    <row r="6923" ht="15" customHeight="1" x14ac:dyDescent="0.2"/>
    <row r="6924" ht="15" customHeight="1" x14ac:dyDescent="0.2"/>
    <row r="6925" ht="15" customHeight="1" x14ac:dyDescent="0.2"/>
    <row r="6926" ht="15" customHeight="1" x14ac:dyDescent="0.2"/>
    <row r="6927" ht="15" customHeight="1" x14ac:dyDescent="0.2"/>
    <row r="6928" ht="15" customHeight="1" x14ac:dyDescent="0.2"/>
    <row r="6929" ht="15" customHeight="1" x14ac:dyDescent="0.2"/>
    <row r="6930" ht="15" customHeight="1" x14ac:dyDescent="0.2"/>
    <row r="6931" ht="15" customHeight="1" x14ac:dyDescent="0.2"/>
    <row r="6932" ht="15" customHeight="1" x14ac:dyDescent="0.2"/>
    <row r="6933" ht="15" customHeight="1" x14ac:dyDescent="0.2"/>
    <row r="6934" ht="15" customHeight="1" x14ac:dyDescent="0.2"/>
    <row r="6935" ht="15" customHeight="1" x14ac:dyDescent="0.2"/>
    <row r="6936" ht="15" customHeight="1" x14ac:dyDescent="0.2"/>
    <row r="6937" ht="15" customHeight="1" x14ac:dyDescent="0.2"/>
    <row r="6938" ht="15" customHeight="1" x14ac:dyDescent="0.2"/>
    <row r="6939" ht="15" customHeight="1" x14ac:dyDescent="0.2"/>
    <row r="6940" ht="15" customHeight="1" x14ac:dyDescent="0.2"/>
    <row r="6941" ht="15" customHeight="1" x14ac:dyDescent="0.2"/>
    <row r="6942" ht="15" customHeight="1" x14ac:dyDescent="0.2"/>
    <row r="6943" ht="15" customHeight="1" x14ac:dyDescent="0.2"/>
    <row r="6944" ht="15" customHeight="1" x14ac:dyDescent="0.2"/>
    <row r="6945" ht="15" customHeight="1" x14ac:dyDescent="0.2"/>
    <row r="6946" ht="15" customHeight="1" x14ac:dyDescent="0.2"/>
    <row r="6947" ht="15" customHeight="1" x14ac:dyDescent="0.2"/>
    <row r="6948" ht="15" customHeight="1" x14ac:dyDescent="0.2"/>
    <row r="6949" ht="15" customHeight="1" x14ac:dyDescent="0.2"/>
    <row r="6950" ht="15" customHeight="1" x14ac:dyDescent="0.2"/>
    <row r="6951" ht="15" customHeight="1" x14ac:dyDescent="0.2"/>
    <row r="6952" ht="15" customHeight="1" x14ac:dyDescent="0.2"/>
    <row r="6953" ht="15" customHeight="1" x14ac:dyDescent="0.2"/>
    <row r="6954" ht="15" customHeight="1" x14ac:dyDescent="0.2"/>
    <row r="6955" ht="15" customHeight="1" x14ac:dyDescent="0.2"/>
    <row r="6956" ht="15" customHeight="1" x14ac:dyDescent="0.2"/>
    <row r="6957" ht="15" customHeight="1" x14ac:dyDescent="0.2"/>
    <row r="6958" ht="15" customHeight="1" x14ac:dyDescent="0.2"/>
    <row r="6959" ht="15" customHeight="1" x14ac:dyDescent="0.2"/>
    <row r="6960" ht="15" customHeight="1" x14ac:dyDescent="0.2"/>
    <row r="6961" ht="15" customHeight="1" x14ac:dyDescent="0.2"/>
    <row r="6962" ht="15" customHeight="1" x14ac:dyDescent="0.2"/>
    <row r="6963" ht="15" customHeight="1" x14ac:dyDescent="0.2"/>
    <row r="6964" ht="15" customHeight="1" x14ac:dyDescent="0.2"/>
    <row r="6965" ht="15" customHeight="1" x14ac:dyDescent="0.2"/>
    <row r="6966" ht="15" customHeight="1" x14ac:dyDescent="0.2"/>
    <row r="6967" ht="15" customHeight="1" x14ac:dyDescent="0.2"/>
    <row r="6968" ht="15" customHeight="1" x14ac:dyDescent="0.2"/>
    <row r="6969" ht="15" customHeight="1" x14ac:dyDescent="0.2"/>
    <row r="6970" ht="15" customHeight="1" x14ac:dyDescent="0.2"/>
    <row r="6971" ht="15" customHeight="1" x14ac:dyDescent="0.2"/>
    <row r="6972" ht="15" customHeight="1" x14ac:dyDescent="0.2"/>
    <row r="6973" ht="15" customHeight="1" x14ac:dyDescent="0.2"/>
    <row r="6974" ht="15" customHeight="1" x14ac:dyDescent="0.2"/>
    <row r="6975" ht="15" customHeight="1" x14ac:dyDescent="0.2"/>
    <row r="6976" ht="15" customHeight="1" x14ac:dyDescent="0.2"/>
    <row r="6977" ht="15" customHeight="1" x14ac:dyDescent="0.2"/>
    <row r="6978" ht="15" customHeight="1" x14ac:dyDescent="0.2"/>
    <row r="6979" ht="15" customHeight="1" x14ac:dyDescent="0.2"/>
    <row r="6980" ht="15" customHeight="1" x14ac:dyDescent="0.2"/>
    <row r="6981" ht="15" customHeight="1" x14ac:dyDescent="0.2"/>
    <row r="6982" ht="15" customHeight="1" x14ac:dyDescent="0.2"/>
    <row r="6983" ht="15" customHeight="1" x14ac:dyDescent="0.2"/>
    <row r="6984" ht="15" customHeight="1" x14ac:dyDescent="0.2"/>
    <row r="6985" ht="15" customHeight="1" x14ac:dyDescent="0.2"/>
    <row r="6986" ht="15" customHeight="1" x14ac:dyDescent="0.2"/>
    <row r="6987" ht="15" customHeight="1" x14ac:dyDescent="0.2"/>
    <row r="6988" ht="15" customHeight="1" x14ac:dyDescent="0.2"/>
    <row r="6989" ht="15" customHeight="1" x14ac:dyDescent="0.2"/>
    <row r="6990" ht="15" customHeight="1" x14ac:dyDescent="0.2"/>
    <row r="6991" ht="15" customHeight="1" x14ac:dyDescent="0.2"/>
    <row r="6992" ht="15" customHeight="1" x14ac:dyDescent="0.2"/>
    <row r="6993" ht="15" customHeight="1" x14ac:dyDescent="0.2"/>
    <row r="6994" ht="15" customHeight="1" x14ac:dyDescent="0.2"/>
    <row r="6995" ht="15" customHeight="1" x14ac:dyDescent="0.2"/>
    <row r="6996" ht="15" customHeight="1" x14ac:dyDescent="0.2"/>
    <row r="6997" ht="15" customHeight="1" x14ac:dyDescent="0.2"/>
    <row r="6998" ht="15" customHeight="1" x14ac:dyDescent="0.2"/>
    <row r="6999" ht="15" customHeight="1" x14ac:dyDescent="0.2"/>
    <row r="7000" ht="15" customHeight="1" x14ac:dyDescent="0.2"/>
    <row r="7001" ht="15" customHeight="1" x14ac:dyDescent="0.2"/>
    <row r="7002" ht="15" customHeight="1" x14ac:dyDescent="0.2"/>
    <row r="7003" ht="15" customHeight="1" x14ac:dyDescent="0.2"/>
    <row r="7004" ht="15" customHeight="1" x14ac:dyDescent="0.2"/>
    <row r="7005" ht="15" customHeight="1" x14ac:dyDescent="0.2"/>
    <row r="7006" ht="15" customHeight="1" x14ac:dyDescent="0.2"/>
    <row r="7007" ht="15" customHeight="1" x14ac:dyDescent="0.2"/>
    <row r="7008" ht="15" customHeight="1" x14ac:dyDescent="0.2"/>
    <row r="7009" ht="15" customHeight="1" x14ac:dyDescent="0.2"/>
    <row r="7010" ht="15" customHeight="1" x14ac:dyDescent="0.2"/>
    <row r="7011" ht="15" customHeight="1" x14ac:dyDescent="0.2"/>
    <row r="7012" ht="15" customHeight="1" x14ac:dyDescent="0.2"/>
    <row r="7013" ht="15" customHeight="1" x14ac:dyDescent="0.2"/>
    <row r="7014" ht="15" customHeight="1" x14ac:dyDescent="0.2"/>
    <row r="7015" ht="15" customHeight="1" x14ac:dyDescent="0.2"/>
    <row r="7016" ht="15" customHeight="1" x14ac:dyDescent="0.2"/>
    <row r="7017" ht="15" customHeight="1" x14ac:dyDescent="0.2"/>
    <row r="7018" ht="15" customHeight="1" x14ac:dyDescent="0.2"/>
    <row r="7019" ht="15" customHeight="1" x14ac:dyDescent="0.2"/>
    <row r="7020" ht="15" customHeight="1" x14ac:dyDescent="0.2"/>
    <row r="7021" ht="15" customHeight="1" x14ac:dyDescent="0.2"/>
    <row r="7022" ht="15" customHeight="1" x14ac:dyDescent="0.2"/>
    <row r="7023" ht="15" customHeight="1" x14ac:dyDescent="0.2"/>
    <row r="7024" ht="15" customHeight="1" x14ac:dyDescent="0.2"/>
    <row r="7025" ht="15" customHeight="1" x14ac:dyDescent="0.2"/>
    <row r="7026" ht="15" customHeight="1" x14ac:dyDescent="0.2"/>
    <row r="7027" ht="15" customHeight="1" x14ac:dyDescent="0.2"/>
    <row r="7028" ht="15" customHeight="1" x14ac:dyDescent="0.2"/>
    <row r="7029" ht="15" customHeight="1" x14ac:dyDescent="0.2"/>
    <row r="7030" ht="15" customHeight="1" x14ac:dyDescent="0.2"/>
    <row r="7031" ht="15" customHeight="1" x14ac:dyDescent="0.2"/>
    <row r="7032" ht="15" customHeight="1" x14ac:dyDescent="0.2"/>
    <row r="7033" ht="15" customHeight="1" x14ac:dyDescent="0.2"/>
    <row r="7034" ht="15" customHeight="1" x14ac:dyDescent="0.2"/>
    <row r="7035" ht="15" customHeight="1" x14ac:dyDescent="0.2"/>
    <row r="7036" ht="15" customHeight="1" x14ac:dyDescent="0.2"/>
    <row r="7037" ht="15" customHeight="1" x14ac:dyDescent="0.2"/>
    <row r="7038" ht="15" customHeight="1" x14ac:dyDescent="0.2"/>
    <row r="7039" ht="15" customHeight="1" x14ac:dyDescent="0.2"/>
    <row r="7040" ht="15" customHeight="1" x14ac:dyDescent="0.2"/>
    <row r="7041" ht="15" customHeight="1" x14ac:dyDescent="0.2"/>
    <row r="7042" ht="15" customHeight="1" x14ac:dyDescent="0.2"/>
    <row r="7043" ht="15" customHeight="1" x14ac:dyDescent="0.2"/>
    <row r="7044" ht="15" customHeight="1" x14ac:dyDescent="0.2"/>
    <row r="7045" ht="15" customHeight="1" x14ac:dyDescent="0.2"/>
    <row r="7046" ht="15" customHeight="1" x14ac:dyDescent="0.2"/>
    <row r="7047" ht="15" customHeight="1" x14ac:dyDescent="0.2"/>
    <row r="7048" ht="15" customHeight="1" x14ac:dyDescent="0.2"/>
    <row r="7049" ht="15" customHeight="1" x14ac:dyDescent="0.2"/>
    <row r="7050" ht="15" customHeight="1" x14ac:dyDescent="0.2"/>
    <row r="7051" ht="15" customHeight="1" x14ac:dyDescent="0.2"/>
    <row r="7052" ht="15" customHeight="1" x14ac:dyDescent="0.2"/>
    <row r="7053" ht="15" customHeight="1" x14ac:dyDescent="0.2"/>
    <row r="7054" ht="15" customHeight="1" x14ac:dyDescent="0.2"/>
    <row r="7055" ht="15" customHeight="1" x14ac:dyDescent="0.2"/>
    <row r="7056" ht="15" customHeight="1" x14ac:dyDescent="0.2"/>
    <row r="7057" ht="15" customHeight="1" x14ac:dyDescent="0.2"/>
    <row r="7058" ht="15" customHeight="1" x14ac:dyDescent="0.2"/>
    <row r="7059" ht="15" customHeight="1" x14ac:dyDescent="0.2"/>
    <row r="7060" ht="15" customHeight="1" x14ac:dyDescent="0.2"/>
    <row r="7061" ht="15" customHeight="1" x14ac:dyDescent="0.2"/>
    <row r="7062" ht="15" customHeight="1" x14ac:dyDescent="0.2"/>
    <row r="7063" ht="15" customHeight="1" x14ac:dyDescent="0.2"/>
    <row r="7064" ht="15" customHeight="1" x14ac:dyDescent="0.2"/>
    <row r="7065" ht="15" customHeight="1" x14ac:dyDescent="0.2"/>
    <row r="7066" ht="15" customHeight="1" x14ac:dyDescent="0.2"/>
    <row r="7067" ht="15" customHeight="1" x14ac:dyDescent="0.2"/>
    <row r="7068" ht="15" customHeight="1" x14ac:dyDescent="0.2"/>
    <row r="7069" ht="15" customHeight="1" x14ac:dyDescent="0.2"/>
    <row r="7070" ht="15" customHeight="1" x14ac:dyDescent="0.2"/>
    <row r="7071" ht="15" customHeight="1" x14ac:dyDescent="0.2"/>
    <row r="7072" ht="15" customHeight="1" x14ac:dyDescent="0.2"/>
    <row r="7073" ht="15" customHeight="1" x14ac:dyDescent="0.2"/>
    <row r="7074" ht="15" customHeight="1" x14ac:dyDescent="0.2"/>
    <row r="7075" ht="15" customHeight="1" x14ac:dyDescent="0.2"/>
    <row r="7076" ht="15" customHeight="1" x14ac:dyDescent="0.2"/>
    <row r="7077" ht="15" customHeight="1" x14ac:dyDescent="0.2"/>
    <row r="7078" ht="15" customHeight="1" x14ac:dyDescent="0.2"/>
    <row r="7079" ht="15" customHeight="1" x14ac:dyDescent="0.2"/>
    <row r="7080" ht="15" customHeight="1" x14ac:dyDescent="0.2"/>
    <row r="7081" ht="15" customHeight="1" x14ac:dyDescent="0.2"/>
    <row r="7082" ht="15" customHeight="1" x14ac:dyDescent="0.2"/>
    <row r="7083" ht="15" customHeight="1" x14ac:dyDescent="0.2"/>
    <row r="7084" ht="15" customHeight="1" x14ac:dyDescent="0.2"/>
    <row r="7085" ht="15" customHeight="1" x14ac:dyDescent="0.2"/>
    <row r="7086" ht="15" customHeight="1" x14ac:dyDescent="0.2"/>
    <row r="7087" ht="15" customHeight="1" x14ac:dyDescent="0.2"/>
    <row r="7088" ht="15" customHeight="1" x14ac:dyDescent="0.2"/>
    <row r="7089" ht="15" customHeight="1" x14ac:dyDescent="0.2"/>
    <row r="7090" ht="15" customHeight="1" x14ac:dyDescent="0.2"/>
    <row r="7091" ht="15" customHeight="1" x14ac:dyDescent="0.2"/>
    <row r="7092" ht="15" customHeight="1" x14ac:dyDescent="0.2"/>
    <row r="7093" ht="15" customHeight="1" x14ac:dyDescent="0.2"/>
    <row r="7094" ht="15" customHeight="1" x14ac:dyDescent="0.2"/>
    <row r="7095" ht="15" customHeight="1" x14ac:dyDescent="0.2"/>
    <row r="7096" ht="15" customHeight="1" x14ac:dyDescent="0.2"/>
    <row r="7097" ht="15" customHeight="1" x14ac:dyDescent="0.2"/>
    <row r="7098" ht="15" customHeight="1" x14ac:dyDescent="0.2"/>
    <row r="7099" ht="15" customHeight="1" x14ac:dyDescent="0.2"/>
    <row r="7100" ht="15" customHeight="1" x14ac:dyDescent="0.2"/>
    <row r="7101" ht="15" customHeight="1" x14ac:dyDescent="0.2"/>
    <row r="7102" ht="15" customHeight="1" x14ac:dyDescent="0.2"/>
    <row r="7103" ht="15" customHeight="1" x14ac:dyDescent="0.2"/>
    <row r="7104" ht="15" customHeight="1" x14ac:dyDescent="0.2"/>
    <row r="7105" ht="15" customHeight="1" x14ac:dyDescent="0.2"/>
    <row r="7106" ht="15" customHeight="1" x14ac:dyDescent="0.2"/>
    <row r="7107" ht="15" customHeight="1" x14ac:dyDescent="0.2"/>
    <row r="7108" ht="15" customHeight="1" x14ac:dyDescent="0.2"/>
    <row r="7109" ht="15" customHeight="1" x14ac:dyDescent="0.2"/>
    <row r="7110" ht="15" customHeight="1" x14ac:dyDescent="0.2"/>
    <row r="7111" ht="15" customHeight="1" x14ac:dyDescent="0.2"/>
    <row r="7112" ht="15" customHeight="1" x14ac:dyDescent="0.2"/>
    <row r="7113" ht="15" customHeight="1" x14ac:dyDescent="0.2"/>
    <row r="7114" ht="15" customHeight="1" x14ac:dyDescent="0.2"/>
    <row r="7115" ht="15" customHeight="1" x14ac:dyDescent="0.2"/>
    <row r="7116" ht="15" customHeight="1" x14ac:dyDescent="0.2"/>
    <row r="7117" ht="15" customHeight="1" x14ac:dyDescent="0.2"/>
    <row r="7118" ht="15" customHeight="1" x14ac:dyDescent="0.2"/>
    <row r="7119" ht="15" customHeight="1" x14ac:dyDescent="0.2"/>
    <row r="7120" ht="15" customHeight="1" x14ac:dyDescent="0.2"/>
    <row r="7121" ht="15" customHeight="1" x14ac:dyDescent="0.2"/>
    <row r="7122" ht="15" customHeight="1" x14ac:dyDescent="0.2"/>
    <row r="7123" ht="15" customHeight="1" x14ac:dyDescent="0.2"/>
    <row r="7124" ht="15" customHeight="1" x14ac:dyDescent="0.2"/>
    <row r="7125" ht="15" customHeight="1" x14ac:dyDescent="0.2"/>
    <row r="7126" ht="15" customHeight="1" x14ac:dyDescent="0.2"/>
    <row r="7127" ht="15" customHeight="1" x14ac:dyDescent="0.2"/>
    <row r="7128" ht="15" customHeight="1" x14ac:dyDescent="0.2"/>
    <row r="7129" ht="15" customHeight="1" x14ac:dyDescent="0.2"/>
    <row r="7130" ht="15" customHeight="1" x14ac:dyDescent="0.2"/>
    <row r="7131" ht="15" customHeight="1" x14ac:dyDescent="0.2"/>
    <row r="7132" ht="15" customHeight="1" x14ac:dyDescent="0.2"/>
    <row r="7133" ht="15" customHeight="1" x14ac:dyDescent="0.2"/>
    <row r="7134" ht="15" customHeight="1" x14ac:dyDescent="0.2"/>
    <row r="7135" ht="15" customHeight="1" x14ac:dyDescent="0.2"/>
    <row r="7136" ht="15" customHeight="1" x14ac:dyDescent="0.2"/>
    <row r="7137" ht="15" customHeight="1" x14ac:dyDescent="0.2"/>
    <row r="7138" ht="15" customHeight="1" x14ac:dyDescent="0.2"/>
    <row r="7139" ht="15" customHeight="1" x14ac:dyDescent="0.2"/>
    <row r="7140" ht="15" customHeight="1" x14ac:dyDescent="0.2"/>
    <row r="7141" ht="15" customHeight="1" x14ac:dyDescent="0.2"/>
    <row r="7142" ht="15" customHeight="1" x14ac:dyDescent="0.2"/>
    <row r="7143" ht="15" customHeight="1" x14ac:dyDescent="0.2"/>
    <row r="7144" ht="15" customHeight="1" x14ac:dyDescent="0.2"/>
    <row r="7145" ht="15" customHeight="1" x14ac:dyDescent="0.2"/>
    <row r="7146" ht="15" customHeight="1" x14ac:dyDescent="0.2"/>
    <row r="7147" ht="15" customHeight="1" x14ac:dyDescent="0.2"/>
    <row r="7148" ht="15" customHeight="1" x14ac:dyDescent="0.2"/>
    <row r="7149" ht="15" customHeight="1" x14ac:dyDescent="0.2"/>
    <row r="7150" ht="15" customHeight="1" x14ac:dyDescent="0.2"/>
    <row r="7151" ht="15" customHeight="1" x14ac:dyDescent="0.2"/>
    <row r="7152" ht="15" customHeight="1" x14ac:dyDescent="0.2"/>
    <row r="7153" ht="15" customHeight="1" x14ac:dyDescent="0.2"/>
    <row r="7154" ht="15" customHeight="1" x14ac:dyDescent="0.2"/>
    <row r="7155" ht="15" customHeight="1" x14ac:dyDescent="0.2"/>
    <row r="7156" ht="15" customHeight="1" x14ac:dyDescent="0.2"/>
    <row r="7157" ht="15" customHeight="1" x14ac:dyDescent="0.2"/>
    <row r="7158" ht="15" customHeight="1" x14ac:dyDescent="0.2"/>
    <row r="7159" ht="15" customHeight="1" x14ac:dyDescent="0.2"/>
    <row r="7160" ht="15" customHeight="1" x14ac:dyDescent="0.2"/>
    <row r="7161" ht="15" customHeight="1" x14ac:dyDescent="0.2"/>
    <row r="7162" ht="15" customHeight="1" x14ac:dyDescent="0.2"/>
    <row r="7163" ht="15" customHeight="1" x14ac:dyDescent="0.2"/>
    <row r="7164" ht="15" customHeight="1" x14ac:dyDescent="0.2"/>
    <row r="7165" ht="15" customHeight="1" x14ac:dyDescent="0.2"/>
    <row r="7166" ht="15" customHeight="1" x14ac:dyDescent="0.2"/>
    <row r="7167" ht="15" customHeight="1" x14ac:dyDescent="0.2"/>
    <row r="7168" ht="15" customHeight="1" x14ac:dyDescent="0.2"/>
    <row r="7169" ht="15" customHeight="1" x14ac:dyDescent="0.2"/>
    <row r="7170" ht="15" customHeight="1" x14ac:dyDescent="0.2"/>
    <row r="7171" ht="15" customHeight="1" x14ac:dyDescent="0.2"/>
    <row r="7172" ht="15" customHeight="1" x14ac:dyDescent="0.2"/>
    <row r="7173" ht="15" customHeight="1" x14ac:dyDescent="0.2"/>
    <row r="7174" ht="15" customHeight="1" x14ac:dyDescent="0.2"/>
    <row r="7175" ht="15" customHeight="1" x14ac:dyDescent="0.2"/>
    <row r="7176" ht="15" customHeight="1" x14ac:dyDescent="0.2"/>
    <row r="7177" ht="15" customHeight="1" x14ac:dyDescent="0.2"/>
    <row r="7178" ht="15" customHeight="1" x14ac:dyDescent="0.2"/>
    <row r="7179" ht="15" customHeight="1" x14ac:dyDescent="0.2"/>
    <row r="7180" ht="15" customHeight="1" x14ac:dyDescent="0.2"/>
    <row r="7181" ht="15" customHeight="1" x14ac:dyDescent="0.2"/>
    <row r="7182" ht="15" customHeight="1" x14ac:dyDescent="0.2"/>
    <row r="7183" ht="15" customHeight="1" x14ac:dyDescent="0.2"/>
    <row r="7184" ht="15" customHeight="1" x14ac:dyDescent="0.2"/>
    <row r="7185" ht="15" customHeight="1" x14ac:dyDescent="0.2"/>
    <row r="7186" ht="15" customHeight="1" x14ac:dyDescent="0.2"/>
    <row r="7187" ht="15" customHeight="1" x14ac:dyDescent="0.2"/>
    <row r="7188" ht="15" customHeight="1" x14ac:dyDescent="0.2"/>
    <row r="7189" ht="15" customHeight="1" x14ac:dyDescent="0.2"/>
    <row r="7190" ht="15" customHeight="1" x14ac:dyDescent="0.2"/>
    <row r="7191" ht="15" customHeight="1" x14ac:dyDescent="0.2"/>
    <row r="7192" ht="15" customHeight="1" x14ac:dyDescent="0.2"/>
    <row r="7193" ht="15" customHeight="1" x14ac:dyDescent="0.2"/>
    <row r="7194" ht="15" customHeight="1" x14ac:dyDescent="0.2"/>
    <row r="7195" ht="15" customHeight="1" x14ac:dyDescent="0.2"/>
    <row r="7196" ht="15" customHeight="1" x14ac:dyDescent="0.2"/>
    <row r="7197" ht="15" customHeight="1" x14ac:dyDescent="0.2"/>
    <row r="7198" ht="15" customHeight="1" x14ac:dyDescent="0.2"/>
    <row r="7199" ht="15" customHeight="1" x14ac:dyDescent="0.2"/>
    <row r="7200" ht="15" customHeight="1" x14ac:dyDescent="0.2"/>
    <row r="7201" ht="15" customHeight="1" x14ac:dyDescent="0.2"/>
    <row r="7202" ht="15" customHeight="1" x14ac:dyDescent="0.2"/>
    <row r="7203" ht="15" customHeight="1" x14ac:dyDescent="0.2"/>
    <row r="7204" ht="15" customHeight="1" x14ac:dyDescent="0.2"/>
    <row r="7205" ht="15" customHeight="1" x14ac:dyDescent="0.2"/>
    <row r="7206" ht="15" customHeight="1" x14ac:dyDescent="0.2"/>
    <row r="7207" ht="15" customHeight="1" x14ac:dyDescent="0.2"/>
    <row r="7208" ht="15" customHeight="1" x14ac:dyDescent="0.2"/>
    <row r="7209" ht="15" customHeight="1" x14ac:dyDescent="0.2"/>
    <row r="7210" ht="15" customHeight="1" x14ac:dyDescent="0.2"/>
    <row r="7211" ht="15" customHeight="1" x14ac:dyDescent="0.2"/>
    <row r="7212" ht="15" customHeight="1" x14ac:dyDescent="0.2"/>
    <row r="7213" ht="15" customHeight="1" x14ac:dyDescent="0.2"/>
    <row r="7214" ht="15" customHeight="1" x14ac:dyDescent="0.2"/>
    <row r="7215" ht="15" customHeight="1" x14ac:dyDescent="0.2"/>
    <row r="7216" ht="15" customHeight="1" x14ac:dyDescent="0.2"/>
    <row r="7217" ht="15" customHeight="1" x14ac:dyDescent="0.2"/>
    <row r="7218" ht="15" customHeight="1" x14ac:dyDescent="0.2"/>
    <row r="7219" ht="15" customHeight="1" x14ac:dyDescent="0.2"/>
    <row r="7220" ht="15" customHeight="1" x14ac:dyDescent="0.2"/>
    <row r="7221" ht="15" customHeight="1" x14ac:dyDescent="0.2"/>
    <row r="7222" ht="15" customHeight="1" x14ac:dyDescent="0.2"/>
    <row r="7223" ht="15" customHeight="1" x14ac:dyDescent="0.2"/>
    <row r="7224" ht="15" customHeight="1" x14ac:dyDescent="0.2"/>
    <row r="7225" ht="15" customHeight="1" x14ac:dyDescent="0.2"/>
    <row r="7226" ht="15" customHeight="1" x14ac:dyDescent="0.2"/>
    <row r="7227" ht="15" customHeight="1" x14ac:dyDescent="0.2"/>
    <row r="7228" ht="15" customHeight="1" x14ac:dyDescent="0.2"/>
    <row r="7229" ht="15" customHeight="1" x14ac:dyDescent="0.2"/>
    <row r="7230" ht="15" customHeight="1" x14ac:dyDescent="0.2"/>
    <row r="7231" ht="15" customHeight="1" x14ac:dyDescent="0.2"/>
    <row r="7232" ht="15" customHeight="1" x14ac:dyDescent="0.2"/>
    <row r="7233" ht="15" customHeight="1" x14ac:dyDescent="0.2"/>
    <row r="7234" ht="15" customHeight="1" x14ac:dyDescent="0.2"/>
    <row r="7235" ht="15" customHeight="1" x14ac:dyDescent="0.2"/>
    <row r="7236" ht="15" customHeight="1" x14ac:dyDescent="0.2"/>
    <row r="7237" ht="15" customHeight="1" x14ac:dyDescent="0.2"/>
    <row r="7238" ht="15" customHeight="1" x14ac:dyDescent="0.2"/>
    <row r="7239" ht="15" customHeight="1" x14ac:dyDescent="0.2"/>
    <row r="7240" ht="15" customHeight="1" x14ac:dyDescent="0.2"/>
    <row r="7241" ht="15" customHeight="1" x14ac:dyDescent="0.2"/>
    <row r="7242" ht="15" customHeight="1" x14ac:dyDescent="0.2"/>
    <row r="7243" ht="15" customHeight="1" x14ac:dyDescent="0.2"/>
    <row r="7244" ht="15" customHeight="1" x14ac:dyDescent="0.2"/>
    <row r="7245" ht="15" customHeight="1" x14ac:dyDescent="0.2"/>
    <row r="7246" ht="15" customHeight="1" x14ac:dyDescent="0.2"/>
    <row r="7247" ht="15" customHeight="1" x14ac:dyDescent="0.2"/>
    <row r="7248" ht="15" customHeight="1" x14ac:dyDescent="0.2"/>
    <row r="7249" ht="15" customHeight="1" x14ac:dyDescent="0.2"/>
    <row r="7250" ht="15" customHeight="1" x14ac:dyDescent="0.2"/>
    <row r="7251" ht="15" customHeight="1" x14ac:dyDescent="0.2"/>
    <row r="7252" ht="15" customHeight="1" x14ac:dyDescent="0.2"/>
    <row r="7253" ht="15" customHeight="1" x14ac:dyDescent="0.2"/>
    <row r="7254" ht="15" customHeight="1" x14ac:dyDescent="0.2"/>
    <row r="7255" ht="15" customHeight="1" x14ac:dyDescent="0.2"/>
    <row r="7256" ht="15" customHeight="1" x14ac:dyDescent="0.2"/>
    <row r="7257" ht="15" customHeight="1" x14ac:dyDescent="0.2"/>
    <row r="7258" ht="15" customHeight="1" x14ac:dyDescent="0.2"/>
    <row r="7259" ht="15" customHeight="1" x14ac:dyDescent="0.2"/>
    <row r="7260" ht="15" customHeight="1" x14ac:dyDescent="0.2"/>
    <row r="7261" ht="15" customHeight="1" x14ac:dyDescent="0.2"/>
    <row r="7262" ht="15" customHeight="1" x14ac:dyDescent="0.2"/>
    <row r="7263" ht="15" customHeight="1" x14ac:dyDescent="0.2"/>
    <row r="7264" ht="15" customHeight="1" x14ac:dyDescent="0.2"/>
    <row r="7265" ht="15" customHeight="1" x14ac:dyDescent="0.2"/>
    <row r="7266" ht="15" customHeight="1" x14ac:dyDescent="0.2"/>
    <row r="7267" ht="15" customHeight="1" x14ac:dyDescent="0.2"/>
    <row r="7268" ht="15" customHeight="1" x14ac:dyDescent="0.2"/>
    <row r="7269" ht="15" customHeight="1" x14ac:dyDescent="0.2"/>
    <row r="7270" ht="15" customHeight="1" x14ac:dyDescent="0.2"/>
    <row r="7271" ht="15" customHeight="1" x14ac:dyDescent="0.2"/>
    <row r="7272" ht="15" customHeight="1" x14ac:dyDescent="0.2"/>
    <row r="7273" ht="15" customHeight="1" x14ac:dyDescent="0.2"/>
    <row r="7274" ht="15" customHeight="1" x14ac:dyDescent="0.2"/>
    <row r="7275" ht="15" customHeight="1" x14ac:dyDescent="0.2"/>
    <row r="7276" ht="15" customHeight="1" x14ac:dyDescent="0.2"/>
    <row r="7277" ht="15" customHeight="1" x14ac:dyDescent="0.2"/>
    <row r="7278" ht="15" customHeight="1" x14ac:dyDescent="0.2"/>
    <row r="7279" ht="15" customHeight="1" x14ac:dyDescent="0.2"/>
    <row r="7280" ht="15" customHeight="1" x14ac:dyDescent="0.2"/>
    <row r="7281" ht="15" customHeight="1" x14ac:dyDescent="0.2"/>
    <row r="7282" ht="15" customHeight="1" x14ac:dyDescent="0.2"/>
    <row r="7283" ht="15" customHeight="1" x14ac:dyDescent="0.2"/>
    <row r="7284" ht="15" customHeight="1" x14ac:dyDescent="0.2"/>
    <row r="7285" ht="15" customHeight="1" x14ac:dyDescent="0.2"/>
    <row r="7286" ht="15" customHeight="1" x14ac:dyDescent="0.2"/>
    <row r="7287" ht="15" customHeight="1" x14ac:dyDescent="0.2"/>
    <row r="7288" ht="15" customHeight="1" x14ac:dyDescent="0.2"/>
    <row r="7289" ht="15" customHeight="1" x14ac:dyDescent="0.2"/>
    <row r="7290" ht="15" customHeight="1" x14ac:dyDescent="0.2"/>
    <row r="7291" ht="15" customHeight="1" x14ac:dyDescent="0.2"/>
    <row r="7292" ht="15" customHeight="1" x14ac:dyDescent="0.2"/>
    <row r="7293" ht="15" customHeight="1" x14ac:dyDescent="0.2"/>
    <row r="7294" ht="15" customHeight="1" x14ac:dyDescent="0.2"/>
    <row r="7295" ht="15" customHeight="1" x14ac:dyDescent="0.2"/>
    <row r="7296" ht="15" customHeight="1" x14ac:dyDescent="0.2"/>
    <row r="7297" ht="15" customHeight="1" x14ac:dyDescent="0.2"/>
    <row r="7298" ht="15" customHeight="1" x14ac:dyDescent="0.2"/>
    <row r="7299" ht="15" customHeight="1" x14ac:dyDescent="0.2"/>
    <row r="7300" ht="15" customHeight="1" x14ac:dyDescent="0.2"/>
    <row r="7301" ht="15" customHeight="1" x14ac:dyDescent="0.2"/>
    <row r="7302" ht="15" customHeight="1" x14ac:dyDescent="0.2"/>
    <row r="7303" ht="15" customHeight="1" x14ac:dyDescent="0.2"/>
    <row r="7304" ht="15" customHeight="1" x14ac:dyDescent="0.2"/>
    <row r="7305" ht="15" customHeight="1" x14ac:dyDescent="0.2"/>
    <row r="7306" ht="15" customHeight="1" x14ac:dyDescent="0.2"/>
    <row r="7307" ht="15" customHeight="1" x14ac:dyDescent="0.2"/>
    <row r="7308" ht="15" customHeight="1" x14ac:dyDescent="0.2"/>
    <row r="7309" ht="15" customHeight="1" x14ac:dyDescent="0.2"/>
    <row r="7310" ht="15" customHeight="1" x14ac:dyDescent="0.2"/>
    <row r="7311" ht="15" customHeight="1" x14ac:dyDescent="0.2"/>
    <row r="7312" ht="15" customHeight="1" x14ac:dyDescent="0.2"/>
    <row r="7313" ht="15" customHeight="1" x14ac:dyDescent="0.2"/>
    <row r="7314" ht="15" customHeight="1" x14ac:dyDescent="0.2"/>
    <row r="7315" ht="15" customHeight="1" x14ac:dyDescent="0.2"/>
    <row r="7316" ht="15" customHeight="1" x14ac:dyDescent="0.2"/>
    <row r="7317" ht="15" customHeight="1" x14ac:dyDescent="0.2"/>
    <row r="7318" ht="15" customHeight="1" x14ac:dyDescent="0.2"/>
    <row r="7319" ht="15" customHeight="1" x14ac:dyDescent="0.2"/>
    <row r="7320" ht="15" customHeight="1" x14ac:dyDescent="0.2"/>
    <row r="7321" ht="15" customHeight="1" x14ac:dyDescent="0.2"/>
    <row r="7322" ht="15" customHeight="1" x14ac:dyDescent="0.2"/>
    <row r="7323" ht="15" customHeight="1" x14ac:dyDescent="0.2"/>
    <row r="7324" ht="15" customHeight="1" x14ac:dyDescent="0.2"/>
    <row r="7325" ht="15" customHeight="1" x14ac:dyDescent="0.2"/>
    <row r="7326" ht="15" customHeight="1" x14ac:dyDescent="0.2"/>
    <row r="7327" ht="15" customHeight="1" x14ac:dyDescent="0.2"/>
    <row r="7328" ht="15" customHeight="1" x14ac:dyDescent="0.2"/>
    <row r="7329" ht="15" customHeight="1" x14ac:dyDescent="0.2"/>
    <row r="7330" ht="15" customHeight="1" x14ac:dyDescent="0.2"/>
    <row r="7331" ht="15" customHeight="1" x14ac:dyDescent="0.2"/>
    <row r="7332" ht="15" customHeight="1" x14ac:dyDescent="0.2"/>
    <row r="7333" ht="15" customHeight="1" x14ac:dyDescent="0.2"/>
    <row r="7334" ht="15" customHeight="1" x14ac:dyDescent="0.2"/>
    <row r="7335" ht="15" customHeight="1" x14ac:dyDescent="0.2"/>
    <row r="7336" ht="15" customHeight="1" x14ac:dyDescent="0.2"/>
    <row r="7337" ht="15" customHeight="1" x14ac:dyDescent="0.2"/>
    <row r="7338" ht="15" customHeight="1" x14ac:dyDescent="0.2"/>
    <row r="7339" ht="15" customHeight="1" x14ac:dyDescent="0.2"/>
    <row r="7340" ht="15" customHeight="1" x14ac:dyDescent="0.2"/>
    <row r="7341" ht="15" customHeight="1" x14ac:dyDescent="0.2"/>
    <row r="7342" ht="15" customHeight="1" x14ac:dyDescent="0.2"/>
    <row r="7343" ht="15" customHeight="1" x14ac:dyDescent="0.2"/>
    <row r="7344" ht="15" customHeight="1" x14ac:dyDescent="0.2"/>
    <row r="7345" ht="15" customHeight="1" x14ac:dyDescent="0.2"/>
    <row r="7346" ht="15" customHeight="1" x14ac:dyDescent="0.2"/>
    <row r="7347" ht="15" customHeight="1" x14ac:dyDescent="0.2"/>
    <row r="7348" ht="15" customHeight="1" x14ac:dyDescent="0.2"/>
    <row r="7349" ht="15" customHeight="1" x14ac:dyDescent="0.2"/>
    <row r="7350" ht="15" customHeight="1" x14ac:dyDescent="0.2"/>
    <row r="7351" ht="15" customHeight="1" x14ac:dyDescent="0.2"/>
    <row r="7352" ht="15" customHeight="1" x14ac:dyDescent="0.2"/>
    <row r="7353" ht="15" customHeight="1" x14ac:dyDescent="0.2"/>
    <row r="7354" ht="15" customHeight="1" x14ac:dyDescent="0.2"/>
    <row r="7355" ht="15" customHeight="1" x14ac:dyDescent="0.2"/>
    <row r="7356" ht="15" customHeight="1" x14ac:dyDescent="0.2"/>
    <row r="7357" ht="15" customHeight="1" x14ac:dyDescent="0.2"/>
    <row r="7358" ht="15" customHeight="1" x14ac:dyDescent="0.2"/>
    <row r="7359" ht="15" customHeight="1" x14ac:dyDescent="0.2"/>
    <row r="7360" ht="15" customHeight="1" x14ac:dyDescent="0.2"/>
    <row r="7361" ht="15" customHeight="1" x14ac:dyDescent="0.2"/>
    <row r="7362" ht="15" customHeight="1" x14ac:dyDescent="0.2"/>
    <row r="7363" ht="15" customHeight="1" x14ac:dyDescent="0.2"/>
    <row r="7364" ht="15" customHeight="1" x14ac:dyDescent="0.2"/>
    <row r="7365" ht="15" customHeight="1" x14ac:dyDescent="0.2"/>
    <row r="7366" ht="15" customHeight="1" x14ac:dyDescent="0.2"/>
    <row r="7367" ht="15" customHeight="1" x14ac:dyDescent="0.2"/>
    <row r="7368" ht="15" customHeight="1" x14ac:dyDescent="0.2"/>
    <row r="7369" ht="15" customHeight="1" x14ac:dyDescent="0.2"/>
    <row r="7370" ht="15" customHeight="1" x14ac:dyDescent="0.2"/>
    <row r="7371" ht="15" customHeight="1" x14ac:dyDescent="0.2"/>
    <row r="7372" ht="15" customHeight="1" x14ac:dyDescent="0.2"/>
    <row r="7373" ht="15" customHeight="1" x14ac:dyDescent="0.2"/>
    <row r="7374" ht="15" customHeight="1" x14ac:dyDescent="0.2"/>
    <row r="7375" ht="15" customHeight="1" x14ac:dyDescent="0.2"/>
    <row r="7376" ht="15" customHeight="1" x14ac:dyDescent="0.2"/>
    <row r="7377" ht="15" customHeight="1" x14ac:dyDescent="0.2"/>
    <row r="7378" ht="15" customHeight="1" x14ac:dyDescent="0.2"/>
    <row r="7379" ht="15" customHeight="1" x14ac:dyDescent="0.2"/>
    <row r="7380" ht="15" customHeight="1" x14ac:dyDescent="0.2"/>
    <row r="7381" ht="15" customHeight="1" x14ac:dyDescent="0.2"/>
    <row r="7382" ht="15" customHeight="1" x14ac:dyDescent="0.2"/>
    <row r="7383" ht="15" customHeight="1" x14ac:dyDescent="0.2"/>
    <row r="7384" ht="15" customHeight="1" x14ac:dyDescent="0.2"/>
    <row r="7385" ht="15" customHeight="1" x14ac:dyDescent="0.2"/>
    <row r="7386" ht="15" customHeight="1" x14ac:dyDescent="0.2"/>
    <row r="7387" ht="15" customHeight="1" x14ac:dyDescent="0.2"/>
    <row r="7388" ht="15" customHeight="1" x14ac:dyDescent="0.2"/>
    <row r="7389" ht="15" customHeight="1" x14ac:dyDescent="0.2"/>
    <row r="7390" ht="15" customHeight="1" x14ac:dyDescent="0.2"/>
    <row r="7391" ht="15" customHeight="1" x14ac:dyDescent="0.2"/>
    <row r="7392" ht="15" customHeight="1" x14ac:dyDescent="0.2"/>
    <row r="7393" ht="15" customHeight="1" x14ac:dyDescent="0.2"/>
    <row r="7394" ht="15" customHeight="1" x14ac:dyDescent="0.2"/>
    <row r="7395" ht="15" customHeight="1" x14ac:dyDescent="0.2"/>
    <row r="7396" ht="15" customHeight="1" x14ac:dyDescent="0.2"/>
    <row r="7397" ht="15" customHeight="1" x14ac:dyDescent="0.2"/>
    <row r="7398" ht="15" customHeight="1" x14ac:dyDescent="0.2"/>
    <row r="7399" ht="15" customHeight="1" x14ac:dyDescent="0.2"/>
    <row r="7400" ht="15" customHeight="1" x14ac:dyDescent="0.2"/>
    <row r="7401" ht="15" customHeight="1" x14ac:dyDescent="0.2"/>
    <row r="7402" ht="15" customHeight="1" x14ac:dyDescent="0.2"/>
    <row r="7403" ht="15" customHeight="1" x14ac:dyDescent="0.2"/>
    <row r="7404" ht="15" customHeight="1" x14ac:dyDescent="0.2"/>
    <row r="7405" ht="15" customHeight="1" x14ac:dyDescent="0.2"/>
    <row r="7406" ht="15" customHeight="1" x14ac:dyDescent="0.2"/>
    <row r="7407" ht="15" customHeight="1" x14ac:dyDescent="0.2"/>
    <row r="7408" ht="15" customHeight="1" x14ac:dyDescent="0.2"/>
    <row r="7409" ht="15" customHeight="1" x14ac:dyDescent="0.2"/>
    <row r="7410" ht="15" customHeight="1" x14ac:dyDescent="0.2"/>
    <row r="7411" ht="15" customHeight="1" x14ac:dyDescent="0.2"/>
    <row r="7412" ht="15" customHeight="1" x14ac:dyDescent="0.2"/>
    <row r="7413" ht="15" customHeight="1" x14ac:dyDescent="0.2"/>
    <row r="7414" ht="15" customHeight="1" x14ac:dyDescent="0.2"/>
    <row r="7415" ht="15" customHeight="1" x14ac:dyDescent="0.2"/>
    <row r="7416" ht="15" customHeight="1" x14ac:dyDescent="0.2"/>
    <row r="7417" ht="15" customHeight="1" x14ac:dyDescent="0.2"/>
    <row r="7418" ht="15" customHeight="1" x14ac:dyDescent="0.2"/>
    <row r="7419" ht="15" customHeight="1" x14ac:dyDescent="0.2"/>
    <row r="7420" ht="15" customHeight="1" x14ac:dyDescent="0.2"/>
    <row r="7421" ht="15" customHeight="1" x14ac:dyDescent="0.2"/>
    <row r="7422" ht="15" customHeight="1" x14ac:dyDescent="0.2"/>
    <row r="7423" ht="15" customHeight="1" x14ac:dyDescent="0.2"/>
    <row r="7424" ht="15" customHeight="1" x14ac:dyDescent="0.2"/>
    <row r="7425" ht="15" customHeight="1" x14ac:dyDescent="0.2"/>
    <row r="7426" ht="15" customHeight="1" x14ac:dyDescent="0.2"/>
    <row r="7427" ht="15" customHeight="1" x14ac:dyDescent="0.2"/>
    <row r="7428" ht="15" customHeight="1" x14ac:dyDescent="0.2"/>
    <row r="7429" ht="15" customHeight="1" x14ac:dyDescent="0.2"/>
    <row r="7430" ht="15" customHeight="1" x14ac:dyDescent="0.2"/>
    <row r="7431" ht="15" customHeight="1" x14ac:dyDescent="0.2"/>
    <row r="7432" ht="15" customHeight="1" x14ac:dyDescent="0.2"/>
    <row r="7433" ht="15" customHeight="1" x14ac:dyDescent="0.2"/>
    <row r="7434" ht="15" customHeight="1" x14ac:dyDescent="0.2"/>
    <row r="7435" ht="15" customHeight="1" x14ac:dyDescent="0.2"/>
    <row r="7436" ht="15" customHeight="1" x14ac:dyDescent="0.2"/>
    <row r="7437" ht="15" customHeight="1" x14ac:dyDescent="0.2"/>
    <row r="7438" ht="15" customHeight="1" x14ac:dyDescent="0.2"/>
    <row r="7439" ht="15" customHeight="1" x14ac:dyDescent="0.2"/>
    <row r="7440" ht="15" customHeight="1" x14ac:dyDescent="0.2"/>
    <row r="7441" ht="15" customHeight="1" x14ac:dyDescent="0.2"/>
    <row r="7442" ht="15" customHeight="1" x14ac:dyDescent="0.2"/>
    <row r="7443" ht="15" customHeight="1" x14ac:dyDescent="0.2"/>
    <row r="7444" ht="15" customHeight="1" x14ac:dyDescent="0.2"/>
    <row r="7445" ht="15" customHeight="1" x14ac:dyDescent="0.2"/>
    <row r="7446" ht="15" customHeight="1" x14ac:dyDescent="0.2"/>
    <row r="7447" ht="15" customHeight="1" x14ac:dyDescent="0.2"/>
    <row r="7448" ht="15" customHeight="1" x14ac:dyDescent="0.2"/>
    <row r="7449" ht="15" customHeight="1" x14ac:dyDescent="0.2"/>
    <row r="7450" ht="15" customHeight="1" x14ac:dyDescent="0.2"/>
    <row r="7451" ht="15" customHeight="1" x14ac:dyDescent="0.2"/>
    <row r="7452" ht="15" customHeight="1" x14ac:dyDescent="0.2"/>
    <row r="7453" ht="15" customHeight="1" x14ac:dyDescent="0.2"/>
    <row r="7454" ht="15" customHeight="1" x14ac:dyDescent="0.2"/>
    <row r="7455" ht="15" customHeight="1" x14ac:dyDescent="0.2"/>
    <row r="7456" ht="15" customHeight="1" x14ac:dyDescent="0.2"/>
    <row r="7457" ht="15" customHeight="1" x14ac:dyDescent="0.2"/>
    <row r="7458" ht="15" customHeight="1" x14ac:dyDescent="0.2"/>
    <row r="7459" ht="15" customHeight="1" x14ac:dyDescent="0.2"/>
    <row r="7460" ht="15" customHeight="1" x14ac:dyDescent="0.2"/>
    <row r="7461" ht="15" customHeight="1" x14ac:dyDescent="0.2"/>
    <row r="7462" ht="15" customHeight="1" x14ac:dyDescent="0.2"/>
    <row r="7463" ht="15" customHeight="1" x14ac:dyDescent="0.2"/>
    <row r="7464" ht="15" customHeight="1" x14ac:dyDescent="0.2"/>
    <row r="7465" ht="15" customHeight="1" x14ac:dyDescent="0.2"/>
    <row r="7466" ht="15" customHeight="1" x14ac:dyDescent="0.2"/>
    <row r="7467" ht="15" customHeight="1" x14ac:dyDescent="0.2"/>
    <row r="7468" ht="15" customHeight="1" x14ac:dyDescent="0.2"/>
    <row r="7469" ht="15" customHeight="1" x14ac:dyDescent="0.2"/>
    <row r="7470" ht="15" customHeight="1" x14ac:dyDescent="0.2"/>
    <row r="7471" ht="15" customHeight="1" x14ac:dyDescent="0.2"/>
    <row r="7472" ht="15" customHeight="1" x14ac:dyDescent="0.2"/>
    <row r="7473" ht="15" customHeight="1" x14ac:dyDescent="0.2"/>
    <row r="7474" ht="15" customHeight="1" x14ac:dyDescent="0.2"/>
    <row r="7475" ht="15" customHeight="1" x14ac:dyDescent="0.2"/>
    <row r="7476" ht="15" customHeight="1" x14ac:dyDescent="0.2"/>
    <row r="7477" ht="15" customHeight="1" x14ac:dyDescent="0.2"/>
    <row r="7478" ht="15" customHeight="1" x14ac:dyDescent="0.2"/>
    <row r="7479" ht="15" customHeight="1" x14ac:dyDescent="0.2"/>
    <row r="7480" ht="15" customHeight="1" x14ac:dyDescent="0.2"/>
    <row r="7481" ht="15" customHeight="1" x14ac:dyDescent="0.2"/>
    <row r="7482" ht="15" customHeight="1" x14ac:dyDescent="0.2"/>
    <row r="7483" ht="15" customHeight="1" x14ac:dyDescent="0.2"/>
    <row r="7484" ht="15" customHeight="1" x14ac:dyDescent="0.2"/>
    <row r="7485" ht="15" customHeight="1" x14ac:dyDescent="0.2"/>
    <row r="7486" ht="15" customHeight="1" x14ac:dyDescent="0.2"/>
    <row r="7487" ht="15" customHeight="1" x14ac:dyDescent="0.2"/>
    <row r="7488" ht="15" customHeight="1" x14ac:dyDescent="0.2"/>
    <row r="7489" ht="15" customHeight="1" x14ac:dyDescent="0.2"/>
    <row r="7490" ht="15" customHeight="1" x14ac:dyDescent="0.2"/>
    <row r="7491" ht="15" customHeight="1" x14ac:dyDescent="0.2"/>
    <row r="7492" ht="15" customHeight="1" x14ac:dyDescent="0.2"/>
    <row r="7493" ht="15" customHeight="1" x14ac:dyDescent="0.2"/>
    <row r="7494" ht="15" customHeight="1" x14ac:dyDescent="0.2"/>
    <row r="7495" ht="15" customHeight="1" x14ac:dyDescent="0.2"/>
    <row r="7496" ht="15" customHeight="1" x14ac:dyDescent="0.2"/>
    <row r="7497" ht="15" customHeight="1" x14ac:dyDescent="0.2"/>
    <row r="7498" ht="15" customHeight="1" x14ac:dyDescent="0.2"/>
    <row r="7499" ht="15" customHeight="1" x14ac:dyDescent="0.2"/>
    <row r="7500" ht="15" customHeight="1" x14ac:dyDescent="0.2"/>
    <row r="7501" ht="15" customHeight="1" x14ac:dyDescent="0.2"/>
    <row r="7502" ht="15" customHeight="1" x14ac:dyDescent="0.2"/>
    <row r="7503" ht="15" customHeight="1" x14ac:dyDescent="0.2"/>
    <row r="7504" ht="15" customHeight="1" x14ac:dyDescent="0.2"/>
    <row r="7505" ht="15" customHeight="1" x14ac:dyDescent="0.2"/>
    <row r="7506" ht="15" customHeight="1" x14ac:dyDescent="0.2"/>
    <row r="7507" ht="15" customHeight="1" x14ac:dyDescent="0.2"/>
    <row r="7508" ht="15" customHeight="1" x14ac:dyDescent="0.2"/>
    <row r="7509" ht="15" customHeight="1" x14ac:dyDescent="0.2"/>
    <row r="7510" ht="15" customHeight="1" x14ac:dyDescent="0.2"/>
    <row r="7511" ht="15" customHeight="1" x14ac:dyDescent="0.2"/>
    <row r="7512" ht="15" customHeight="1" x14ac:dyDescent="0.2"/>
    <row r="7513" ht="15" customHeight="1" x14ac:dyDescent="0.2"/>
    <row r="7514" ht="15" customHeight="1" x14ac:dyDescent="0.2"/>
    <row r="7515" ht="15" customHeight="1" x14ac:dyDescent="0.2"/>
    <row r="7516" ht="15" customHeight="1" x14ac:dyDescent="0.2"/>
    <row r="7517" ht="15" customHeight="1" x14ac:dyDescent="0.2"/>
    <row r="7518" ht="15" customHeight="1" x14ac:dyDescent="0.2"/>
    <row r="7519" ht="15" customHeight="1" x14ac:dyDescent="0.2"/>
    <row r="7520" ht="15" customHeight="1" x14ac:dyDescent="0.2"/>
    <row r="7521" ht="15" customHeight="1" x14ac:dyDescent="0.2"/>
    <row r="7522" ht="15" customHeight="1" x14ac:dyDescent="0.2"/>
    <row r="7523" ht="15" customHeight="1" x14ac:dyDescent="0.2"/>
    <row r="7524" ht="15" customHeight="1" x14ac:dyDescent="0.2"/>
    <row r="7525" ht="15" customHeight="1" x14ac:dyDescent="0.2"/>
    <row r="7526" ht="15" customHeight="1" x14ac:dyDescent="0.2"/>
    <row r="7527" ht="15" customHeight="1" x14ac:dyDescent="0.2"/>
    <row r="7528" ht="15" customHeight="1" x14ac:dyDescent="0.2"/>
    <row r="7529" ht="15" customHeight="1" x14ac:dyDescent="0.2"/>
    <row r="7530" ht="15" customHeight="1" x14ac:dyDescent="0.2"/>
    <row r="7531" ht="15" customHeight="1" x14ac:dyDescent="0.2"/>
    <row r="7532" ht="15" customHeight="1" x14ac:dyDescent="0.2"/>
    <row r="7533" ht="15" customHeight="1" x14ac:dyDescent="0.2"/>
    <row r="7534" ht="15" customHeight="1" x14ac:dyDescent="0.2"/>
    <row r="7535" ht="15" customHeight="1" x14ac:dyDescent="0.2"/>
    <row r="7536" ht="15" customHeight="1" x14ac:dyDescent="0.2"/>
    <row r="7537" ht="15" customHeight="1" x14ac:dyDescent="0.2"/>
    <row r="7538" ht="15" customHeight="1" x14ac:dyDescent="0.2"/>
    <row r="7539" ht="15" customHeight="1" x14ac:dyDescent="0.2"/>
    <row r="7540" ht="15" customHeight="1" x14ac:dyDescent="0.2"/>
    <row r="7541" ht="15" customHeight="1" x14ac:dyDescent="0.2"/>
    <row r="7542" ht="15" customHeight="1" x14ac:dyDescent="0.2"/>
    <row r="7543" ht="15" customHeight="1" x14ac:dyDescent="0.2"/>
    <row r="7544" ht="15" customHeight="1" x14ac:dyDescent="0.2"/>
    <row r="7545" ht="15" customHeight="1" x14ac:dyDescent="0.2"/>
    <row r="7546" ht="15" customHeight="1" x14ac:dyDescent="0.2"/>
    <row r="7547" ht="15" customHeight="1" x14ac:dyDescent="0.2"/>
    <row r="7548" ht="15" customHeight="1" x14ac:dyDescent="0.2"/>
    <row r="7549" ht="15" customHeight="1" x14ac:dyDescent="0.2"/>
    <row r="7550" ht="15" customHeight="1" x14ac:dyDescent="0.2"/>
    <row r="7551" ht="15" customHeight="1" x14ac:dyDescent="0.2"/>
    <row r="7552" ht="15" customHeight="1" x14ac:dyDescent="0.2"/>
    <row r="7553" ht="15" customHeight="1" x14ac:dyDescent="0.2"/>
    <row r="7554" ht="15" customHeight="1" x14ac:dyDescent="0.2"/>
    <row r="7555" ht="15" customHeight="1" x14ac:dyDescent="0.2"/>
    <row r="7556" ht="15" customHeight="1" x14ac:dyDescent="0.2"/>
    <row r="7557" ht="15" customHeight="1" x14ac:dyDescent="0.2"/>
    <row r="7558" ht="15" customHeight="1" x14ac:dyDescent="0.2"/>
    <row r="7559" ht="15" customHeight="1" x14ac:dyDescent="0.2"/>
    <row r="7560" ht="15" customHeight="1" x14ac:dyDescent="0.2"/>
    <row r="7561" ht="15" customHeight="1" x14ac:dyDescent="0.2"/>
    <row r="7562" ht="15" customHeight="1" x14ac:dyDescent="0.2"/>
    <row r="7563" ht="15" customHeight="1" x14ac:dyDescent="0.2"/>
    <row r="7564" ht="15" customHeight="1" x14ac:dyDescent="0.2"/>
    <row r="7565" ht="15" customHeight="1" x14ac:dyDescent="0.2"/>
    <row r="7566" ht="15" customHeight="1" x14ac:dyDescent="0.2"/>
    <row r="7567" ht="15" customHeight="1" x14ac:dyDescent="0.2"/>
    <row r="7568" ht="15" customHeight="1" x14ac:dyDescent="0.2"/>
    <row r="7569" ht="15" customHeight="1" x14ac:dyDescent="0.2"/>
    <row r="7570" ht="15" customHeight="1" x14ac:dyDescent="0.2"/>
    <row r="7571" ht="15" customHeight="1" x14ac:dyDescent="0.2"/>
    <row r="7572" ht="15" customHeight="1" x14ac:dyDescent="0.2"/>
    <row r="7573" ht="15" customHeight="1" x14ac:dyDescent="0.2"/>
    <row r="7574" ht="15" customHeight="1" x14ac:dyDescent="0.2"/>
    <row r="7575" ht="15" customHeight="1" x14ac:dyDescent="0.2"/>
    <row r="7576" ht="15" customHeight="1" x14ac:dyDescent="0.2"/>
    <row r="7577" ht="15" customHeight="1" x14ac:dyDescent="0.2"/>
    <row r="7578" ht="15" customHeight="1" x14ac:dyDescent="0.2"/>
    <row r="7579" ht="15" customHeight="1" x14ac:dyDescent="0.2"/>
    <row r="7580" ht="15" customHeight="1" x14ac:dyDescent="0.2"/>
    <row r="7581" ht="15" customHeight="1" x14ac:dyDescent="0.2"/>
    <row r="7582" ht="15" customHeight="1" x14ac:dyDescent="0.2"/>
    <row r="7583" ht="15" customHeight="1" x14ac:dyDescent="0.2"/>
    <row r="7584" ht="15" customHeight="1" x14ac:dyDescent="0.2"/>
    <row r="7585" ht="15" customHeight="1" x14ac:dyDescent="0.2"/>
    <row r="7586" ht="15" customHeight="1" x14ac:dyDescent="0.2"/>
    <row r="7587" ht="15" customHeight="1" x14ac:dyDescent="0.2"/>
    <row r="7588" ht="15" customHeight="1" x14ac:dyDescent="0.2"/>
    <row r="7589" ht="15" customHeight="1" x14ac:dyDescent="0.2"/>
    <row r="7590" ht="15" customHeight="1" x14ac:dyDescent="0.2"/>
    <row r="7591" ht="15" customHeight="1" x14ac:dyDescent="0.2"/>
    <row r="7592" ht="15" customHeight="1" x14ac:dyDescent="0.2"/>
    <row r="7593" ht="15" customHeight="1" x14ac:dyDescent="0.2"/>
    <row r="7594" ht="15" customHeight="1" x14ac:dyDescent="0.2"/>
    <row r="7595" ht="15" customHeight="1" x14ac:dyDescent="0.2"/>
    <row r="7596" ht="15" customHeight="1" x14ac:dyDescent="0.2"/>
    <row r="7597" ht="15" customHeight="1" x14ac:dyDescent="0.2"/>
    <row r="7598" ht="15" customHeight="1" x14ac:dyDescent="0.2"/>
    <row r="7599" ht="15" customHeight="1" x14ac:dyDescent="0.2"/>
    <row r="7600" ht="15" customHeight="1" x14ac:dyDescent="0.2"/>
    <row r="7601" ht="15" customHeight="1" x14ac:dyDescent="0.2"/>
    <row r="7602" ht="15" customHeight="1" x14ac:dyDescent="0.2"/>
    <row r="7603" ht="15" customHeight="1" x14ac:dyDescent="0.2"/>
    <row r="7604" ht="15" customHeight="1" x14ac:dyDescent="0.2"/>
    <row r="7605" ht="15" customHeight="1" x14ac:dyDescent="0.2"/>
    <row r="7606" ht="15" customHeight="1" x14ac:dyDescent="0.2"/>
    <row r="7607" ht="15" customHeight="1" x14ac:dyDescent="0.2"/>
    <row r="7608" ht="15" customHeight="1" x14ac:dyDescent="0.2"/>
    <row r="7609" ht="15" customHeight="1" x14ac:dyDescent="0.2"/>
    <row r="7610" ht="15" customHeight="1" x14ac:dyDescent="0.2"/>
    <row r="7611" ht="15" customHeight="1" x14ac:dyDescent="0.2"/>
    <row r="7612" ht="15" customHeight="1" x14ac:dyDescent="0.2"/>
    <row r="7613" ht="15" customHeight="1" x14ac:dyDescent="0.2"/>
    <row r="7614" ht="15" customHeight="1" x14ac:dyDescent="0.2"/>
    <row r="7615" ht="15" customHeight="1" x14ac:dyDescent="0.2"/>
    <row r="7616" ht="15" customHeight="1" x14ac:dyDescent="0.2"/>
    <row r="7617" ht="15" customHeight="1" x14ac:dyDescent="0.2"/>
    <row r="7618" ht="15" customHeight="1" x14ac:dyDescent="0.2"/>
    <row r="7619" ht="15" customHeight="1" x14ac:dyDescent="0.2"/>
    <row r="7620" ht="15" customHeight="1" x14ac:dyDescent="0.2"/>
    <row r="7621" ht="15" customHeight="1" x14ac:dyDescent="0.2"/>
    <row r="7622" ht="15" customHeight="1" x14ac:dyDescent="0.2"/>
    <row r="7623" ht="15" customHeight="1" x14ac:dyDescent="0.2"/>
    <row r="7624" ht="15" customHeight="1" x14ac:dyDescent="0.2"/>
    <row r="7625" ht="15" customHeight="1" x14ac:dyDescent="0.2"/>
    <row r="7626" ht="15" customHeight="1" x14ac:dyDescent="0.2"/>
    <row r="7627" ht="15" customHeight="1" x14ac:dyDescent="0.2"/>
    <row r="7628" ht="15" customHeight="1" x14ac:dyDescent="0.2"/>
    <row r="7629" ht="15" customHeight="1" x14ac:dyDescent="0.2"/>
    <row r="7630" ht="15" customHeight="1" x14ac:dyDescent="0.2"/>
    <row r="7631" ht="15" customHeight="1" x14ac:dyDescent="0.2"/>
    <row r="7632" ht="15" customHeight="1" x14ac:dyDescent="0.2"/>
    <row r="7633" ht="15" customHeight="1" x14ac:dyDescent="0.2"/>
    <row r="7634" ht="15" customHeight="1" x14ac:dyDescent="0.2"/>
    <row r="7635" ht="15" customHeight="1" x14ac:dyDescent="0.2"/>
    <row r="7636" ht="15" customHeight="1" x14ac:dyDescent="0.2"/>
    <row r="7637" ht="15" customHeight="1" x14ac:dyDescent="0.2"/>
    <row r="7638" ht="15" customHeight="1" x14ac:dyDescent="0.2"/>
    <row r="7639" ht="15" customHeight="1" x14ac:dyDescent="0.2"/>
    <row r="7640" ht="15" customHeight="1" x14ac:dyDescent="0.2"/>
    <row r="7641" ht="15" customHeight="1" x14ac:dyDescent="0.2"/>
    <row r="7642" ht="15" customHeight="1" x14ac:dyDescent="0.2"/>
    <row r="7643" ht="15" customHeight="1" x14ac:dyDescent="0.2"/>
    <row r="7644" ht="15" customHeight="1" x14ac:dyDescent="0.2"/>
    <row r="7645" ht="15" customHeight="1" x14ac:dyDescent="0.2"/>
    <row r="7646" ht="15" customHeight="1" x14ac:dyDescent="0.2"/>
    <row r="7647" ht="15" customHeight="1" x14ac:dyDescent="0.2"/>
    <row r="7648" ht="15" customHeight="1" x14ac:dyDescent="0.2"/>
    <row r="7649" ht="15" customHeight="1" x14ac:dyDescent="0.2"/>
    <row r="7650" ht="15" customHeight="1" x14ac:dyDescent="0.2"/>
    <row r="7651" ht="15" customHeight="1" x14ac:dyDescent="0.2"/>
    <row r="7652" ht="15" customHeight="1" x14ac:dyDescent="0.2"/>
    <row r="7653" ht="15" customHeight="1" x14ac:dyDescent="0.2"/>
    <row r="7654" ht="15" customHeight="1" x14ac:dyDescent="0.2"/>
    <row r="7655" ht="15" customHeight="1" x14ac:dyDescent="0.2"/>
    <row r="7656" ht="15" customHeight="1" x14ac:dyDescent="0.2"/>
    <row r="7657" ht="15" customHeight="1" x14ac:dyDescent="0.2"/>
    <row r="7658" ht="15" customHeight="1" x14ac:dyDescent="0.2"/>
    <row r="7659" ht="15" customHeight="1" x14ac:dyDescent="0.2"/>
    <row r="7660" ht="15" customHeight="1" x14ac:dyDescent="0.2"/>
    <row r="7661" ht="15" customHeight="1" x14ac:dyDescent="0.2"/>
    <row r="7662" ht="15" customHeight="1" x14ac:dyDescent="0.2"/>
    <row r="7663" ht="15" customHeight="1" x14ac:dyDescent="0.2"/>
    <row r="7664" ht="15" customHeight="1" x14ac:dyDescent="0.2"/>
    <row r="7665" ht="15" customHeight="1" x14ac:dyDescent="0.2"/>
    <row r="7666" ht="15" customHeight="1" x14ac:dyDescent="0.2"/>
    <row r="7667" ht="15" customHeight="1" x14ac:dyDescent="0.2"/>
    <row r="7668" ht="15" customHeight="1" x14ac:dyDescent="0.2"/>
    <row r="7669" ht="15" customHeight="1" x14ac:dyDescent="0.2"/>
    <row r="7670" ht="15" customHeight="1" x14ac:dyDescent="0.2"/>
    <row r="7671" ht="15" customHeight="1" x14ac:dyDescent="0.2"/>
    <row r="7672" ht="15" customHeight="1" x14ac:dyDescent="0.2"/>
    <row r="7673" ht="15" customHeight="1" x14ac:dyDescent="0.2"/>
    <row r="7674" ht="15" customHeight="1" x14ac:dyDescent="0.2"/>
    <row r="7675" ht="15" customHeight="1" x14ac:dyDescent="0.2"/>
    <row r="7676" ht="15" customHeight="1" x14ac:dyDescent="0.2"/>
    <row r="7677" ht="15" customHeight="1" x14ac:dyDescent="0.2"/>
    <row r="7678" ht="15" customHeight="1" x14ac:dyDescent="0.2"/>
    <row r="7679" ht="15" customHeight="1" x14ac:dyDescent="0.2"/>
    <row r="7680" ht="15" customHeight="1" x14ac:dyDescent="0.2"/>
    <row r="7681" ht="15" customHeight="1" x14ac:dyDescent="0.2"/>
    <row r="7682" ht="15" customHeight="1" x14ac:dyDescent="0.2"/>
    <row r="7683" ht="15" customHeight="1" x14ac:dyDescent="0.2"/>
    <row r="7684" ht="15" customHeight="1" x14ac:dyDescent="0.2"/>
    <row r="7685" ht="15" customHeight="1" x14ac:dyDescent="0.2"/>
    <row r="7686" ht="15" customHeight="1" x14ac:dyDescent="0.2"/>
    <row r="7687" ht="15" customHeight="1" x14ac:dyDescent="0.2"/>
    <row r="7688" ht="15" customHeight="1" x14ac:dyDescent="0.2"/>
    <row r="7689" ht="15" customHeight="1" x14ac:dyDescent="0.2"/>
    <row r="7690" ht="15" customHeight="1" x14ac:dyDescent="0.2"/>
    <row r="7691" ht="15" customHeight="1" x14ac:dyDescent="0.2"/>
    <row r="7692" ht="15" customHeight="1" x14ac:dyDescent="0.2"/>
    <row r="7693" ht="15" customHeight="1" x14ac:dyDescent="0.2"/>
    <row r="7694" ht="15" customHeight="1" x14ac:dyDescent="0.2"/>
    <row r="7695" ht="15" customHeight="1" x14ac:dyDescent="0.2"/>
    <row r="7696" ht="15" customHeight="1" x14ac:dyDescent="0.2"/>
    <row r="7697" ht="15" customHeight="1" x14ac:dyDescent="0.2"/>
    <row r="7698" ht="15" customHeight="1" x14ac:dyDescent="0.2"/>
    <row r="7699" ht="15" customHeight="1" x14ac:dyDescent="0.2"/>
    <row r="7700" ht="15" customHeight="1" x14ac:dyDescent="0.2"/>
    <row r="7701" ht="15" customHeight="1" x14ac:dyDescent="0.2"/>
    <row r="7702" ht="15" customHeight="1" x14ac:dyDescent="0.2"/>
    <row r="7703" ht="15" customHeight="1" x14ac:dyDescent="0.2"/>
    <row r="7704" ht="15" customHeight="1" x14ac:dyDescent="0.2"/>
    <row r="7705" ht="15" customHeight="1" x14ac:dyDescent="0.2"/>
    <row r="7706" ht="15" customHeight="1" x14ac:dyDescent="0.2"/>
    <row r="7707" ht="15" customHeight="1" x14ac:dyDescent="0.2"/>
    <row r="7708" ht="15" customHeight="1" x14ac:dyDescent="0.2"/>
    <row r="7709" ht="15" customHeight="1" x14ac:dyDescent="0.2"/>
    <row r="7710" ht="15" customHeight="1" x14ac:dyDescent="0.2"/>
    <row r="7711" ht="15" customHeight="1" x14ac:dyDescent="0.2"/>
    <row r="7712" ht="15" customHeight="1" x14ac:dyDescent="0.2"/>
    <row r="7713" ht="15" customHeight="1" x14ac:dyDescent="0.2"/>
    <row r="7714" ht="15" customHeight="1" x14ac:dyDescent="0.2"/>
    <row r="7715" ht="15" customHeight="1" x14ac:dyDescent="0.2"/>
    <row r="7716" ht="15" customHeight="1" x14ac:dyDescent="0.2"/>
    <row r="7717" ht="15" customHeight="1" x14ac:dyDescent="0.2"/>
    <row r="7718" ht="15" customHeight="1" x14ac:dyDescent="0.2"/>
    <row r="7719" ht="15" customHeight="1" x14ac:dyDescent="0.2"/>
    <row r="7720" ht="15" customHeight="1" x14ac:dyDescent="0.2"/>
    <row r="7721" ht="15" customHeight="1" x14ac:dyDescent="0.2"/>
    <row r="7722" ht="15" customHeight="1" x14ac:dyDescent="0.2"/>
    <row r="7723" ht="15" customHeight="1" x14ac:dyDescent="0.2"/>
    <row r="7724" ht="15" customHeight="1" x14ac:dyDescent="0.2"/>
    <row r="7725" ht="15" customHeight="1" x14ac:dyDescent="0.2"/>
    <row r="7726" ht="15" customHeight="1" x14ac:dyDescent="0.2"/>
    <row r="7727" ht="15" customHeight="1" x14ac:dyDescent="0.2"/>
    <row r="7728" ht="15" customHeight="1" x14ac:dyDescent="0.2"/>
    <row r="7729" ht="15" customHeight="1" x14ac:dyDescent="0.2"/>
    <row r="7730" ht="15" customHeight="1" x14ac:dyDescent="0.2"/>
    <row r="7731" ht="15" customHeight="1" x14ac:dyDescent="0.2"/>
    <row r="7732" ht="15" customHeight="1" x14ac:dyDescent="0.2"/>
    <row r="7733" ht="15" customHeight="1" x14ac:dyDescent="0.2"/>
    <row r="7734" ht="15" customHeight="1" x14ac:dyDescent="0.2"/>
    <row r="7735" ht="15" customHeight="1" x14ac:dyDescent="0.2"/>
    <row r="7736" ht="15" customHeight="1" x14ac:dyDescent="0.2"/>
    <row r="7737" ht="15" customHeight="1" x14ac:dyDescent="0.2"/>
    <row r="7738" ht="15" customHeight="1" x14ac:dyDescent="0.2"/>
    <row r="7739" ht="15" customHeight="1" x14ac:dyDescent="0.2"/>
    <row r="7740" ht="15" customHeight="1" x14ac:dyDescent="0.2"/>
    <row r="7741" ht="15" customHeight="1" x14ac:dyDescent="0.2"/>
    <row r="7742" ht="15" customHeight="1" x14ac:dyDescent="0.2"/>
    <row r="7743" ht="15" customHeight="1" x14ac:dyDescent="0.2"/>
    <row r="7744" ht="15" customHeight="1" x14ac:dyDescent="0.2"/>
    <row r="7745" ht="15" customHeight="1" x14ac:dyDescent="0.2"/>
    <row r="7746" ht="15" customHeight="1" x14ac:dyDescent="0.2"/>
    <row r="7747" ht="15" customHeight="1" x14ac:dyDescent="0.2"/>
    <row r="7748" ht="15" customHeight="1" x14ac:dyDescent="0.2"/>
    <row r="7749" ht="15" customHeight="1" x14ac:dyDescent="0.2"/>
    <row r="7750" ht="15" customHeight="1" x14ac:dyDescent="0.2"/>
    <row r="7751" ht="15" customHeight="1" x14ac:dyDescent="0.2"/>
    <row r="7752" ht="15" customHeight="1" x14ac:dyDescent="0.2"/>
    <row r="7753" ht="15" customHeight="1" x14ac:dyDescent="0.2"/>
    <row r="7754" ht="15" customHeight="1" x14ac:dyDescent="0.2"/>
    <row r="7755" ht="15" customHeight="1" x14ac:dyDescent="0.2"/>
    <row r="7756" ht="15" customHeight="1" x14ac:dyDescent="0.2"/>
    <row r="7757" ht="15" customHeight="1" x14ac:dyDescent="0.2"/>
    <row r="7758" ht="15" customHeight="1" x14ac:dyDescent="0.2"/>
    <row r="7759" ht="15" customHeight="1" x14ac:dyDescent="0.2"/>
    <row r="7760" ht="15" customHeight="1" x14ac:dyDescent="0.2"/>
    <row r="7761" ht="15" customHeight="1" x14ac:dyDescent="0.2"/>
    <row r="7762" ht="15" customHeight="1" x14ac:dyDescent="0.2"/>
    <row r="7763" ht="15" customHeight="1" x14ac:dyDescent="0.2"/>
    <row r="7764" ht="15" customHeight="1" x14ac:dyDescent="0.2"/>
    <row r="7765" ht="15" customHeight="1" x14ac:dyDescent="0.2"/>
    <row r="7766" ht="15" customHeight="1" x14ac:dyDescent="0.2"/>
    <row r="7767" ht="15" customHeight="1" x14ac:dyDescent="0.2"/>
    <row r="7768" ht="15" customHeight="1" x14ac:dyDescent="0.2"/>
    <row r="7769" ht="15" customHeight="1" x14ac:dyDescent="0.2"/>
    <row r="7770" ht="15" customHeight="1" x14ac:dyDescent="0.2"/>
    <row r="7771" ht="15" customHeight="1" x14ac:dyDescent="0.2"/>
    <row r="7772" ht="15" customHeight="1" x14ac:dyDescent="0.2"/>
    <row r="7773" ht="15" customHeight="1" x14ac:dyDescent="0.2"/>
    <row r="7774" ht="15" customHeight="1" x14ac:dyDescent="0.2"/>
    <row r="7775" ht="15" customHeight="1" x14ac:dyDescent="0.2"/>
    <row r="7776" ht="15" customHeight="1" x14ac:dyDescent="0.2"/>
    <row r="7777" ht="15" customHeight="1" x14ac:dyDescent="0.2"/>
    <row r="7778" ht="15" customHeight="1" x14ac:dyDescent="0.2"/>
    <row r="7779" ht="15" customHeight="1" x14ac:dyDescent="0.2"/>
    <row r="7780" ht="15" customHeight="1" x14ac:dyDescent="0.2"/>
    <row r="7781" ht="15" customHeight="1" x14ac:dyDescent="0.2"/>
    <row r="7782" ht="15" customHeight="1" x14ac:dyDescent="0.2"/>
    <row r="7783" ht="15" customHeight="1" x14ac:dyDescent="0.2"/>
    <row r="7784" ht="15" customHeight="1" x14ac:dyDescent="0.2"/>
    <row r="7785" ht="15" customHeight="1" x14ac:dyDescent="0.2"/>
    <row r="7786" ht="15" customHeight="1" x14ac:dyDescent="0.2"/>
    <row r="7787" ht="15" customHeight="1" x14ac:dyDescent="0.2"/>
    <row r="7788" ht="15" customHeight="1" x14ac:dyDescent="0.2"/>
    <row r="7789" ht="15" customHeight="1" x14ac:dyDescent="0.2"/>
    <row r="7790" ht="15" customHeight="1" x14ac:dyDescent="0.2"/>
    <row r="7791" ht="15" customHeight="1" x14ac:dyDescent="0.2"/>
    <row r="7792" ht="15" customHeight="1" x14ac:dyDescent="0.2"/>
    <row r="7793" ht="15" customHeight="1" x14ac:dyDescent="0.2"/>
    <row r="7794" ht="15" customHeight="1" x14ac:dyDescent="0.2"/>
    <row r="7795" ht="15" customHeight="1" x14ac:dyDescent="0.2"/>
    <row r="7796" ht="15" customHeight="1" x14ac:dyDescent="0.2"/>
    <row r="7797" ht="15" customHeight="1" x14ac:dyDescent="0.2"/>
    <row r="7798" ht="15" customHeight="1" x14ac:dyDescent="0.2"/>
    <row r="7799" ht="15" customHeight="1" x14ac:dyDescent="0.2"/>
    <row r="7800" ht="15" customHeight="1" x14ac:dyDescent="0.2"/>
    <row r="7801" ht="15" customHeight="1" x14ac:dyDescent="0.2"/>
    <row r="7802" ht="15" customHeight="1" x14ac:dyDescent="0.2"/>
    <row r="7803" ht="15" customHeight="1" x14ac:dyDescent="0.2"/>
    <row r="7804" ht="15" customHeight="1" x14ac:dyDescent="0.2"/>
    <row r="7805" ht="15" customHeight="1" x14ac:dyDescent="0.2"/>
    <row r="7806" ht="15" customHeight="1" x14ac:dyDescent="0.2"/>
    <row r="7807" ht="15" customHeight="1" x14ac:dyDescent="0.2"/>
    <row r="7808" ht="15" customHeight="1" x14ac:dyDescent="0.2"/>
    <row r="7809" ht="15" customHeight="1" x14ac:dyDescent="0.2"/>
    <row r="7810" ht="15" customHeight="1" x14ac:dyDescent="0.2"/>
    <row r="7811" ht="15" customHeight="1" x14ac:dyDescent="0.2"/>
    <row r="7812" ht="15" customHeight="1" x14ac:dyDescent="0.2"/>
    <row r="7813" ht="15" customHeight="1" x14ac:dyDescent="0.2"/>
    <row r="7814" ht="15" customHeight="1" x14ac:dyDescent="0.2"/>
    <row r="7815" ht="15" customHeight="1" x14ac:dyDescent="0.2"/>
    <row r="7816" ht="15" customHeight="1" x14ac:dyDescent="0.2"/>
    <row r="7817" ht="15" customHeight="1" x14ac:dyDescent="0.2"/>
    <row r="7818" ht="15" customHeight="1" x14ac:dyDescent="0.2"/>
    <row r="7819" ht="15" customHeight="1" x14ac:dyDescent="0.2"/>
    <row r="7820" ht="15" customHeight="1" x14ac:dyDescent="0.2"/>
    <row r="7821" ht="15" customHeight="1" x14ac:dyDescent="0.2"/>
    <row r="7822" ht="15" customHeight="1" x14ac:dyDescent="0.2"/>
    <row r="7823" ht="15" customHeight="1" x14ac:dyDescent="0.2"/>
    <row r="7824" ht="15" customHeight="1" x14ac:dyDescent="0.2"/>
    <row r="7825" ht="15" customHeight="1" x14ac:dyDescent="0.2"/>
    <row r="7826" ht="15" customHeight="1" x14ac:dyDescent="0.2"/>
    <row r="7827" ht="15" customHeight="1" x14ac:dyDescent="0.2"/>
    <row r="7828" ht="15" customHeight="1" x14ac:dyDescent="0.2"/>
    <row r="7829" ht="15" customHeight="1" x14ac:dyDescent="0.2"/>
    <row r="7830" ht="15" customHeight="1" x14ac:dyDescent="0.2"/>
    <row r="7831" ht="15" customHeight="1" x14ac:dyDescent="0.2"/>
    <row r="7832" ht="15" customHeight="1" x14ac:dyDescent="0.2"/>
    <row r="7833" ht="15" customHeight="1" x14ac:dyDescent="0.2"/>
    <row r="7834" ht="15" customHeight="1" x14ac:dyDescent="0.2"/>
    <row r="7835" ht="15" customHeight="1" x14ac:dyDescent="0.2"/>
    <row r="7836" ht="15" customHeight="1" x14ac:dyDescent="0.2"/>
    <row r="7837" ht="15" customHeight="1" x14ac:dyDescent="0.2"/>
    <row r="7838" ht="15" customHeight="1" x14ac:dyDescent="0.2"/>
    <row r="7839" ht="15" customHeight="1" x14ac:dyDescent="0.2"/>
    <row r="7840" ht="15" customHeight="1" x14ac:dyDescent="0.2"/>
    <row r="7841" ht="15" customHeight="1" x14ac:dyDescent="0.2"/>
    <row r="7842" ht="15" customHeight="1" x14ac:dyDescent="0.2"/>
    <row r="7843" ht="15" customHeight="1" x14ac:dyDescent="0.2"/>
    <row r="7844" ht="15" customHeight="1" x14ac:dyDescent="0.2"/>
    <row r="7845" ht="15" customHeight="1" x14ac:dyDescent="0.2"/>
    <row r="7846" ht="15" customHeight="1" x14ac:dyDescent="0.2"/>
    <row r="7847" ht="15" customHeight="1" x14ac:dyDescent="0.2"/>
    <row r="7848" ht="15" customHeight="1" x14ac:dyDescent="0.2"/>
    <row r="7849" ht="15" customHeight="1" x14ac:dyDescent="0.2"/>
    <row r="7850" ht="15" customHeight="1" x14ac:dyDescent="0.2"/>
    <row r="7851" ht="15" customHeight="1" x14ac:dyDescent="0.2"/>
    <row r="7852" ht="15" customHeight="1" x14ac:dyDescent="0.2"/>
    <row r="7853" ht="15" customHeight="1" x14ac:dyDescent="0.2"/>
    <row r="7854" ht="15" customHeight="1" x14ac:dyDescent="0.2"/>
    <row r="7855" ht="15" customHeight="1" x14ac:dyDescent="0.2"/>
    <row r="7856" ht="15" customHeight="1" x14ac:dyDescent="0.2"/>
    <row r="7857" ht="15" customHeight="1" x14ac:dyDescent="0.2"/>
    <row r="7858" ht="15" customHeight="1" x14ac:dyDescent="0.2"/>
    <row r="7859" ht="15" customHeight="1" x14ac:dyDescent="0.2"/>
    <row r="7860" ht="15" customHeight="1" x14ac:dyDescent="0.2"/>
    <row r="7861" ht="15" customHeight="1" x14ac:dyDescent="0.2"/>
    <row r="7862" ht="15" customHeight="1" x14ac:dyDescent="0.2"/>
    <row r="7863" ht="15" customHeight="1" x14ac:dyDescent="0.2"/>
    <row r="7864" ht="15" customHeight="1" x14ac:dyDescent="0.2"/>
    <row r="7865" ht="15" customHeight="1" x14ac:dyDescent="0.2"/>
    <row r="7866" ht="15" customHeight="1" x14ac:dyDescent="0.2"/>
    <row r="7867" ht="15" customHeight="1" x14ac:dyDescent="0.2"/>
    <row r="7868" ht="15" customHeight="1" x14ac:dyDescent="0.2"/>
    <row r="7869" ht="15" customHeight="1" x14ac:dyDescent="0.2"/>
    <row r="7870" ht="15" customHeight="1" x14ac:dyDescent="0.2"/>
    <row r="7871" ht="15" customHeight="1" x14ac:dyDescent="0.2"/>
    <row r="7872" ht="15" customHeight="1" x14ac:dyDescent="0.2"/>
    <row r="7873" ht="15" customHeight="1" x14ac:dyDescent="0.2"/>
    <row r="7874" ht="15" customHeight="1" x14ac:dyDescent="0.2"/>
    <row r="7875" ht="15" customHeight="1" x14ac:dyDescent="0.2"/>
    <row r="7876" ht="15" customHeight="1" x14ac:dyDescent="0.2"/>
    <row r="7877" ht="15" customHeight="1" x14ac:dyDescent="0.2"/>
    <row r="7878" ht="15" customHeight="1" x14ac:dyDescent="0.2"/>
    <row r="7879" ht="15" customHeight="1" x14ac:dyDescent="0.2"/>
    <row r="7880" ht="15" customHeight="1" x14ac:dyDescent="0.2"/>
    <row r="7881" ht="15" customHeight="1" x14ac:dyDescent="0.2"/>
    <row r="7882" ht="15" customHeight="1" x14ac:dyDescent="0.2"/>
    <row r="7883" ht="15" customHeight="1" x14ac:dyDescent="0.2"/>
    <row r="7884" ht="15" customHeight="1" x14ac:dyDescent="0.2"/>
    <row r="7885" ht="15" customHeight="1" x14ac:dyDescent="0.2"/>
    <row r="7886" ht="15" customHeight="1" x14ac:dyDescent="0.2"/>
    <row r="7887" ht="15" customHeight="1" x14ac:dyDescent="0.2"/>
    <row r="7888" ht="15" customHeight="1" x14ac:dyDescent="0.2"/>
    <row r="7889" ht="15" customHeight="1" x14ac:dyDescent="0.2"/>
    <row r="7890" ht="15" customHeight="1" x14ac:dyDescent="0.2"/>
    <row r="7891" ht="15" customHeight="1" x14ac:dyDescent="0.2"/>
    <row r="7892" ht="15" customHeight="1" x14ac:dyDescent="0.2"/>
    <row r="7893" ht="15" customHeight="1" x14ac:dyDescent="0.2"/>
    <row r="7894" ht="15" customHeight="1" x14ac:dyDescent="0.2"/>
    <row r="7895" ht="15" customHeight="1" x14ac:dyDescent="0.2"/>
    <row r="7896" ht="15" customHeight="1" x14ac:dyDescent="0.2"/>
    <row r="7897" ht="15" customHeight="1" x14ac:dyDescent="0.2"/>
    <row r="7898" ht="15" customHeight="1" x14ac:dyDescent="0.2"/>
    <row r="7899" ht="15" customHeight="1" x14ac:dyDescent="0.2"/>
    <row r="7900" ht="15" customHeight="1" x14ac:dyDescent="0.2"/>
    <row r="7901" ht="15" customHeight="1" x14ac:dyDescent="0.2"/>
    <row r="7902" ht="15" customHeight="1" x14ac:dyDescent="0.2"/>
    <row r="7903" ht="15" customHeight="1" x14ac:dyDescent="0.2"/>
    <row r="7904" ht="15" customHeight="1" x14ac:dyDescent="0.2"/>
    <row r="7905" ht="15" customHeight="1" x14ac:dyDescent="0.2"/>
    <row r="7906" ht="15" customHeight="1" x14ac:dyDescent="0.2"/>
    <row r="7907" ht="15" customHeight="1" x14ac:dyDescent="0.2"/>
    <row r="7908" ht="15" customHeight="1" x14ac:dyDescent="0.2"/>
    <row r="7909" ht="15" customHeight="1" x14ac:dyDescent="0.2"/>
    <row r="7910" ht="15" customHeight="1" x14ac:dyDescent="0.2"/>
    <row r="7911" ht="15" customHeight="1" x14ac:dyDescent="0.2"/>
    <row r="7912" ht="15" customHeight="1" x14ac:dyDescent="0.2"/>
    <row r="7913" ht="15" customHeight="1" x14ac:dyDescent="0.2"/>
    <row r="7914" ht="15" customHeight="1" x14ac:dyDescent="0.2"/>
    <row r="7915" ht="15" customHeight="1" x14ac:dyDescent="0.2"/>
    <row r="7916" ht="15" customHeight="1" x14ac:dyDescent="0.2"/>
    <row r="7917" ht="15" customHeight="1" x14ac:dyDescent="0.2"/>
    <row r="7918" ht="15" customHeight="1" x14ac:dyDescent="0.2"/>
    <row r="7919" ht="15" customHeight="1" x14ac:dyDescent="0.2"/>
    <row r="7920" ht="15" customHeight="1" x14ac:dyDescent="0.2"/>
    <row r="7921" ht="15" customHeight="1" x14ac:dyDescent="0.2"/>
    <row r="7922" ht="15" customHeight="1" x14ac:dyDescent="0.2"/>
    <row r="7923" ht="15" customHeight="1" x14ac:dyDescent="0.2"/>
    <row r="7924" ht="15" customHeight="1" x14ac:dyDescent="0.2"/>
    <row r="7925" ht="15" customHeight="1" x14ac:dyDescent="0.2"/>
    <row r="7926" ht="15" customHeight="1" x14ac:dyDescent="0.2"/>
    <row r="7927" ht="15" customHeight="1" x14ac:dyDescent="0.2"/>
    <row r="7928" ht="15" customHeight="1" x14ac:dyDescent="0.2"/>
    <row r="7929" ht="15" customHeight="1" x14ac:dyDescent="0.2"/>
    <row r="7930" ht="15" customHeight="1" x14ac:dyDescent="0.2"/>
    <row r="7931" ht="15" customHeight="1" x14ac:dyDescent="0.2"/>
    <row r="7932" ht="15" customHeight="1" x14ac:dyDescent="0.2"/>
    <row r="7933" ht="15" customHeight="1" x14ac:dyDescent="0.2"/>
    <row r="7934" ht="15" customHeight="1" x14ac:dyDescent="0.2"/>
    <row r="7935" ht="15" customHeight="1" x14ac:dyDescent="0.2"/>
    <row r="7936" ht="15" customHeight="1" x14ac:dyDescent="0.2"/>
    <row r="7937" ht="15" customHeight="1" x14ac:dyDescent="0.2"/>
    <row r="7938" ht="15" customHeight="1" x14ac:dyDescent="0.2"/>
    <row r="7939" ht="15" customHeight="1" x14ac:dyDescent="0.2"/>
    <row r="7940" ht="15" customHeight="1" x14ac:dyDescent="0.2"/>
    <row r="7941" ht="15" customHeight="1" x14ac:dyDescent="0.2"/>
    <row r="7942" ht="15" customHeight="1" x14ac:dyDescent="0.2"/>
    <row r="7943" ht="15" customHeight="1" x14ac:dyDescent="0.2"/>
    <row r="7944" ht="15" customHeight="1" x14ac:dyDescent="0.2"/>
    <row r="7945" ht="15" customHeight="1" x14ac:dyDescent="0.2"/>
    <row r="7946" ht="15" customHeight="1" x14ac:dyDescent="0.2"/>
    <row r="7947" ht="15" customHeight="1" x14ac:dyDescent="0.2"/>
    <row r="7948" ht="15" customHeight="1" x14ac:dyDescent="0.2"/>
    <row r="7949" ht="15" customHeight="1" x14ac:dyDescent="0.2"/>
    <row r="7950" ht="15" customHeight="1" x14ac:dyDescent="0.2"/>
    <row r="7951" ht="15" customHeight="1" x14ac:dyDescent="0.2"/>
    <row r="7952" ht="15" customHeight="1" x14ac:dyDescent="0.2"/>
    <row r="7953" ht="15" customHeight="1" x14ac:dyDescent="0.2"/>
    <row r="7954" ht="15" customHeight="1" x14ac:dyDescent="0.2"/>
    <row r="7955" ht="15" customHeight="1" x14ac:dyDescent="0.2"/>
    <row r="7956" ht="15" customHeight="1" x14ac:dyDescent="0.2"/>
    <row r="7957" ht="15" customHeight="1" x14ac:dyDescent="0.2"/>
    <row r="7958" ht="15" customHeight="1" x14ac:dyDescent="0.2"/>
    <row r="7959" ht="15" customHeight="1" x14ac:dyDescent="0.2"/>
    <row r="7960" ht="15" customHeight="1" x14ac:dyDescent="0.2"/>
    <row r="7961" ht="15" customHeight="1" x14ac:dyDescent="0.2"/>
    <row r="7962" ht="15" customHeight="1" x14ac:dyDescent="0.2"/>
    <row r="7963" ht="15" customHeight="1" x14ac:dyDescent="0.2"/>
    <row r="7964" ht="15" customHeight="1" x14ac:dyDescent="0.2"/>
    <row r="7965" ht="15" customHeight="1" x14ac:dyDescent="0.2"/>
    <row r="7966" ht="15" customHeight="1" x14ac:dyDescent="0.2"/>
    <row r="7967" ht="15" customHeight="1" x14ac:dyDescent="0.2"/>
    <row r="7968" ht="15" customHeight="1" x14ac:dyDescent="0.2"/>
    <row r="7969" ht="15" customHeight="1" x14ac:dyDescent="0.2"/>
    <row r="7970" ht="15" customHeight="1" x14ac:dyDescent="0.2"/>
    <row r="7971" ht="15" customHeight="1" x14ac:dyDescent="0.2"/>
    <row r="7972" ht="15" customHeight="1" x14ac:dyDescent="0.2"/>
    <row r="7973" ht="15" customHeight="1" x14ac:dyDescent="0.2"/>
    <row r="7974" ht="15" customHeight="1" x14ac:dyDescent="0.2"/>
    <row r="7975" ht="15" customHeight="1" x14ac:dyDescent="0.2"/>
    <row r="7976" ht="15" customHeight="1" x14ac:dyDescent="0.2"/>
    <row r="7977" ht="15" customHeight="1" x14ac:dyDescent="0.2"/>
    <row r="7978" ht="15" customHeight="1" x14ac:dyDescent="0.2"/>
    <row r="7979" ht="15" customHeight="1" x14ac:dyDescent="0.2"/>
    <row r="7980" ht="15" customHeight="1" x14ac:dyDescent="0.2"/>
    <row r="7981" ht="15" customHeight="1" x14ac:dyDescent="0.2"/>
    <row r="7982" ht="15" customHeight="1" x14ac:dyDescent="0.2"/>
    <row r="7983" ht="15" customHeight="1" x14ac:dyDescent="0.2"/>
    <row r="7984" ht="15" customHeight="1" x14ac:dyDescent="0.2"/>
    <row r="7985" ht="15" customHeight="1" x14ac:dyDescent="0.2"/>
    <row r="7986" ht="15" customHeight="1" x14ac:dyDescent="0.2"/>
    <row r="7987" ht="15" customHeight="1" x14ac:dyDescent="0.2"/>
    <row r="7988" ht="15" customHeight="1" x14ac:dyDescent="0.2"/>
    <row r="7989" ht="15" customHeight="1" x14ac:dyDescent="0.2"/>
    <row r="7990" ht="15" customHeight="1" x14ac:dyDescent="0.2"/>
    <row r="7991" ht="15" customHeight="1" x14ac:dyDescent="0.2"/>
    <row r="7992" ht="15" customHeight="1" x14ac:dyDescent="0.2"/>
    <row r="7993" ht="15" customHeight="1" x14ac:dyDescent="0.2"/>
    <row r="7994" ht="15" customHeight="1" x14ac:dyDescent="0.2"/>
    <row r="7995" ht="15" customHeight="1" x14ac:dyDescent="0.2"/>
    <row r="7996" ht="15" customHeight="1" x14ac:dyDescent="0.2"/>
    <row r="7997" ht="15" customHeight="1" x14ac:dyDescent="0.2"/>
    <row r="7998" ht="15" customHeight="1" x14ac:dyDescent="0.2"/>
    <row r="7999" ht="15" customHeight="1" x14ac:dyDescent="0.2"/>
    <row r="8000" ht="15" customHeight="1" x14ac:dyDescent="0.2"/>
    <row r="8001" ht="15" customHeight="1" x14ac:dyDescent="0.2"/>
    <row r="8002" ht="15" customHeight="1" x14ac:dyDescent="0.2"/>
    <row r="8003" ht="15" customHeight="1" x14ac:dyDescent="0.2"/>
    <row r="8004" ht="15" customHeight="1" x14ac:dyDescent="0.2"/>
    <row r="8005" ht="15" customHeight="1" x14ac:dyDescent="0.2"/>
    <row r="8006" ht="15" customHeight="1" x14ac:dyDescent="0.2"/>
    <row r="8007" ht="15" customHeight="1" x14ac:dyDescent="0.2"/>
    <row r="8008" ht="15" customHeight="1" x14ac:dyDescent="0.2"/>
    <row r="8009" ht="15" customHeight="1" x14ac:dyDescent="0.2"/>
    <row r="8010" ht="15" customHeight="1" x14ac:dyDescent="0.2"/>
    <row r="8011" ht="15" customHeight="1" x14ac:dyDescent="0.2"/>
    <row r="8012" ht="15" customHeight="1" x14ac:dyDescent="0.2"/>
    <row r="8013" ht="15" customHeight="1" x14ac:dyDescent="0.2"/>
    <row r="8014" ht="15" customHeight="1" x14ac:dyDescent="0.2"/>
    <row r="8015" ht="15" customHeight="1" x14ac:dyDescent="0.2"/>
    <row r="8016" ht="15" customHeight="1" x14ac:dyDescent="0.2"/>
    <row r="8017" ht="15" customHeight="1" x14ac:dyDescent="0.2"/>
    <row r="8018" ht="15" customHeight="1" x14ac:dyDescent="0.2"/>
    <row r="8019" ht="15" customHeight="1" x14ac:dyDescent="0.2"/>
    <row r="8020" ht="15" customHeight="1" x14ac:dyDescent="0.2"/>
    <row r="8021" ht="15" customHeight="1" x14ac:dyDescent="0.2"/>
    <row r="8022" ht="15" customHeight="1" x14ac:dyDescent="0.2"/>
    <row r="8023" ht="15" customHeight="1" x14ac:dyDescent="0.2"/>
    <row r="8024" ht="15" customHeight="1" x14ac:dyDescent="0.2"/>
    <row r="8025" ht="15" customHeight="1" x14ac:dyDescent="0.2"/>
    <row r="8026" ht="15" customHeight="1" x14ac:dyDescent="0.2"/>
    <row r="8027" ht="15" customHeight="1" x14ac:dyDescent="0.2"/>
    <row r="8028" ht="15" customHeight="1" x14ac:dyDescent="0.2"/>
    <row r="8029" ht="15" customHeight="1" x14ac:dyDescent="0.2"/>
    <row r="8030" ht="15" customHeight="1" x14ac:dyDescent="0.2"/>
    <row r="8031" ht="15" customHeight="1" x14ac:dyDescent="0.2"/>
    <row r="8032" ht="15" customHeight="1" x14ac:dyDescent="0.2"/>
    <row r="8033" ht="15" customHeight="1" x14ac:dyDescent="0.2"/>
    <row r="8034" ht="15" customHeight="1" x14ac:dyDescent="0.2"/>
    <row r="8035" ht="15" customHeight="1" x14ac:dyDescent="0.2"/>
    <row r="8036" ht="15" customHeight="1" x14ac:dyDescent="0.2"/>
    <row r="8037" ht="15" customHeight="1" x14ac:dyDescent="0.2"/>
    <row r="8038" ht="15" customHeight="1" x14ac:dyDescent="0.2"/>
    <row r="8039" ht="15" customHeight="1" x14ac:dyDescent="0.2"/>
    <row r="8040" ht="15" customHeight="1" x14ac:dyDescent="0.2"/>
    <row r="8041" ht="15" customHeight="1" x14ac:dyDescent="0.2"/>
    <row r="8042" ht="15" customHeight="1" x14ac:dyDescent="0.2"/>
    <row r="8043" ht="15" customHeight="1" x14ac:dyDescent="0.2"/>
    <row r="8044" ht="15" customHeight="1" x14ac:dyDescent="0.2"/>
    <row r="8045" ht="15" customHeight="1" x14ac:dyDescent="0.2"/>
    <row r="8046" ht="15" customHeight="1" x14ac:dyDescent="0.2"/>
    <row r="8047" ht="15" customHeight="1" x14ac:dyDescent="0.2"/>
    <row r="8048" ht="15" customHeight="1" x14ac:dyDescent="0.2"/>
    <row r="8049" ht="15" customHeight="1" x14ac:dyDescent="0.2"/>
    <row r="8050" ht="15" customHeight="1" x14ac:dyDescent="0.2"/>
    <row r="8051" ht="15" customHeight="1" x14ac:dyDescent="0.2"/>
    <row r="8052" ht="15" customHeight="1" x14ac:dyDescent="0.2"/>
    <row r="8053" ht="15" customHeight="1" x14ac:dyDescent="0.2"/>
    <row r="8054" ht="15" customHeight="1" x14ac:dyDescent="0.2"/>
    <row r="8055" ht="15" customHeight="1" x14ac:dyDescent="0.2"/>
    <row r="8056" ht="15" customHeight="1" x14ac:dyDescent="0.2"/>
    <row r="8057" ht="15" customHeight="1" x14ac:dyDescent="0.2"/>
    <row r="8058" ht="15" customHeight="1" x14ac:dyDescent="0.2"/>
    <row r="8059" ht="15" customHeight="1" x14ac:dyDescent="0.2"/>
    <row r="8060" ht="15" customHeight="1" x14ac:dyDescent="0.2"/>
    <row r="8061" ht="15" customHeight="1" x14ac:dyDescent="0.2"/>
    <row r="8062" ht="15" customHeight="1" x14ac:dyDescent="0.2"/>
    <row r="8063" ht="15" customHeight="1" x14ac:dyDescent="0.2"/>
    <row r="8064" ht="15" customHeight="1" x14ac:dyDescent="0.2"/>
    <row r="8065" ht="15" customHeight="1" x14ac:dyDescent="0.2"/>
    <row r="8066" ht="15" customHeight="1" x14ac:dyDescent="0.2"/>
    <row r="8067" ht="15" customHeight="1" x14ac:dyDescent="0.2"/>
    <row r="8068" ht="15" customHeight="1" x14ac:dyDescent="0.2"/>
    <row r="8069" ht="15" customHeight="1" x14ac:dyDescent="0.2"/>
    <row r="8070" ht="15" customHeight="1" x14ac:dyDescent="0.2"/>
    <row r="8071" ht="15" customHeight="1" x14ac:dyDescent="0.2"/>
    <row r="8072" ht="15" customHeight="1" x14ac:dyDescent="0.2"/>
    <row r="8073" ht="15" customHeight="1" x14ac:dyDescent="0.2"/>
    <row r="8074" ht="15" customHeight="1" x14ac:dyDescent="0.2"/>
    <row r="8075" ht="15" customHeight="1" x14ac:dyDescent="0.2"/>
    <row r="8076" ht="15" customHeight="1" x14ac:dyDescent="0.2"/>
    <row r="8077" ht="15" customHeight="1" x14ac:dyDescent="0.2"/>
    <row r="8078" ht="15" customHeight="1" x14ac:dyDescent="0.2"/>
    <row r="8079" ht="15" customHeight="1" x14ac:dyDescent="0.2"/>
    <row r="8080" ht="15" customHeight="1" x14ac:dyDescent="0.2"/>
    <row r="8081" ht="15" customHeight="1" x14ac:dyDescent="0.2"/>
    <row r="8082" ht="15" customHeight="1" x14ac:dyDescent="0.2"/>
    <row r="8083" ht="15" customHeight="1" x14ac:dyDescent="0.2"/>
    <row r="8084" ht="15" customHeight="1" x14ac:dyDescent="0.2"/>
    <row r="8085" ht="15" customHeight="1" x14ac:dyDescent="0.2"/>
    <row r="8086" ht="15" customHeight="1" x14ac:dyDescent="0.2"/>
    <row r="8087" ht="15" customHeight="1" x14ac:dyDescent="0.2"/>
    <row r="8088" ht="15" customHeight="1" x14ac:dyDescent="0.2"/>
    <row r="8089" ht="15" customHeight="1" x14ac:dyDescent="0.2"/>
    <row r="8090" ht="15" customHeight="1" x14ac:dyDescent="0.2"/>
    <row r="8091" ht="15" customHeight="1" x14ac:dyDescent="0.2"/>
    <row r="8092" ht="15" customHeight="1" x14ac:dyDescent="0.2"/>
    <row r="8093" ht="15" customHeight="1" x14ac:dyDescent="0.2"/>
    <row r="8094" ht="15" customHeight="1" x14ac:dyDescent="0.2"/>
    <row r="8095" ht="15" customHeight="1" x14ac:dyDescent="0.2"/>
    <row r="8096" ht="15" customHeight="1" x14ac:dyDescent="0.2"/>
    <row r="8097" ht="15" customHeight="1" x14ac:dyDescent="0.2"/>
    <row r="8098" ht="15" customHeight="1" x14ac:dyDescent="0.2"/>
    <row r="8099" ht="15" customHeight="1" x14ac:dyDescent="0.2"/>
    <row r="8100" ht="15" customHeight="1" x14ac:dyDescent="0.2"/>
    <row r="8101" ht="15" customHeight="1" x14ac:dyDescent="0.2"/>
    <row r="8102" ht="15" customHeight="1" x14ac:dyDescent="0.2"/>
    <row r="8103" ht="15" customHeight="1" x14ac:dyDescent="0.2"/>
    <row r="8104" ht="15" customHeight="1" x14ac:dyDescent="0.2"/>
    <row r="8105" ht="15" customHeight="1" x14ac:dyDescent="0.2"/>
    <row r="8106" ht="15" customHeight="1" x14ac:dyDescent="0.2"/>
    <row r="8107" ht="15" customHeight="1" x14ac:dyDescent="0.2"/>
    <row r="8108" ht="15" customHeight="1" x14ac:dyDescent="0.2"/>
    <row r="8109" ht="15" customHeight="1" x14ac:dyDescent="0.2"/>
    <row r="8110" ht="15" customHeight="1" x14ac:dyDescent="0.2"/>
    <row r="8111" ht="15" customHeight="1" x14ac:dyDescent="0.2"/>
    <row r="8112" ht="15" customHeight="1" x14ac:dyDescent="0.2"/>
    <row r="8113" ht="15" customHeight="1" x14ac:dyDescent="0.2"/>
    <row r="8114" ht="15" customHeight="1" x14ac:dyDescent="0.2"/>
    <row r="8115" ht="15" customHeight="1" x14ac:dyDescent="0.2"/>
    <row r="8116" ht="15" customHeight="1" x14ac:dyDescent="0.2"/>
    <row r="8117" ht="15" customHeight="1" x14ac:dyDescent="0.2"/>
    <row r="8118" ht="15" customHeight="1" x14ac:dyDescent="0.2"/>
    <row r="8119" ht="15" customHeight="1" x14ac:dyDescent="0.2"/>
    <row r="8120" ht="15" customHeight="1" x14ac:dyDescent="0.2"/>
    <row r="8121" ht="15" customHeight="1" x14ac:dyDescent="0.2"/>
    <row r="8122" ht="15" customHeight="1" x14ac:dyDescent="0.2"/>
    <row r="8123" ht="15" customHeight="1" x14ac:dyDescent="0.2"/>
    <row r="8124" ht="15" customHeight="1" x14ac:dyDescent="0.2"/>
    <row r="8125" ht="15" customHeight="1" x14ac:dyDescent="0.2"/>
    <row r="8126" ht="15" customHeight="1" x14ac:dyDescent="0.2"/>
    <row r="8127" ht="15" customHeight="1" x14ac:dyDescent="0.2"/>
    <row r="8128" ht="15" customHeight="1" x14ac:dyDescent="0.2"/>
    <row r="8129" ht="15" customHeight="1" x14ac:dyDescent="0.2"/>
    <row r="8130" ht="15" customHeight="1" x14ac:dyDescent="0.2"/>
    <row r="8131" ht="15" customHeight="1" x14ac:dyDescent="0.2"/>
    <row r="8132" ht="15" customHeight="1" x14ac:dyDescent="0.2"/>
    <row r="8133" ht="15" customHeight="1" x14ac:dyDescent="0.2"/>
    <row r="8134" ht="15" customHeight="1" x14ac:dyDescent="0.2"/>
    <row r="8135" ht="15" customHeight="1" x14ac:dyDescent="0.2"/>
    <row r="8136" ht="15" customHeight="1" x14ac:dyDescent="0.2"/>
    <row r="8137" ht="15" customHeight="1" x14ac:dyDescent="0.2"/>
    <row r="8138" ht="15" customHeight="1" x14ac:dyDescent="0.2"/>
    <row r="8139" ht="15" customHeight="1" x14ac:dyDescent="0.2"/>
    <row r="8140" ht="15" customHeight="1" x14ac:dyDescent="0.2"/>
    <row r="8141" ht="15" customHeight="1" x14ac:dyDescent="0.2"/>
    <row r="8142" ht="15" customHeight="1" x14ac:dyDescent="0.2"/>
    <row r="8143" ht="15" customHeight="1" x14ac:dyDescent="0.2"/>
    <row r="8144" ht="15" customHeight="1" x14ac:dyDescent="0.2"/>
    <row r="8145" ht="15" customHeight="1" x14ac:dyDescent="0.2"/>
    <row r="8146" ht="15" customHeight="1" x14ac:dyDescent="0.2"/>
    <row r="8147" ht="15" customHeight="1" x14ac:dyDescent="0.2"/>
    <row r="8148" ht="15" customHeight="1" x14ac:dyDescent="0.2"/>
    <row r="8149" ht="15" customHeight="1" x14ac:dyDescent="0.2"/>
    <row r="8150" ht="15" customHeight="1" x14ac:dyDescent="0.2"/>
    <row r="8151" ht="15" customHeight="1" x14ac:dyDescent="0.2"/>
    <row r="8152" ht="15" customHeight="1" x14ac:dyDescent="0.2"/>
    <row r="8153" ht="15" customHeight="1" x14ac:dyDescent="0.2"/>
    <row r="8154" ht="15" customHeight="1" x14ac:dyDescent="0.2"/>
    <row r="8155" ht="15" customHeight="1" x14ac:dyDescent="0.2"/>
    <row r="8156" ht="15" customHeight="1" x14ac:dyDescent="0.2"/>
    <row r="8157" ht="15" customHeight="1" x14ac:dyDescent="0.2"/>
    <row r="8158" ht="15" customHeight="1" x14ac:dyDescent="0.2"/>
    <row r="8159" ht="15" customHeight="1" x14ac:dyDescent="0.2"/>
    <row r="8160" ht="15" customHeight="1" x14ac:dyDescent="0.2"/>
    <row r="8161" ht="15" customHeight="1" x14ac:dyDescent="0.2"/>
    <row r="8162" ht="15" customHeight="1" x14ac:dyDescent="0.2"/>
    <row r="8163" ht="15" customHeight="1" x14ac:dyDescent="0.2"/>
    <row r="8164" ht="15" customHeight="1" x14ac:dyDescent="0.2"/>
    <row r="8165" ht="15" customHeight="1" x14ac:dyDescent="0.2"/>
    <row r="8166" ht="15" customHeight="1" x14ac:dyDescent="0.2"/>
    <row r="8167" ht="15" customHeight="1" x14ac:dyDescent="0.2"/>
    <row r="8168" ht="15" customHeight="1" x14ac:dyDescent="0.2"/>
    <row r="8169" ht="15" customHeight="1" x14ac:dyDescent="0.2"/>
    <row r="8170" ht="15" customHeight="1" x14ac:dyDescent="0.2"/>
    <row r="8171" ht="15" customHeight="1" x14ac:dyDescent="0.2"/>
    <row r="8172" ht="15" customHeight="1" x14ac:dyDescent="0.2"/>
    <row r="8173" ht="15" customHeight="1" x14ac:dyDescent="0.2"/>
    <row r="8174" ht="15" customHeight="1" x14ac:dyDescent="0.2"/>
    <row r="8175" ht="15" customHeight="1" x14ac:dyDescent="0.2"/>
    <row r="8176" ht="15" customHeight="1" x14ac:dyDescent="0.2"/>
    <row r="8177" ht="15" customHeight="1" x14ac:dyDescent="0.2"/>
    <row r="8178" ht="15" customHeight="1" x14ac:dyDescent="0.2"/>
    <row r="8179" ht="15" customHeight="1" x14ac:dyDescent="0.2"/>
    <row r="8180" ht="15" customHeight="1" x14ac:dyDescent="0.2"/>
    <row r="8181" ht="15" customHeight="1" x14ac:dyDescent="0.2"/>
    <row r="8182" ht="15" customHeight="1" x14ac:dyDescent="0.2"/>
    <row r="8183" ht="15" customHeight="1" x14ac:dyDescent="0.2"/>
    <row r="8184" ht="15" customHeight="1" x14ac:dyDescent="0.2"/>
    <row r="8185" ht="15" customHeight="1" x14ac:dyDescent="0.2"/>
    <row r="8186" ht="15" customHeight="1" x14ac:dyDescent="0.2"/>
    <row r="8187" ht="15" customHeight="1" x14ac:dyDescent="0.2"/>
    <row r="8188" ht="15" customHeight="1" x14ac:dyDescent="0.2"/>
    <row r="8189" ht="15" customHeight="1" x14ac:dyDescent="0.2"/>
    <row r="8190" ht="15" customHeight="1" x14ac:dyDescent="0.2"/>
    <row r="8191" ht="15" customHeight="1" x14ac:dyDescent="0.2"/>
    <row r="8192" ht="15" customHeight="1" x14ac:dyDescent="0.2"/>
    <row r="8193" ht="15" customHeight="1" x14ac:dyDescent="0.2"/>
    <row r="8194" ht="15" customHeight="1" x14ac:dyDescent="0.2"/>
    <row r="8195" ht="15" customHeight="1" x14ac:dyDescent="0.2"/>
    <row r="8196" ht="15" customHeight="1" x14ac:dyDescent="0.2"/>
    <row r="8197" ht="15" customHeight="1" x14ac:dyDescent="0.2"/>
    <row r="8198" ht="15" customHeight="1" x14ac:dyDescent="0.2"/>
    <row r="8199" ht="15" customHeight="1" x14ac:dyDescent="0.2"/>
    <row r="8200" ht="15" customHeight="1" x14ac:dyDescent="0.2"/>
    <row r="8201" ht="15" customHeight="1" x14ac:dyDescent="0.2"/>
    <row r="8202" ht="15" customHeight="1" x14ac:dyDescent="0.2"/>
    <row r="8203" ht="15" customHeight="1" x14ac:dyDescent="0.2"/>
    <row r="8204" ht="15" customHeight="1" x14ac:dyDescent="0.2"/>
    <row r="8205" ht="15" customHeight="1" x14ac:dyDescent="0.2"/>
    <row r="8206" ht="15" customHeight="1" x14ac:dyDescent="0.2"/>
    <row r="8207" ht="15" customHeight="1" x14ac:dyDescent="0.2"/>
    <row r="8208" ht="15" customHeight="1" x14ac:dyDescent="0.2"/>
    <row r="8209" ht="15" customHeight="1" x14ac:dyDescent="0.2"/>
    <row r="8210" ht="15" customHeight="1" x14ac:dyDescent="0.2"/>
    <row r="8211" ht="15" customHeight="1" x14ac:dyDescent="0.2"/>
    <row r="8212" ht="15" customHeight="1" x14ac:dyDescent="0.2"/>
    <row r="8213" ht="15" customHeight="1" x14ac:dyDescent="0.2"/>
    <row r="8214" ht="15" customHeight="1" x14ac:dyDescent="0.2"/>
    <row r="8215" ht="15" customHeight="1" x14ac:dyDescent="0.2"/>
    <row r="8216" ht="15" customHeight="1" x14ac:dyDescent="0.2"/>
    <row r="8217" ht="15" customHeight="1" x14ac:dyDescent="0.2"/>
    <row r="8218" ht="15" customHeight="1" x14ac:dyDescent="0.2"/>
    <row r="8219" ht="15" customHeight="1" x14ac:dyDescent="0.2"/>
    <row r="8220" ht="15" customHeight="1" x14ac:dyDescent="0.2"/>
    <row r="8221" ht="15" customHeight="1" x14ac:dyDescent="0.2"/>
    <row r="8222" ht="15" customHeight="1" x14ac:dyDescent="0.2"/>
    <row r="8223" ht="15" customHeight="1" x14ac:dyDescent="0.2"/>
    <row r="8224" ht="15" customHeight="1" x14ac:dyDescent="0.2"/>
    <row r="8225" ht="15" customHeight="1" x14ac:dyDescent="0.2"/>
    <row r="8226" ht="15" customHeight="1" x14ac:dyDescent="0.2"/>
    <row r="8227" ht="15" customHeight="1" x14ac:dyDescent="0.2"/>
    <row r="8228" ht="15" customHeight="1" x14ac:dyDescent="0.2"/>
    <row r="8229" ht="15" customHeight="1" x14ac:dyDescent="0.2"/>
    <row r="8230" ht="15" customHeight="1" x14ac:dyDescent="0.2"/>
    <row r="8231" ht="15" customHeight="1" x14ac:dyDescent="0.2"/>
    <row r="8232" ht="15" customHeight="1" x14ac:dyDescent="0.2"/>
    <row r="8233" ht="15" customHeight="1" x14ac:dyDescent="0.2"/>
    <row r="8234" ht="15" customHeight="1" x14ac:dyDescent="0.2"/>
    <row r="8235" ht="15" customHeight="1" x14ac:dyDescent="0.2"/>
    <row r="8236" ht="15" customHeight="1" x14ac:dyDescent="0.2"/>
    <row r="8237" ht="15" customHeight="1" x14ac:dyDescent="0.2"/>
    <row r="8238" ht="15" customHeight="1" x14ac:dyDescent="0.2"/>
    <row r="8239" ht="15" customHeight="1" x14ac:dyDescent="0.2"/>
    <row r="8240" ht="15" customHeight="1" x14ac:dyDescent="0.2"/>
    <row r="8241" ht="15" customHeight="1" x14ac:dyDescent="0.2"/>
    <row r="8242" ht="15" customHeight="1" x14ac:dyDescent="0.2"/>
    <row r="8243" ht="15" customHeight="1" x14ac:dyDescent="0.2"/>
    <row r="8244" ht="15" customHeight="1" x14ac:dyDescent="0.2"/>
    <row r="8245" ht="15" customHeight="1" x14ac:dyDescent="0.2"/>
    <row r="8246" ht="15" customHeight="1" x14ac:dyDescent="0.2"/>
    <row r="8247" ht="15" customHeight="1" x14ac:dyDescent="0.2"/>
    <row r="8248" ht="15" customHeight="1" x14ac:dyDescent="0.2"/>
    <row r="8249" ht="15" customHeight="1" x14ac:dyDescent="0.2"/>
    <row r="8250" ht="15" customHeight="1" x14ac:dyDescent="0.2"/>
    <row r="8251" ht="15" customHeight="1" x14ac:dyDescent="0.2"/>
    <row r="8252" ht="15" customHeight="1" x14ac:dyDescent="0.2"/>
    <row r="8253" ht="15" customHeight="1" x14ac:dyDescent="0.2"/>
    <row r="8254" ht="15" customHeight="1" x14ac:dyDescent="0.2"/>
    <row r="8255" ht="15" customHeight="1" x14ac:dyDescent="0.2"/>
    <row r="8256" ht="15" customHeight="1" x14ac:dyDescent="0.2"/>
    <row r="8257" ht="15" customHeight="1" x14ac:dyDescent="0.2"/>
    <row r="8258" ht="15" customHeight="1" x14ac:dyDescent="0.2"/>
    <row r="8259" ht="15" customHeight="1" x14ac:dyDescent="0.2"/>
    <row r="8260" ht="15" customHeight="1" x14ac:dyDescent="0.2"/>
    <row r="8261" ht="15" customHeight="1" x14ac:dyDescent="0.2"/>
    <row r="8262" ht="15" customHeight="1" x14ac:dyDescent="0.2"/>
    <row r="8263" ht="15" customHeight="1" x14ac:dyDescent="0.2"/>
    <row r="8264" ht="15" customHeight="1" x14ac:dyDescent="0.2"/>
    <row r="8265" ht="15" customHeight="1" x14ac:dyDescent="0.2"/>
    <row r="8266" ht="15" customHeight="1" x14ac:dyDescent="0.2"/>
    <row r="8267" ht="15" customHeight="1" x14ac:dyDescent="0.2"/>
    <row r="8268" ht="15" customHeight="1" x14ac:dyDescent="0.2"/>
    <row r="8269" ht="15" customHeight="1" x14ac:dyDescent="0.2"/>
    <row r="8270" ht="15" customHeight="1" x14ac:dyDescent="0.2"/>
    <row r="8271" ht="15" customHeight="1" x14ac:dyDescent="0.2"/>
    <row r="8272" ht="15" customHeight="1" x14ac:dyDescent="0.2"/>
    <row r="8273" ht="15" customHeight="1" x14ac:dyDescent="0.2"/>
    <row r="8274" ht="15" customHeight="1" x14ac:dyDescent="0.2"/>
    <row r="8275" ht="15" customHeight="1" x14ac:dyDescent="0.2"/>
    <row r="8276" ht="15" customHeight="1" x14ac:dyDescent="0.2"/>
    <row r="8277" ht="15" customHeight="1" x14ac:dyDescent="0.2"/>
    <row r="8278" ht="15" customHeight="1" x14ac:dyDescent="0.2"/>
    <row r="8279" ht="15" customHeight="1" x14ac:dyDescent="0.2"/>
    <row r="8280" ht="15" customHeight="1" x14ac:dyDescent="0.2"/>
    <row r="8281" ht="15" customHeight="1" x14ac:dyDescent="0.2"/>
    <row r="8282" ht="15" customHeight="1" x14ac:dyDescent="0.2"/>
    <row r="8283" ht="15" customHeight="1" x14ac:dyDescent="0.2"/>
    <row r="8284" ht="15" customHeight="1" x14ac:dyDescent="0.2"/>
    <row r="8285" ht="15" customHeight="1" x14ac:dyDescent="0.2"/>
    <row r="8286" ht="15" customHeight="1" x14ac:dyDescent="0.2"/>
    <row r="8287" ht="15" customHeight="1" x14ac:dyDescent="0.2"/>
    <row r="8288" ht="15" customHeight="1" x14ac:dyDescent="0.2"/>
    <row r="8289" ht="15" customHeight="1" x14ac:dyDescent="0.2"/>
    <row r="8290" ht="15" customHeight="1" x14ac:dyDescent="0.2"/>
    <row r="8291" ht="15" customHeight="1" x14ac:dyDescent="0.2"/>
    <row r="8292" ht="15" customHeight="1" x14ac:dyDescent="0.2"/>
    <row r="8293" ht="15" customHeight="1" x14ac:dyDescent="0.2"/>
    <row r="8294" ht="15" customHeight="1" x14ac:dyDescent="0.2"/>
    <row r="8295" ht="15" customHeight="1" x14ac:dyDescent="0.2"/>
    <row r="8296" ht="15" customHeight="1" x14ac:dyDescent="0.2"/>
    <row r="8297" ht="15" customHeight="1" x14ac:dyDescent="0.2"/>
    <row r="8298" ht="15" customHeight="1" x14ac:dyDescent="0.2"/>
    <row r="8299" ht="15" customHeight="1" x14ac:dyDescent="0.2"/>
    <row r="8300" ht="15" customHeight="1" x14ac:dyDescent="0.2"/>
    <row r="8301" ht="15" customHeight="1" x14ac:dyDescent="0.2"/>
    <row r="8302" ht="15" customHeight="1" x14ac:dyDescent="0.2"/>
    <row r="8303" ht="15" customHeight="1" x14ac:dyDescent="0.2"/>
    <row r="8304" ht="15" customHeight="1" x14ac:dyDescent="0.2"/>
    <row r="8305" ht="15" customHeight="1" x14ac:dyDescent="0.2"/>
    <row r="8306" ht="15" customHeight="1" x14ac:dyDescent="0.2"/>
    <row r="8307" ht="15" customHeight="1" x14ac:dyDescent="0.2"/>
    <row r="8308" ht="15" customHeight="1" x14ac:dyDescent="0.2"/>
    <row r="8309" ht="15" customHeight="1" x14ac:dyDescent="0.2"/>
    <row r="8310" ht="15" customHeight="1" x14ac:dyDescent="0.2"/>
    <row r="8311" ht="15" customHeight="1" x14ac:dyDescent="0.2"/>
    <row r="8312" ht="15" customHeight="1" x14ac:dyDescent="0.2"/>
    <row r="8313" ht="15" customHeight="1" x14ac:dyDescent="0.2"/>
    <row r="8314" ht="15" customHeight="1" x14ac:dyDescent="0.2"/>
    <row r="8315" ht="15" customHeight="1" x14ac:dyDescent="0.2"/>
    <row r="8316" ht="15" customHeight="1" x14ac:dyDescent="0.2"/>
    <row r="8317" ht="15" customHeight="1" x14ac:dyDescent="0.2"/>
    <row r="8318" ht="15" customHeight="1" x14ac:dyDescent="0.2"/>
    <row r="8319" ht="15" customHeight="1" x14ac:dyDescent="0.2"/>
    <row r="8320" ht="15" customHeight="1" x14ac:dyDescent="0.2"/>
    <row r="8321" ht="15" customHeight="1" x14ac:dyDescent="0.2"/>
    <row r="8322" ht="15" customHeight="1" x14ac:dyDescent="0.2"/>
    <row r="8323" ht="15" customHeight="1" x14ac:dyDescent="0.2"/>
    <row r="8324" ht="15" customHeight="1" x14ac:dyDescent="0.2"/>
    <row r="8325" ht="15" customHeight="1" x14ac:dyDescent="0.2"/>
    <row r="8326" ht="15" customHeight="1" x14ac:dyDescent="0.2"/>
    <row r="8327" ht="15" customHeight="1" x14ac:dyDescent="0.2"/>
    <row r="8328" ht="15" customHeight="1" x14ac:dyDescent="0.2"/>
    <row r="8329" ht="15" customHeight="1" x14ac:dyDescent="0.2"/>
    <row r="8330" ht="15" customHeight="1" x14ac:dyDescent="0.2"/>
    <row r="8331" ht="15" customHeight="1" x14ac:dyDescent="0.2"/>
    <row r="8332" ht="15" customHeight="1" x14ac:dyDescent="0.2"/>
    <row r="8333" ht="15" customHeight="1" x14ac:dyDescent="0.2"/>
    <row r="8334" ht="15" customHeight="1" x14ac:dyDescent="0.2"/>
    <row r="8335" ht="15" customHeight="1" x14ac:dyDescent="0.2"/>
    <row r="8336" ht="15" customHeight="1" x14ac:dyDescent="0.2"/>
    <row r="8337" ht="15" customHeight="1" x14ac:dyDescent="0.2"/>
    <row r="8338" ht="15" customHeight="1" x14ac:dyDescent="0.2"/>
    <row r="8339" ht="15" customHeight="1" x14ac:dyDescent="0.2"/>
    <row r="8340" ht="15" customHeight="1" x14ac:dyDescent="0.2"/>
    <row r="8341" ht="15" customHeight="1" x14ac:dyDescent="0.2"/>
    <row r="8342" ht="15" customHeight="1" x14ac:dyDescent="0.2"/>
    <row r="8343" ht="15" customHeight="1" x14ac:dyDescent="0.2"/>
    <row r="8344" ht="15" customHeight="1" x14ac:dyDescent="0.2"/>
    <row r="8345" ht="15" customHeight="1" x14ac:dyDescent="0.2"/>
    <row r="8346" ht="15" customHeight="1" x14ac:dyDescent="0.2"/>
    <row r="8347" ht="15" customHeight="1" x14ac:dyDescent="0.2"/>
    <row r="8348" ht="15" customHeight="1" x14ac:dyDescent="0.2"/>
    <row r="8349" ht="15" customHeight="1" x14ac:dyDescent="0.2"/>
    <row r="8350" ht="15" customHeight="1" x14ac:dyDescent="0.2"/>
    <row r="8351" ht="15" customHeight="1" x14ac:dyDescent="0.2"/>
    <row r="8352" ht="15" customHeight="1" x14ac:dyDescent="0.2"/>
    <row r="8353" ht="15" customHeight="1" x14ac:dyDescent="0.2"/>
    <row r="8354" ht="15" customHeight="1" x14ac:dyDescent="0.2"/>
    <row r="8355" ht="15" customHeight="1" x14ac:dyDescent="0.2"/>
    <row r="8356" ht="15" customHeight="1" x14ac:dyDescent="0.2"/>
    <row r="8357" ht="15" customHeight="1" x14ac:dyDescent="0.2"/>
    <row r="8358" ht="15" customHeight="1" x14ac:dyDescent="0.2"/>
    <row r="8359" ht="15" customHeight="1" x14ac:dyDescent="0.2"/>
    <row r="8360" ht="15" customHeight="1" x14ac:dyDescent="0.2"/>
    <row r="8361" ht="15" customHeight="1" x14ac:dyDescent="0.2"/>
    <row r="8362" ht="15" customHeight="1" x14ac:dyDescent="0.2"/>
    <row r="8363" ht="15" customHeight="1" x14ac:dyDescent="0.2"/>
    <row r="8364" ht="15" customHeight="1" x14ac:dyDescent="0.2"/>
    <row r="8365" ht="15" customHeight="1" x14ac:dyDescent="0.2"/>
    <row r="8366" ht="15" customHeight="1" x14ac:dyDescent="0.2"/>
    <row r="8367" ht="15" customHeight="1" x14ac:dyDescent="0.2"/>
    <row r="8368" ht="15" customHeight="1" x14ac:dyDescent="0.2"/>
    <row r="8369" ht="15" customHeight="1" x14ac:dyDescent="0.2"/>
    <row r="8370" ht="15" customHeight="1" x14ac:dyDescent="0.2"/>
    <row r="8371" ht="15" customHeight="1" x14ac:dyDescent="0.2"/>
    <row r="8372" ht="15" customHeight="1" x14ac:dyDescent="0.2"/>
    <row r="8373" ht="15" customHeight="1" x14ac:dyDescent="0.2"/>
    <row r="8374" ht="15" customHeight="1" x14ac:dyDescent="0.2"/>
    <row r="8375" ht="15" customHeight="1" x14ac:dyDescent="0.2"/>
    <row r="8376" ht="15" customHeight="1" x14ac:dyDescent="0.2"/>
    <row r="8377" ht="15" customHeight="1" x14ac:dyDescent="0.2"/>
    <row r="8378" ht="15" customHeight="1" x14ac:dyDescent="0.2"/>
    <row r="8379" ht="15" customHeight="1" x14ac:dyDescent="0.2"/>
    <row r="8380" ht="15" customHeight="1" x14ac:dyDescent="0.2"/>
    <row r="8381" ht="15" customHeight="1" x14ac:dyDescent="0.2"/>
    <row r="8382" ht="15" customHeight="1" x14ac:dyDescent="0.2"/>
    <row r="8383" ht="15" customHeight="1" x14ac:dyDescent="0.2"/>
    <row r="8384" ht="15" customHeight="1" x14ac:dyDescent="0.2"/>
    <row r="8385" ht="15" customHeight="1" x14ac:dyDescent="0.2"/>
    <row r="8386" ht="15" customHeight="1" x14ac:dyDescent="0.2"/>
    <row r="8387" ht="15" customHeight="1" x14ac:dyDescent="0.2"/>
    <row r="8388" ht="15" customHeight="1" x14ac:dyDescent="0.2"/>
    <row r="8389" ht="15" customHeight="1" x14ac:dyDescent="0.2"/>
    <row r="8390" ht="15" customHeight="1" x14ac:dyDescent="0.2"/>
    <row r="8391" ht="15" customHeight="1" x14ac:dyDescent="0.2"/>
    <row r="8392" ht="15" customHeight="1" x14ac:dyDescent="0.2"/>
    <row r="8393" ht="15" customHeight="1" x14ac:dyDescent="0.2"/>
    <row r="8394" ht="15" customHeight="1" x14ac:dyDescent="0.2"/>
    <row r="8395" ht="15" customHeight="1" x14ac:dyDescent="0.2"/>
    <row r="8396" ht="15" customHeight="1" x14ac:dyDescent="0.2"/>
    <row r="8397" ht="15" customHeight="1" x14ac:dyDescent="0.2"/>
    <row r="8398" ht="15" customHeight="1" x14ac:dyDescent="0.2"/>
    <row r="8399" ht="15" customHeight="1" x14ac:dyDescent="0.2"/>
    <row r="8400" ht="15" customHeight="1" x14ac:dyDescent="0.2"/>
    <row r="8401" ht="15" customHeight="1" x14ac:dyDescent="0.2"/>
    <row r="8402" ht="15" customHeight="1" x14ac:dyDescent="0.2"/>
    <row r="8403" ht="15" customHeight="1" x14ac:dyDescent="0.2"/>
    <row r="8404" ht="15" customHeight="1" x14ac:dyDescent="0.2"/>
    <row r="8405" ht="15" customHeight="1" x14ac:dyDescent="0.2"/>
    <row r="8406" ht="15" customHeight="1" x14ac:dyDescent="0.2"/>
    <row r="8407" ht="15" customHeight="1" x14ac:dyDescent="0.2"/>
    <row r="8408" ht="15" customHeight="1" x14ac:dyDescent="0.2"/>
    <row r="8409" ht="15" customHeight="1" x14ac:dyDescent="0.2"/>
    <row r="8410" ht="15" customHeight="1" x14ac:dyDescent="0.2"/>
    <row r="8411" ht="15" customHeight="1" x14ac:dyDescent="0.2"/>
    <row r="8412" ht="15" customHeight="1" x14ac:dyDescent="0.2"/>
    <row r="8413" ht="15" customHeight="1" x14ac:dyDescent="0.2"/>
    <row r="8414" ht="15" customHeight="1" x14ac:dyDescent="0.2"/>
    <row r="8415" ht="15" customHeight="1" x14ac:dyDescent="0.2"/>
    <row r="8416" ht="15" customHeight="1" x14ac:dyDescent="0.2"/>
    <row r="8417" ht="15" customHeight="1" x14ac:dyDescent="0.2"/>
    <row r="8418" ht="15" customHeight="1" x14ac:dyDescent="0.2"/>
    <row r="8419" ht="15" customHeight="1" x14ac:dyDescent="0.2"/>
    <row r="8420" ht="15" customHeight="1" x14ac:dyDescent="0.2"/>
    <row r="8421" ht="15" customHeight="1" x14ac:dyDescent="0.2"/>
    <row r="8422" ht="15" customHeight="1" x14ac:dyDescent="0.2"/>
    <row r="8423" ht="15" customHeight="1" x14ac:dyDescent="0.2"/>
    <row r="8424" ht="15" customHeight="1" x14ac:dyDescent="0.2"/>
    <row r="8425" ht="15" customHeight="1" x14ac:dyDescent="0.2"/>
    <row r="8426" ht="15" customHeight="1" x14ac:dyDescent="0.2"/>
    <row r="8427" ht="15" customHeight="1" x14ac:dyDescent="0.2"/>
    <row r="8428" ht="15" customHeight="1" x14ac:dyDescent="0.2"/>
    <row r="8429" ht="15" customHeight="1" x14ac:dyDescent="0.2"/>
    <row r="8430" ht="15" customHeight="1" x14ac:dyDescent="0.2"/>
    <row r="8431" ht="15" customHeight="1" x14ac:dyDescent="0.2"/>
    <row r="8432" ht="15" customHeight="1" x14ac:dyDescent="0.2"/>
    <row r="8433" ht="15" customHeight="1" x14ac:dyDescent="0.2"/>
    <row r="8434" ht="15" customHeight="1" x14ac:dyDescent="0.2"/>
    <row r="8435" ht="15" customHeight="1" x14ac:dyDescent="0.2"/>
    <row r="8436" ht="15" customHeight="1" x14ac:dyDescent="0.2"/>
    <row r="8437" ht="15" customHeight="1" x14ac:dyDescent="0.2"/>
    <row r="8438" ht="15" customHeight="1" x14ac:dyDescent="0.2"/>
    <row r="8439" ht="15" customHeight="1" x14ac:dyDescent="0.2"/>
    <row r="8440" ht="15" customHeight="1" x14ac:dyDescent="0.2"/>
    <row r="8441" ht="15" customHeight="1" x14ac:dyDescent="0.2"/>
    <row r="8442" ht="15" customHeight="1" x14ac:dyDescent="0.2"/>
    <row r="8443" ht="15" customHeight="1" x14ac:dyDescent="0.2"/>
    <row r="8444" ht="15" customHeight="1" x14ac:dyDescent="0.2"/>
    <row r="8445" ht="15" customHeight="1" x14ac:dyDescent="0.2"/>
    <row r="8446" ht="15" customHeight="1" x14ac:dyDescent="0.2"/>
    <row r="8447" ht="15" customHeight="1" x14ac:dyDescent="0.2"/>
    <row r="8448" ht="15" customHeight="1" x14ac:dyDescent="0.2"/>
    <row r="8449" ht="15" customHeight="1" x14ac:dyDescent="0.2"/>
    <row r="8450" ht="15" customHeight="1" x14ac:dyDescent="0.2"/>
    <row r="8451" ht="15" customHeight="1" x14ac:dyDescent="0.2"/>
    <row r="8452" ht="15" customHeight="1" x14ac:dyDescent="0.2"/>
    <row r="8453" ht="15" customHeight="1" x14ac:dyDescent="0.2"/>
    <row r="8454" ht="15" customHeight="1" x14ac:dyDescent="0.2"/>
    <row r="8455" ht="15" customHeight="1" x14ac:dyDescent="0.2"/>
    <row r="8456" ht="15" customHeight="1" x14ac:dyDescent="0.2"/>
    <row r="8457" ht="15" customHeight="1" x14ac:dyDescent="0.2"/>
    <row r="8458" ht="15" customHeight="1" x14ac:dyDescent="0.2"/>
    <row r="8459" ht="15" customHeight="1" x14ac:dyDescent="0.2"/>
    <row r="8460" ht="15" customHeight="1" x14ac:dyDescent="0.2"/>
    <row r="8461" ht="15" customHeight="1" x14ac:dyDescent="0.2"/>
    <row r="8462" ht="15" customHeight="1" x14ac:dyDescent="0.2"/>
    <row r="8463" ht="15" customHeight="1" x14ac:dyDescent="0.2"/>
    <row r="8464" ht="15" customHeight="1" x14ac:dyDescent="0.2"/>
    <row r="8465" ht="15" customHeight="1" x14ac:dyDescent="0.2"/>
    <row r="8466" ht="15" customHeight="1" x14ac:dyDescent="0.2"/>
    <row r="8467" ht="15" customHeight="1" x14ac:dyDescent="0.2"/>
    <row r="8468" ht="15" customHeight="1" x14ac:dyDescent="0.2"/>
    <row r="8469" ht="15" customHeight="1" x14ac:dyDescent="0.2"/>
    <row r="8470" ht="15" customHeight="1" x14ac:dyDescent="0.2"/>
    <row r="8471" ht="15" customHeight="1" x14ac:dyDescent="0.2"/>
    <row r="8472" ht="15" customHeight="1" x14ac:dyDescent="0.2"/>
    <row r="8473" ht="15" customHeight="1" x14ac:dyDescent="0.2"/>
    <row r="8474" ht="15" customHeight="1" x14ac:dyDescent="0.2"/>
    <row r="8475" ht="15" customHeight="1" x14ac:dyDescent="0.2"/>
    <row r="8476" ht="15" customHeight="1" x14ac:dyDescent="0.2"/>
    <row r="8477" ht="15" customHeight="1" x14ac:dyDescent="0.2"/>
    <row r="8478" ht="15" customHeight="1" x14ac:dyDescent="0.2"/>
    <row r="8479" ht="15" customHeight="1" x14ac:dyDescent="0.2"/>
    <row r="8480" ht="15" customHeight="1" x14ac:dyDescent="0.2"/>
    <row r="8481" ht="15" customHeight="1" x14ac:dyDescent="0.2"/>
    <row r="8482" ht="15" customHeight="1" x14ac:dyDescent="0.2"/>
    <row r="8483" ht="15" customHeight="1" x14ac:dyDescent="0.2"/>
    <row r="8484" ht="15" customHeight="1" x14ac:dyDescent="0.2"/>
    <row r="8485" ht="15" customHeight="1" x14ac:dyDescent="0.2"/>
    <row r="8486" ht="15" customHeight="1" x14ac:dyDescent="0.2"/>
    <row r="8487" ht="15" customHeight="1" x14ac:dyDescent="0.2"/>
    <row r="8488" ht="15" customHeight="1" x14ac:dyDescent="0.2"/>
    <row r="8489" ht="15" customHeight="1" x14ac:dyDescent="0.2"/>
    <row r="8490" ht="15" customHeight="1" x14ac:dyDescent="0.2"/>
    <row r="8491" ht="15" customHeight="1" x14ac:dyDescent="0.2"/>
    <row r="8492" ht="15" customHeight="1" x14ac:dyDescent="0.2"/>
    <row r="8493" ht="15" customHeight="1" x14ac:dyDescent="0.2"/>
    <row r="8494" ht="15" customHeight="1" x14ac:dyDescent="0.2"/>
    <row r="8495" ht="15" customHeight="1" x14ac:dyDescent="0.2"/>
    <row r="8496" ht="15" customHeight="1" x14ac:dyDescent="0.2"/>
    <row r="8497" ht="15" customHeight="1" x14ac:dyDescent="0.2"/>
    <row r="8498" ht="15" customHeight="1" x14ac:dyDescent="0.2"/>
    <row r="8499" ht="15" customHeight="1" x14ac:dyDescent="0.2"/>
    <row r="8500" ht="15" customHeight="1" x14ac:dyDescent="0.2"/>
    <row r="8501" ht="15" customHeight="1" x14ac:dyDescent="0.2"/>
    <row r="8502" ht="15" customHeight="1" x14ac:dyDescent="0.2"/>
    <row r="8503" ht="15" customHeight="1" x14ac:dyDescent="0.2"/>
    <row r="8504" ht="15" customHeight="1" x14ac:dyDescent="0.2"/>
    <row r="8505" ht="15" customHeight="1" x14ac:dyDescent="0.2"/>
    <row r="8506" ht="15" customHeight="1" x14ac:dyDescent="0.2"/>
    <row r="8507" ht="15" customHeight="1" x14ac:dyDescent="0.2"/>
    <row r="8508" ht="15" customHeight="1" x14ac:dyDescent="0.2"/>
    <row r="8509" ht="15" customHeight="1" x14ac:dyDescent="0.2"/>
    <row r="8510" ht="15" customHeight="1" x14ac:dyDescent="0.2"/>
    <row r="8511" ht="15" customHeight="1" x14ac:dyDescent="0.2"/>
    <row r="8512" ht="15" customHeight="1" x14ac:dyDescent="0.2"/>
    <row r="8513" ht="15" customHeight="1" x14ac:dyDescent="0.2"/>
    <row r="8514" ht="15" customHeight="1" x14ac:dyDescent="0.2"/>
    <row r="8515" ht="15" customHeight="1" x14ac:dyDescent="0.2"/>
    <row r="8516" ht="15" customHeight="1" x14ac:dyDescent="0.2"/>
    <row r="8517" ht="15" customHeight="1" x14ac:dyDescent="0.2"/>
    <row r="8518" ht="15" customHeight="1" x14ac:dyDescent="0.2"/>
    <row r="8519" ht="15" customHeight="1" x14ac:dyDescent="0.2"/>
    <row r="8520" ht="15" customHeight="1" x14ac:dyDescent="0.2"/>
    <row r="8521" ht="15" customHeight="1" x14ac:dyDescent="0.2"/>
    <row r="8522" ht="15" customHeight="1" x14ac:dyDescent="0.2"/>
    <row r="8523" ht="15" customHeight="1" x14ac:dyDescent="0.2"/>
    <row r="8524" ht="15" customHeight="1" x14ac:dyDescent="0.2"/>
    <row r="8525" ht="15" customHeight="1" x14ac:dyDescent="0.2"/>
    <row r="8526" ht="15" customHeight="1" x14ac:dyDescent="0.2"/>
    <row r="8527" ht="15" customHeight="1" x14ac:dyDescent="0.2"/>
    <row r="8528" ht="15" customHeight="1" x14ac:dyDescent="0.2"/>
    <row r="8529" ht="15" customHeight="1" x14ac:dyDescent="0.2"/>
    <row r="8530" ht="15" customHeight="1" x14ac:dyDescent="0.2"/>
    <row r="8531" ht="15" customHeight="1" x14ac:dyDescent="0.2"/>
    <row r="8532" ht="15" customHeight="1" x14ac:dyDescent="0.2"/>
    <row r="8533" ht="15" customHeight="1" x14ac:dyDescent="0.2"/>
    <row r="8534" ht="15" customHeight="1" x14ac:dyDescent="0.2"/>
    <row r="8535" ht="15" customHeight="1" x14ac:dyDescent="0.2"/>
    <row r="8536" ht="15" customHeight="1" x14ac:dyDescent="0.2"/>
    <row r="8537" ht="15" customHeight="1" x14ac:dyDescent="0.2"/>
    <row r="8538" ht="15" customHeight="1" x14ac:dyDescent="0.2"/>
    <row r="8539" ht="15" customHeight="1" x14ac:dyDescent="0.2"/>
    <row r="8540" ht="15" customHeight="1" x14ac:dyDescent="0.2"/>
    <row r="8541" ht="15" customHeight="1" x14ac:dyDescent="0.2"/>
    <row r="8542" ht="15" customHeight="1" x14ac:dyDescent="0.2"/>
    <row r="8543" ht="15" customHeight="1" x14ac:dyDescent="0.2"/>
    <row r="8544" ht="15" customHeight="1" x14ac:dyDescent="0.2"/>
    <row r="8545" ht="15" customHeight="1" x14ac:dyDescent="0.2"/>
    <row r="8546" ht="15" customHeight="1" x14ac:dyDescent="0.2"/>
    <row r="8547" ht="15" customHeight="1" x14ac:dyDescent="0.2"/>
    <row r="8548" ht="15" customHeight="1" x14ac:dyDescent="0.2"/>
    <row r="8549" ht="15" customHeight="1" x14ac:dyDescent="0.2"/>
    <row r="8550" ht="15" customHeight="1" x14ac:dyDescent="0.2"/>
    <row r="8551" ht="15" customHeight="1" x14ac:dyDescent="0.2"/>
    <row r="8552" ht="15" customHeight="1" x14ac:dyDescent="0.2"/>
    <row r="8553" ht="15" customHeight="1" x14ac:dyDescent="0.2"/>
    <row r="8554" ht="15" customHeight="1" x14ac:dyDescent="0.2"/>
    <row r="8555" ht="15" customHeight="1" x14ac:dyDescent="0.2"/>
    <row r="8556" ht="15" customHeight="1" x14ac:dyDescent="0.2"/>
    <row r="8557" ht="15" customHeight="1" x14ac:dyDescent="0.2"/>
    <row r="8558" ht="15" customHeight="1" x14ac:dyDescent="0.2"/>
    <row r="8559" ht="15" customHeight="1" x14ac:dyDescent="0.2"/>
    <row r="8560" ht="15" customHeight="1" x14ac:dyDescent="0.2"/>
    <row r="8561" ht="15" customHeight="1" x14ac:dyDescent="0.2"/>
    <row r="8562" ht="15" customHeight="1" x14ac:dyDescent="0.2"/>
    <row r="8563" ht="15" customHeight="1" x14ac:dyDescent="0.2"/>
    <row r="8564" ht="15" customHeight="1" x14ac:dyDescent="0.2"/>
    <row r="8565" ht="15" customHeight="1" x14ac:dyDescent="0.2"/>
    <row r="8566" ht="15" customHeight="1" x14ac:dyDescent="0.2"/>
    <row r="8567" ht="15" customHeight="1" x14ac:dyDescent="0.2"/>
    <row r="8568" ht="15" customHeight="1" x14ac:dyDescent="0.2"/>
    <row r="8569" ht="15" customHeight="1" x14ac:dyDescent="0.2"/>
    <row r="8570" ht="15" customHeight="1" x14ac:dyDescent="0.2"/>
    <row r="8571" ht="15" customHeight="1" x14ac:dyDescent="0.2"/>
    <row r="8572" ht="15" customHeight="1" x14ac:dyDescent="0.2"/>
    <row r="8573" ht="15" customHeight="1" x14ac:dyDescent="0.2"/>
    <row r="8574" ht="15" customHeight="1" x14ac:dyDescent="0.2"/>
    <row r="8575" ht="15" customHeight="1" x14ac:dyDescent="0.2"/>
    <row r="8576" ht="15" customHeight="1" x14ac:dyDescent="0.2"/>
    <row r="8577" ht="15" customHeight="1" x14ac:dyDescent="0.2"/>
    <row r="8578" ht="15" customHeight="1" x14ac:dyDescent="0.2"/>
    <row r="8579" ht="15" customHeight="1" x14ac:dyDescent="0.2"/>
    <row r="8580" ht="15" customHeight="1" x14ac:dyDescent="0.2"/>
    <row r="8581" ht="15" customHeight="1" x14ac:dyDescent="0.2"/>
    <row r="8582" ht="15" customHeight="1" x14ac:dyDescent="0.2"/>
    <row r="8583" ht="15" customHeight="1" x14ac:dyDescent="0.2"/>
    <row r="8584" ht="15" customHeight="1" x14ac:dyDescent="0.2"/>
    <row r="8585" ht="15" customHeight="1" x14ac:dyDescent="0.2"/>
    <row r="8586" ht="15" customHeight="1" x14ac:dyDescent="0.2"/>
    <row r="8587" ht="15" customHeight="1" x14ac:dyDescent="0.2"/>
    <row r="8588" ht="15" customHeight="1" x14ac:dyDescent="0.2"/>
    <row r="8589" ht="15" customHeight="1" x14ac:dyDescent="0.2"/>
    <row r="8590" ht="15" customHeight="1" x14ac:dyDescent="0.2"/>
    <row r="8591" ht="15" customHeight="1" x14ac:dyDescent="0.2"/>
    <row r="8592" ht="15" customHeight="1" x14ac:dyDescent="0.2"/>
    <row r="8593" ht="15" customHeight="1" x14ac:dyDescent="0.2"/>
    <row r="8594" ht="15" customHeight="1" x14ac:dyDescent="0.2"/>
    <row r="8595" ht="15" customHeight="1" x14ac:dyDescent="0.2"/>
    <row r="8596" ht="15" customHeight="1" x14ac:dyDescent="0.2"/>
    <row r="8597" ht="15" customHeight="1" x14ac:dyDescent="0.2"/>
    <row r="8598" ht="15" customHeight="1" x14ac:dyDescent="0.2"/>
    <row r="8599" ht="15" customHeight="1" x14ac:dyDescent="0.2"/>
    <row r="8600" ht="15" customHeight="1" x14ac:dyDescent="0.2"/>
    <row r="8601" ht="15" customHeight="1" x14ac:dyDescent="0.2"/>
    <row r="8602" ht="15" customHeight="1" x14ac:dyDescent="0.2"/>
    <row r="8603" ht="15" customHeight="1" x14ac:dyDescent="0.2"/>
    <row r="8604" ht="15" customHeight="1" x14ac:dyDescent="0.2"/>
    <row r="8605" ht="15" customHeight="1" x14ac:dyDescent="0.2"/>
    <row r="8606" ht="15" customHeight="1" x14ac:dyDescent="0.2"/>
    <row r="8607" ht="15" customHeight="1" x14ac:dyDescent="0.2"/>
    <row r="8608" ht="15" customHeight="1" x14ac:dyDescent="0.2"/>
    <row r="8609" ht="15" customHeight="1" x14ac:dyDescent="0.2"/>
    <row r="8610" ht="15" customHeight="1" x14ac:dyDescent="0.2"/>
    <row r="8611" ht="15" customHeight="1" x14ac:dyDescent="0.2"/>
    <row r="8612" ht="15" customHeight="1" x14ac:dyDescent="0.2"/>
    <row r="8613" ht="15" customHeight="1" x14ac:dyDescent="0.2"/>
    <row r="8614" ht="15" customHeight="1" x14ac:dyDescent="0.2"/>
    <row r="8615" ht="15" customHeight="1" x14ac:dyDescent="0.2"/>
    <row r="8616" ht="15" customHeight="1" x14ac:dyDescent="0.2"/>
    <row r="8617" ht="15" customHeight="1" x14ac:dyDescent="0.2"/>
    <row r="8618" ht="15" customHeight="1" x14ac:dyDescent="0.2"/>
    <row r="8619" ht="15" customHeight="1" x14ac:dyDescent="0.2"/>
    <row r="8620" ht="15" customHeight="1" x14ac:dyDescent="0.2"/>
    <row r="8621" ht="15" customHeight="1" x14ac:dyDescent="0.2"/>
    <row r="8622" ht="15" customHeight="1" x14ac:dyDescent="0.2"/>
    <row r="8623" ht="15" customHeight="1" x14ac:dyDescent="0.2"/>
    <row r="8624" ht="15" customHeight="1" x14ac:dyDescent="0.2"/>
    <row r="8625" ht="15" customHeight="1" x14ac:dyDescent="0.2"/>
    <row r="8626" ht="15" customHeight="1" x14ac:dyDescent="0.2"/>
    <row r="8627" ht="15" customHeight="1" x14ac:dyDescent="0.2"/>
    <row r="8628" ht="15" customHeight="1" x14ac:dyDescent="0.2"/>
    <row r="8629" ht="15" customHeight="1" x14ac:dyDescent="0.2"/>
    <row r="8630" ht="15" customHeight="1" x14ac:dyDescent="0.2"/>
    <row r="8631" ht="15" customHeight="1" x14ac:dyDescent="0.2"/>
    <row r="8632" ht="15" customHeight="1" x14ac:dyDescent="0.2"/>
    <row r="8633" ht="15" customHeight="1" x14ac:dyDescent="0.2"/>
    <row r="8634" ht="15" customHeight="1" x14ac:dyDescent="0.2"/>
    <row r="8635" ht="15" customHeight="1" x14ac:dyDescent="0.2"/>
    <row r="8636" ht="15" customHeight="1" x14ac:dyDescent="0.2"/>
    <row r="8637" ht="15" customHeight="1" x14ac:dyDescent="0.2"/>
    <row r="8638" ht="15" customHeight="1" x14ac:dyDescent="0.2"/>
    <row r="8639" ht="15" customHeight="1" x14ac:dyDescent="0.2"/>
    <row r="8640" ht="15" customHeight="1" x14ac:dyDescent="0.2"/>
    <row r="8641" ht="15" customHeight="1" x14ac:dyDescent="0.2"/>
    <row r="8642" ht="15" customHeight="1" x14ac:dyDescent="0.2"/>
    <row r="8643" ht="15" customHeight="1" x14ac:dyDescent="0.2"/>
    <row r="8644" ht="15" customHeight="1" x14ac:dyDescent="0.2"/>
    <row r="8645" ht="15" customHeight="1" x14ac:dyDescent="0.2"/>
    <row r="8646" ht="15" customHeight="1" x14ac:dyDescent="0.2"/>
    <row r="8647" ht="15" customHeight="1" x14ac:dyDescent="0.2"/>
    <row r="8648" ht="15" customHeight="1" x14ac:dyDescent="0.2"/>
    <row r="8649" ht="15" customHeight="1" x14ac:dyDescent="0.2"/>
    <row r="8650" ht="15" customHeight="1" x14ac:dyDescent="0.2"/>
    <row r="8651" ht="15" customHeight="1" x14ac:dyDescent="0.2"/>
    <row r="8652" ht="15" customHeight="1" x14ac:dyDescent="0.2"/>
    <row r="8653" ht="15" customHeight="1" x14ac:dyDescent="0.2"/>
    <row r="8654" ht="15" customHeight="1" x14ac:dyDescent="0.2"/>
    <row r="8655" ht="15" customHeight="1" x14ac:dyDescent="0.2"/>
    <row r="8656" ht="15" customHeight="1" x14ac:dyDescent="0.2"/>
    <row r="8657" ht="15" customHeight="1" x14ac:dyDescent="0.2"/>
    <row r="8658" ht="15" customHeight="1" x14ac:dyDescent="0.2"/>
    <row r="8659" ht="15" customHeight="1" x14ac:dyDescent="0.2"/>
    <row r="8660" ht="15" customHeight="1" x14ac:dyDescent="0.2"/>
    <row r="8661" ht="15" customHeight="1" x14ac:dyDescent="0.2"/>
    <row r="8662" ht="15" customHeight="1" x14ac:dyDescent="0.2"/>
    <row r="8663" ht="15" customHeight="1" x14ac:dyDescent="0.2"/>
    <row r="8664" ht="15" customHeight="1" x14ac:dyDescent="0.2"/>
    <row r="8665" ht="15" customHeight="1" x14ac:dyDescent="0.2"/>
    <row r="8666" ht="15" customHeight="1" x14ac:dyDescent="0.2"/>
    <row r="8667" ht="15" customHeight="1" x14ac:dyDescent="0.2"/>
    <row r="8668" ht="15" customHeight="1" x14ac:dyDescent="0.2"/>
    <row r="8669" ht="15" customHeight="1" x14ac:dyDescent="0.2"/>
    <row r="8670" ht="15" customHeight="1" x14ac:dyDescent="0.2"/>
    <row r="8671" ht="15" customHeight="1" x14ac:dyDescent="0.2"/>
    <row r="8672" ht="15" customHeight="1" x14ac:dyDescent="0.2"/>
    <row r="8673" ht="15" customHeight="1" x14ac:dyDescent="0.2"/>
    <row r="8674" ht="15" customHeight="1" x14ac:dyDescent="0.2"/>
    <row r="8675" ht="15" customHeight="1" x14ac:dyDescent="0.2"/>
    <row r="8676" ht="15" customHeight="1" x14ac:dyDescent="0.2"/>
    <row r="8677" ht="15" customHeight="1" x14ac:dyDescent="0.2"/>
    <row r="8678" ht="15" customHeight="1" x14ac:dyDescent="0.2"/>
    <row r="8679" ht="15" customHeight="1" x14ac:dyDescent="0.2"/>
    <row r="8680" ht="15" customHeight="1" x14ac:dyDescent="0.2"/>
    <row r="8681" ht="15" customHeight="1" x14ac:dyDescent="0.2"/>
    <row r="8682" ht="15" customHeight="1" x14ac:dyDescent="0.2"/>
    <row r="8683" ht="15" customHeight="1" x14ac:dyDescent="0.2"/>
    <row r="8684" ht="15" customHeight="1" x14ac:dyDescent="0.2"/>
    <row r="8685" ht="15" customHeight="1" x14ac:dyDescent="0.2"/>
    <row r="8686" ht="15" customHeight="1" x14ac:dyDescent="0.2"/>
    <row r="8687" ht="15" customHeight="1" x14ac:dyDescent="0.2"/>
    <row r="8688" ht="15" customHeight="1" x14ac:dyDescent="0.2"/>
    <row r="8689" ht="15" customHeight="1" x14ac:dyDescent="0.2"/>
    <row r="8690" ht="15" customHeight="1" x14ac:dyDescent="0.2"/>
    <row r="8691" ht="15" customHeight="1" x14ac:dyDescent="0.2"/>
    <row r="8692" ht="15" customHeight="1" x14ac:dyDescent="0.2"/>
    <row r="8693" ht="15" customHeight="1" x14ac:dyDescent="0.2"/>
    <row r="8694" ht="15" customHeight="1" x14ac:dyDescent="0.2"/>
    <row r="8695" ht="15" customHeight="1" x14ac:dyDescent="0.2"/>
    <row r="8696" ht="15" customHeight="1" x14ac:dyDescent="0.2"/>
    <row r="8697" ht="15" customHeight="1" x14ac:dyDescent="0.2"/>
    <row r="8698" ht="15" customHeight="1" x14ac:dyDescent="0.2"/>
    <row r="8699" ht="15" customHeight="1" x14ac:dyDescent="0.2"/>
    <row r="8700" ht="15" customHeight="1" x14ac:dyDescent="0.2"/>
    <row r="8701" ht="15" customHeight="1" x14ac:dyDescent="0.2"/>
    <row r="8702" ht="15" customHeight="1" x14ac:dyDescent="0.2"/>
    <row r="8703" ht="15" customHeight="1" x14ac:dyDescent="0.2"/>
    <row r="8704" ht="15" customHeight="1" x14ac:dyDescent="0.2"/>
    <row r="8705" ht="15" customHeight="1" x14ac:dyDescent="0.2"/>
    <row r="8706" ht="15" customHeight="1" x14ac:dyDescent="0.2"/>
    <row r="8707" ht="15" customHeight="1" x14ac:dyDescent="0.2"/>
    <row r="8708" ht="15" customHeight="1" x14ac:dyDescent="0.2"/>
    <row r="8709" ht="15" customHeight="1" x14ac:dyDescent="0.2"/>
    <row r="8710" ht="15" customHeight="1" x14ac:dyDescent="0.2"/>
    <row r="8711" ht="15" customHeight="1" x14ac:dyDescent="0.2"/>
    <row r="8712" ht="15" customHeight="1" x14ac:dyDescent="0.2"/>
    <row r="8713" ht="15" customHeight="1" x14ac:dyDescent="0.2"/>
    <row r="8714" ht="15" customHeight="1" x14ac:dyDescent="0.2"/>
    <row r="8715" ht="15" customHeight="1" x14ac:dyDescent="0.2"/>
    <row r="8716" ht="15" customHeight="1" x14ac:dyDescent="0.2"/>
    <row r="8717" ht="15" customHeight="1" x14ac:dyDescent="0.2"/>
    <row r="8718" ht="15" customHeight="1" x14ac:dyDescent="0.2"/>
    <row r="8719" ht="15" customHeight="1" x14ac:dyDescent="0.2"/>
    <row r="8720" ht="15" customHeight="1" x14ac:dyDescent="0.2"/>
    <row r="8721" ht="15" customHeight="1" x14ac:dyDescent="0.2"/>
    <row r="8722" ht="15" customHeight="1" x14ac:dyDescent="0.2"/>
    <row r="8723" ht="15" customHeight="1" x14ac:dyDescent="0.2"/>
    <row r="8724" ht="15" customHeight="1" x14ac:dyDescent="0.2"/>
    <row r="8725" ht="15" customHeight="1" x14ac:dyDescent="0.2"/>
    <row r="8726" ht="15" customHeight="1" x14ac:dyDescent="0.2"/>
    <row r="8727" ht="15" customHeight="1" x14ac:dyDescent="0.2"/>
    <row r="8728" ht="15" customHeight="1" x14ac:dyDescent="0.2"/>
    <row r="8729" ht="15" customHeight="1" x14ac:dyDescent="0.2"/>
    <row r="8730" ht="15" customHeight="1" x14ac:dyDescent="0.2"/>
    <row r="8731" ht="15" customHeight="1" x14ac:dyDescent="0.2"/>
    <row r="8732" ht="15" customHeight="1" x14ac:dyDescent="0.2"/>
    <row r="8733" ht="15" customHeight="1" x14ac:dyDescent="0.2"/>
    <row r="8734" ht="15" customHeight="1" x14ac:dyDescent="0.2"/>
    <row r="8735" ht="15" customHeight="1" x14ac:dyDescent="0.2"/>
    <row r="8736" ht="15" customHeight="1" x14ac:dyDescent="0.2"/>
    <row r="8737" ht="15" customHeight="1" x14ac:dyDescent="0.2"/>
    <row r="8738" ht="15" customHeight="1" x14ac:dyDescent="0.2"/>
    <row r="8739" ht="15" customHeight="1" x14ac:dyDescent="0.2"/>
    <row r="8740" ht="15" customHeight="1" x14ac:dyDescent="0.2"/>
    <row r="8741" ht="15" customHeight="1" x14ac:dyDescent="0.2"/>
    <row r="8742" ht="15" customHeight="1" x14ac:dyDescent="0.2"/>
    <row r="8743" ht="15" customHeight="1" x14ac:dyDescent="0.2"/>
    <row r="8744" ht="15" customHeight="1" x14ac:dyDescent="0.2"/>
    <row r="8745" ht="15" customHeight="1" x14ac:dyDescent="0.2"/>
    <row r="8746" ht="15" customHeight="1" x14ac:dyDescent="0.2"/>
    <row r="8747" ht="15" customHeight="1" x14ac:dyDescent="0.2"/>
    <row r="8748" ht="15" customHeight="1" x14ac:dyDescent="0.2"/>
    <row r="8749" ht="15" customHeight="1" x14ac:dyDescent="0.2"/>
    <row r="8750" ht="15" customHeight="1" x14ac:dyDescent="0.2"/>
    <row r="8751" ht="15" customHeight="1" x14ac:dyDescent="0.2"/>
    <row r="8752" ht="15" customHeight="1" x14ac:dyDescent="0.2"/>
    <row r="8753" ht="15" customHeight="1" x14ac:dyDescent="0.2"/>
    <row r="8754" ht="15" customHeight="1" x14ac:dyDescent="0.2"/>
    <row r="8755" ht="15" customHeight="1" x14ac:dyDescent="0.2"/>
    <row r="8756" ht="15" customHeight="1" x14ac:dyDescent="0.2"/>
    <row r="8757" ht="15" customHeight="1" x14ac:dyDescent="0.2"/>
    <row r="8758" ht="15" customHeight="1" x14ac:dyDescent="0.2"/>
    <row r="8759" ht="15" customHeight="1" x14ac:dyDescent="0.2"/>
    <row r="8760" ht="15" customHeight="1" x14ac:dyDescent="0.2"/>
    <row r="8761" ht="15" customHeight="1" x14ac:dyDescent="0.2"/>
    <row r="8762" ht="15" customHeight="1" x14ac:dyDescent="0.2"/>
    <row r="8763" ht="15" customHeight="1" x14ac:dyDescent="0.2"/>
    <row r="8764" ht="15" customHeight="1" x14ac:dyDescent="0.2"/>
    <row r="8765" ht="15" customHeight="1" x14ac:dyDescent="0.2"/>
    <row r="8766" ht="15" customHeight="1" x14ac:dyDescent="0.2"/>
    <row r="8767" ht="15" customHeight="1" x14ac:dyDescent="0.2"/>
    <row r="8768" ht="15" customHeight="1" x14ac:dyDescent="0.2"/>
    <row r="8769" ht="15" customHeight="1" x14ac:dyDescent="0.2"/>
    <row r="8770" ht="15" customHeight="1" x14ac:dyDescent="0.2"/>
    <row r="8771" ht="15" customHeight="1" x14ac:dyDescent="0.2"/>
    <row r="8772" ht="15" customHeight="1" x14ac:dyDescent="0.2"/>
    <row r="8773" ht="15" customHeight="1" x14ac:dyDescent="0.2"/>
    <row r="8774" ht="15" customHeight="1" x14ac:dyDescent="0.2"/>
    <row r="8775" ht="15" customHeight="1" x14ac:dyDescent="0.2"/>
    <row r="8776" ht="15" customHeight="1" x14ac:dyDescent="0.2"/>
    <row r="8777" ht="15" customHeight="1" x14ac:dyDescent="0.2"/>
    <row r="8778" ht="15" customHeight="1" x14ac:dyDescent="0.2"/>
    <row r="8779" ht="15" customHeight="1" x14ac:dyDescent="0.2"/>
    <row r="8780" ht="15" customHeight="1" x14ac:dyDescent="0.2"/>
    <row r="8781" ht="15" customHeight="1" x14ac:dyDescent="0.2"/>
    <row r="8782" ht="15" customHeight="1" x14ac:dyDescent="0.2"/>
    <row r="8783" ht="15" customHeight="1" x14ac:dyDescent="0.2"/>
    <row r="8784" ht="15" customHeight="1" x14ac:dyDescent="0.2"/>
    <row r="8785" ht="15" customHeight="1" x14ac:dyDescent="0.2"/>
    <row r="8786" ht="15" customHeight="1" x14ac:dyDescent="0.2"/>
    <row r="8787" ht="15" customHeight="1" x14ac:dyDescent="0.2"/>
    <row r="8788" ht="15" customHeight="1" x14ac:dyDescent="0.2"/>
    <row r="8789" ht="15" customHeight="1" x14ac:dyDescent="0.2"/>
    <row r="8790" ht="15" customHeight="1" x14ac:dyDescent="0.2"/>
    <row r="8791" ht="15" customHeight="1" x14ac:dyDescent="0.2"/>
    <row r="8792" ht="15" customHeight="1" x14ac:dyDescent="0.2"/>
    <row r="8793" ht="15" customHeight="1" x14ac:dyDescent="0.2"/>
    <row r="8794" ht="15" customHeight="1" x14ac:dyDescent="0.2"/>
    <row r="8795" ht="15" customHeight="1" x14ac:dyDescent="0.2"/>
    <row r="8796" ht="15" customHeight="1" x14ac:dyDescent="0.2"/>
    <row r="8797" ht="15" customHeight="1" x14ac:dyDescent="0.2"/>
    <row r="8798" ht="15" customHeight="1" x14ac:dyDescent="0.2"/>
    <row r="8799" ht="15" customHeight="1" x14ac:dyDescent="0.2"/>
    <row r="8800" ht="15" customHeight="1" x14ac:dyDescent="0.2"/>
    <row r="8801" ht="15" customHeight="1" x14ac:dyDescent="0.2"/>
    <row r="8802" ht="15" customHeight="1" x14ac:dyDescent="0.2"/>
    <row r="8803" ht="15" customHeight="1" x14ac:dyDescent="0.2"/>
    <row r="8804" ht="15" customHeight="1" x14ac:dyDescent="0.2"/>
    <row r="8805" ht="15" customHeight="1" x14ac:dyDescent="0.2"/>
    <row r="8806" ht="15" customHeight="1" x14ac:dyDescent="0.2"/>
    <row r="8807" ht="15" customHeight="1" x14ac:dyDescent="0.2"/>
    <row r="8808" ht="15" customHeight="1" x14ac:dyDescent="0.2"/>
    <row r="8809" ht="15" customHeight="1" x14ac:dyDescent="0.2"/>
    <row r="8810" ht="15" customHeight="1" x14ac:dyDescent="0.2"/>
    <row r="8811" ht="15" customHeight="1" x14ac:dyDescent="0.2"/>
    <row r="8812" ht="15" customHeight="1" x14ac:dyDescent="0.2"/>
    <row r="8813" ht="15" customHeight="1" x14ac:dyDescent="0.2"/>
    <row r="8814" ht="15" customHeight="1" x14ac:dyDescent="0.2"/>
    <row r="8815" ht="15" customHeight="1" x14ac:dyDescent="0.2"/>
    <row r="8816" ht="15" customHeight="1" x14ac:dyDescent="0.2"/>
    <row r="8817" ht="15" customHeight="1" x14ac:dyDescent="0.2"/>
    <row r="8818" ht="15" customHeight="1" x14ac:dyDescent="0.2"/>
    <row r="8819" ht="15" customHeight="1" x14ac:dyDescent="0.2"/>
    <row r="8820" ht="15" customHeight="1" x14ac:dyDescent="0.2"/>
    <row r="8821" ht="15" customHeight="1" x14ac:dyDescent="0.2"/>
    <row r="8822" ht="15" customHeight="1" x14ac:dyDescent="0.2"/>
    <row r="8823" ht="15" customHeight="1" x14ac:dyDescent="0.2"/>
    <row r="8824" ht="15" customHeight="1" x14ac:dyDescent="0.2"/>
    <row r="8825" ht="15" customHeight="1" x14ac:dyDescent="0.2"/>
    <row r="8826" ht="15" customHeight="1" x14ac:dyDescent="0.2"/>
    <row r="8827" ht="15" customHeight="1" x14ac:dyDescent="0.2"/>
    <row r="8828" ht="15" customHeight="1" x14ac:dyDescent="0.2"/>
    <row r="8829" ht="15" customHeight="1" x14ac:dyDescent="0.2"/>
    <row r="8830" ht="15" customHeight="1" x14ac:dyDescent="0.2"/>
    <row r="8831" ht="15" customHeight="1" x14ac:dyDescent="0.2"/>
    <row r="8832" ht="15" customHeight="1" x14ac:dyDescent="0.2"/>
    <row r="8833" ht="15" customHeight="1" x14ac:dyDescent="0.2"/>
    <row r="8834" ht="15" customHeight="1" x14ac:dyDescent="0.2"/>
    <row r="8835" ht="15" customHeight="1" x14ac:dyDescent="0.2"/>
    <row r="8836" ht="15" customHeight="1" x14ac:dyDescent="0.2"/>
    <row r="8837" ht="15" customHeight="1" x14ac:dyDescent="0.2"/>
    <row r="8838" ht="15" customHeight="1" x14ac:dyDescent="0.2"/>
    <row r="8839" ht="15" customHeight="1" x14ac:dyDescent="0.2"/>
    <row r="8840" ht="15" customHeight="1" x14ac:dyDescent="0.2"/>
    <row r="8841" ht="15" customHeight="1" x14ac:dyDescent="0.2"/>
    <row r="8842" ht="15" customHeight="1" x14ac:dyDescent="0.2"/>
    <row r="8843" ht="15" customHeight="1" x14ac:dyDescent="0.2"/>
    <row r="8844" ht="15" customHeight="1" x14ac:dyDescent="0.2"/>
    <row r="8845" ht="15" customHeight="1" x14ac:dyDescent="0.2"/>
    <row r="8846" ht="15" customHeight="1" x14ac:dyDescent="0.2"/>
    <row r="8847" ht="15" customHeight="1" x14ac:dyDescent="0.2"/>
    <row r="8848" ht="15" customHeight="1" x14ac:dyDescent="0.2"/>
    <row r="8849" ht="15" customHeight="1" x14ac:dyDescent="0.2"/>
    <row r="8850" ht="15" customHeight="1" x14ac:dyDescent="0.2"/>
    <row r="8851" ht="15" customHeight="1" x14ac:dyDescent="0.2"/>
    <row r="8852" ht="15" customHeight="1" x14ac:dyDescent="0.2"/>
    <row r="8853" ht="15" customHeight="1" x14ac:dyDescent="0.2"/>
    <row r="8854" ht="15" customHeight="1" x14ac:dyDescent="0.2"/>
    <row r="8855" ht="15" customHeight="1" x14ac:dyDescent="0.2"/>
    <row r="8856" ht="15" customHeight="1" x14ac:dyDescent="0.2"/>
    <row r="8857" ht="15" customHeight="1" x14ac:dyDescent="0.2"/>
    <row r="8858" ht="15" customHeight="1" x14ac:dyDescent="0.2"/>
    <row r="8859" ht="15" customHeight="1" x14ac:dyDescent="0.2"/>
    <row r="8860" ht="15" customHeight="1" x14ac:dyDescent="0.2"/>
    <row r="8861" ht="15" customHeight="1" x14ac:dyDescent="0.2"/>
    <row r="8862" ht="15" customHeight="1" x14ac:dyDescent="0.2"/>
    <row r="8863" ht="15" customHeight="1" x14ac:dyDescent="0.2"/>
    <row r="8864" ht="15" customHeight="1" x14ac:dyDescent="0.2"/>
    <row r="8865" ht="15" customHeight="1" x14ac:dyDescent="0.2"/>
    <row r="8866" ht="15" customHeight="1" x14ac:dyDescent="0.2"/>
    <row r="8867" ht="15" customHeight="1" x14ac:dyDescent="0.2"/>
    <row r="8868" ht="15" customHeight="1" x14ac:dyDescent="0.2"/>
    <row r="8869" ht="15" customHeight="1" x14ac:dyDescent="0.2"/>
    <row r="8870" ht="15" customHeight="1" x14ac:dyDescent="0.2"/>
    <row r="8871" ht="15" customHeight="1" x14ac:dyDescent="0.2"/>
    <row r="8872" ht="15" customHeight="1" x14ac:dyDescent="0.2"/>
    <row r="8873" ht="15" customHeight="1" x14ac:dyDescent="0.2"/>
    <row r="8874" ht="15" customHeight="1" x14ac:dyDescent="0.2"/>
    <row r="8875" ht="15" customHeight="1" x14ac:dyDescent="0.2"/>
    <row r="8876" ht="15" customHeight="1" x14ac:dyDescent="0.2"/>
    <row r="8877" ht="15" customHeight="1" x14ac:dyDescent="0.2"/>
    <row r="8878" ht="15" customHeight="1" x14ac:dyDescent="0.2"/>
    <row r="8879" ht="15" customHeight="1" x14ac:dyDescent="0.2"/>
    <row r="8880" ht="15" customHeight="1" x14ac:dyDescent="0.2"/>
    <row r="8881" ht="15" customHeight="1" x14ac:dyDescent="0.2"/>
    <row r="8882" ht="15" customHeight="1" x14ac:dyDescent="0.2"/>
    <row r="8883" ht="15" customHeight="1" x14ac:dyDescent="0.2"/>
    <row r="8884" ht="15" customHeight="1" x14ac:dyDescent="0.2"/>
    <row r="8885" ht="15" customHeight="1" x14ac:dyDescent="0.2"/>
    <row r="8886" ht="15" customHeight="1" x14ac:dyDescent="0.2"/>
    <row r="8887" ht="15" customHeight="1" x14ac:dyDescent="0.2"/>
    <row r="8888" ht="15" customHeight="1" x14ac:dyDescent="0.2"/>
    <row r="8889" ht="15" customHeight="1" x14ac:dyDescent="0.2"/>
    <row r="8890" ht="15" customHeight="1" x14ac:dyDescent="0.2"/>
    <row r="8891" ht="15" customHeight="1" x14ac:dyDescent="0.2"/>
    <row r="8892" ht="15" customHeight="1" x14ac:dyDescent="0.2"/>
    <row r="8893" ht="15" customHeight="1" x14ac:dyDescent="0.2"/>
    <row r="8894" ht="15" customHeight="1" x14ac:dyDescent="0.2"/>
    <row r="8895" ht="15" customHeight="1" x14ac:dyDescent="0.2"/>
    <row r="8896" ht="15" customHeight="1" x14ac:dyDescent="0.2"/>
    <row r="8897" ht="15" customHeight="1" x14ac:dyDescent="0.2"/>
    <row r="8898" ht="15" customHeight="1" x14ac:dyDescent="0.2"/>
    <row r="8899" ht="15" customHeight="1" x14ac:dyDescent="0.2"/>
    <row r="8900" ht="15" customHeight="1" x14ac:dyDescent="0.2"/>
    <row r="8901" ht="15" customHeight="1" x14ac:dyDescent="0.2"/>
    <row r="8902" ht="15" customHeight="1" x14ac:dyDescent="0.2"/>
    <row r="8903" ht="15" customHeight="1" x14ac:dyDescent="0.2"/>
    <row r="8904" ht="15" customHeight="1" x14ac:dyDescent="0.2"/>
    <row r="8905" ht="15" customHeight="1" x14ac:dyDescent="0.2"/>
    <row r="8906" ht="15" customHeight="1" x14ac:dyDescent="0.2"/>
    <row r="8907" ht="15" customHeight="1" x14ac:dyDescent="0.2"/>
    <row r="8908" ht="15" customHeight="1" x14ac:dyDescent="0.2"/>
    <row r="8909" ht="15" customHeight="1" x14ac:dyDescent="0.2"/>
    <row r="8910" ht="15" customHeight="1" x14ac:dyDescent="0.2"/>
    <row r="8911" ht="15" customHeight="1" x14ac:dyDescent="0.2"/>
    <row r="8912" ht="15" customHeight="1" x14ac:dyDescent="0.2"/>
    <row r="8913" ht="15" customHeight="1" x14ac:dyDescent="0.2"/>
    <row r="8914" ht="15" customHeight="1" x14ac:dyDescent="0.2"/>
    <row r="8915" ht="15" customHeight="1" x14ac:dyDescent="0.2"/>
    <row r="8916" ht="15" customHeight="1" x14ac:dyDescent="0.2"/>
    <row r="8917" ht="15" customHeight="1" x14ac:dyDescent="0.2"/>
    <row r="8918" ht="15" customHeight="1" x14ac:dyDescent="0.2"/>
    <row r="8919" ht="15" customHeight="1" x14ac:dyDescent="0.2"/>
    <row r="8920" ht="15" customHeight="1" x14ac:dyDescent="0.2"/>
    <row r="8921" ht="15" customHeight="1" x14ac:dyDescent="0.2"/>
    <row r="8922" ht="15" customHeight="1" x14ac:dyDescent="0.2"/>
    <row r="8923" ht="15" customHeight="1" x14ac:dyDescent="0.2"/>
    <row r="8924" ht="15" customHeight="1" x14ac:dyDescent="0.2"/>
    <row r="8925" ht="15" customHeight="1" x14ac:dyDescent="0.2"/>
    <row r="8926" ht="15" customHeight="1" x14ac:dyDescent="0.2"/>
    <row r="8927" ht="15" customHeight="1" x14ac:dyDescent="0.2"/>
    <row r="8928" ht="15" customHeight="1" x14ac:dyDescent="0.2"/>
    <row r="8929" ht="15" customHeight="1" x14ac:dyDescent="0.2"/>
    <row r="8930" ht="15" customHeight="1" x14ac:dyDescent="0.2"/>
    <row r="8931" ht="15" customHeight="1" x14ac:dyDescent="0.2"/>
    <row r="8932" ht="15" customHeight="1" x14ac:dyDescent="0.2"/>
    <row r="8933" ht="15" customHeight="1" x14ac:dyDescent="0.2"/>
    <row r="8934" ht="15" customHeight="1" x14ac:dyDescent="0.2"/>
    <row r="8935" ht="15" customHeight="1" x14ac:dyDescent="0.2"/>
    <row r="8936" ht="15" customHeight="1" x14ac:dyDescent="0.2"/>
    <row r="8937" ht="15" customHeight="1" x14ac:dyDescent="0.2"/>
    <row r="8938" ht="15" customHeight="1" x14ac:dyDescent="0.2"/>
    <row r="8939" ht="15" customHeight="1" x14ac:dyDescent="0.2"/>
    <row r="8940" ht="15" customHeight="1" x14ac:dyDescent="0.2"/>
    <row r="8941" ht="15" customHeight="1" x14ac:dyDescent="0.2"/>
    <row r="8942" ht="15" customHeight="1" x14ac:dyDescent="0.2"/>
    <row r="8943" ht="15" customHeight="1" x14ac:dyDescent="0.2"/>
    <row r="8944" ht="15" customHeight="1" x14ac:dyDescent="0.2"/>
    <row r="8945" ht="15" customHeight="1" x14ac:dyDescent="0.2"/>
    <row r="8946" ht="15" customHeight="1" x14ac:dyDescent="0.2"/>
    <row r="8947" ht="15" customHeight="1" x14ac:dyDescent="0.2"/>
    <row r="8948" ht="15" customHeight="1" x14ac:dyDescent="0.2"/>
    <row r="8949" ht="15" customHeight="1" x14ac:dyDescent="0.2"/>
    <row r="8950" ht="15" customHeight="1" x14ac:dyDescent="0.2"/>
    <row r="8951" ht="15" customHeight="1" x14ac:dyDescent="0.2"/>
    <row r="8952" ht="15" customHeight="1" x14ac:dyDescent="0.2"/>
    <row r="8953" ht="15" customHeight="1" x14ac:dyDescent="0.2"/>
    <row r="8954" ht="15" customHeight="1" x14ac:dyDescent="0.2"/>
    <row r="8955" ht="15" customHeight="1" x14ac:dyDescent="0.2"/>
    <row r="8956" ht="15" customHeight="1" x14ac:dyDescent="0.2"/>
    <row r="8957" ht="15" customHeight="1" x14ac:dyDescent="0.2"/>
    <row r="8958" ht="15" customHeight="1" x14ac:dyDescent="0.2"/>
    <row r="8959" ht="15" customHeight="1" x14ac:dyDescent="0.2"/>
    <row r="8960" ht="15" customHeight="1" x14ac:dyDescent="0.2"/>
    <row r="8961" ht="15" customHeight="1" x14ac:dyDescent="0.2"/>
    <row r="8962" ht="15" customHeight="1" x14ac:dyDescent="0.2"/>
    <row r="8963" ht="15" customHeight="1" x14ac:dyDescent="0.2"/>
    <row r="8964" ht="15" customHeight="1" x14ac:dyDescent="0.2"/>
    <row r="8965" ht="15" customHeight="1" x14ac:dyDescent="0.2"/>
    <row r="8966" ht="15" customHeight="1" x14ac:dyDescent="0.2"/>
    <row r="8967" ht="15" customHeight="1" x14ac:dyDescent="0.2"/>
    <row r="8968" ht="15" customHeight="1" x14ac:dyDescent="0.2"/>
    <row r="8969" ht="15" customHeight="1" x14ac:dyDescent="0.2"/>
    <row r="8970" ht="15" customHeight="1" x14ac:dyDescent="0.2"/>
    <row r="8971" ht="15" customHeight="1" x14ac:dyDescent="0.2"/>
    <row r="8972" ht="15" customHeight="1" x14ac:dyDescent="0.2"/>
    <row r="8973" ht="15" customHeight="1" x14ac:dyDescent="0.2"/>
    <row r="8974" ht="15" customHeight="1" x14ac:dyDescent="0.2"/>
    <row r="8975" ht="15" customHeight="1" x14ac:dyDescent="0.2"/>
    <row r="8976" ht="15" customHeight="1" x14ac:dyDescent="0.2"/>
    <row r="8977" ht="15" customHeight="1" x14ac:dyDescent="0.2"/>
    <row r="8978" ht="15" customHeight="1" x14ac:dyDescent="0.2"/>
    <row r="8979" ht="15" customHeight="1" x14ac:dyDescent="0.2"/>
    <row r="8980" ht="15" customHeight="1" x14ac:dyDescent="0.2"/>
    <row r="8981" ht="15" customHeight="1" x14ac:dyDescent="0.2"/>
    <row r="8982" ht="15" customHeight="1" x14ac:dyDescent="0.2"/>
    <row r="8983" ht="15" customHeight="1" x14ac:dyDescent="0.2"/>
    <row r="8984" ht="15" customHeight="1" x14ac:dyDescent="0.2"/>
    <row r="8985" ht="15" customHeight="1" x14ac:dyDescent="0.2"/>
    <row r="8986" ht="15" customHeight="1" x14ac:dyDescent="0.2"/>
    <row r="8987" ht="15" customHeight="1" x14ac:dyDescent="0.2"/>
    <row r="8988" ht="15" customHeight="1" x14ac:dyDescent="0.2"/>
    <row r="8989" ht="15" customHeight="1" x14ac:dyDescent="0.2"/>
    <row r="8990" ht="15" customHeight="1" x14ac:dyDescent="0.2"/>
    <row r="8991" ht="15" customHeight="1" x14ac:dyDescent="0.2"/>
    <row r="8992" ht="15" customHeight="1" x14ac:dyDescent="0.2"/>
    <row r="8993" ht="15" customHeight="1" x14ac:dyDescent="0.2"/>
    <row r="8994" ht="15" customHeight="1" x14ac:dyDescent="0.2"/>
    <row r="8995" ht="15" customHeight="1" x14ac:dyDescent="0.2"/>
    <row r="8996" ht="15" customHeight="1" x14ac:dyDescent="0.2"/>
    <row r="8997" ht="15" customHeight="1" x14ac:dyDescent="0.2"/>
    <row r="8998" ht="15" customHeight="1" x14ac:dyDescent="0.2"/>
    <row r="8999" ht="15" customHeight="1" x14ac:dyDescent="0.2"/>
    <row r="9000" ht="15" customHeight="1" x14ac:dyDescent="0.2"/>
    <row r="9001" ht="15" customHeight="1" x14ac:dyDescent="0.2"/>
    <row r="9002" ht="15" customHeight="1" x14ac:dyDescent="0.2"/>
    <row r="9003" ht="15" customHeight="1" x14ac:dyDescent="0.2"/>
    <row r="9004" ht="15" customHeight="1" x14ac:dyDescent="0.2"/>
    <row r="9005" ht="15" customHeight="1" x14ac:dyDescent="0.2"/>
    <row r="9006" ht="15" customHeight="1" x14ac:dyDescent="0.2"/>
    <row r="9007" ht="15" customHeight="1" x14ac:dyDescent="0.2"/>
    <row r="9008" ht="15" customHeight="1" x14ac:dyDescent="0.2"/>
    <row r="9009" ht="15" customHeight="1" x14ac:dyDescent="0.2"/>
    <row r="9010" ht="15" customHeight="1" x14ac:dyDescent="0.2"/>
    <row r="9011" ht="15" customHeight="1" x14ac:dyDescent="0.2"/>
    <row r="9012" ht="15" customHeight="1" x14ac:dyDescent="0.2"/>
    <row r="9013" ht="15" customHeight="1" x14ac:dyDescent="0.2"/>
    <row r="9014" ht="15" customHeight="1" x14ac:dyDescent="0.2"/>
    <row r="9015" ht="15" customHeight="1" x14ac:dyDescent="0.2"/>
    <row r="9016" ht="15" customHeight="1" x14ac:dyDescent="0.2"/>
    <row r="9017" ht="15" customHeight="1" x14ac:dyDescent="0.2"/>
    <row r="9018" ht="15" customHeight="1" x14ac:dyDescent="0.2"/>
    <row r="9019" ht="15" customHeight="1" x14ac:dyDescent="0.2"/>
    <row r="9020" ht="15" customHeight="1" x14ac:dyDescent="0.2"/>
    <row r="9021" ht="15" customHeight="1" x14ac:dyDescent="0.2"/>
    <row r="9022" ht="15" customHeight="1" x14ac:dyDescent="0.2"/>
    <row r="9023" ht="15" customHeight="1" x14ac:dyDescent="0.2"/>
    <row r="9024" ht="15" customHeight="1" x14ac:dyDescent="0.2"/>
    <row r="9025" ht="15" customHeight="1" x14ac:dyDescent="0.2"/>
    <row r="9026" ht="15" customHeight="1" x14ac:dyDescent="0.2"/>
    <row r="9027" ht="15" customHeight="1" x14ac:dyDescent="0.2"/>
    <row r="9028" ht="15" customHeight="1" x14ac:dyDescent="0.2"/>
    <row r="9029" ht="15" customHeight="1" x14ac:dyDescent="0.2"/>
    <row r="9030" ht="15" customHeight="1" x14ac:dyDescent="0.2"/>
    <row r="9031" ht="15" customHeight="1" x14ac:dyDescent="0.2"/>
    <row r="9032" ht="15" customHeight="1" x14ac:dyDescent="0.2"/>
    <row r="9033" ht="15" customHeight="1" x14ac:dyDescent="0.2"/>
    <row r="9034" ht="15" customHeight="1" x14ac:dyDescent="0.2"/>
    <row r="9035" ht="15" customHeight="1" x14ac:dyDescent="0.2"/>
    <row r="9036" ht="15" customHeight="1" x14ac:dyDescent="0.2"/>
    <row r="9037" ht="15" customHeight="1" x14ac:dyDescent="0.2"/>
    <row r="9038" ht="15" customHeight="1" x14ac:dyDescent="0.2"/>
    <row r="9039" ht="15" customHeight="1" x14ac:dyDescent="0.2"/>
    <row r="9040" ht="15" customHeight="1" x14ac:dyDescent="0.2"/>
    <row r="9041" ht="15" customHeight="1" x14ac:dyDescent="0.2"/>
    <row r="9042" ht="15" customHeight="1" x14ac:dyDescent="0.2"/>
    <row r="9043" ht="15" customHeight="1" x14ac:dyDescent="0.2"/>
    <row r="9044" ht="15" customHeight="1" x14ac:dyDescent="0.2"/>
    <row r="9045" ht="15" customHeight="1" x14ac:dyDescent="0.2"/>
    <row r="9046" ht="15" customHeight="1" x14ac:dyDescent="0.2"/>
    <row r="9047" ht="15" customHeight="1" x14ac:dyDescent="0.2"/>
    <row r="9048" ht="15" customHeight="1" x14ac:dyDescent="0.2"/>
    <row r="9049" ht="15" customHeight="1" x14ac:dyDescent="0.2"/>
    <row r="9050" ht="15" customHeight="1" x14ac:dyDescent="0.2"/>
    <row r="9051" ht="15" customHeight="1" x14ac:dyDescent="0.2"/>
    <row r="9052" ht="15" customHeight="1" x14ac:dyDescent="0.2"/>
    <row r="9053" ht="15" customHeight="1" x14ac:dyDescent="0.2"/>
    <row r="9054" ht="15" customHeight="1" x14ac:dyDescent="0.2"/>
    <row r="9055" ht="15" customHeight="1" x14ac:dyDescent="0.2"/>
    <row r="9056" ht="15" customHeight="1" x14ac:dyDescent="0.2"/>
    <row r="9057" ht="15" customHeight="1" x14ac:dyDescent="0.2"/>
    <row r="9058" ht="15" customHeight="1" x14ac:dyDescent="0.2"/>
    <row r="9059" ht="15" customHeight="1" x14ac:dyDescent="0.2"/>
    <row r="9060" ht="15" customHeight="1" x14ac:dyDescent="0.2"/>
    <row r="9061" ht="15" customHeight="1" x14ac:dyDescent="0.2"/>
    <row r="9062" ht="15" customHeight="1" x14ac:dyDescent="0.2"/>
    <row r="9063" ht="15" customHeight="1" x14ac:dyDescent="0.2"/>
    <row r="9064" ht="15" customHeight="1" x14ac:dyDescent="0.2"/>
    <row r="9065" ht="15" customHeight="1" x14ac:dyDescent="0.2"/>
    <row r="9066" ht="15" customHeight="1" x14ac:dyDescent="0.2"/>
    <row r="9067" ht="15" customHeight="1" x14ac:dyDescent="0.2"/>
    <row r="9068" ht="15" customHeight="1" x14ac:dyDescent="0.2"/>
    <row r="9069" ht="15" customHeight="1" x14ac:dyDescent="0.2"/>
    <row r="9070" ht="15" customHeight="1" x14ac:dyDescent="0.2"/>
    <row r="9071" ht="15" customHeight="1" x14ac:dyDescent="0.2"/>
    <row r="9072" ht="15" customHeight="1" x14ac:dyDescent="0.2"/>
    <row r="9073" ht="15" customHeight="1" x14ac:dyDescent="0.2"/>
    <row r="9074" ht="15" customHeight="1" x14ac:dyDescent="0.2"/>
    <row r="9075" ht="15" customHeight="1" x14ac:dyDescent="0.2"/>
    <row r="9076" ht="15" customHeight="1" x14ac:dyDescent="0.2"/>
    <row r="9077" ht="15" customHeight="1" x14ac:dyDescent="0.2"/>
    <row r="9078" ht="15" customHeight="1" x14ac:dyDescent="0.2"/>
    <row r="9079" ht="15" customHeight="1" x14ac:dyDescent="0.2"/>
    <row r="9080" ht="15" customHeight="1" x14ac:dyDescent="0.2"/>
    <row r="9081" ht="15" customHeight="1" x14ac:dyDescent="0.2"/>
    <row r="9082" ht="15" customHeight="1" x14ac:dyDescent="0.2"/>
    <row r="9083" ht="15" customHeight="1" x14ac:dyDescent="0.2"/>
    <row r="9084" ht="15" customHeight="1" x14ac:dyDescent="0.2"/>
    <row r="9085" ht="15" customHeight="1" x14ac:dyDescent="0.2"/>
    <row r="9086" ht="15" customHeight="1" x14ac:dyDescent="0.2"/>
    <row r="9087" ht="15" customHeight="1" x14ac:dyDescent="0.2"/>
    <row r="9088" ht="15" customHeight="1" x14ac:dyDescent="0.2"/>
    <row r="9089" ht="15" customHeight="1" x14ac:dyDescent="0.2"/>
    <row r="9090" ht="15" customHeight="1" x14ac:dyDescent="0.2"/>
    <row r="9091" ht="15" customHeight="1" x14ac:dyDescent="0.2"/>
    <row r="9092" ht="15" customHeight="1" x14ac:dyDescent="0.2"/>
    <row r="9093" ht="15" customHeight="1" x14ac:dyDescent="0.2"/>
    <row r="9094" ht="15" customHeight="1" x14ac:dyDescent="0.2"/>
    <row r="9095" ht="15" customHeight="1" x14ac:dyDescent="0.2"/>
    <row r="9096" ht="15" customHeight="1" x14ac:dyDescent="0.2"/>
    <row r="9097" ht="15" customHeight="1" x14ac:dyDescent="0.2"/>
    <row r="9098" ht="15" customHeight="1" x14ac:dyDescent="0.2"/>
    <row r="9099" ht="15" customHeight="1" x14ac:dyDescent="0.2"/>
    <row r="9100" ht="15" customHeight="1" x14ac:dyDescent="0.2"/>
    <row r="9101" ht="15" customHeight="1" x14ac:dyDescent="0.2"/>
    <row r="9102" ht="15" customHeight="1" x14ac:dyDescent="0.2"/>
    <row r="9103" ht="15" customHeight="1" x14ac:dyDescent="0.2"/>
    <row r="9104" ht="15" customHeight="1" x14ac:dyDescent="0.2"/>
    <row r="9105" ht="15" customHeight="1" x14ac:dyDescent="0.2"/>
    <row r="9106" ht="15" customHeight="1" x14ac:dyDescent="0.2"/>
    <row r="9107" ht="15" customHeight="1" x14ac:dyDescent="0.2"/>
    <row r="9108" ht="15" customHeight="1" x14ac:dyDescent="0.2"/>
    <row r="9109" ht="15" customHeight="1" x14ac:dyDescent="0.2"/>
    <row r="9110" ht="15" customHeight="1" x14ac:dyDescent="0.2"/>
    <row r="9111" ht="15" customHeight="1" x14ac:dyDescent="0.2"/>
    <row r="9112" ht="15" customHeight="1" x14ac:dyDescent="0.2"/>
    <row r="9113" ht="15" customHeight="1" x14ac:dyDescent="0.2"/>
    <row r="9114" ht="15" customHeight="1" x14ac:dyDescent="0.2"/>
    <row r="9115" ht="15" customHeight="1" x14ac:dyDescent="0.2"/>
    <row r="9116" ht="15" customHeight="1" x14ac:dyDescent="0.2"/>
    <row r="9117" ht="15" customHeight="1" x14ac:dyDescent="0.2"/>
    <row r="9118" ht="15" customHeight="1" x14ac:dyDescent="0.2"/>
    <row r="9119" ht="15" customHeight="1" x14ac:dyDescent="0.2"/>
    <row r="9120" ht="15" customHeight="1" x14ac:dyDescent="0.2"/>
    <row r="9121" ht="15" customHeight="1" x14ac:dyDescent="0.2"/>
    <row r="9122" ht="15" customHeight="1" x14ac:dyDescent="0.2"/>
    <row r="9123" ht="15" customHeight="1" x14ac:dyDescent="0.2"/>
    <row r="9124" ht="15" customHeight="1" x14ac:dyDescent="0.2"/>
    <row r="9125" ht="15" customHeight="1" x14ac:dyDescent="0.2"/>
    <row r="9126" ht="15" customHeight="1" x14ac:dyDescent="0.2"/>
    <row r="9127" ht="15" customHeight="1" x14ac:dyDescent="0.2"/>
    <row r="9128" ht="15" customHeight="1" x14ac:dyDescent="0.2"/>
    <row r="9129" ht="15" customHeight="1" x14ac:dyDescent="0.2"/>
    <row r="9130" ht="15" customHeight="1" x14ac:dyDescent="0.2"/>
    <row r="9131" ht="15" customHeight="1" x14ac:dyDescent="0.2"/>
    <row r="9132" ht="15" customHeight="1" x14ac:dyDescent="0.2"/>
    <row r="9133" ht="15" customHeight="1" x14ac:dyDescent="0.2"/>
    <row r="9134" ht="15" customHeight="1" x14ac:dyDescent="0.2"/>
    <row r="9135" ht="15" customHeight="1" x14ac:dyDescent="0.2"/>
    <row r="9136" ht="15" customHeight="1" x14ac:dyDescent="0.2"/>
    <row r="9137" ht="15" customHeight="1" x14ac:dyDescent="0.2"/>
    <row r="9138" ht="15" customHeight="1" x14ac:dyDescent="0.2"/>
    <row r="9139" ht="15" customHeight="1" x14ac:dyDescent="0.2"/>
    <row r="9140" ht="15" customHeight="1" x14ac:dyDescent="0.2"/>
    <row r="9141" ht="15" customHeight="1" x14ac:dyDescent="0.2"/>
    <row r="9142" ht="15" customHeight="1" x14ac:dyDescent="0.2"/>
    <row r="9143" ht="15" customHeight="1" x14ac:dyDescent="0.2"/>
    <row r="9144" ht="15" customHeight="1" x14ac:dyDescent="0.2"/>
    <row r="9145" ht="15" customHeight="1" x14ac:dyDescent="0.2"/>
    <row r="9146" ht="15" customHeight="1" x14ac:dyDescent="0.2"/>
    <row r="9147" ht="15" customHeight="1" x14ac:dyDescent="0.2"/>
    <row r="9148" ht="15" customHeight="1" x14ac:dyDescent="0.2"/>
    <row r="9149" ht="15" customHeight="1" x14ac:dyDescent="0.2"/>
    <row r="9150" ht="15" customHeight="1" x14ac:dyDescent="0.2"/>
    <row r="9151" ht="15" customHeight="1" x14ac:dyDescent="0.2"/>
    <row r="9152" ht="15" customHeight="1" x14ac:dyDescent="0.2"/>
    <row r="9153" ht="15" customHeight="1" x14ac:dyDescent="0.2"/>
    <row r="9154" ht="15" customHeight="1" x14ac:dyDescent="0.2"/>
    <row r="9155" ht="15" customHeight="1" x14ac:dyDescent="0.2"/>
    <row r="9156" ht="15" customHeight="1" x14ac:dyDescent="0.2"/>
    <row r="9157" ht="15" customHeight="1" x14ac:dyDescent="0.2"/>
    <row r="9158" ht="15" customHeight="1" x14ac:dyDescent="0.2"/>
    <row r="9159" ht="15" customHeight="1" x14ac:dyDescent="0.2"/>
    <row r="9160" ht="15" customHeight="1" x14ac:dyDescent="0.2"/>
    <row r="9161" ht="15" customHeight="1" x14ac:dyDescent="0.2"/>
    <row r="9162" ht="15" customHeight="1" x14ac:dyDescent="0.2"/>
    <row r="9163" ht="15" customHeight="1" x14ac:dyDescent="0.2"/>
    <row r="9164" ht="15" customHeight="1" x14ac:dyDescent="0.2"/>
    <row r="9165" ht="15" customHeight="1" x14ac:dyDescent="0.2"/>
    <row r="9166" ht="15" customHeight="1" x14ac:dyDescent="0.2"/>
    <row r="9167" ht="15" customHeight="1" x14ac:dyDescent="0.2"/>
    <row r="9168" ht="15" customHeight="1" x14ac:dyDescent="0.2"/>
    <row r="9169" ht="15" customHeight="1" x14ac:dyDescent="0.2"/>
    <row r="9170" ht="15" customHeight="1" x14ac:dyDescent="0.2"/>
    <row r="9171" ht="15" customHeight="1" x14ac:dyDescent="0.2"/>
    <row r="9172" ht="15" customHeight="1" x14ac:dyDescent="0.2"/>
    <row r="9173" ht="15" customHeight="1" x14ac:dyDescent="0.2"/>
    <row r="9174" ht="15" customHeight="1" x14ac:dyDescent="0.2"/>
    <row r="9175" ht="15" customHeight="1" x14ac:dyDescent="0.2"/>
    <row r="9176" ht="15" customHeight="1" x14ac:dyDescent="0.2"/>
    <row r="9177" ht="15" customHeight="1" x14ac:dyDescent="0.2"/>
    <row r="9178" ht="15" customHeight="1" x14ac:dyDescent="0.2"/>
    <row r="9179" ht="15" customHeight="1" x14ac:dyDescent="0.2"/>
    <row r="9180" ht="15" customHeight="1" x14ac:dyDescent="0.2"/>
    <row r="9181" ht="15" customHeight="1" x14ac:dyDescent="0.2"/>
    <row r="9182" ht="15" customHeight="1" x14ac:dyDescent="0.2"/>
    <row r="9183" ht="15" customHeight="1" x14ac:dyDescent="0.2"/>
    <row r="9184" ht="15" customHeight="1" x14ac:dyDescent="0.2"/>
    <row r="9185" ht="15" customHeight="1" x14ac:dyDescent="0.2"/>
    <row r="9186" ht="15" customHeight="1" x14ac:dyDescent="0.2"/>
    <row r="9187" ht="15" customHeight="1" x14ac:dyDescent="0.2"/>
    <row r="9188" ht="15" customHeight="1" x14ac:dyDescent="0.2"/>
    <row r="9189" ht="15" customHeight="1" x14ac:dyDescent="0.2"/>
    <row r="9190" ht="15" customHeight="1" x14ac:dyDescent="0.2"/>
    <row r="9191" ht="15" customHeight="1" x14ac:dyDescent="0.2"/>
    <row r="9192" ht="15" customHeight="1" x14ac:dyDescent="0.2"/>
    <row r="9193" ht="15" customHeight="1" x14ac:dyDescent="0.2"/>
    <row r="9194" ht="15" customHeight="1" x14ac:dyDescent="0.2"/>
    <row r="9195" ht="15" customHeight="1" x14ac:dyDescent="0.2"/>
    <row r="9196" ht="15" customHeight="1" x14ac:dyDescent="0.2"/>
    <row r="9197" ht="15" customHeight="1" x14ac:dyDescent="0.2"/>
    <row r="9198" ht="15" customHeight="1" x14ac:dyDescent="0.2"/>
    <row r="9199" ht="15" customHeight="1" x14ac:dyDescent="0.2"/>
    <row r="9200" ht="15" customHeight="1" x14ac:dyDescent="0.2"/>
    <row r="9201" ht="15" customHeight="1" x14ac:dyDescent="0.2"/>
    <row r="9202" ht="15" customHeight="1" x14ac:dyDescent="0.2"/>
    <row r="9203" ht="15" customHeight="1" x14ac:dyDescent="0.2"/>
    <row r="9204" ht="15" customHeight="1" x14ac:dyDescent="0.2"/>
    <row r="9205" ht="15" customHeight="1" x14ac:dyDescent="0.2"/>
    <row r="9206" ht="15" customHeight="1" x14ac:dyDescent="0.2"/>
    <row r="9207" ht="15" customHeight="1" x14ac:dyDescent="0.2"/>
    <row r="9208" ht="15" customHeight="1" x14ac:dyDescent="0.2"/>
    <row r="9209" ht="15" customHeight="1" x14ac:dyDescent="0.2"/>
    <row r="9210" ht="15" customHeight="1" x14ac:dyDescent="0.2"/>
    <row r="9211" ht="15" customHeight="1" x14ac:dyDescent="0.2"/>
    <row r="9212" ht="15" customHeight="1" x14ac:dyDescent="0.2"/>
    <row r="9213" ht="15" customHeight="1" x14ac:dyDescent="0.2"/>
    <row r="9214" ht="15" customHeight="1" x14ac:dyDescent="0.2"/>
    <row r="9215" ht="15" customHeight="1" x14ac:dyDescent="0.2"/>
    <row r="9216" ht="15" customHeight="1" x14ac:dyDescent="0.2"/>
    <row r="9217" ht="15" customHeight="1" x14ac:dyDescent="0.2"/>
    <row r="9218" ht="15" customHeight="1" x14ac:dyDescent="0.2"/>
    <row r="9219" ht="15" customHeight="1" x14ac:dyDescent="0.2"/>
    <row r="9220" ht="15" customHeight="1" x14ac:dyDescent="0.2"/>
    <row r="9221" ht="15" customHeight="1" x14ac:dyDescent="0.2"/>
    <row r="9222" ht="15" customHeight="1" x14ac:dyDescent="0.2"/>
    <row r="9223" ht="15" customHeight="1" x14ac:dyDescent="0.2"/>
    <row r="9224" ht="15" customHeight="1" x14ac:dyDescent="0.2"/>
    <row r="9225" ht="15" customHeight="1" x14ac:dyDescent="0.2"/>
    <row r="9226" ht="15" customHeight="1" x14ac:dyDescent="0.2"/>
    <row r="9227" ht="15" customHeight="1" x14ac:dyDescent="0.2"/>
    <row r="9228" ht="15" customHeight="1" x14ac:dyDescent="0.2"/>
    <row r="9229" ht="15" customHeight="1" x14ac:dyDescent="0.2"/>
    <row r="9230" ht="15" customHeight="1" x14ac:dyDescent="0.2"/>
    <row r="9231" ht="15" customHeight="1" x14ac:dyDescent="0.2"/>
    <row r="9232" ht="15" customHeight="1" x14ac:dyDescent="0.2"/>
    <row r="9233" ht="15" customHeight="1" x14ac:dyDescent="0.2"/>
    <row r="9234" ht="15" customHeight="1" x14ac:dyDescent="0.2"/>
    <row r="9235" ht="15" customHeight="1" x14ac:dyDescent="0.2"/>
    <row r="9236" ht="15" customHeight="1" x14ac:dyDescent="0.2"/>
    <row r="9237" ht="15" customHeight="1" x14ac:dyDescent="0.2"/>
    <row r="9238" ht="15" customHeight="1" x14ac:dyDescent="0.2"/>
    <row r="9239" ht="15" customHeight="1" x14ac:dyDescent="0.2"/>
    <row r="9240" ht="15" customHeight="1" x14ac:dyDescent="0.2"/>
    <row r="9241" ht="15" customHeight="1" x14ac:dyDescent="0.2"/>
    <row r="9242" ht="15" customHeight="1" x14ac:dyDescent="0.2"/>
    <row r="9243" ht="15" customHeight="1" x14ac:dyDescent="0.2"/>
    <row r="9244" ht="15" customHeight="1" x14ac:dyDescent="0.2"/>
    <row r="9245" ht="15" customHeight="1" x14ac:dyDescent="0.2"/>
    <row r="9246" ht="15" customHeight="1" x14ac:dyDescent="0.2"/>
    <row r="9247" ht="15" customHeight="1" x14ac:dyDescent="0.2"/>
    <row r="9248" ht="15" customHeight="1" x14ac:dyDescent="0.2"/>
    <row r="9249" ht="15" customHeight="1" x14ac:dyDescent="0.2"/>
    <row r="9250" ht="15" customHeight="1" x14ac:dyDescent="0.2"/>
    <row r="9251" ht="15" customHeight="1" x14ac:dyDescent="0.2"/>
    <row r="9252" ht="15" customHeight="1" x14ac:dyDescent="0.2"/>
    <row r="9253" ht="15" customHeight="1" x14ac:dyDescent="0.2"/>
    <row r="9254" ht="15" customHeight="1" x14ac:dyDescent="0.2"/>
    <row r="9255" ht="15" customHeight="1" x14ac:dyDescent="0.2"/>
    <row r="9256" ht="15" customHeight="1" x14ac:dyDescent="0.2"/>
    <row r="9257" ht="15" customHeight="1" x14ac:dyDescent="0.2"/>
    <row r="9258" ht="15" customHeight="1" x14ac:dyDescent="0.2"/>
    <row r="9259" ht="15" customHeight="1" x14ac:dyDescent="0.2"/>
    <row r="9260" ht="15" customHeight="1" x14ac:dyDescent="0.2"/>
    <row r="9261" ht="15" customHeight="1" x14ac:dyDescent="0.2"/>
    <row r="9262" ht="15" customHeight="1" x14ac:dyDescent="0.2"/>
    <row r="9263" ht="15" customHeight="1" x14ac:dyDescent="0.2"/>
    <row r="9264" ht="15" customHeight="1" x14ac:dyDescent="0.2"/>
    <row r="9265" ht="15" customHeight="1" x14ac:dyDescent="0.2"/>
    <row r="9266" ht="15" customHeight="1" x14ac:dyDescent="0.2"/>
    <row r="9267" ht="15" customHeight="1" x14ac:dyDescent="0.2"/>
    <row r="9268" ht="15" customHeight="1" x14ac:dyDescent="0.2"/>
    <row r="9269" ht="15" customHeight="1" x14ac:dyDescent="0.2"/>
    <row r="9270" ht="15" customHeight="1" x14ac:dyDescent="0.2"/>
    <row r="9271" ht="15" customHeight="1" x14ac:dyDescent="0.2"/>
    <row r="9272" ht="15" customHeight="1" x14ac:dyDescent="0.2"/>
    <row r="9273" ht="15" customHeight="1" x14ac:dyDescent="0.2"/>
    <row r="9274" ht="15" customHeight="1" x14ac:dyDescent="0.2"/>
    <row r="9275" ht="15" customHeight="1" x14ac:dyDescent="0.2"/>
    <row r="9276" ht="15" customHeight="1" x14ac:dyDescent="0.2"/>
    <row r="9277" ht="15" customHeight="1" x14ac:dyDescent="0.2"/>
    <row r="9278" ht="15" customHeight="1" x14ac:dyDescent="0.2"/>
    <row r="9279" ht="15" customHeight="1" x14ac:dyDescent="0.2"/>
    <row r="9280" ht="15" customHeight="1" x14ac:dyDescent="0.2"/>
    <row r="9281" ht="15" customHeight="1" x14ac:dyDescent="0.2"/>
    <row r="9282" ht="15" customHeight="1" x14ac:dyDescent="0.2"/>
    <row r="9283" ht="15" customHeight="1" x14ac:dyDescent="0.2"/>
    <row r="9284" ht="15" customHeight="1" x14ac:dyDescent="0.2"/>
    <row r="9285" ht="15" customHeight="1" x14ac:dyDescent="0.2"/>
    <row r="9286" ht="15" customHeight="1" x14ac:dyDescent="0.2"/>
    <row r="9287" ht="15" customHeight="1" x14ac:dyDescent="0.2"/>
    <row r="9288" ht="15" customHeight="1" x14ac:dyDescent="0.2"/>
    <row r="9289" ht="15" customHeight="1" x14ac:dyDescent="0.2"/>
    <row r="9290" ht="15" customHeight="1" x14ac:dyDescent="0.2"/>
    <row r="9291" ht="15" customHeight="1" x14ac:dyDescent="0.2"/>
    <row r="9292" ht="15" customHeight="1" x14ac:dyDescent="0.2"/>
    <row r="9293" ht="15" customHeight="1" x14ac:dyDescent="0.2"/>
    <row r="9294" ht="15" customHeight="1" x14ac:dyDescent="0.2"/>
    <row r="9295" ht="15" customHeight="1" x14ac:dyDescent="0.2"/>
    <row r="9296" ht="15" customHeight="1" x14ac:dyDescent="0.2"/>
    <row r="9297" ht="15" customHeight="1" x14ac:dyDescent="0.2"/>
    <row r="9298" ht="15" customHeight="1" x14ac:dyDescent="0.2"/>
    <row r="9299" ht="15" customHeight="1" x14ac:dyDescent="0.2"/>
    <row r="9300" ht="15" customHeight="1" x14ac:dyDescent="0.2"/>
    <row r="9301" ht="15" customHeight="1" x14ac:dyDescent="0.2"/>
    <row r="9302" ht="15" customHeight="1" x14ac:dyDescent="0.2"/>
    <row r="9303" ht="15" customHeight="1" x14ac:dyDescent="0.2"/>
    <row r="9304" ht="15" customHeight="1" x14ac:dyDescent="0.2"/>
    <row r="9305" ht="15" customHeight="1" x14ac:dyDescent="0.2"/>
    <row r="9306" ht="15" customHeight="1" x14ac:dyDescent="0.2"/>
    <row r="9307" ht="15" customHeight="1" x14ac:dyDescent="0.2"/>
    <row r="9308" ht="15" customHeight="1" x14ac:dyDescent="0.2"/>
    <row r="9309" ht="15" customHeight="1" x14ac:dyDescent="0.2"/>
    <row r="9310" ht="15" customHeight="1" x14ac:dyDescent="0.2"/>
    <row r="9311" ht="15" customHeight="1" x14ac:dyDescent="0.2"/>
    <row r="9312" ht="15" customHeight="1" x14ac:dyDescent="0.2"/>
    <row r="9313" ht="15" customHeight="1" x14ac:dyDescent="0.2"/>
    <row r="9314" ht="15" customHeight="1" x14ac:dyDescent="0.2"/>
    <row r="9315" ht="15" customHeight="1" x14ac:dyDescent="0.2"/>
    <row r="9316" ht="15" customHeight="1" x14ac:dyDescent="0.2"/>
    <row r="9317" ht="15" customHeight="1" x14ac:dyDescent="0.2"/>
    <row r="9318" ht="15" customHeight="1" x14ac:dyDescent="0.2"/>
    <row r="9319" ht="15" customHeight="1" x14ac:dyDescent="0.2"/>
    <row r="9320" ht="15" customHeight="1" x14ac:dyDescent="0.2"/>
    <row r="9321" ht="15" customHeight="1" x14ac:dyDescent="0.2"/>
    <row r="9322" ht="15" customHeight="1" x14ac:dyDescent="0.2"/>
    <row r="9323" ht="15" customHeight="1" x14ac:dyDescent="0.2"/>
    <row r="9324" ht="15" customHeight="1" x14ac:dyDescent="0.2"/>
    <row r="9325" ht="15" customHeight="1" x14ac:dyDescent="0.2"/>
    <row r="9326" ht="15" customHeight="1" x14ac:dyDescent="0.2"/>
    <row r="9327" ht="15" customHeight="1" x14ac:dyDescent="0.2"/>
    <row r="9328" ht="15" customHeight="1" x14ac:dyDescent="0.2"/>
    <row r="9329" ht="15" customHeight="1" x14ac:dyDescent="0.2"/>
    <row r="9330" ht="15" customHeight="1" x14ac:dyDescent="0.2"/>
    <row r="9331" ht="15" customHeight="1" x14ac:dyDescent="0.2"/>
    <row r="9332" ht="15" customHeight="1" x14ac:dyDescent="0.2"/>
    <row r="9333" ht="15" customHeight="1" x14ac:dyDescent="0.2"/>
    <row r="9334" ht="15" customHeight="1" x14ac:dyDescent="0.2"/>
    <row r="9335" ht="15" customHeight="1" x14ac:dyDescent="0.2"/>
    <row r="9336" ht="15" customHeight="1" x14ac:dyDescent="0.2"/>
    <row r="9337" ht="15" customHeight="1" x14ac:dyDescent="0.2"/>
    <row r="9338" ht="15" customHeight="1" x14ac:dyDescent="0.2"/>
    <row r="9339" ht="15" customHeight="1" x14ac:dyDescent="0.2"/>
    <row r="9340" ht="15" customHeight="1" x14ac:dyDescent="0.2"/>
    <row r="9341" ht="15" customHeight="1" x14ac:dyDescent="0.2"/>
    <row r="9342" ht="15" customHeight="1" x14ac:dyDescent="0.2"/>
    <row r="9343" ht="15" customHeight="1" x14ac:dyDescent="0.2"/>
    <row r="9344" ht="15" customHeight="1" x14ac:dyDescent="0.2"/>
    <row r="9345" ht="15" customHeight="1" x14ac:dyDescent="0.2"/>
    <row r="9346" ht="15" customHeight="1" x14ac:dyDescent="0.2"/>
    <row r="9347" ht="15" customHeight="1" x14ac:dyDescent="0.2"/>
    <row r="9348" ht="15" customHeight="1" x14ac:dyDescent="0.2"/>
    <row r="9349" ht="15" customHeight="1" x14ac:dyDescent="0.2"/>
    <row r="9350" ht="15" customHeight="1" x14ac:dyDescent="0.2"/>
    <row r="9351" ht="15" customHeight="1" x14ac:dyDescent="0.2"/>
    <row r="9352" ht="15" customHeight="1" x14ac:dyDescent="0.2"/>
    <row r="9353" ht="15" customHeight="1" x14ac:dyDescent="0.2"/>
    <row r="9354" ht="15" customHeight="1" x14ac:dyDescent="0.2"/>
    <row r="9355" ht="15" customHeight="1" x14ac:dyDescent="0.2"/>
    <row r="9356" ht="15" customHeight="1" x14ac:dyDescent="0.2"/>
    <row r="9357" ht="15" customHeight="1" x14ac:dyDescent="0.2"/>
    <row r="9358" ht="15" customHeight="1" x14ac:dyDescent="0.2"/>
    <row r="9359" ht="15" customHeight="1" x14ac:dyDescent="0.2"/>
    <row r="9360" ht="15" customHeight="1" x14ac:dyDescent="0.2"/>
    <row r="9361" ht="15" customHeight="1" x14ac:dyDescent="0.2"/>
    <row r="9362" ht="15" customHeight="1" x14ac:dyDescent="0.2"/>
    <row r="9363" ht="15" customHeight="1" x14ac:dyDescent="0.2"/>
    <row r="9364" ht="15" customHeight="1" x14ac:dyDescent="0.2"/>
    <row r="9365" ht="15" customHeight="1" x14ac:dyDescent="0.2"/>
    <row r="9366" ht="15" customHeight="1" x14ac:dyDescent="0.2"/>
    <row r="9367" ht="15" customHeight="1" x14ac:dyDescent="0.2"/>
    <row r="9368" ht="15" customHeight="1" x14ac:dyDescent="0.2"/>
    <row r="9369" ht="15" customHeight="1" x14ac:dyDescent="0.2"/>
    <row r="9370" ht="15" customHeight="1" x14ac:dyDescent="0.2"/>
    <row r="9371" ht="15" customHeight="1" x14ac:dyDescent="0.2"/>
    <row r="9372" ht="15" customHeight="1" x14ac:dyDescent="0.2"/>
    <row r="9373" ht="15" customHeight="1" x14ac:dyDescent="0.2"/>
    <row r="9374" ht="15" customHeight="1" x14ac:dyDescent="0.2"/>
    <row r="9375" ht="15" customHeight="1" x14ac:dyDescent="0.2"/>
    <row r="9376" ht="15" customHeight="1" x14ac:dyDescent="0.2"/>
    <row r="9377" ht="15" customHeight="1" x14ac:dyDescent="0.2"/>
    <row r="9378" ht="15" customHeight="1" x14ac:dyDescent="0.2"/>
    <row r="9379" ht="15" customHeight="1" x14ac:dyDescent="0.2"/>
    <row r="9380" ht="15" customHeight="1" x14ac:dyDescent="0.2"/>
    <row r="9381" ht="15" customHeight="1" x14ac:dyDescent="0.2"/>
    <row r="9382" ht="15" customHeight="1" x14ac:dyDescent="0.2"/>
    <row r="9383" ht="15" customHeight="1" x14ac:dyDescent="0.2"/>
    <row r="9384" ht="15" customHeight="1" x14ac:dyDescent="0.2"/>
    <row r="9385" ht="15" customHeight="1" x14ac:dyDescent="0.2"/>
    <row r="9386" ht="15" customHeight="1" x14ac:dyDescent="0.2"/>
    <row r="9387" ht="15" customHeight="1" x14ac:dyDescent="0.2"/>
    <row r="9388" ht="15" customHeight="1" x14ac:dyDescent="0.2"/>
    <row r="9389" ht="15" customHeight="1" x14ac:dyDescent="0.2"/>
    <row r="9390" ht="15" customHeight="1" x14ac:dyDescent="0.2"/>
    <row r="9391" ht="15" customHeight="1" x14ac:dyDescent="0.2"/>
    <row r="9392" ht="15" customHeight="1" x14ac:dyDescent="0.2"/>
    <row r="9393" ht="15" customHeight="1" x14ac:dyDescent="0.2"/>
    <row r="9394" ht="15" customHeight="1" x14ac:dyDescent="0.2"/>
    <row r="9395" ht="15" customHeight="1" x14ac:dyDescent="0.2"/>
    <row r="9396" ht="15" customHeight="1" x14ac:dyDescent="0.2"/>
    <row r="9397" ht="15" customHeight="1" x14ac:dyDescent="0.2"/>
    <row r="9398" ht="15" customHeight="1" x14ac:dyDescent="0.2"/>
    <row r="9399" ht="15" customHeight="1" x14ac:dyDescent="0.2"/>
    <row r="9400" ht="15" customHeight="1" x14ac:dyDescent="0.2"/>
    <row r="9401" ht="15" customHeight="1" x14ac:dyDescent="0.2"/>
    <row r="9402" ht="15" customHeight="1" x14ac:dyDescent="0.2"/>
    <row r="9403" ht="15" customHeight="1" x14ac:dyDescent="0.2"/>
    <row r="9404" ht="15" customHeight="1" x14ac:dyDescent="0.2"/>
    <row r="9405" ht="15" customHeight="1" x14ac:dyDescent="0.2"/>
    <row r="9406" ht="15" customHeight="1" x14ac:dyDescent="0.2"/>
    <row r="9407" ht="15" customHeight="1" x14ac:dyDescent="0.2"/>
    <row r="9408" ht="15" customHeight="1" x14ac:dyDescent="0.2"/>
    <row r="9409" ht="15" customHeight="1" x14ac:dyDescent="0.2"/>
    <row r="9410" ht="15" customHeight="1" x14ac:dyDescent="0.2"/>
    <row r="9411" ht="15" customHeight="1" x14ac:dyDescent="0.2"/>
    <row r="9412" ht="15" customHeight="1" x14ac:dyDescent="0.2"/>
    <row r="9413" ht="15" customHeight="1" x14ac:dyDescent="0.2"/>
    <row r="9414" ht="15" customHeight="1" x14ac:dyDescent="0.2"/>
    <row r="9415" ht="15" customHeight="1" x14ac:dyDescent="0.2"/>
    <row r="9416" ht="15" customHeight="1" x14ac:dyDescent="0.2"/>
    <row r="9417" ht="15" customHeight="1" x14ac:dyDescent="0.2"/>
    <row r="9418" ht="15" customHeight="1" x14ac:dyDescent="0.2"/>
    <row r="9419" ht="15" customHeight="1" x14ac:dyDescent="0.2"/>
    <row r="9420" ht="15" customHeight="1" x14ac:dyDescent="0.2"/>
    <row r="9421" ht="15" customHeight="1" x14ac:dyDescent="0.2"/>
    <row r="9422" ht="15" customHeight="1" x14ac:dyDescent="0.2"/>
    <row r="9423" ht="15" customHeight="1" x14ac:dyDescent="0.2"/>
    <row r="9424" ht="15" customHeight="1" x14ac:dyDescent="0.2"/>
    <row r="9425" ht="15" customHeight="1" x14ac:dyDescent="0.2"/>
    <row r="9426" ht="15" customHeight="1" x14ac:dyDescent="0.2"/>
    <row r="9427" ht="15" customHeight="1" x14ac:dyDescent="0.2"/>
    <row r="9428" ht="15" customHeight="1" x14ac:dyDescent="0.2"/>
    <row r="9429" ht="15" customHeight="1" x14ac:dyDescent="0.2"/>
    <row r="9430" ht="15" customHeight="1" x14ac:dyDescent="0.2"/>
    <row r="9431" ht="15" customHeight="1" x14ac:dyDescent="0.2"/>
    <row r="9432" ht="15" customHeight="1" x14ac:dyDescent="0.2"/>
    <row r="9433" ht="15" customHeight="1" x14ac:dyDescent="0.2"/>
    <row r="9434" ht="15" customHeight="1" x14ac:dyDescent="0.2"/>
    <row r="9435" ht="15" customHeight="1" x14ac:dyDescent="0.2"/>
    <row r="9436" ht="15" customHeight="1" x14ac:dyDescent="0.2"/>
    <row r="9437" ht="15" customHeight="1" x14ac:dyDescent="0.2"/>
    <row r="9438" ht="15" customHeight="1" x14ac:dyDescent="0.2"/>
    <row r="9439" ht="15" customHeight="1" x14ac:dyDescent="0.2"/>
    <row r="9440" ht="15" customHeight="1" x14ac:dyDescent="0.2"/>
    <row r="9441" ht="15" customHeight="1" x14ac:dyDescent="0.2"/>
    <row r="9442" ht="15" customHeight="1" x14ac:dyDescent="0.2"/>
    <row r="9443" ht="15" customHeight="1" x14ac:dyDescent="0.2"/>
    <row r="9444" ht="15" customHeight="1" x14ac:dyDescent="0.2"/>
    <row r="9445" ht="15" customHeight="1" x14ac:dyDescent="0.2"/>
    <row r="9446" ht="15" customHeight="1" x14ac:dyDescent="0.2"/>
    <row r="9447" ht="15" customHeight="1" x14ac:dyDescent="0.2"/>
    <row r="9448" ht="15" customHeight="1" x14ac:dyDescent="0.2"/>
    <row r="9449" ht="15" customHeight="1" x14ac:dyDescent="0.2"/>
    <row r="9450" ht="15" customHeight="1" x14ac:dyDescent="0.2"/>
    <row r="9451" ht="15" customHeight="1" x14ac:dyDescent="0.2"/>
    <row r="9452" ht="15" customHeight="1" x14ac:dyDescent="0.2"/>
    <row r="9453" ht="15" customHeight="1" x14ac:dyDescent="0.2"/>
    <row r="9454" ht="15" customHeight="1" x14ac:dyDescent="0.2"/>
    <row r="9455" ht="15" customHeight="1" x14ac:dyDescent="0.2"/>
    <row r="9456" ht="15" customHeight="1" x14ac:dyDescent="0.2"/>
    <row r="9457" ht="15" customHeight="1" x14ac:dyDescent="0.2"/>
    <row r="9458" ht="15" customHeight="1" x14ac:dyDescent="0.2"/>
    <row r="9459" ht="15" customHeight="1" x14ac:dyDescent="0.2"/>
    <row r="9460" ht="15" customHeight="1" x14ac:dyDescent="0.2"/>
    <row r="9461" ht="15" customHeight="1" x14ac:dyDescent="0.2"/>
    <row r="9462" ht="15" customHeight="1" x14ac:dyDescent="0.2"/>
    <row r="9463" ht="15" customHeight="1" x14ac:dyDescent="0.2"/>
    <row r="9464" ht="15" customHeight="1" x14ac:dyDescent="0.2"/>
    <row r="9465" ht="15" customHeight="1" x14ac:dyDescent="0.2"/>
    <row r="9466" ht="15" customHeight="1" x14ac:dyDescent="0.2"/>
    <row r="9467" ht="15" customHeight="1" x14ac:dyDescent="0.2"/>
    <row r="9468" ht="15" customHeight="1" x14ac:dyDescent="0.2"/>
    <row r="9469" ht="15" customHeight="1" x14ac:dyDescent="0.2"/>
    <row r="9470" ht="15" customHeight="1" x14ac:dyDescent="0.2"/>
    <row r="9471" ht="15" customHeight="1" x14ac:dyDescent="0.2"/>
    <row r="9472" ht="15" customHeight="1" x14ac:dyDescent="0.2"/>
    <row r="9473" ht="15" customHeight="1" x14ac:dyDescent="0.2"/>
    <row r="9474" ht="15" customHeight="1" x14ac:dyDescent="0.2"/>
    <row r="9475" ht="15" customHeight="1" x14ac:dyDescent="0.2"/>
    <row r="9476" ht="15" customHeight="1" x14ac:dyDescent="0.2"/>
    <row r="9477" ht="15" customHeight="1" x14ac:dyDescent="0.2"/>
    <row r="9478" ht="15" customHeight="1" x14ac:dyDescent="0.2"/>
    <row r="9479" ht="15" customHeight="1" x14ac:dyDescent="0.2"/>
    <row r="9480" ht="15" customHeight="1" x14ac:dyDescent="0.2"/>
    <row r="9481" ht="15" customHeight="1" x14ac:dyDescent="0.2"/>
    <row r="9482" ht="15" customHeight="1" x14ac:dyDescent="0.2"/>
    <row r="9483" ht="15" customHeight="1" x14ac:dyDescent="0.2"/>
    <row r="9484" ht="15" customHeight="1" x14ac:dyDescent="0.2"/>
    <row r="9485" ht="15" customHeight="1" x14ac:dyDescent="0.2"/>
    <row r="9486" ht="15" customHeight="1" x14ac:dyDescent="0.2"/>
    <row r="9487" ht="15" customHeight="1" x14ac:dyDescent="0.2"/>
    <row r="9488" ht="15" customHeight="1" x14ac:dyDescent="0.2"/>
    <row r="9489" ht="15" customHeight="1" x14ac:dyDescent="0.2"/>
    <row r="9490" ht="15" customHeight="1" x14ac:dyDescent="0.2"/>
    <row r="9491" ht="15" customHeight="1" x14ac:dyDescent="0.2"/>
    <row r="9492" ht="15" customHeight="1" x14ac:dyDescent="0.2"/>
    <row r="9493" ht="15" customHeight="1" x14ac:dyDescent="0.2"/>
    <row r="9494" ht="15" customHeight="1" x14ac:dyDescent="0.2"/>
    <row r="9495" ht="15" customHeight="1" x14ac:dyDescent="0.2"/>
    <row r="9496" ht="15" customHeight="1" x14ac:dyDescent="0.2"/>
    <row r="9497" ht="15" customHeight="1" x14ac:dyDescent="0.2"/>
    <row r="9498" ht="15" customHeight="1" x14ac:dyDescent="0.2"/>
    <row r="9499" ht="15" customHeight="1" x14ac:dyDescent="0.2"/>
    <row r="9500" ht="15" customHeight="1" x14ac:dyDescent="0.2"/>
    <row r="9501" ht="15" customHeight="1" x14ac:dyDescent="0.2"/>
    <row r="9502" ht="15" customHeight="1" x14ac:dyDescent="0.2"/>
    <row r="9503" ht="15" customHeight="1" x14ac:dyDescent="0.2"/>
    <row r="9504" ht="15" customHeight="1" x14ac:dyDescent="0.2"/>
    <row r="9505" ht="15" customHeight="1" x14ac:dyDescent="0.2"/>
    <row r="9506" ht="15" customHeight="1" x14ac:dyDescent="0.2"/>
    <row r="9507" ht="15" customHeight="1" x14ac:dyDescent="0.2"/>
    <row r="9508" ht="15" customHeight="1" x14ac:dyDescent="0.2"/>
    <row r="9509" ht="15" customHeight="1" x14ac:dyDescent="0.2"/>
    <row r="9510" ht="15" customHeight="1" x14ac:dyDescent="0.2"/>
    <row r="9511" ht="15" customHeight="1" x14ac:dyDescent="0.2"/>
    <row r="9512" ht="15" customHeight="1" x14ac:dyDescent="0.2"/>
    <row r="9513" ht="15" customHeight="1" x14ac:dyDescent="0.2"/>
    <row r="9514" ht="15" customHeight="1" x14ac:dyDescent="0.2"/>
    <row r="9515" ht="15" customHeight="1" x14ac:dyDescent="0.2"/>
    <row r="9516" ht="15" customHeight="1" x14ac:dyDescent="0.2"/>
    <row r="9517" ht="15" customHeight="1" x14ac:dyDescent="0.2"/>
    <row r="9518" ht="15" customHeight="1" x14ac:dyDescent="0.2"/>
    <row r="9519" ht="15" customHeight="1" x14ac:dyDescent="0.2"/>
    <row r="9520" ht="15" customHeight="1" x14ac:dyDescent="0.2"/>
    <row r="9521" ht="15" customHeight="1" x14ac:dyDescent="0.2"/>
    <row r="9522" ht="15" customHeight="1" x14ac:dyDescent="0.2"/>
    <row r="9523" ht="15" customHeight="1" x14ac:dyDescent="0.2"/>
    <row r="9524" ht="15" customHeight="1" x14ac:dyDescent="0.2"/>
    <row r="9525" ht="15" customHeight="1" x14ac:dyDescent="0.2"/>
    <row r="9526" ht="15" customHeight="1" x14ac:dyDescent="0.2"/>
    <row r="9527" ht="15" customHeight="1" x14ac:dyDescent="0.2"/>
    <row r="9528" ht="15" customHeight="1" x14ac:dyDescent="0.2"/>
    <row r="9529" ht="15" customHeight="1" x14ac:dyDescent="0.2"/>
    <row r="9530" ht="15" customHeight="1" x14ac:dyDescent="0.2"/>
    <row r="9531" ht="15" customHeight="1" x14ac:dyDescent="0.2"/>
    <row r="9532" ht="15" customHeight="1" x14ac:dyDescent="0.2"/>
    <row r="9533" ht="15" customHeight="1" x14ac:dyDescent="0.2"/>
    <row r="9534" ht="15" customHeight="1" x14ac:dyDescent="0.2"/>
    <row r="9535" ht="15" customHeight="1" x14ac:dyDescent="0.2"/>
    <row r="9536" ht="15" customHeight="1" x14ac:dyDescent="0.2"/>
    <row r="9537" ht="15" customHeight="1" x14ac:dyDescent="0.2"/>
    <row r="9538" ht="15" customHeight="1" x14ac:dyDescent="0.2"/>
    <row r="9539" ht="15" customHeight="1" x14ac:dyDescent="0.2"/>
    <row r="9540" ht="15" customHeight="1" x14ac:dyDescent="0.2"/>
    <row r="9541" ht="15" customHeight="1" x14ac:dyDescent="0.2"/>
    <row r="9542" ht="15" customHeight="1" x14ac:dyDescent="0.2"/>
    <row r="9543" ht="15" customHeight="1" x14ac:dyDescent="0.2"/>
    <row r="9544" ht="15" customHeight="1" x14ac:dyDescent="0.2"/>
    <row r="9545" ht="15" customHeight="1" x14ac:dyDescent="0.2"/>
    <row r="9546" ht="15" customHeight="1" x14ac:dyDescent="0.2"/>
    <row r="9547" ht="15" customHeight="1" x14ac:dyDescent="0.2"/>
    <row r="9548" ht="15" customHeight="1" x14ac:dyDescent="0.2"/>
    <row r="9549" ht="15" customHeight="1" x14ac:dyDescent="0.2"/>
    <row r="9550" ht="15" customHeight="1" x14ac:dyDescent="0.2"/>
    <row r="9551" ht="15" customHeight="1" x14ac:dyDescent="0.2"/>
    <row r="9552" ht="15" customHeight="1" x14ac:dyDescent="0.2"/>
    <row r="9553" ht="15" customHeight="1" x14ac:dyDescent="0.2"/>
    <row r="9554" ht="15" customHeight="1" x14ac:dyDescent="0.2"/>
    <row r="9555" ht="15" customHeight="1" x14ac:dyDescent="0.2"/>
    <row r="9556" ht="15" customHeight="1" x14ac:dyDescent="0.2"/>
    <row r="9557" ht="15" customHeight="1" x14ac:dyDescent="0.2"/>
    <row r="9558" ht="15" customHeight="1" x14ac:dyDescent="0.2"/>
    <row r="9559" ht="15" customHeight="1" x14ac:dyDescent="0.2"/>
    <row r="9560" ht="15" customHeight="1" x14ac:dyDescent="0.2"/>
    <row r="9561" ht="15" customHeight="1" x14ac:dyDescent="0.2"/>
    <row r="9562" ht="15" customHeight="1" x14ac:dyDescent="0.2"/>
    <row r="9563" ht="15" customHeight="1" x14ac:dyDescent="0.2"/>
    <row r="9564" ht="15" customHeight="1" x14ac:dyDescent="0.2"/>
    <row r="9565" ht="15" customHeight="1" x14ac:dyDescent="0.2"/>
    <row r="9566" ht="15" customHeight="1" x14ac:dyDescent="0.2"/>
    <row r="9567" ht="15" customHeight="1" x14ac:dyDescent="0.2"/>
    <row r="9568" ht="15" customHeight="1" x14ac:dyDescent="0.2"/>
    <row r="9569" ht="15" customHeight="1" x14ac:dyDescent="0.2"/>
    <row r="9570" ht="15" customHeight="1" x14ac:dyDescent="0.2"/>
    <row r="9571" ht="15" customHeight="1" x14ac:dyDescent="0.2"/>
    <row r="9572" ht="15" customHeight="1" x14ac:dyDescent="0.2"/>
    <row r="9573" ht="15" customHeight="1" x14ac:dyDescent="0.2"/>
    <row r="9574" ht="15" customHeight="1" x14ac:dyDescent="0.2"/>
    <row r="9575" ht="15" customHeight="1" x14ac:dyDescent="0.2"/>
    <row r="9576" ht="15" customHeight="1" x14ac:dyDescent="0.2"/>
    <row r="9577" ht="15" customHeight="1" x14ac:dyDescent="0.2"/>
    <row r="9578" ht="15" customHeight="1" x14ac:dyDescent="0.2"/>
    <row r="9579" ht="15" customHeight="1" x14ac:dyDescent="0.2"/>
    <row r="9580" ht="15" customHeight="1" x14ac:dyDescent="0.2"/>
    <row r="9581" ht="15" customHeight="1" x14ac:dyDescent="0.2"/>
    <row r="9582" ht="15" customHeight="1" x14ac:dyDescent="0.2"/>
    <row r="9583" ht="15" customHeight="1" x14ac:dyDescent="0.2"/>
    <row r="9584" ht="15" customHeight="1" x14ac:dyDescent="0.2"/>
    <row r="9585" ht="15" customHeight="1" x14ac:dyDescent="0.2"/>
    <row r="9586" ht="15" customHeight="1" x14ac:dyDescent="0.2"/>
    <row r="9587" ht="15" customHeight="1" x14ac:dyDescent="0.2"/>
    <row r="9588" ht="15" customHeight="1" x14ac:dyDescent="0.2"/>
    <row r="9589" ht="15" customHeight="1" x14ac:dyDescent="0.2"/>
    <row r="9590" ht="15" customHeight="1" x14ac:dyDescent="0.2"/>
    <row r="9591" ht="15" customHeight="1" x14ac:dyDescent="0.2"/>
    <row r="9592" ht="15" customHeight="1" x14ac:dyDescent="0.2"/>
    <row r="9593" ht="15" customHeight="1" x14ac:dyDescent="0.2"/>
    <row r="9594" ht="15" customHeight="1" x14ac:dyDescent="0.2"/>
    <row r="9595" ht="15" customHeight="1" x14ac:dyDescent="0.2"/>
    <row r="9596" ht="15" customHeight="1" x14ac:dyDescent="0.2"/>
    <row r="9597" ht="15" customHeight="1" x14ac:dyDescent="0.2"/>
    <row r="9598" ht="15" customHeight="1" x14ac:dyDescent="0.2"/>
    <row r="9599" ht="15" customHeight="1" x14ac:dyDescent="0.2"/>
    <row r="9600" ht="15" customHeight="1" x14ac:dyDescent="0.2"/>
    <row r="9601" ht="15" customHeight="1" x14ac:dyDescent="0.2"/>
    <row r="9602" ht="15" customHeight="1" x14ac:dyDescent="0.2"/>
    <row r="9603" ht="15" customHeight="1" x14ac:dyDescent="0.2"/>
    <row r="9604" ht="15" customHeight="1" x14ac:dyDescent="0.2"/>
    <row r="9605" ht="15" customHeight="1" x14ac:dyDescent="0.2"/>
    <row r="9606" ht="15" customHeight="1" x14ac:dyDescent="0.2"/>
    <row r="9607" ht="15" customHeight="1" x14ac:dyDescent="0.2"/>
    <row r="9608" ht="15" customHeight="1" x14ac:dyDescent="0.2"/>
    <row r="9609" ht="15" customHeight="1" x14ac:dyDescent="0.2"/>
    <row r="9610" ht="15" customHeight="1" x14ac:dyDescent="0.2"/>
    <row r="9611" ht="15" customHeight="1" x14ac:dyDescent="0.2"/>
    <row r="9612" ht="15" customHeight="1" x14ac:dyDescent="0.2"/>
    <row r="9613" ht="15" customHeight="1" x14ac:dyDescent="0.2"/>
    <row r="9614" ht="15" customHeight="1" x14ac:dyDescent="0.2"/>
    <row r="9615" ht="15" customHeight="1" x14ac:dyDescent="0.2"/>
    <row r="9616" ht="15" customHeight="1" x14ac:dyDescent="0.2"/>
    <row r="9617" ht="15" customHeight="1" x14ac:dyDescent="0.2"/>
    <row r="9618" ht="15" customHeight="1" x14ac:dyDescent="0.2"/>
    <row r="9619" ht="15" customHeight="1" x14ac:dyDescent="0.2"/>
    <row r="9620" ht="15" customHeight="1" x14ac:dyDescent="0.2"/>
    <row r="9621" ht="15" customHeight="1" x14ac:dyDescent="0.2"/>
    <row r="9622" ht="15" customHeight="1" x14ac:dyDescent="0.2"/>
    <row r="9623" ht="15" customHeight="1" x14ac:dyDescent="0.2"/>
    <row r="9624" ht="15" customHeight="1" x14ac:dyDescent="0.2"/>
    <row r="9625" ht="15" customHeight="1" x14ac:dyDescent="0.2"/>
    <row r="9626" ht="15" customHeight="1" x14ac:dyDescent="0.2"/>
    <row r="9627" ht="15" customHeight="1" x14ac:dyDescent="0.2"/>
    <row r="9628" ht="15" customHeight="1" x14ac:dyDescent="0.2"/>
    <row r="9629" ht="15" customHeight="1" x14ac:dyDescent="0.2"/>
    <row r="9630" ht="15" customHeight="1" x14ac:dyDescent="0.2"/>
    <row r="9631" ht="15" customHeight="1" x14ac:dyDescent="0.2"/>
    <row r="9632" ht="15" customHeight="1" x14ac:dyDescent="0.2"/>
    <row r="9633" ht="15" customHeight="1" x14ac:dyDescent="0.2"/>
    <row r="9634" ht="15" customHeight="1" x14ac:dyDescent="0.2"/>
    <row r="9635" ht="15" customHeight="1" x14ac:dyDescent="0.2"/>
    <row r="9636" ht="15" customHeight="1" x14ac:dyDescent="0.2"/>
    <row r="9637" ht="15" customHeight="1" x14ac:dyDescent="0.2"/>
    <row r="9638" ht="15" customHeight="1" x14ac:dyDescent="0.2"/>
    <row r="9639" ht="15" customHeight="1" x14ac:dyDescent="0.2"/>
    <row r="9640" ht="15" customHeight="1" x14ac:dyDescent="0.2"/>
    <row r="9641" ht="15" customHeight="1" x14ac:dyDescent="0.2"/>
    <row r="9642" ht="15" customHeight="1" x14ac:dyDescent="0.2"/>
    <row r="9643" ht="15" customHeight="1" x14ac:dyDescent="0.2"/>
    <row r="9644" ht="15" customHeight="1" x14ac:dyDescent="0.2"/>
    <row r="9645" ht="15" customHeight="1" x14ac:dyDescent="0.2"/>
    <row r="9646" ht="15" customHeight="1" x14ac:dyDescent="0.2"/>
    <row r="9647" ht="15" customHeight="1" x14ac:dyDescent="0.2"/>
    <row r="9648" ht="15" customHeight="1" x14ac:dyDescent="0.2"/>
    <row r="9649" ht="15" customHeight="1" x14ac:dyDescent="0.2"/>
    <row r="9650" ht="15" customHeight="1" x14ac:dyDescent="0.2"/>
    <row r="9651" ht="15" customHeight="1" x14ac:dyDescent="0.2"/>
    <row r="9652" ht="15" customHeight="1" x14ac:dyDescent="0.2"/>
    <row r="9653" ht="15" customHeight="1" x14ac:dyDescent="0.2"/>
    <row r="9654" ht="15" customHeight="1" x14ac:dyDescent="0.2"/>
    <row r="9655" ht="15" customHeight="1" x14ac:dyDescent="0.2"/>
    <row r="9656" ht="15" customHeight="1" x14ac:dyDescent="0.2"/>
    <row r="9657" ht="15" customHeight="1" x14ac:dyDescent="0.2"/>
    <row r="9658" ht="15" customHeight="1" x14ac:dyDescent="0.2"/>
    <row r="9659" ht="15" customHeight="1" x14ac:dyDescent="0.2"/>
    <row r="9660" ht="15" customHeight="1" x14ac:dyDescent="0.2"/>
    <row r="9661" ht="15" customHeight="1" x14ac:dyDescent="0.2"/>
    <row r="9662" ht="15" customHeight="1" x14ac:dyDescent="0.2"/>
    <row r="9663" ht="15" customHeight="1" x14ac:dyDescent="0.2"/>
    <row r="9664" ht="15" customHeight="1" x14ac:dyDescent="0.2"/>
    <row r="9665" ht="15" customHeight="1" x14ac:dyDescent="0.2"/>
    <row r="9666" ht="15" customHeight="1" x14ac:dyDescent="0.2"/>
    <row r="9667" ht="15" customHeight="1" x14ac:dyDescent="0.2"/>
    <row r="9668" ht="15" customHeight="1" x14ac:dyDescent="0.2"/>
    <row r="9669" ht="15" customHeight="1" x14ac:dyDescent="0.2"/>
    <row r="9670" ht="15" customHeight="1" x14ac:dyDescent="0.2"/>
    <row r="9671" ht="15" customHeight="1" x14ac:dyDescent="0.2"/>
    <row r="9672" ht="15" customHeight="1" x14ac:dyDescent="0.2"/>
    <row r="9673" ht="15" customHeight="1" x14ac:dyDescent="0.2"/>
    <row r="9674" ht="15" customHeight="1" x14ac:dyDescent="0.2"/>
    <row r="9675" ht="15" customHeight="1" x14ac:dyDescent="0.2"/>
    <row r="9676" ht="15" customHeight="1" x14ac:dyDescent="0.2"/>
    <row r="9677" ht="15" customHeight="1" x14ac:dyDescent="0.2"/>
    <row r="9678" ht="15" customHeight="1" x14ac:dyDescent="0.2"/>
    <row r="9679" ht="15" customHeight="1" x14ac:dyDescent="0.2"/>
    <row r="9680" ht="15" customHeight="1" x14ac:dyDescent="0.2"/>
    <row r="9681" ht="15" customHeight="1" x14ac:dyDescent="0.2"/>
    <row r="9682" ht="15" customHeight="1" x14ac:dyDescent="0.2"/>
    <row r="9683" ht="15" customHeight="1" x14ac:dyDescent="0.2"/>
    <row r="9684" ht="15" customHeight="1" x14ac:dyDescent="0.2"/>
    <row r="9685" ht="15" customHeight="1" x14ac:dyDescent="0.2"/>
    <row r="9686" ht="15" customHeight="1" x14ac:dyDescent="0.2"/>
    <row r="9687" ht="15" customHeight="1" x14ac:dyDescent="0.2"/>
    <row r="9688" ht="15" customHeight="1" x14ac:dyDescent="0.2"/>
    <row r="9689" ht="15" customHeight="1" x14ac:dyDescent="0.2"/>
    <row r="9690" ht="15" customHeight="1" x14ac:dyDescent="0.2"/>
    <row r="9691" ht="15" customHeight="1" x14ac:dyDescent="0.2"/>
    <row r="9692" ht="15" customHeight="1" x14ac:dyDescent="0.2"/>
    <row r="9693" ht="15" customHeight="1" x14ac:dyDescent="0.2"/>
    <row r="9694" ht="15" customHeight="1" x14ac:dyDescent="0.2"/>
    <row r="9695" ht="15" customHeight="1" x14ac:dyDescent="0.2"/>
    <row r="9696" ht="15" customHeight="1" x14ac:dyDescent="0.2"/>
    <row r="9697" ht="15" customHeight="1" x14ac:dyDescent="0.2"/>
    <row r="9698" ht="15" customHeight="1" x14ac:dyDescent="0.2"/>
    <row r="9699" ht="15" customHeight="1" x14ac:dyDescent="0.2"/>
    <row r="9700" ht="15" customHeight="1" x14ac:dyDescent="0.2"/>
    <row r="9701" ht="15" customHeight="1" x14ac:dyDescent="0.2"/>
    <row r="9702" ht="15" customHeight="1" x14ac:dyDescent="0.2"/>
    <row r="9703" ht="15" customHeight="1" x14ac:dyDescent="0.2"/>
    <row r="9704" ht="15" customHeight="1" x14ac:dyDescent="0.2"/>
    <row r="9705" ht="15" customHeight="1" x14ac:dyDescent="0.2"/>
    <row r="9706" ht="15" customHeight="1" x14ac:dyDescent="0.2"/>
    <row r="9707" ht="15" customHeight="1" x14ac:dyDescent="0.2"/>
    <row r="9708" ht="15" customHeight="1" x14ac:dyDescent="0.2"/>
    <row r="9709" ht="15" customHeight="1" x14ac:dyDescent="0.2"/>
    <row r="9710" ht="15" customHeight="1" x14ac:dyDescent="0.2"/>
    <row r="9711" ht="15" customHeight="1" x14ac:dyDescent="0.2"/>
    <row r="9712" ht="15" customHeight="1" x14ac:dyDescent="0.2"/>
    <row r="9713" ht="15" customHeight="1" x14ac:dyDescent="0.2"/>
    <row r="9714" ht="15" customHeight="1" x14ac:dyDescent="0.2"/>
    <row r="9715" ht="15" customHeight="1" x14ac:dyDescent="0.2"/>
    <row r="9716" ht="15" customHeight="1" x14ac:dyDescent="0.2"/>
    <row r="9717" ht="15" customHeight="1" x14ac:dyDescent="0.2"/>
    <row r="9718" ht="15" customHeight="1" x14ac:dyDescent="0.2"/>
    <row r="9719" ht="15" customHeight="1" x14ac:dyDescent="0.2"/>
    <row r="9720" ht="15" customHeight="1" x14ac:dyDescent="0.2"/>
    <row r="9721" ht="15" customHeight="1" x14ac:dyDescent="0.2"/>
    <row r="9722" ht="15" customHeight="1" x14ac:dyDescent="0.2"/>
    <row r="9723" ht="15" customHeight="1" x14ac:dyDescent="0.2"/>
    <row r="9724" ht="15" customHeight="1" x14ac:dyDescent="0.2"/>
    <row r="9725" ht="15" customHeight="1" x14ac:dyDescent="0.2"/>
    <row r="9726" ht="15" customHeight="1" x14ac:dyDescent="0.2"/>
    <row r="9727" ht="15" customHeight="1" x14ac:dyDescent="0.2"/>
    <row r="9728" ht="15" customHeight="1" x14ac:dyDescent="0.2"/>
    <row r="9729" ht="15" customHeight="1" x14ac:dyDescent="0.2"/>
    <row r="9730" ht="15" customHeight="1" x14ac:dyDescent="0.2"/>
    <row r="9731" ht="15" customHeight="1" x14ac:dyDescent="0.2"/>
    <row r="9732" ht="15" customHeight="1" x14ac:dyDescent="0.2"/>
    <row r="9733" ht="15" customHeight="1" x14ac:dyDescent="0.2"/>
    <row r="9734" ht="15" customHeight="1" x14ac:dyDescent="0.2"/>
    <row r="9735" ht="15" customHeight="1" x14ac:dyDescent="0.2"/>
    <row r="9736" ht="15" customHeight="1" x14ac:dyDescent="0.2"/>
    <row r="9737" ht="15" customHeight="1" x14ac:dyDescent="0.2"/>
    <row r="9738" ht="15" customHeight="1" x14ac:dyDescent="0.2"/>
    <row r="9739" ht="15" customHeight="1" x14ac:dyDescent="0.2"/>
    <row r="9740" ht="15" customHeight="1" x14ac:dyDescent="0.2"/>
    <row r="9741" ht="15" customHeight="1" x14ac:dyDescent="0.2"/>
    <row r="9742" ht="15" customHeight="1" x14ac:dyDescent="0.2"/>
    <row r="9743" ht="15" customHeight="1" x14ac:dyDescent="0.2"/>
    <row r="9744" ht="15" customHeight="1" x14ac:dyDescent="0.2"/>
    <row r="9745" ht="15" customHeight="1" x14ac:dyDescent="0.2"/>
    <row r="9746" ht="15" customHeight="1" x14ac:dyDescent="0.2"/>
    <row r="9747" ht="15" customHeight="1" x14ac:dyDescent="0.2"/>
    <row r="9748" ht="15" customHeight="1" x14ac:dyDescent="0.2"/>
    <row r="9749" ht="15" customHeight="1" x14ac:dyDescent="0.2"/>
    <row r="9750" ht="15" customHeight="1" x14ac:dyDescent="0.2"/>
    <row r="9751" ht="15" customHeight="1" x14ac:dyDescent="0.2"/>
    <row r="9752" ht="15" customHeight="1" x14ac:dyDescent="0.2"/>
    <row r="9753" ht="15" customHeight="1" x14ac:dyDescent="0.2"/>
    <row r="9754" ht="15" customHeight="1" x14ac:dyDescent="0.2"/>
    <row r="9755" ht="15" customHeight="1" x14ac:dyDescent="0.2"/>
    <row r="9756" ht="15" customHeight="1" x14ac:dyDescent="0.2"/>
    <row r="9757" ht="15" customHeight="1" x14ac:dyDescent="0.2"/>
    <row r="9758" ht="15" customHeight="1" x14ac:dyDescent="0.2"/>
    <row r="9759" ht="15" customHeight="1" x14ac:dyDescent="0.2"/>
    <row r="9760" ht="15" customHeight="1" x14ac:dyDescent="0.2"/>
    <row r="9761" ht="15" customHeight="1" x14ac:dyDescent="0.2"/>
    <row r="9762" ht="15" customHeight="1" x14ac:dyDescent="0.2"/>
    <row r="9763" ht="15" customHeight="1" x14ac:dyDescent="0.2"/>
    <row r="9764" ht="15" customHeight="1" x14ac:dyDescent="0.2"/>
    <row r="9765" ht="15" customHeight="1" x14ac:dyDescent="0.2"/>
    <row r="9766" ht="15" customHeight="1" x14ac:dyDescent="0.2"/>
    <row r="9767" ht="15" customHeight="1" x14ac:dyDescent="0.2"/>
    <row r="9768" ht="15" customHeight="1" x14ac:dyDescent="0.2"/>
    <row r="9769" ht="15" customHeight="1" x14ac:dyDescent="0.2"/>
    <row r="9770" ht="15" customHeight="1" x14ac:dyDescent="0.2"/>
    <row r="9771" ht="15" customHeight="1" x14ac:dyDescent="0.2"/>
    <row r="9772" ht="15" customHeight="1" x14ac:dyDescent="0.2"/>
    <row r="9773" ht="15" customHeight="1" x14ac:dyDescent="0.2"/>
    <row r="9774" ht="15" customHeight="1" x14ac:dyDescent="0.2"/>
    <row r="9775" ht="15" customHeight="1" x14ac:dyDescent="0.2"/>
    <row r="9776" ht="15" customHeight="1" x14ac:dyDescent="0.2"/>
    <row r="9777" ht="15" customHeight="1" x14ac:dyDescent="0.2"/>
    <row r="9778" ht="15" customHeight="1" x14ac:dyDescent="0.2"/>
    <row r="9779" ht="15" customHeight="1" x14ac:dyDescent="0.2"/>
    <row r="9780" ht="15" customHeight="1" x14ac:dyDescent="0.2"/>
    <row r="9781" ht="15" customHeight="1" x14ac:dyDescent="0.2"/>
    <row r="9782" ht="15" customHeight="1" x14ac:dyDescent="0.2"/>
    <row r="9783" ht="15" customHeight="1" x14ac:dyDescent="0.2"/>
    <row r="9784" ht="15" customHeight="1" x14ac:dyDescent="0.2"/>
    <row r="9785" ht="15" customHeight="1" x14ac:dyDescent="0.2"/>
    <row r="9786" ht="15" customHeight="1" x14ac:dyDescent="0.2"/>
    <row r="9787" ht="15" customHeight="1" x14ac:dyDescent="0.2"/>
    <row r="9788" ht="15" customHeight="1" x14ac:dyDescent="0.2"/>
    <row r="9789" ht="15" customHeight="1" x14ac:dyDescent="0.2"/>
    <row r="9790" ht="15" customHeight="1" x14ac:dyDescent="0.2"/>
    <row r="9791" ht="15" customHeight="1" x14ac:dyDescent="0.2"/>
    <row r="9792" ht="15" customHeight="1" x14ac:dyDescent="0.2"/>
    <row r="9793" ht="15" customHeight="1" x14ac:dyDescent="0.2"/>
    <row r="9794" ht="15" customHeight="1" x14ac:dyDescent="0.2"/>
    <row r="9795" ht="15" customHeight="1" x14ac:dyDescent="0.2"/>
    <row r="9796" ht="15" customHeight="1" x14ac:dyDescent="0.2"/>
    <row r="9797" ht="15" customHeight="1" x14ac:dyDescent="0.2"/>
    <row r="9798" ht="15" customHeight="1" x14ac:dyDescent="0.2"/>
    <row r="9799" ht="15" customHeight="1" x14ac:dyDescent="0.2"/>
    <row r="9800" ht="15" customHeight="1" x14ac:dyDescent="0.2"/>
    <row r="9801" ht="15" customHeight="1" x14ac:dyDescent="0.2"/>
    <row r="9802" ht="15" customHeight="1" x14ac:dyDescent="0.2"/>
    <row r="9803" ht="15" customHeight="1" x14ac:dyDescent="0.2"/>
    <row r="9804" ht="15" customHeight="1" x14ac:dyDescent="0.2"/>
    <row r="9805" ht="15" customHeight="1" x14ac:dyDescent="0.2"/>
    <row r="9806" ht="15" customHeight="1" x14ac:dyDescent="0.2"/>
    <row r="9807" ht="15" customHeight="1" x14ac:dyDescent="0.2"/>
    <row r="9808" ht="15" customHeight="1" x14ac:dyDescent="0.2"/>
    <row r="9809" ht="15" customHeight="1" x14ac:dyDescent="0.2"/>
    <row r="9810" ht="15" customHeight="1" x14ac:dyDescent="0.2"/>
    <row r="9811" ht="15" customHeight="1" x14ac:dyDescent="0.2"/>
    <row r="9812" ht="15" customHeight="1" x14ac:dyDescent="0.2"/>
    <row r="9813" ht="15" customHeight="1" x14ac:dyDescent="0.2"/>
    <row r="9814" ht="15" customHeight="1" x14ac:dyDescent="0.2"/>
    <row r="9815" ht="15" customHeight="1" x14ac:dyDescent="0.2"/>
    <row r="9816" ht="15" customHeight="1" x14ac:dyDescent="0.2"/>
    <row r="9817" ht="15" customHeight="1" x14ac:dyDescent="0.2"/>
    <row r="9818" ht="15" customHeight="1" x14ac:dyDescent="0.2"/>
    <row r="9819" ht="15" customHeight="1" x14ac:dyDescent="0.2"/>
    <row r="9820" ht="15" customHeight="1" x14ac:dyDescent="0.2"/>
    <row r="9821" ht="15" customHeight="1" x14ac:dyDescent="0.2"/>
    <row r="9822" ht="15" customHeight="1" x14ac:dyDescent="0.2"/>
    <row r="9823" ht="15" customHeight="1" x14ac:dyDescent="0.2"/>
    <row r="9824" ht="15" customHeight="1" x14ac:dyDescent="0.2"/>
    <row r="9825" ht="15" customHeight="1" x14ac:dyDescent="0.2"/>
    <row r="9826" ht="15" customHeight="1" x14ac:dyDescent="0.2"/>
    <row r="9827" ht="15" customHeight="1" x14ac:dyDescent="0.2"/>
    <row r="9828" ht="15" customHeight="1" x14ac:dyDescent="0.2"/>
    <row r="9829" ht="15" customHeight="1" x14ac:dyDescent="0.2"/>
    <row r="9830" ht="15" customHeight="1" x14ac:dyDescent="0.2"/>
    <row r="9831" ht="15" customHeight="1" x14ac:dyDescent="0.2"/>
    <row r="9832" ht="15" customHeight="1" x14ac:dyDescent="0.2"/>
    <row r="9833" ht="15" customHeight="1" x14ac:dyDescent="0.2"/>
    <row r="9834" ht="15" customHeight="1" x14ac:dyDescent="0.2"/>
    <row r="9835" ht="15" customHeight="1" x14ac:dyDescent="0.2"/>
    <row r="9836" ht="15" customHeight="1" x14ac:dyDescent="0.2"/>
    <row r="9837" ht="15" customHeight="1" x14ac:dyDescent="0.2"/>
    <row r="9838" ht="15" customHeight="1" x14ac:dyDescent="0.2"/>
    <row r="9839" ht="15" customHeight="1" x14ac:dyDescent="0.2"/>
    <row r="9840" ht="15" customHeight="1" x14ac:dyDescent="0.2"/>
    <row r="9841" ht="15" customHeight="1" x14ac:dyDescent="0.2"/>
    <row r="9842" ht="15" customHeight="1" x14ac:dyDescent="0.2"/>
    <row r="9843" ht="15" customHeight="1" x14ac:dyDescent="0.2"/>
    <row r="9844" ht="15" customHeight="1" x14ac:dyDescent="0.2"/>
    <row r="9845" ht="15" customHeight="1" x14ac:dyDescent="0.2"/>
    <row r="9846" ht="15" customHeight="1" x14ac:dyDescent="0.2"/>
    <row r="9847" ht="15" customHeight="1" x14ac:dyDescent="0.2"/>
    <row r="9848" ht="15" customHeight="1" x14ac:dyDescent="0.2"/>
    <row r="9849" ht="15" customHeight="1" x14ac:dyDescent="0.2"/>
    <row r="9850" ht="15" customHeight="1" x14ac:dyDescent="0.2"/>
    <row r="9851" ht="15" customHeight="1" x14ac:dyDescent="0.2"/>
    <row r="9852" ht="15" customHeight="1" x14ac:dyDescent="0.2"/>
    <row r="9853" ht="15" customHeight="1" x14ac:dyDescent="0.2"/>
    <row r="9854" ht="15" customHeight="1" x14ac:dyDescent="0.2"/>
    <row r="9855" ht="15" customHeight="1" x14ac:dyDescent="0.2"/>
    <row r="9856" ht="15" customHeight="1" x14ac:dyDescent="0.2"/>
    <row r="9857" ht="15" customHeight="1" x14ac:dyDescent="0.2"/>
    <row r="9858" ht="15" customHeight="1" x14ac:dyDescent="0.2"/>
    <row r="9859" ht="15" customHeight="1" x14ac:dyDescent="0.2"/>
    <row r="9860" ht="15" customHeight="1" x14ac:dyDescent="0.2"/>
    <row r="9861" ht="15" customHeight="1" x14ac:dyDescent="0.2"/>
    <row r="9862" ht="15" customHeight="1" x14ac:dyDescent="0.2"/>
    <row r="9863" ht="15" customHeight="1" x14ac:dyDescent="0.2"/>
    <row r="9864" ht="15" customHeight="1" x14ac:dyDescent="0.2"/>
    <row r="9865" ht="15" customHeight="1" x14ac:dyDescent="0.2"/>
    <row r="9866" ht="15" customHeight="1" x14ac:dyDescent="0.2"/>
    <row r="9867" ht="15" customHeight="1" x14ac:dyDescent="0.2"/>
    <row r="9868" ht="15" customHeight="1" x14ac:dyDescent="0.2"/>
    <row r="9869" ht="15" customHeight="1" x14ac:dyDescent="0.2"/>
    <row r="9870" ht="15" customHeight="1" x14ac:dyDescent="0.2"/>
    <row r="9871" ht="15" customHeight="1" x14ac:dyDescent="0.2"/>
    <row r="9872" ht="15" customHeight="1" x14ac:dyDescent="0.2"/>
    <row r="9873" ht="15" customHeight="1" x14ac:dyDescent="0.2"/>
    <row r="9874" ht="15" customHeight="1" x14ac:dyDescent="0.2"/>
    <row r="9875" ht="15" customHeight="1" x14ac:dyDescent="0.2"/>
    <row r="9876" ht="15" customHeight="1" x14ac:dyDescent="0.2"/>
    <row r="9877" ht="15" customHeight="1" x14ac:dyDescent="0.2"/>
    <row r="9878" ht="15" customHeight="1" x14ac:dyDescent="0.2"/>
    <row r="9879" ht="15" customHeight="1" x14ac:dyDescent="0.2"/>
    <row r="9880" ht="15" customHeight="1" x14ac:dyDescent="0.2"/>
    <row r="9881" ht="15" customHeight="1" x14ac:dyDescent="0.2"/>
    <row r="9882" ht="15" customHeight="1" x14ac:dyDescent="0.2"/>
    <row r="9883" ht="15" customHeight="1" x14ac:dyDescent="0.2"/>
    <row r="9884" ht="15" customHeight="1" x14ac:dyDescent="0.2"/>
    <row r="9885" ht="15" customHeight="1" x14ac:dyDescent="0.2"/>
    <row r="9886" ht="15" customHeight="1" x14ac:dyDescent="0.2"/>
    <row r="9887" ht="15" customHeight="1" x14ac:dyDescent="0.2"/>
    <row r="9888" ht="15" customHeight="1" x14ac:dyDescent="0.2"/>
    <row r="9889" ht="15" customHeight="1" x14ac:dyDescent="0.2"/>
    <row r="9890" ht="15" customHeight="1" x14ac:dyDescent="0.2"/>
    <row r="9891" ht="15" customHeight="1" x14ac:dyDescent="0.2"/>
    <row r="9892" ht="15" customHeight="1" x14ac:dyDescent="0.2"/>
    <row r="9893" ht="15" customHeight="1" x14ac:dyDescent="0.2"/>
    <row r="9894" ht="15" customHeight="1" x14ac:dyDescent="0.2"/>
    <row r="9895" ht="15" customHeight="1" x14ac:dyDescent="0.2"/>
    <row r="9896" ht="15" customHeight="1" x14ac:dyDescent="0.2"/>
    <row r="9897" ht="15" customHeight="1" x14ac:dyDescent="0.2"/>
    <row r="9898" ht="15" customHeight="1" x14ac:dyDescent="0.2"/>
    <row r="9899" ht="15" customHeight="1" x14ac:dyDescent="0.2"/>
    <row r="9900" ht="15" customHeight="1" x14ac:dyDescent="0.2"/>
    <row r="9901" ht="15" customHeight="1" x14ac:dyDescent="0.2"/>
    <row r="9902" ht="15" customHeight="1" x14ac:dyDescent="0.2"/>
    <row r="9903" ht="15" customHeight="1" x14ac:dyDescent="0.2"/>
    <row r="9904" ht="15" customHeight="1" x14ac:dyDescent="0.2"/>
    <row r="9905" ht="15" customHeight="1" x14ac:dyDescent="0.2"/>
    <row r="9906" ht="15" customHeight="1" x14ac:dyDescent="0.2"/>
    <row r="9907" ht="15" customHeight="1" x14ac:dyDescent="0.2"/>
    <row r="9908" ht="15" customHeight="1" x14ac:dyDescent="0.2"/>
    <row r="9909" ht="15" customHeight="1" x14ac:dyDescent="0.2"/>
    <row r="9910" ht="15" customHeight="1" x14ac:dyDescent="0.2"/>
    <row r="9911" ht="15" customHeight="1" x14ac:dyDescent="0.2"/>
    <row r="9912" ht="15" customHeight="1" x14ac:dyDescent="0.2"/>
    <row r="9913" ht="15" customHeight="1" x14ac:dyDescent="0.2"/>
    <row r="9914" ht="15" customHeight="1" x14ac:dyDescent="0.2"/>
    <row r="9915" ht="15" customHeight="1" x14ac:dyDescent="0.2"/>
    <row r="9916" ht="15" customHeight="1" x14ac:dyDescent="0.2"/>
    <row r="9917" ht="15" customHeight="1" x14ac:dyDescent="0.2"/>
    <row r="9918" ht="15" customHeight="1" x14ac:dyDescent="0.2"/>
    <row r="9919" ht="15" customHeight="1" x14ac:dyDescent="0.2"/>
    <row r="9920" ht="15" customHeight="1" x14ac:dyDescent="0.2"/>
    <row r="9921" ht="15" customHeight="1" x14ac:dyDescent="0.2"/>
    <row r="9922" ht="15" customHeight="1" x14ac:dyDescent="0.2"/>
    <row r="9923" ht="15" customHeight="1" x14ac:dyDescent="0.2"/>
    <row r="9924" ht="15" customHeight="1" x14ac:dyDescent="0.2"/>
    <row r="9925" ht="15" customHeight="1" x14ac:dyDescent="0.2"/>
    <row r="9926" ht="15" customHeight="1" x14ac:dyDescent="0.2"/>
    <row r="9927" ht="15" customHeight="1" x14ac:dyDescent="0.2"/>
    <row r="9928" ht="15" customHeight="1" x14ac:dyDescent="0.2"/>
    <row r="9929" ht="15" customHeight="1" x14ac:dyDescent="0.2"/>
    <row r="9930" ht="15" customHeight="1" x14ac:dyDescent="0.2"/>
    <row r="9931" ht="15" customHeight="1" x14ac:dyDescent="0.2"/>
    <row r="9932" ht="15" customHeight="1" x14ac:dyDescent="0.2"/>
    <row r="9933" ht="15" customHeight="1" x14ac:dyDescent="0.2"/>
    <row r="9934" ht="15" customHeight="1" x14ac:dyDescent="0.2"/>
    <row r="9935" ht="15" customHeight="1" x14ac:dyDescent="0.2"/>
    <row r="9936" ht="15" customHeight="1" x14ac:dyDescent="0.2"/>
    <row r="9937" ht="15" customHeight="1" x14ac:dyDescent="0.2"/>
    <row r="9938" ht="15" customHeight="1" x14ac:dyDescent="0.2"/>
    <row r="9939" ht="15" customHeight="1" x14ac:dyDescent="0.2"/>
    <row r="9940" ht="15" customHeight="1" x14ac:dyDescent="0.2"/>
    <row r="9941" ht="15" customHeight="1" x14ac:dyDescent="0.2"/>
    <row r="9942" ht="15" customHeight="1" x14ac:dyDescent="0.2"/>
    <row r="9943" ht="15" customHeight="1" x14ac:dyDescent="0.2"/>
    <row r="9944" ht="15" customHeight="1" x14ac:dyDescent="0.2"/>
    <row r="9945" ht="15" customHeight="1" x14ac:dyDescent="0.2"/>
    <row r="9946" ht="15" customHeight="1" x14ac:dyDescent="0.2"/>
    <row r="9947" ht="15" customHeight="1" x14ac:dyDescent="0.2"/>
    <row r="9948" ht="15" customHeight="1" x14ac:dyDescent="0.2"/>
    <row r="9949" ht="15" customHeight="1" x14ac:dyDescent="0.2"/>
    <row r="9950" ht="15" customHeight="1" x14ac:dyDescent="0.2"/>
    <row r="9951" ht="15" customHeight="1" x14ac:dyDescent="0.2"/>
    <row r="9952" ht="15" customHeight="1" x14ac:dyDescent="0.2"/>
    <row r="9953" ht="15" customHeight="1" x14ac:dyDescent="0.2"/>
    <row r="9954" ht="15" customHeight="1" x14ac:dyDescent="0.2"/>
    <row r="9955" ht="15" customHeight="1" x14ac:dyDescent="0.2"/>
    <row r="9956" ht="15" customHeight="1" x14ac:dyDescent="0.2"/>
    <row r="9957" ht="15" customHeight="1" x14ac:dyDescent="0.2"/>
    <row r="9958" ht="15" customHeight="1" x14ac:dyDescent="0.2"/>
    <row r="9959" ht="15" customHeight="1" x14ac:dyDescent="0.2"/>
    <row r="9960" ht="15" customHeight="1" x14ac:dyDescent="0.2"/>
    <row r="9961" ht="15" customHeight="1" x14ac:dyDescent="0.2"/>
    <row r="9962" ht="15" customHeight="1" x14ac:dyDescent="0.2"/>
    <row r="9963" ht="15" customHeight="1" x14ac:dyDescent="0.2"/>
    <row r="9964" ht="15" customHeight="1" x14ac:dyDescent="0.2"/>
    <row r="9965" ht="15" customHeight="1" x14ac:dyDescent="0.2"/>
    <row r="9966" ht="15" customHeight="1" x14ac:dyDescent="0.2"/>
    <row r="9967" ht="15" customHeight="1" x14ac:dyDescent="0.2"/>
    <row r="9968" ht="15" customHeight="1" x14ac:dyDescent="0.2"/>
    <row r="9969" ht="15" customHeight="1" x14ac:dyDescent="0.2"/>
    <row r="9970" ht="15" customHeight="1" x14ac:dyDescent="0.2"/>
    <row r="9971" ht="15" customHeight="1" x14ac:dyDescent="0.2"/>
    <row r="9972" ht="15" customHeight="1" x14ac:dyDescent="0.2"/>
    <row r="9973" ht="15" customHeight="1" x14ac:dyDescent="0.2"/>
    <row r="9974" ht="15" customHeight="1" x14ac:dyDescent="0.2"/>
    <row r="9975" ht="15" customHeight="1" x14ac:dyDescent="0.2"/>
    <row r="9976" ht="15" customHeight="1" x14ac:dyDescent="0.2"/>
    <row r="9977" ht="15" customHeight="1" x14ac:dyDescent="0.2"/>
    <row r="9978" ht="15" customHeight="1" x14ac:dyDescent="0.2"/>
    <row r="9979" ht="15" customHeight="1" x14ac:dyDescent="0.2"/>
    <row r="9980" ht="15" customHeight="1" x14ac:dyDescent="0.2"/>
    <row r="9981" ht="15" customHeight="1" x14ac:dyDescent="0.2"/>
    <row r="9982" ht="15" customHeight="1" x14ac:dyDescent="0.2"/>
    <row r="9983" ht="15" customHeight="1" x14ac:dyDescent="0.2"/>
    <row r="9984" ht="15" customHeight="1" x14ac:dyDescent="0.2"/>
    <row r="9985" ht="15" customHeight="1" x14ac:dyDescent="0.2"/>
    <row r="9986" ht="15" customHeight="1" x14ac:dyDescent="0.2"/>
    <row r="9987" ht="15" customHeight="1" x14ac:dyDescent="0.2"/>
    <row r="9988" ht="15" customHeight="1" x14ac:dyDescent="0.2"/>
    <row r="9989" ht="15" customHeight="1" x14ac:dyDescent="0.2"/>
    <row r="9990" ht="15" customHeight="1" x14ac:dyDescent="0.2"/>
    <row r="9991" ht="15" customHeight="1" x14ac:dyDescent="0.2"/>
    <row r="9992" ht="15" customHeight="1" x14ac:dyDescent="0.2"/>
    <row r="9993" ht="15" customHeight="1" x14ac:dyDescent="0.2"/>
    <row r="9994" ht="15" customHeight="1" x14ac:dyDescent="0.2"/>
    <row r="9995" ht="15" customHeight="1" x14ac:dyDescent="0.2"/>
    <row r="9996" ht="15" customHeight="1" x14ac:dyDescent="0.2"/>
    <row r="9997" ht="15" customHeight="1" x14ac:dyDescent="0.2"/>
    <row r="9998" ht="15" customHeight="1" x14ac:dyDescent="0.2"/>
    <row r="9999" ht="15" customHeight="1" x14ac:dyDescent="0.2"/>
    <row r="10000" ht="15" customHeight="1" x14ac:dyDescent="0.2"/>
    <row r="10001" ht="15" customHeight="1" x14ac:dyDescent="0.2"/>
    <row r="10002" ht="15" customHeight="1" x14ac:dyDescent="0.2"/>
    <row r="10003" ht="15" customHeight="1" x14ac:dyDescent="0.2"/>
    <row r="10004" ht="15" customHeight="1" x14ac:dyDescent="0.2"/>
    <row r="10005" ht="15" customHeight="1" x14ac:dyDescent="0.2"/>
    <row r="10006" ht="15" customHeight="1" x14ac:dyDescent="0.2"/>
    <row r="10007" ht="15" customHeight="1" x14ac:dyDescent="0.2"/>
    <row r="10008" ht="15" customHeight="1" x14ac:dyDescent="0.2"/>
    <row r="10009" ht="15" customHeight="1" x14ac:dyDescent="0.2"/>
    <row r="10010" ht="15" customHeight="1" x14ac:dyDescent="0.2"/>
    <row r="10011" ht="15" customHeight="1" x14ac:dyDescent="0.2"/>
    <row r="10012" ht="15" customHeight="1" x14ac:dyDescent="0.2"/>
    <row r="10013" ht="15" customHeight="1" x14ac:dyDescent="0.2"/>
    <row r="10014" ht="15" customHeight="1" x14ac:dyDescent="0.2"/>
    <row r="10015" ht="15" customHeight="1" x14ac:dyDescent="0.2"/>
    <row r="10016" ht="15" customHeight="1" x14ac:dyDescent="0.2"/>
    <row r="10017" ht="15" customHeight="1" x14ac:dyDescent="0.2"/>
    <row r="10018" ht="15" customHeight="1" x14ac:dyDescent="0.2"/>
    <row r="10019" ht="15" customHeight="1" x14ac:dyDescent="0.2"/>
    <row r="10020" ht="15" customHeight="1" x14ac:dyDescent="0.2"/>
    <row r="10021" ht="15" customHeight="1" x14ac:dyDescent="0.2"/>
    <row r="10022" ht="15" customHeight="1" x14ac:dyDescent="0.2"/>
    <row r="10023" ht="15" customHeight="1" x14ac:dyDescent="0.2"/>
    <row r="10024" ht="15" customHeight="1" x14ac:dyDescent="0.2"/>
    <row r="10025" ht="15" customHeight="1" x14ac:dyDescent="0.2"/>
    <row r="10026" ht="15" customHeight="1" x14ac:dyDescent="0.2"/>
    <row r="10027" ht="15" customHeight="1" x14ac:dyDescent="0.2"/>
    <row r="10028" ht="15" customHeight="1" x14ac:dyDescent="0.2"/>
    <row r="10029" ht="15" customHeight="1" x14ac:dyDescent="0.2"/>
    <row r="10030" ht="15" customHeight="1" x14ac:dyDescent="0.2"/>
    <row r="10031" ht="15" customHeight="1" x14ac:dyDescent="0.2"/>
    <row r="10032" ht="15" customHeight="1" x14ac:dyDescent="0.2"/>
    <row r="10033" ht="15" customHeight="1" x14ac:dyDescent="0.2"/>
    <row r="10034" ht="15" customHeight="1" x14ac:dyDescent="0.2"/>
    <row r="10035" ht="15" customHeight="1" x14ac:dyDescent="0.2"/>
    <row r="10036" ht="15" customHeight="1" x14ac:dyDescent="0.2"/>
    <row r="10037" ht="15" customHeight="1" x14ac:dyDescent="0.2"/>
    <row r="10038" ht="15" customHeight="1" x14ac:dyDescent="0.2"/>
    <row r="10039" ht="15" customHeight="1" x14ac:dyDescent="0.2"/>
    <row r="10040" ht="15" customHeight="1" x14ac:dyDescent="0.2"/>
    <row r="10041" ht="15" customHeight="1" x14ac:dyDescent="0.2"/>
    <row r="10042" ht="15" customHeight="1" x14ac:dyDescent="0.2"/>
    <row r="10043" ht="15" customHeight="1" x14ac:dyDescent="0.2"/>
    <row r="10044" ht="15" customHeight="1" x14ac:dyDescent="0.2"/>
    <row r="10045" ht="15" customHeight="1" x14ac:dyDescent="0.2"/>
    <row r="10046" ht="15" customHeight="1" x14ac:dyDescent="0.2"/>
    <row r="10047" ht="15" customHeight="1" x14ac:dyDescent="0.2"/>
    <row r="10048" ht="15" customHeight="1" x14ac:dyDescent="0.2"/>
    <row r="10049" ht="15" customHeight="1" x14ac:dyDescent="0.2"/>
    <row r="10050" ht="15" customHeight="1" x14ac:dyDescent="0.2"/>
    <row r="10051" ht="15" customHeight="1" x14ac:dyDescent="0.2"/>
    <row r="10052" ht="15" customHeight="1" x14ac:dyDescent="0.2"/>
    <row r="10053" ht="15" customHeight="1" x14ac:dyDescent="0.2"/>
    <row r="10054" ht="15" customHeight="1" x14ac:dyDescent="0.2"/>
    <row r="10055" ht="15" customHeight="1" x14ac:dyDescent="0.2"/>
    <row r="10056" ht="15" customHeight="1" x14ac:dyDescent="0.2"/>
    <row r="10057" ht="15" customHeight="1" x14ac:dyDescent="0.2"/>
    <row r="10058" ht="15" customHeight="1" x14ac:dyDescent="0.2"/>
    <row r="10059" ht="15" customHeight="1" x14ac:dyDescent="0.2"/>
    <row r="10060" ht="15" customHeight="1" x14ac:dyDescent="0.2"/>
    <row r="10061" ht="15" customHeight="1" x14ac:dyDescent="0.2"/>
    <row r="10062" ht="15" customHeight="1" x14ac:dyDescent="0.2"/>
    <row r="10063" ht="15" customHeight="1" x14ac:dyDescent="0.2"/>
    <row r="10064" ht="15" customHeight="1" x14ac:dyDescent="0.2"/>
    <row r="10065" ht="15" customHeight="1" x14ac:dyDescent="0.2"/>
    <row r="10066" ht="15" customHeight="1" x14ac:dyDescent="0.2"/>
    <row r="10067" ht="15" customHeight="1" x14ac:dyDescent="0.2"/>
    <row r="10068" ht="15" customHeight="1" x14ac:dyDescent="0.2"/>
    <row r="10069" ht="15" customHeight="1" x14ac:dyDescent="0.2"/>
    <row r="10070" ht="15" customHeight="1" x14ac:dyDescent="0.2"/>
    <row r="10071" ht="15" customHeight="1" x14ac:dyDescent="0.2"/>
    <row r="10072" ht="15" customHeight="1" x14ac:dyDescent="0.2"/>
    <row r="10073" ht="15" customHeight="1" x14ac:dyDescent="0.2"/>
    <row r="10074" ht="15" customHeight="1" x14ac:dyDescent="0.2"/>
    <row r="10075" ht="15" customHeight="1" x14ac:dyDescent="0.2"/>
    <row r="10076" ht="15" customHeight="1" x14ac:dyDescent="0.2"/>
    <row r="10077" ht="15" customHeight="1" x14ac:dyDescent="0.2"/>
    <row r="10078" ht="15" customHeight="1" x14ac:dyDescent="0.2"/>
    <row r="10079" ht="15" customHeight="1" x14ac:dyDescent="0.2"/>
    <row r="10080" ht="15" customHeight="1" x14ac:dyDescent="0.2"/>
    <row r="10081" ht="15" customHeight="1" x14ac:dyDescent="0.2"/>
    <row r="10082" ht="15" customHeight="1" x14ac:dyDescent="0.2"/>
    <row r="10083" ht="15" customHeight="1" x14ac:dyDescent="0.2"/>
    <row r="10084" ht="15" customHeight="1" x14ac:dyDescent="0.2"/>
    <row r="10085" ht="15" customHeight="1" x14ac:dyDescent="0.2"/>
    <row r="10086" ht="15" customHeight="1" x14ac:dyDescent="0.2"/>
    <row r="10087" ht="15" customHeight="1" x14ac:dyDescent="0.2"/>
    <row r="10088" ht="15" customHeight="1" x14ac:dyDescent="0.2"/>
    <row r="10089" ht="15" customHeight="1" x14ac:dyDescent="0.2"/>
    <row r="10090" ht="15" customHeight="1" x14ac:dyDescent="0.2"/>
    <row r="10091" ht="15" customHeight="1" x14ac:dyDescent="0.2"/>
    <row r="10092" ht="15" customHeight="1" x14ac:dyDescent="0.2"/>
    <row r="10093" ht="15" customHeight="1" x14ac:dyDescent="0.2"/>
    <row r="10094" ht="15" customHeight="1" x14ac:dyDescent="0.2"/>
    <row r="10095" ht="15" customHeight="1" x14ac:dyDescent="0.2"/>
    <row r="10096" ht="15" customHeight="1" x14ac:dyDescent="0.2"/>
    <row r="10097" ht="15" customHeight="1" x14ac:dyDescent="0.2"/>
    <row r="10098" ht="15" customHeight="1" x14ac:dyDescent="0.2"/>
    <row r="10099" ht="15" customHeight="1" x14ac:dyDescent="0.2"/>
    <row r="10100" ht="15" customHeight="1" x14ac:dyDescent="0.2"/>
    <row r="10101" ht="15" customHeight="1" x14ac:dyDescent="0.2"/>
    <row r="10102" ht="15" customHeight="1" x14ac:dyDescent="0.2"/>
    <row r="10103" ht="15" customHeight="1" x14ac:dyDescent="0.2"/>
    <row r="10104" ht="15" customHeight="1" x14ac:dyDescent="0.2"/>
    <row r="10105" ht="15" customHeight="1" x14ac:dyDescent="0.2"/>
    <row r="10106" ht="15" customHeight="1" x14ac:dyDescent="0.2"/>
    <row r="10107" ht="15" customHeight="1" x14ac:dyDescent="0.2"/>
    <row r="10108" ht="15" customHeight="1" x14ac:dyDescent="0.2"/>
    <row r="10109" ht="15" customHeight="1" x14ac:dyDescent="0.2"/>
    <row r="10110" ht="15" customHeight="1" x14ac:dyDescent="0.2"/>
    <row r="10111" ht="15" customHeight="1" x14ac:dyDescent="0.2"/>
    <row r="10112" ht="15" customHeight="1" x14ac:dyDescent="0.2"/>
    <row r="10113" ht="15" customHeight="1" x14ac:dyDescent="0.2"/>
    <row r="10114" ht="15" customHeight="1" x14ac:dyDescent="0.2"/>
    <row r="10115" ht="15" customHeight="1" x14ac:dyDescent="0.2"/>
    <row r="10116" ht="15" customHeight="1" x14ac:dyDescent="0.2"/>
    <row r="10117" ht="15" customHeight="1" x14ac:dyDescent="0.2"/>
    <row r="10118" ht="15" customHeight="1" x14ac:dyDescent="0.2"/>
    <row r="10119" ht="15" customHeight="1" x14ac:dyDescent="0.2"/>
    <row r="10120" ht="15" customHeight="1" x14ac:dyDescent="0.2"/>
    <row r="10121" ht="15" customHeight="1" x14ac:dyDescent="0.2"/>
    <row r="10122" ht="15" customHeight="1" x14ac:dyDescent="0.2"/>
    <row r="10123" ht="15" customHeight="1" x14ac:dyDescent="0.2"/>
    <row r="10124" ht="15" customHeight="1" x14ac:dyDescent="0.2"/>
    <row r="10125" ht="15" customHeight="1" x14ac:dyDescent="0.2"/>
    <row r="10126" ht="15" customHeight="1" x14ac:dyDescent="0.2"/>
    <row r="10127" ht="15" customHeight="1" x14ac:dyDescent="0.2"/>
    <row r="10128" ht="15" customHeight="1" x14ac:dyDescent="0.2"/>
    <row r="10129" ht="15" customHeight="1" x14ac:dyDescent="0.2"/>
    <row r="10130" ht="15" customHeight="1" x14ac:dyDescent="0.2"/>
    <row r="10131" ht="15" customHeight="1" x14ac:dyDescent="0.2"/>
    <row r="10132" ht="15" customHeight="1" x14ac:dyDescent="0.2"/>
    <row r="10133" ht="15" customHeight="1" x14ac:dyDescent="0.2"/>
    <row r="10134" ht="15" customHeight="1" x14ac:dyDescent="0.2"/>
    <row r="10135" ht="15" customHeight="1" x14ac:dyDescent="0.2"/>
    <row r="10136" ht="15" customHeight="1" x14ac:dyDescent="0.2"/>
    <row r="10137" ht="15" customHeight="1" x14ac:dyDescent="0.2"/>
    <row r="10138" ht="15" customHeight="1" x14ac:dyDescent="0.2"/>
    <row r="10139" ht="15" customHeight="1" x14ac:dyDescent="0.2"/>
    <row r="10140" ht="15" customHeight="1" x14ac:dyDescent="0.2"/>
    <row r="10141" ht="15" customHeight="1" x14ac:dyDescent="0.2"/>
    <row r="10142" ht="15" customHeight="1" x14ac:dyDescent="0.2"/>
    <row r="10143" ht="15" customHeight="1" x14ac:dyDescent="0.2"/>
    <row r="10144" ht="15" customHeight="1" x14ac:dyDescent="0.2"/>
    <row r="10145" ht="15" customHeight="1" x14ac:dyDescent="0.2"/>
    <row r="10146" ht="15" customHeight="1" x14ac:dyDescent="0.2"/>
    <row r="10147" ht="15" customHeight="1" x14ac:dyDescent="0.2"/>
    <row r="10148" ht="15" customHeight="1" x14ac:dyDescent="0.2"/>
    <row r="10149" ht="15" customHeight="1" x14ac:dyDescent="0.2"/>
    <row r="10150" ht="15" customHeight="1" x14ac:dyDescent="0.2"/>
    <row r="10151" ht="15" customHeight="1" x14ac:dyDescent="0.2"/>
    <row r="10152" ht="15" customHeight="1" x14ac:dyDescent="0.2"/>
    <row r="10153" ht="15" customHeight="1" x14ac:dyDescent="0.2"/>
    <row r="10154" ht="15" customHeight="1" x14ac:dyDescent="0.2"/>
    <row r="10155" ht="15" customHeight="1" x14ac:dyDescent="0.2"/>
    <row r="10156" ht="15" customHeight="1" x14ac:dyDescent="0.2"/>
    <row r="10157" ht="15" customHeight="1" x14ac:dyDescent="0.2"/>
    <row r="10158" ht="15" customHeight="1" x14ac:dyDescent="0.2"/>
    <row r="10159" ht="15" customHeight="1" x14ac:dyDescent="0.2"/>
    <row r="10160" ht="15" customHeight="1" x14ac:dyDescent="0.2"/>
    <row r="10161" ht="15" customHeight="1" x14ac:dyDescent="0.2"/>
    <row r="10162" ht="15" customHeight="1" x14ac:dyDescent="0.2"/>
    <row r="10163" ht="15" customHeight="1" x14ac:dyDescent="0.2"/>
    <row r="10164" ht="15" customHeight="1" x14ac:dyDescent="0.2"/>
    <row r="10165" ht="15" customHeight="1" x14ac:dyDescent="0.2"/>
    <row r="10166" ht="15" customHeight="1" x14ac:dyDescent="0.2"/>
    <row r="10167" ht="15" customHeight="1" x14ac:dyDescent="0.2"/>
    <row r="10168" ht="15" customHeight="1" x14ac:dyDescent="0.2"/>
    <row r="10169" ht="15" customHeight="1" x14ac:dyDescent="0.2"/>
    <row r="10170" ht="15" customHeight="1" x14ac:dyDescent="0.2"/>
    <row r="10171" ht="15" customHeight="1" x14ac:dyDescent="0.2"/>
    <row r="10172" ht="15" customHeight="1" x14ac:dyDescent="0.2"/>
    <row r="10173" ht="15" customHeight="1" x14ac:dyDescent="0.2"/>
    <row r="10174" ht="15" customHeight="1" x14ac:dyDescent="0.2"/>
    <row r="10175" ht="15" customHeight="1" x14ac:dyDescent="0.2"/>
    <row r="10176" ht="15" customHeight="1" x14ac:dyDescent="0.2"/>
    <row r="10177" ht="15" customHeight="1" x14ac:dyDescent="0.2"/>
    <row r="10178" ht="15" customHeight="1" x14ac:dyDescent="0.2"/>
    <row r="10179" ht="15" customHeight="1" x14ac:dyDescent="0.2"/>
    <row r="10180" ht="15" customHeight="1" x14ac:dyDescent="0.2"/>
    <row r="10181" ht="15" customHeight="1" x14ac:dyDescent="0.2"/>
    <row r="10182" ht="15" customHeight="1" x14ac:dyDescent="0.2"/>
    <row r="10183" ht="15" customHeight="1" x14ac:dyDescent="0.2"/>
    <row r="10184" ht="15" customHeight="1" x14ac:dyDescent="0.2"/>
    <row r="10185" ht="15" customHeight="1" x14ac:dyDescent="0.2"/>
    <row r="10186" ht="15" customHeight="1" x14ac:dyDescent="0.2"/>
    <row r="10187" ht="15" customHeight="1" x14ac:dyDescent="0.2"/>
    <row r="10188" ht="15" customHeight="1" x14ac:dyDescent="0.2"/>
    <row r="10189" ht="15" customHeight="1" x14ac:dyDescent="0.2"/>
    <row r="10190" ht="15" customHeight="1" x14ac:dyDescent="0.2"/>
    <row r="10191" ht="15" customHeight="1" x14ac:dyDescent="0.2"/>
    <row r="10192" ht="15" customHeight="1" x14ac:dyDescent="0.2"/>
    <row r="10193" ht="15" customHeight="1" x14ac:dyDescent="0.2"/>
    <row r="10194" ht="15" customHeight="1" x14ac:dyDescent="0.2"/>
    <row r="10195" ht="15" customHeight="1" x14ac:dyDescent="0.2"/>
    <row r="10196" ht="15" customHeight="1" x14ac:dyDescent="0.2"/>
    <row r="10197" ht="15" customHeight="1" x14ac:dyDescent="0.2"/>
    <row r="10198" ht="15" customHeight="1" x14ac:dyDescent="0.2"/>
    <row r="10199" ht="15" customHeight="1" x14ac:dyDescent="0.2"/>
    <row r="10200" ht="15" customHeight="1" x14ac:dyDescent="0.2"/>
    <row r="10201" ht="15" customHeight="1" x14ac:dyDescent="0.2"/>
    <row r="10202" ht="15" customHeight="1" x14ac:dyDescent="0.2"/>
    <row r="10203" ht="15" customHeight="1" x14ac:dyDescent="0.2"/>
    <row r="10204" ht="15" customHeight="1" x14ac:dyDescent="0.2"/>
    <row r="10205" ht="15" customHeight="1" x14ac:dyDescent="0.2"/>
    <row r="10206" ht="15" customHeight="1" x14ac:dyDescent="0.2"/>
    <row r="10207" ht="15" customHeight="1" x14ac:dyDescent="0.2"/>
    <row r="10208" ht="15" customHeight="1" x14ac:dyDescent="0.2"/>
    <row r="10209" ht="15" customHeight="1" x14ac:dyDescent="0.2"/>
    <row r="10210" ht="15" customHeight="1" x14ac:dyDescent="0.2"/>
    <row r="10211" ht="15" customHeight="1" x14ac:dyDescent="0.2"/>
    <row r="10212" ht="15" customHeight="1" x14ac:dyDescent="0.2"/>
    <row r="10213" ht="15" customHeight="1" x14ac:dyDescent="0.2"/>
    <row r="10214" ht="15" customHeight="1" x14ac:dyDescent="0.2"/>
    <row r="10215" ht="15" customHeight="1" x14ac:dyDescent="0.2"/>
    <row r="10216" ht="15" customHeight="1" x14ac:dyDescent="0.2"/>
    <row r="10217" ht="15" customHeight="1" x14ac:dyDescent="0.2"/>
    <row r="10218" ht="15" customHeight="1" x14ac:dyDescent="0.2"/>
    <row r="10219" ht="15" customHeight="1" x14ac:dyDescent="0.2"/>
    <row r="10220" ht="15" customHeight="1" x14ac:dyDescent="0.2"/>
    <row r="10221" ht="15" customHeight="1" x14ac:dyDescent="0.2"/>
    <row r="10222" ht="15" customHeight="1" x14ac:dyDescent="0.2"/>
    <row r="10223" ht="15" customHeight="1" x14ac:dyDescent="0.2"/>
    <row r="10224" ht="15" customHeight="1" x14ac:dyDescent="0.2"/>
    <row r="10225" ht="15" customHeight="1" x14ac:dyDescent="0.2"/>
    <row r="10226" ht="15" customHeight="1" x14ac:dyDescent="0.2"/>
    <row r="10227" ht="15" customHeight="1" x14ac:dyDescent="0.2"/>
    <row r="10228" ht="15" customHeight="1" x14ac:dyDescent="0.2"/>
    <row r="10229" ht="15" customHeight="1" x14ac:dyDescent="0.2"/>
    <row r="10230" ht="15" customHeight="1" x14ac:dyDescent="0.2"/>
    <row r="10231" ht="15" customHeight="1" x14ac:dyDescent="0.2"/>
    <row r="10232" ht="15" customHeight="1" x14ac:dyDescent="0.2"/>
    <row r="10233" ht="15" customHeight="1" x14ac:dyDescent="0.2"/>
    <row r="10234" ht="15" customHeight="1" x14ac:dyDescent="0.2"/>
    <row r="10235" ht="15" customHeight="1" x14ac:dyDescent="0.2"/>
    <row r="10236" ht="15" customHeight="1" x14ac:dyDescent="0.2"/>
    <row r="10237" ht="15" customHeight="1" x14ac:dyDescent="0.2"/>
    <row r="10238" ht="15" customHeight="1" x14ac:dyDescent="0.2"/>
    <row r="10239" ht="15" customHeight="1" x14ac:dyDescent="0.2"/>
    <row r="10240" ht="15" customHeight="1" x14ac:dyDescent="0.2"/>
    <row r="10241" ht="15" customHeight="1" x14ac:dyDescent="0.2"/>
    <row r="10242" ht="15" customHeight="1" x14ac:dyDescent="0.2"/>
    <row r="10243" ht="15" customHeight="1" x14ac:dyDescent="0.2"/>
    <row r="10244" ht="15" customHeight="1" x14ac:dyDescent="0.2"/>
    <row r="10245" ht="15" customHeight="1" x14ac:dyDescent="0.2"/>
    <row r="10246" ht="15" customHeight="1" x14ac:dyDescent="0.2"/>
    <row r="10247" ht="15" customHeight="1" x14ac:dyDescent="0.2"/>
    <row r="10248" ht="15" customHeight="1" x14ac:dyDescent="0.2"/>
    <row r="10249" ht="15" customHeight="1" x14ac:dyDescent="0.2"/>
    <row r="10250" ht="15" customHeight="1" x14ac:dyDescent="0.2"/>
    <row r="10251" ht="15" customHeight="1" x14ac:dyDescent="0.2"/>
    <row r="10252" ht="15" customHeight="1" x14ac:dyDescent="0.2"/>
    <row r="10253" ht="15" customHeight="1" x14ac:dyDescent="0.2"/>
    <row r="10254" ht="15" customHeight="1" x14ac:dyDescent="0.2"/>
    <row r="10255" ht="15" customHeight="1" x14ac:dyDescent="0.2"/>
    <row r="10256" ht="15" customHeight="1" x14ac:dyDescent="0.2"/>
    <row r="10257" ht="15" customHeight="1" x14ac:dyDescent="0.2"/>
    <row r="10258" ht="15" customHeight="1" x14ac:dyDescent="0.2"/>
    <row r="10259" ht="15" customHeight="1" x14ac:dyDescent="0.2"/>
    <row r="10260" ht="15" customHeight="1" x14ac:dyDescent="0.2"/>
    <row r="10261" ht="15" customHeight="1" x14ac:dyDescent="0.2"/>
    <row r="10262" ht="15" customHeight="1" x14ac:dyDescent="0.2"/>
    <row r="10263" ht="15" customHeight="1" x14ac:dyDescent="0.2"/>
    <row r="10264" ht="15" customHeight="1" x14ac:dyDescent="0.2"/>
    <row r="10265" ht="15" customHeight="1" x14ac:dyDescent="0.2"/>
    <row r="10266" ht="15" customHeight="1" x14ac:dyDescent="0.2"/>
    <row r="10267" ht="15" customHeight="1" x14ac:dyDescent="0.2"/>
    <row r="10268" ht="15" customHeight="1" x14ac:dyDescent="0.2"/>
    <row r="10269" ht="15" customHeight="1" x14ac:dyDescent="0.2"/>
    <row r="10270" ht="15" customHeight="1" x14ac:dyDescent="0.2"/>
    <row r="10271" ht="15" customHeight="1" x14ac:dyDescent="0.2"/>
    <row r="10272" ht="15" customHeight="1" x14ac:dyDescent="0.2"/>
    <row r="10273" ht="15" customHeight="1" x14ac:dyDescent="0.2"/>
    <row r="10274" ht="15" customHeight="1" x14ac:dyDescent="0.2"/>
    <row r="10275" ht="15" customHeight="1" x14ac:dyDescent="0.2"/>
    <row r="10276" ht="15" customHeight="1" x14ac:dyDescent="0.2"/>
    <row r="10277" ht="15" customHeight="1" x14ac:dyDescent="0.2"/>
    <row r="10278" ht="15" customHeight="1" x14ac:dyDescent="0.2"/>
    <row r="10279" ht="15" customHeight="1" x14ac:dyDescent="0.2"/>
    <row r="10280" ht="15" customHeight="1" x14ac:dyDescent="0.2"/>
    <row r="10281" ht="15" customHeight="1" x14ac:dyDescent="0.2"/>
    <row r="10282" ht="15" customHeight="1" x14ac:dyDescent="0.2"/>
    <row r="10283" ht="15" customHeight="1" x14ac:dyDescent="0.2"/>
    <row r="10284" ht="15" customHeight="1" x14ac:dyDescent="0.2"/>
    <row r="10285" ht="15" customHeight="1" x14ac:dyDescent="0.2"/>
    <row r="10286" ht="15" customHeight="1" x14ac:dyDescent="0.2"/>
    <row r="10287" ht="15" customHeight="1" x14ac:dyDescent="0.2"/>
    <row r="10288" ht="15" customHeight="1" x14ac:dyDescent="0.2"/>
    <row r="10289" ht="15" customHeight="1" x14ac:dyDescent="0.2"/>
    <row r="10290" ht="15" customHeight="1" x14ac:dyDescent="0.2"/>
    <row r="10291" ht="15" customHeight="1" x14ac:dyDescent="0.2"/>
    <row r="10292" ht="15" customHeight="1" x14ac:dyDescent="0.2"/>
    <row r="10293" ht="15" customHeight="1" x14ac:dyDescent="0.2"/>
    <row r="10294" ht="15" customHeight="1" x14ac:dyDescent="0.2"/>
    <row r="10295" ht="15" customHeight="1" x14ac:dyDescent="0.2"/>
    <row r="10296" ht="15" customHeight="1" x14ac:dyDescent="0.2"/>
    <row r="10297" ht="15" customHeight="1" x14ac:dyDescent="0.2"/>
    <row r="10298" ht="15" customHeight="1" x14ac:dyDescent="0.2"/>
    <row r="10299" ht="15" customHeight="1" x14ac:dyDescent="0.2"/>
    <row r="10300" ht="15" customHeight="1" x14ac:dyDescent="0.2"/>
    <row r="10301" ht="15" customHeight="1" x14ac:dyDescent="0.2"/>
    <row r="10302" ht="15" customHeight="1" x14ac:dyDescent="0.2"/>
    <row r="10303" ht="15" customHeight="1" x14ac:dyDescent="0.2"/>
    <row r="10304" ht="15" customHeight="1" x14ac:dyDescent="0.2"/>
    <row r="10305" ht="15" customHeight="1" x14ac:dyDescent="0.2"/>
    <row r="10306" ht="15" customHeight="1" x14ac:dyDescent="0.2"/>
    <row r="10307" ht="15" customHeight="1" x14ac:dyDescent="0.2"/>
    <row r="10308" ht="15" customHeight="1" x14ac:dyDescent="0.2"/>
    <row r="10309" ht="15" customHeight="1" x14ac:dyDescent="0.2"/>
    <row r="10310" ht="15" customHeight="1" x14ac:dyDescent="0.2"/>
    <row r="10311" ht="15" customHeight="1" x14ac:dyDescent="0.2"/>
    <row r="10312" ht="15" customHeight="1" x14ac:dyDescent="0.2"/>
    <row r="10313" ht="15" customHeight="1" x14ac:dyDescent="0.2"/>
    <row r="10314" ht="15" customHeight="1" x14ac:dyDescent="0.2"/>
    <row r="10315" ht="15" customHeight="1" x14ac:dyDescent="0.2"/>
    <row r="10316" ht="15" customHeight="1" x14ac:dyDescent="0.2"/>
    <row r="10317" ht="15" customHeight="1" x14ac:dyDescent="0.2"/>
    <row r="10318" ht="15" customHeight="1" x14ac:dyDescent="0.2"/>
    <row r="10319" ht="15" customHeight="1" x14ac:dyDescent="0.2"/>
    <row r="10320" ht="15" customHeight="1" x14ac:dyDescent="0.2"/>
    <row r="10321" ht="15" customHeight="1" x14ac:dyDescent="0.2"/>
    <row r="10322" ht="15" customHeight="1" x14ac:dyDescent="0.2"/>
    <row r="10323" ht="15" customHeight="1" x14ac:dyDescent="0.2"/>
    <row r="10324" ht="15" customHeight="1" x14ac:dyDescent="0.2"/>
    <row r="10325" ht="15" customHeight="1" x14ac:dyDescent="0.2"/>
    <row r="10326" ht="15" customHeight="1" x14ac:dyDescent="0.2"/>
    <row r="10327" ht="15" customHeight="1" x14ac:dyDescent="0.2"/>
    <row r="10328" ht="15" customHeight="1" x14ac:dyDescent="0.2"/>
    <row r="10329" ht="15" customHeight="1" x14ac:dyDescent="0.2"/>
    <row r="10330" ht="15" customHeight="1" x14ac:dyDescent="0.2"/>
    <row r="10331" ht="15" customHeight="1" x14ac:dyDescent="0.2"/>
    <row r="10332" ht="15" customHeight="1" x14ac:dyDescent="0.2"/>
    <row r="10333" ht="15" customHeight="1" x14ac:dyDescent="0.2"/>
    <row r="10334" ht="15" customHeight="1" x14ac:dyDescent="0.2"/>
    <row r="10335" ht="15" customHeight="1" x14ac:dyDescent="0.2"/>
    <row r="10336" ht="15" customHeight="1" x14ac:dyDescent="0.2"/>
    <row r="10337" ht="15" customHeight="1" x14ac:dyDescent="0.2"/>
    <row r="10338" ht="15" customHeight="1" x14ac:dyDescent="0.2"/>
    <row r="10339" ht="15" customHeight="1" x14ac:dyDescent="0.2"/>
    <row r="10340" ht="15" customHeight="1" x14ac:dyDescent="0.2"/>
    <row r="10341" ht="15" customHeight="1" x14ac:dyDescent="0.2"/>
    <row r="10342" ht="15" customHeight="1" x14ac:dyDescent="0.2"/>
    <row r="10343" ht="15" customHeight="1" x14ac:dyDescent="0.2"/>
    <row r="10344" ht="15" customHeight="1" x14ac:dyDescent="0.2"/>
    <row r="10345" ht="15" customHeight="1" x14ac:dyDescent="0.2"/>
    <row r="10346" ht="15" customHeight="1" x14ac:dyDescent="0.2"/>
    <row r="10347" ht="15" customHeight="1" x14ac:dyDescent="0.2"/>
    <row r="10348" ht="15" customHeight="1" x14ac:dyDescent="0.2"/>
    <row r="10349" ht="15" customHeight="1" x14ac:dyDescent="0.2"/>
    <row r="10350" ht="15" customHeight="1" x14ac:dyDescent="0.2"/>
    <row r="10351" ht="15" customHeight="1" x14ac:dyDescent="0.2"/>
    <row r="10352" ht="15" customHeight="1" x14ac:dyDescent="0.2"/>
    <row r="10353" ht="15" customHeight="1" x14ac:dyDescent="0.2"/>
    <row r="10354" ht="15" customHeight="1" x14ac:dyDescent="0.2"/>
    <row r="10355" ht="15" customHeight="1" x14ac:dyDescent="0.2"/>
    <row r="10356" ht="15" customHeight="1" x14ac:dyDescent="0.2"/>
    <row r="10357" ht="15" customHeight="1" x14ac:dyDescent="0.2"/>
    <row r="10358" ht="15" customHeight="1" x14ac:dyDescent="0.2"/>
    <row r="10359" ht="15" customHeight="1" x14ac:dyDescent="0.2"/>
    <row r="10360" ht="15" customHeight="1" x14ac:dyDescent="0.2"/>
    <row r="10361" ht="15" customHeight="1" x14ac:dyDescent="0.2"/>
    <row r="10362" ht="15" customHeight="1" x14ac:dyDescent="0.2"/>
    <row r="10363" ht="15" customHeight="1" x14ac:dyDescent="0.2"/>
    <row r="10364" ht="15" customHeight="1" x14ac:dyDescent="0.2"/>
    <row r="10365" ht="15" customHeight="1" x14ac:dyDescent="0.2"/>
    <row r="10366" ht="15" customHeight="1" x14ac:dyDescent="0.2"/>
    <row r="10367" ht="15" customHeight="1" x14ac:dyDescent="0.2"/>
    <row r="10368" ht="15" customHeight="1" x14ac:dyDescent="0.2"/>
    <row r="10369" ht="15" customHeight="1" x14ac:dyDescent="0.2"/>
    <row r="10370" ht="15" customHeight="1" x14ac:dyDescent="0.2"/>
    <row r="10371" ht="15" customHeight="1" x14ac:dyDescent="0.2"/>
    <row r="10372" ht="15" customHeight="1" x14ac:dyDescent="0.2"/>
    <row r="10373" ht="15" customHeight="1" x14ac:dyDescent="0.2"/>
    <row r="10374" ht="15" customHeight="1" x14ac:dyDescent="0.2"/>
    <row r="10375" ht="15" customHeight="1" x14ac:dyDescent="0.2"/>
    <row r="10376" ht="15" customHeight="1" x14ac:dyDescent="0.2"/>
    <row r="10377" ht="15" customHeight="1" x14ac:dyDescent="0.2"/>
    <row r="10378" ht="15" customHeight="1" x14ac:dyDescent="0.2"/>
    <row r="10379" ht="15" customHeight="1" x14ac:dyDescent="0.2"/>
    <row r="10380" ht="15" customHeight="1" x14ac:dyDescent="0.2"/>
    <row r="10381" ht="15" customHeight="1" x14ac:dyDescent="0.2"/>
    <row r="10382" ht="15" customHeight="1" x14ac:dyDescent="0.2"/>
    <row r="10383" ht="15" customHeight="1" x14ac:dyDescent="0.2"/>
    <row r="10384" ht="15" customHeight="1" x14ac:dyDescent="0.2"/>
    <row r="10385" ht="15" customHeight="1" x14ac:dyDescent="0.2"/>
    <row r="10386" ht="15" customHeight="1" x14ac:dyDescent="0.2"/>
    <row r="10387" ht="15" customHeight="1" x14ac:dyDescent="0.2"/>
    <row r="10388" ht="15" customHeight="1" x14ac:dyDescent="0.2"/>
    <row r="10389" ht="15" customHeight="1" x14ac:dyDescent="0.2"/>
    <row r="10390" ht="15" customHeight="1" x14ac:dyDescent="0.2"/>
    <row r="10391" ht="15" customHeight="1" x14ac:dyDescent="0.2"/>
    <row r="10392" ht="15" customHeight="1" x14ac:dyDescent="0.2"/>
    <row r="10393" ht="15" customHeight="1" x14ac:dyDescent="0.2"/>
    <row r="10394" ht="15" customHeight="1" x14ac:dyDescent="0.2"/>
    <row r="10395" ht="15" customHeight="1" x14ac:dyDescent="0.2"/>
    <row r="10396" ht="15" customHeight="1" x14ac:dyDescent="0.2"/>
    <row r="10397" ht="15" customHeight="1" x14ac:dyDescent="0.2"/>
    <row r="10398" ht="15" customHeight="1" x14ac:dyDescent="0.2"/>
    <row r="10399" ht="15" customHeight="1" x14ac:dyDescent="0.2"/>
    <row r="10400" ht="15" customHeight="1" x14ac:dyDescent="0.2"/>
    <row r="10401" ht="15" customHeight="1" x14ac:dyDescent="0.2"/>
    <row r="10402" ht="15" customHeight="1" x14ac:dyDescent="0.2"/>
    <row r="10403" ht="15" customHeight="1" x14ac:dyDescent="0.2"/>
    <row r="10404" ht="15" customHeight="1" x14ac:dyDescent="0.2"/>
    <row r="10405" ht="15" customHeight="1" x14ac:dyDescent="0.2"/>
    <row r="10406" ht="15" customHeight="1" x14ac:dyDescent="0.2"/>
    <row r="10407" ht="15" customHeight="1" x14ac:dyDescent="0.2"/>
    <row r="10408" ht="15" customHeight="1" x14ac:dyDescent="0.2"/>
    <row r="10409" ht="15" customHeight="1" x14ac:dyDescent="0.2"/>
    <row r="10410" ht="15" customHeight="1" x14ac:dyDescent="0.2"/>
    <row r="10411" ht="15" customHeight="1" x14ac:dyDescent="0.2"/>
    <row r="10412" ht="15" customHeight="1" x14ac:dyDescent="0.2"/>
    <row r="10413" ht="15" customHeight="1" x14ac:dyDescent="0.2"/>
    <row r="10414" ht="15" customHeight="1" x14ac:dyDescent="0.2"/>
    <row r="10415" ht="15" customHeight="1" x14ac:dyDescent="0.2"/>
    <row r="10416" ht="15" customHeight="1" x14ac:dyDescent="0.2"/>
    <row r="10417" ht="15" customHeight="1" x14ac:dyDescent="0.2"/>
    <row r="10418" ht="15" customHeight="1" x14ac:dyDescent="0.2"/>
    <row r="10419" ht="15" customHeight="1" x14ac:dyDescent="0.2"/>
    <row r="10420" ht="15" customHeight="1" x14ac:dyDescent="0.2"/>
    <row r="10421" ht="15" customHeight="1" x14ac:dyDescent="0.2"/>
    <row r="10422" ht="15" customHeight="1" x14ac:dyDescent="0.2"/>
    <row r="10423" ht="15" customHeight="1" x14ac:dyDescent="0.2"/>
    <row r="10424" ht="15" customHeight="1" x14ac:dyDescent="0.2"/>
    <row r="10425" ht="15" customHeight="1" x14ac:dyDescent="0.2"/>
    <row r="10426" ht="15" customHeight="1" x14ac:dyDescent="0.2"/>
    <row r="10427" ht="15" customHeight="1" x14ac:dyDescent="0.2"/>
    <row r="10428" ht="15" customHeight="1" x14ac:dyDescent="0.2"/>
    <row r="10429" ht="15" customHeight="1" x14ac:dyDescent="0.2"/>
    <row r="10430" ht="15" customHeight="1" x14ac:dyDescent="0.2"/>
    <row r="10431" ht="15" customHeight="1" x14ac:dyDescent="0.2"/>
    <row r="10432" ht="15" customHeight="1" x14ac:dyDescent="0.2"/>
    <row r="10433" ht="15" customHeight="1" x14ac:dyDescent="0.2"/>
    <row r="10434" ht="15" customHeight="1" x14ac:dyDescent="0.2"/>
    <row r="10435" ht="15" customHeight="1" x14ac:dyDescent="0.2"/>
    <row r="10436" ht="15" customHeight="1" x14ac:dyDescent="0.2"/>
    <row r="10437" ht="15" customHeight="1" x14ac:dyDescent="0.2"/>
    <row r="10438" ht="15" customHeight="1" x14ac:dyDescent="0.2"/>
    <row r="10439" ht="15" customHeight="1" x14ac:dyDescent="0.2"/>
    <row r="10440" ht="15" customHeight="1" x14ac:dyDescent="0.2"/>
    <row r="10441" ht="15" customHeight="1" x14ac:dyDescent="0.2"/>
    <row r="10442" ht="15" customHeight="1" x14ac:dyDescent="0.2"/>
    <row r="10443" ht="15" customHeight="1" x14ac:dyDescent="0.2"/>
    <row r="10444" ht="15" customHeight="1" x14ac:dyDescent="0.2"/>
    <row r="10445" ht="15" customHeight="1" x14ac:dyDescent="0.2"/>
    <row r="10446" ht="15" customHeight="1" x14ac:dyDescent="0.2"/>
    <row r="10447" ht="15" customHeight="1" x14ac:dyDescent="0.2"/>
    <row r="10448" ht="15" customHeight="1" x14ac:dyDescent="0.2"/>
    <row r="10449" ht="15" customHeight="1" x14ac:dyDescent="0.2"/>
    <row r="10450" ht="15" customHeight="1" x14ac:dyDescent="0.2"/>
    <row r="10451" ht="15" customHeight="1" x14ac:dyDescent="0.2"/>
    <row r="10452" ht="15" customHeight="1" x14ac:dyDescent="0.2"/>
    <row r="10453" ht="15" customHeight="1" x14ac:dyDescent="0.2"/>
    <row r="10454" ht="15" customHeight="1" x14ac:dyDescent="0.2"/>
    <row r="10455" ht="15" customHeight="1" x14ac:dyDescent="0.2"/>
    <row r="10456" ht="15" customHeight="1" x14ac:dyDescent="0.2"/>
    <row r="10457" ht="15" customHeight="1" x14ac:dyDescent="0.2"/>
    <row r="10458" ht="15" customHeight="1" x14ac:dyDescent="0.2"/>
    <row r="10459" ht="15" customHeight="1" x14ac:dyDescent="0.2"/>
    <row r="10460" ht="15" customHeight="1" x14ac:dyDescent="0.2"/>
    <row r="10461" ht="15" customHeight="1" x14ac:dyDescent="0.2"/>
    <row r="10462" ht="15" customHeight="1" x14ac:dyDescent="0.2"/>
    <row r="10463" ht="15" customHeight="1" x14ac:dyDescent="0.2"/>
    <row r="10464" ht="15" customHeight="1" x14ac:dyDescent="0.2"/>
    <row r="10465" ht="15" customHeight="1" x14ac:dyDescent="0.2"/>
    <row r="10466" ht="15" customHeight="1" x14ac:dyDescent="0.2"/>
    <row r="10467" ht="15" customHeight="1" x14ac:dyDescent="0.2"/>
    <row r="10468" ht="15" customHeight="1" x14ac:dyDescent="0.2"/>
    <row r="10469" ht="15" customHeight="1" x14ac:dyDescent="0.2"/>
    <row r="10470" ht="15" customHeight="1" x14ac:dyDescent="0.2"/>
    <row r="10471" ht="15" customHeight="1" x14ac:dyDescent="0.2"/>
    <row r="10472" ht="15" customHeight="1" x14ac:dyDescent="0.2"/>
    <row r="10473" ht="15" customHeight="1" x14ac:dyDescent="0.2"/>
    <row r="10474" ht="15" customHeight="1" x14ac:dyDescent="0.2"/>
    <row r="10475" ht="15" customHeight="1" x14ac:dyDescent="0.2"/>
    <row r="10476" ht="15" customHeight="1" x14ac:dyDescent="0.2"/>
    <row r="10477" ht="15" customHeight="1" x14ac:dyDescent="0.2"/>
    <row r="10478" ht="15" customHeight="1" x14ac:dyDescent="0.2"/>
    <row r="10479" ht="15" customHeight="1" x14ac:dyDescent="0.2"/>
    <row r="10480" ht="15" customHeight="1" x14ac:dyDescent="0.2"/>
    <row r="10481" ht="15" customHeight="1" x14ac:dyDescent="0.2"/>
    <row r="10482" ht="15" customHeight="1" x14ac:dyDescent="0.2"/>
    <row r="10483" ht="15" customHeight="1" x14ac:dyDescent="0.2"/>
    <row r="10484" ht="15" customHeight="1" x14ac:dyDescent="0.2"/>
    <row r="10485" ht="15" customHeight="1" x14ac:dyDescent="0.2"/>
    <row r="10486" ht="15" customHeight="1" x14ac:dyDescent="0.2"/>
    <row r="10487" ht="15" customHeight="1" x14ac:dyDescent="0.2"/>
    <row r="10488" ht="15" customHeight="1" x14ac:dyDescent="0.2"/>
    <row r="10489" ht="15" customHeight="1" x14ac:dyDescent="0.2"/>
    <row r="10490" ht="15" customHeight="1" x14ac:dyDescent="0.2"/>
    <row r="10491" ht="15" customHeight="1" x14ac:dyDescent="0.2"/>
    <row r="10492" ht="15" customHeight="1" x14ac:dyDescent="0.2"/>
    <row r="10493" ht="15" customHeight="1" x14ac:dyDescent="0.2"/>
    <row r="10494" ht="15" customHeight="1" x14ac:dyDescent="0.2"/>
    <row r="10495" ht="15" customHeight="1" x14ac:dyDescent="0.2"/>
    <row r="10496" ht="15" customHeight="1" x14ac:dyDescent="0.2"/>
    <row r="10497" ht="15" customHeight="1" x14ac:dyDescent="0.2"/>
    <row r="10498" ht="15" customHeight="1" x14ac:dyDescent="0.2"/>
    <row r="10499" ht="15" customHeight="1" x14ac:dyDescent="0.2"/>
    <row r="10500" ht="15" customHeight="1" x14ac:dyDescent="0.2"/>
    <row r="10501" ht="15" customHeight="1" x14ac:dyDescent="0.2"/>
    <row r="10502" ht="15" customHeight="1" x14ac:dyDescent="0.2"/>
    <row r="10503" ht="15" customHeight="1" x14ac:dyDescent="0.2"/>
    <row r="10504" ht="15" customHeight="1" x14ac:dyDescent="0.2"/>
    <row r="10505" ht="15" customHeight="1" x14ac:dyDescent="0.2"/>
    <row r="10506" ht="15" customHeight="1" x14ac:dyDescent="0.2"/>
    <row r="10507" ht="15" customHeight="1" x14ac:dyDescent="0.2"/>
    <row r="10508" ht="15" customHeight="1" x14ac:dyDescent="0.2"/>
    <row r="10509" ht="15" customHeight="1" x14ac:dyDescent="0.2"/>
    <row r="10510" ht="15" customHeight="1" x14ac:dyDescent="0.2"/>
    <row r="10511" ht="15" customHeight="1" x14ac:dyDescent="0.2"/>
    <row r="10512" ht="15" customHeight="1" x14ac:dyDescent="0.2"/>
    <row r="10513" ht="15" customHeight="1" x14ac:dyDescent="0.2"/>
    <row r="10514" ht="15" customHeight="1" x14ac:dyDescent="0.2"/>
    <row r="10515" ht="15" customHeight="1" x14ac:dyDescent="0.2"/>
    <row r="10516" ht="15" customHeight="1" x14ac:dyDescent="0.2"/>
    <row r="10517" ht="15" customHeight="1" x14ac:dyDescent="0.2"/>
    <row r="10518" ht="15" customHeight="1" x14ac:dyDescent="0.2"/>
    <row r="10519" ht="15" customHeight="1" x14ac:dyDescent="0.2"/>
    <row r="10520" ht="15" customHeight="1" x14ac:dyDescent="0.2"/>
    <row r="10521" ht="15" customHeight="1" x14ac:dyDescent="0.2"/>
    <row r="10522" ht="15" customHeight="1" x14ac:dyDescent="0.2"/>
    <row r="10523" ht="15" customHeight="1" x14ac:dyDescent="0.2"/>
    <row r="10524" ht="15" customHeight="1" x14ac:dyDescent="0.2"/>
    <row r="10525" ht="15" customHeight="1" x14ac:dyDescent="0.2"/>
    <row r="10526" ht="15" customHeight="1" x14ac:dyDescent="0.2"/>
    <row r="10527" ht="15" customHeight="1" x14ac:dyDescent="0.2"/>
    <row r="10528" ht="15" customHeight="1" x14ac:dyDescent="0.2"/>
    <row r="10529" ht="15" customHeight="1" x14ac:dyDescent="0.2"/>
    <row r="10530" ht="15" customHeight="1" x14ac:dyDescent="0.2"/>
    <row r="10531" ht="15" customHeight="1" x14ac:dyDescent="0.2"/>
    <row r="10532" ht="15" customHeight="1" x14ac:dyDescent="0.2"/>
    <row r="10533" ht="15" customHeight="1" x14ac:dyDescent="0.2"/>
    <row r="10534" ht="15" customHeight="1" x14ac:dyDescent="0.2"/>
    <row r="10535" ht="15" customHeight="1" x14ac:dyDescent="0.2"/>
    <row r="10536" ht="15" customHeight="1" x14ac:dyDescent="0.2"/>
    <row r="10537" ht="15" customHeight="1" x14ac:dyDescent="0.2"/>
    <row r="10538" ht="15" customHeight="1" x14ac:dyDescent="0.2"/>
    <row r="10539" ht="15" customHeight="1" x14ac:dyDescent="0.2"/>
    <row r="10540" ht="15" customHeight="1" x14ac:dyDescent="0.2"/>
    <row r="10541" ht="15" customHeight="1" x14ac:dyDescent="0.2"/>
    <row r="10542" ht="15" customHeight="1" x14ac:dyDescent="0.2"/>
    <row r="10543" ht="15" customHeight="1" x14ac:dyDescent="0.2"/>
    <row r="10544" ht="15" customHeight="1" x14ac:dyDescent="0.2"/>
    <row r="10545" ht="15" customHeight="1" x14ac:dyDescent="0.2"/>
    <row r="10546" ht="15" customHeight="1" x14ac:dyDescent="0.2"/>
    <row r="10547" ht="15" customHeight="1" x14ac:dyDescent="0.2"/>
    <row r="10548" ht="15" customHeight="1" x14ac:dyDescent="0.2"/>
    <row r="10549" ht="15" customHeight="1" x14ac:dyDescent="0.2"/>
    <row r="10550" ht="15" customHeight="1" x14ac:dyDescent="0.2"/>
    <row r="10551" ht="15" customHeight="1" x14ac:dyDescent="0.2"/>
    <row r="10552" ht="15" customHeight="1" x14ac:dyDescent="0.2"/>
    <row r="10553" ht="15" customHeight="1" x14ac:dyDescent="0.2"/>
    <row r="10554" ht="15" customHeight="1" x14ac:dyDescent="0.2"/>
    <row r="10555" ht="15" customHeight="1" x14ac:dyDescent="0.2"/>
    <row r="10556" ht="15" customHeight="1" x14ac:dyDescent="0.2"/>
    <row r="10557" ht="15" customHeight="1" x14ac:dyDescent="0.2"/>
    <row r="10558" ht="15" customHeight="1" x14ac:dyDescent="0.2"/>
    <row r="10559" ht="15" customHeight="1" x14ac:dyDescent="0.2"/>
    <row r="10560" ht="15" customHeight="1" x14ac:dyDescent="0.2"/>
    <row r="10561" ht="15" customHeight="1" x14ac:dyDescent="0.2"/>
    <row r="10562" ht="15" customHeight="1" x14ac:dyDescent="0.2"/>
    <row r="10563" ht="15" customHeight="1" x14ac:dyDescent="0.2"/>
    <row r="10564" ht="15" customHeight="1" x14ac:dyDescent="0.2"/>
    <row r="10565" ht="15" customHeight="1" x14ac:dyDescent="0.2"/>
    <row r="10566" ht="15" customHeight="1" x14ac:dyDescent="0.2"/>
    <row r="10567" ht="15" customHeight="1" x14ac:dyDescent="0.2"/>
    <row r="10568" ht="15" customHeight="1" x14ac:dyDescent="0.2"/>
    <row r="10569" ht="15" customHeight="1" x14ac:dyDescent="0.2"/>
    <row r="10570" ht="15" customHeight="1" x14ac:dyDescent="0.2"/>
    <row r="10571" ht="15" customHeight="1" x14ac:dyDescent="0.2"/>
    <row r="10572" ht="15" customHeight="1" x14ac:dyDescent="0.2"/>
    <row r="10573" ht="15" customHeight="1" x14ac:dyDescent="0.2"/>
    <row r="10574" ht="15" customHeight="1" x14ac:dyDescent="0.2"/>
    <row r="10575" ht="15" customHeight="1" x14ac:dyDescent="0.2"/>
    <row r="10576" ht="15" customHeight="1" x14ac:dyDescent="0.2"/>
    <row r="10577" ht="15" customHeight="1" x14ac:dyDescent="0.2"/>
    <row r="10578" ht="15" customHeight="1" x14ac:dyDescent="0.2"/>
    <row r="10579" ht="15" customHeight="1" x14ac:dyDescent="0.2"/>
    <row r="10580" ht="15" customHeight="1" x14ac:dyDescent="0.2"/>
    <row r="10581" ht="15" customHeight="1" x14ac:dyDescent="0.2"/>
    <row r="10582" ht="15" customHeight="1" x14ac:dyDescent="0.2"/>
    <row r="10583" ht="15" customHeight="1" x14ac:dyDescent="0.2"/>
    <row r="10584" ht="15" customHeight="1" x14ac:dyDescent="0.2"/>
    <row r="10585" ht="15" customHeight="1" x14ac:dyDescent="0.2"/>
    <row r="10586" ht="15" customHeight="1" x14ac:dyDescent="0.2"/>
    <row r="10587" ht="15" customHeight="1" x14ac:dyDescent="0.2"/>
    <row r="10588" ht="15" customHeight="1" x14ac:dyDescent="0.2"/>
    <row r="10589" ht="15" customHeight="1" x14ac:dyDescent="0.2"/>
    <row r="10590" ht="15" customHeight="1" x14ac:dyDescent="0.2"/>
    <row r="10591" ht="15" customHeight="1" x14ac:dyDescent="0.2"/>
    <row r="10592" ht="15" customHeight="1" x14ac:dyDescent="0.2"/>
    <row r="10593" ht="15" customHeight="1" x14ac:dyDescent="0.2"/>
    <row r="10594" ht="15" customHeight="1" x14ac:dyDescent="0.2"/>
    <row r="10595" ht="15" customHeight="1" x14ac:dyDescent="0.2"/>
    <row r="10596" ht="15" customHeight="1" x14ac:dyDescent="0.2"/>
    <row r="10597" ht="15" customHeight="1" x14ac:dyDescent="0.2"/>
    <row r="10598" ht="15" customHeight="1" x14ac:dyDescent="0.2"/>
    <row r="10599" ht="15" customHeight="1" x14ac:dyDescent="0.2"/>
    <row r="10600" ht="15" customHeight="1" x14ac:dyDescent="0.2"/>
    <row r="10601" ht="15" customHeight="1" x14ac:dyDescent="0.2"/>
    <row r="10602" ht="15" customHeight="1" x14ac:dyDescent="0.2"/>
    <row r="10603" ht="15" customHeight="1" x14ac:dyDescent="0.2"/>
    <row r="10604" ht="15" customHeight="1" x14ac:dyDescent="0.2"/>
    <row r="10605" ht="15" customHeight="1" x14ac:dyDescent="0.2"/>
    <row r="10606" ht="15" customHeight="1" x14ac:dyDescent="0.2"/>
    <row r="10607" ht="15" customHeight="1" x14ac:dyDescent="0.2"/>
    <row r="10608" ht="15" customHeight="1" x14ac:dyDescent="0.2"/>
    <row r="10609" ht="15" customHeight="1" x14ac:dyDescent="0.2"/>
    <row r="10610" ht="15" customHeight="1" x14ac:dyDescent="0.2"/>
    <row r="10611" ht="15" customHeight="1" x14ac:dyDescent="0.2"/>
    <row r="10612" ht="15" customHeight="1" x14ac:dyDescent="0.2"/>
    <row r="10613" ht="15" customHeight="1" x14ac:dyDescent="0.2"/>
    <row r="10614" ht="15" customHeight="1" x14ac:dyDescent="0.2"/>
    <row r="10615" ht="15" customHeight="1" x14ac:dyDescent="0.2"/>
    <row r="10616" ht="15" customHeight="1" x14ac:dyDescent="0.2"/>
    <row r="10617" ht="15" customHeight="1" x14ac:dyDescent="0.2"/>
    <row r="10618" ht="15" customHeight="1" x14ac:dyDescent="0.2"/>
    <row r="10619" ht="15" customHeight="1" x14ac:dyDescent="0.2"/>
    <row r="10620" ht="15" customHeight="1" x14ac:dyDescent="0.2"/>
    <row r="10621" ht="15" customHeight="1" x14ac:dyDescent="0.2"/>
    <row r="10622" ht="15" customHeight="1" x14ac:dyDescent="0.2"/>
    <row r="10623" ht="15" customHeight="1" x14ac:dyDescent="0.2"/>
    <row r="10624" ht="15" customHeight="1" x14ac:dyDescent="0.2"/>
    <row r="10625" ht="15" customHeight="1" x14ac:dyDescent="0.2"/>
    <row r="10626" ht="15" customHeight="1" x14ac:dyDescent="0.2"/>
    <row r="10627" ht="15" customHeight="1" x14ac:dyDescent="0.2"/>
    <row r="10628" ht="15" customHeight="1" x14ac:dyDescent="0.2"/>
    <row r="10629" ht="15" customHeight="1" x14ac:dyDescent="0.2"/>
    <row r="10630" ht="15" customHeight="1" x14ac:dyDescent="0.2"/>
    <row r="10631" ht="15" customHeight="1" x14ac:dyDescent="0.2"/>
    <row r="10632" ht="15" customHeight="1" x14ac:dyDescent="0.2"/>
    <row r="10633" ht="15" customHeight="1" x14ac:dyDescent="0.2"/>
    <row r="10634" ht="15" customHeight="1" x14ac:dyDescent="0.2"/>
    <row r="10635" ht="15" customHeight="1" x14ac:dyDescent="0.2"/>
    <row r="10636" ht="15" customHeight="1" x14ac:dyDescent="0.2"/>
    <row r="10637" ht="15" customHeight="1" x14ac:dyDescent="0.2"/>
    <row r="10638" ht="15" customHeight="1" x14ac:dyDescent="0.2"/>
    <row r="10639" ht="15" customHeight="1" x14ac:dyDescent="0.2"/>
    <row r="10640" ht="15" customHeight="1" x14ac:dyDescent="0.2"/>
    <row r="10641" ht="15" customHeight="1" x14ac:dyDescent="0.2"/>
    <row r="10642" ht="15" customHeight="1" x14ac:dyDescent="0.2"/>
    <row r="10643" ht="15" customHeight="1" x14ac:dyDescent="0.2"/>
    <row r="10644" ht="15" customHeight="1" x14ac:dyDescent="0.2"/>
    <row r="10645" ht="15" customHeight="1" x14ac:dyDescent="0.2"/>
    <row r="10646" ht="15" customHeight="1" x14ac:dyDescent="0.2"/>
    <row r="10647" ht="15" customHeight="1" x14ac:dyDescent="0.2"/>
    <row r="10648" ht="15" customHeight="1" x14ac:dyDescent="0.2"/>
    <row r="10649" ht="15" customHeight="1" x14ac:dyDescent="0.2"/>
    <row r="10650" ht="15" customHeight="1" x14ac:dyDescent="0.2"/>
    <row r="10651" ht="15" customHeight="1" x14ac:dyDescent="0.2"/>
    <row r="10652" ht="15" customHeight="1" x14ac:dyDescent="0.2"/>
    <row r="10653" ht="15" customHeight="1" x14ac:dyDescent="0.2"/>
    <row r="10654" ht="15" customHeight="1" x14ac:dyDescent="0.2"/>
    <row r="10655" ht="15" customHeight="1" x14ac:dyDescent="0.2"/>
    <row r="10656" ht="15" customHeight="1" x14ac:dyDescent="0.2"/>
    <row r="10657" ht="15" customHeight="1" x14ac:dyDescent="0.2"/>
    <row r="10658" ht="15" customHeight="1" x14ac:dyDescent="0.2"/>
    <row r="10659" ht="15" customHeight="1" x14ac:dyDescent="0.2"/>
    <row r="10660" ht="15" customHeight="1" x14ac:dyDescent="0.2"/>
    <row r="10661" ht="15" customHeight="1" x14ac:dyDescent="0.2"/>
    <row r="10662" ht="15" customHeight="1" x14ac:dyDescent="0.2"/>
    <row r="10663" ht="15" customHeight="1" x14ac:dyDescent="0.2"/>
    <row r="10664" ht="15" customHeight="1" x14ac:dyDescent="0.2"/>
    <row r="10665" ht="15" customHeight="1" x14ac:dyDescent="0.2"/>
    <row r="10666" ht="15" customHeight="1" x14ac:dyDescent="0.2"/>
    <row r="10667" ht="15" customHeight="1" x14ac:dyDescent="0.2"/>
    <row r="10668" ht="15" customHeight="1" x14ac:dyDescent="0.2"/>
    <row r="10669" ht="15" customHeight="1" x14ac:dyDescent="0.2"/>
    <row r="10670" ht="15" customHeight="1" x14ac:dyDescent="0.2"/>
    <row r="10671" ht="15" customHeight="1" x14ac:dyDescent="0.2"/>
    <row r="10672" ht="15" customHeight="1" x14ac:dyDescent="0.2"/>
    <row r="10673" ht="15" customHeight="1" x14ac:dyDescent="0.2"/>
    <row r="10674" ht="15" customHeight="1" x14ac:dyDescent="0.2"/>
    <row r="10675" ht="15" customHeight="1" x14ac:dyDescent="0.2"/>
    <row r="10676" ht="15" customHeight="1" x14ac:dyDescent="0.2"/>
    <row r="10677" ht="15" customHeight="1" x14ac:dyDescent="0.2"/>
    <row r="10678" ht="15" customHeight="1" x14ac:dyDescent="0.2"/>
    <row r="10679" ht="15" customHeight="1" x14ac:dyDescent="0.2"/>
    <row r="10680" ht="15" customHeight="1" x14ac:dyDescent="0.2"/>
    <row r="10681" ht="15" customHeight="1" x14ac:dyDescent="0.2"/>
    <row r="10682" ht="15" customHeight="1" x14ac:dyDescent="0.2"/>
    <row r="10683" ht="15" customHeight="1" x14ac:dyDescent="0.2"/>
    <row r="10684" ht="15" customHeight="1" x14ac:dyDescent="0.2"/>
    <row r="10685" ht="15" customHeight="1" x14ac:dyDescent="0.2"/>
    <row r="10686" ht="15" customHeight="1" x14ac:dyDescent="0.2"/>
    <row r="10687" ht="15" customHeight="1" x14ac:dyDescent="0.2"/>
    <row r="10688" ht="15" customHeight="1" x14ac:dyDescent="0.2"/>
    <row r="10689" ht="15" customHeight="1" x14ac:dyDescent="0.2"/>
    <row r="10690" ht="15" customHeight="1" x14ac:dyDescent="0.2"/>
    <row r="10691" ht="15" customHeight="1" x14ac:dyDescent="0.2"/>
    <row r="10692" ht="15" customHeight="1" x14ac:dyDescent="0.2"/>
    <row r="10693" ht="15" customHeight="1" x14ac:dyDescent="0.2"/>
    <row r="10694" ht="15" customHeight="1" x14ac:dyDescent="0.2"/>
    <row r="10695" ht="15" customHeight="1" x14ac:dyDescent="0.2"/>
    <row r="10696" ht="15" customHeight="1" x14ac:dyDescent="0.2"/>
    <row r="10697" ht="15" customHeight="1" x14ac:dyDescent="0.2"/>
    <row r="10698" ht="15" customHeight="1" x14ac:dyDescent="0.2"/>
    <row r="10699" ht="15" customHeight="1" x14ac:dyDescent="0.2"/>
    <row r="10700" ht="15" customHeight="1" x14ac:dyDescent="0.2"/>
    <row r="10701" ht="15" customHeight="1" x14ac:dyDescent="0.2"/>
    <row r="10702" ht="15" customHeight="1" x14ac:dyDescent="0.2"/>
    <row r="10703" ht="15" customHeight="1" x14ac:dyDescent="0.2"/>
    <row r="10704" ht="15" customHeight="1" x14ac:dyDescent="0.2"/>
    <row r="10705" ht="15" customHeight="1" x14ac:dyDescent="0.2"/>
    <row r="10706" ht="15" customHeight="1" x14ac:dyDescent="0.2"/>
    <row r="10707" ht="15" customHeight="1" x14ac:dyDescent="0.2"/>
    <row r="10708" ht="15" customHeight="1" x14ac:dyDescent="0.2"/>
    <row r="10709" ht="15" customHeight="1" x14ac:dyDescent="0.2"/>
    <row r="10710" ht="15" customHeight="1" x14ac:dyDescent="0.2"/>
    <row r="10711" ht="15" customHeight="1" x14ac:dyDescent="0.2"/>
    <row r="10712" ht="15" customHeight="1" x14ac:dyDescent="0.2"/>
    <row r="10713" ht="15" customHeight="1" x14ac:dyDescent="0.2"/>
    <row r="10714" ht="15" customHeight="1" x14ac:dyDescent="0.2"/>
    <row r="10715" ht="15" customHeight="1" x14ac:dyDescent="0.2"/>
    <row r="10716" ht="15" customHeight="1" x14ac:dyDescent="0.2"/>
    <row r="10717" ht="15" customHeight="1" x14ac:dyDescent="0.2"/>
    <row r="10718" ht="15" customHeight="1" x14ac:dyDescent="0.2"/>
    <row r="10719" ht="15" customHeight="1" x14ac:dyDescent="0.2"/>
    <row r="10720" ht="15" customHeight="1" x14ac:dyDescent="0.2"/>
    <row r="10721" ht="15" customHeight="1" x14ac:dyDescent="0.2"/>
    <row r="10722" ht="15" customHeight="1" x14ac:dyDescent="0.2"/>
    <row r="10723" ht="15" customHeight="1" x14ac:dyDescent="0.2"/>
    <row r="10724" ht="15" customHeight="1" x14ac:dyDescent="0.2"/>
    <row r="10725" ht="15" customHeight="1" x14ac:dyDescent="0.2"/>
    <row r="10726" ht="15" customHeight="1" x14ac:dyDescent="0.2"/>
    <row r="10727" ht="15" customHeight="1" x14ac:dyDescent="0.2"/>
    <row r="10728" ht="15" customHeight="1" x14ac:dyDescent="0.2"/>
    <row r="10729" ht="15" customHeight="1" x14ac:dyDescent="0.2"/>
    <row r="10730" ht="15" customHeight="1" x14ac:dyDescent="0.2"/>
    <row r="10731" ht="15" customHeight="1" x14ac:dyDescent="0.2"/>
    <row r="10732" ht="15" customHeight="1" x14ac:dyDescent="0.2"/>
    <row r="10733" ht="15" customHeight="1" x14ac:dyDescent="0.2"/>
    <row r="10734" ht="15" customHeight="1" x14ac:dyDescent="0.2"/>
    <row r="10735" ht="15" customHeight="1" x14ac:dyDescent="0.2"/>
    <row r="10736" ht="15" customHeight="1" x14ac:dyDescent="0.2"/>
    <row r="10737" ht="15" customHeight="1" x14ac:dyDescent="0.2"/>
    <row r="10738" ht="15" customHeight="1" x14ac:dyDescent="0.2"/>
    <row r="10739" ht="15" customHeight="1" x14ac:dyDescent="0.2"/>
    <row r="10740" ht="15" customHeight="1" x14ac:dyDescent="0.2"/>
    <row r="10741" ht="15" customHeight="1" x14ac:dyDescent="0.2"/>
    <row r="10742" ht="15" customHeight="1" x14ac:dyDescent="0.2"/>
    <row r="10743" ht="15" customHeight="1" x14ac:dyDescent="0.2"/>
    <row r="10744" ht="15" customHeight="1" x14ac:dyDescent="0.2"/>
    <row r="10745" ht="15" customHeight="1" x14ac:dyDescent="0.2"/>
    <row r="10746" ht="15" customHeight="1" x14ac:dyDescent="0.2"/>
    <row r="10747" ht="15" customHeight="1" x14ac:dyDescent="0.2"/>
    <row r="10748" ht="15" customHeight="1" x14ac:dyDescent="0.2"/>
    <row r="10749" ht="15" customHeight="1" x14ac:dyDescent="0.2"/>
    <row r="10750" ht="15" customHeight="1" x14ac:dyDescent="0.2"/>
    <row r="10751" ht="15" customHeight="1" x14ac:dyDescent="0.2"/>
    <row r="10752" ht="15" customHeight="1" x14ac:dyDescent="0.2"/>
    <row r="10753" ht="15" customHeight="1" x14ac:dyDescent="0.2"/>
    <row r="10754" ht="15" customHeight="1" x14ac:dyDescent="0.2"/>
    <row r="10755" ht="15" customHeight="1" x14ac:dyDescent="0.2"/>
    <row r="10756" ht="15" customHeight="1" x14ac:dyDescent="0.2"/>
    <row r="10757" ht="15" customHeight="1" x14ac:dyDescent="0.2"/>
    <row r="10758" ht="15" customHeight="1" x14ac:dyDescent="0.2"/>
    <row r="10759" ht="15" customHeight="1" x14ac:dyDescent="0.2"/>
    <row r="10760" ht="15" customHeight="1" x14ac:dyDescent="0.2"/>
    <row r="10761" ht="15" customHeight="1" x14ac:dyDescent="0.2"/>
    <row r="10762" ht="15" customHeight="1" x14ac:dyDescent="0.2"/>
    <row r="10763" ht="15" customHeight="1" x14ac:dyDescent="0.2"/>
    <row r="10764" ht="15" customHeight="1" x14ac:dyDescent="0.2"/>
    <row r="10765" ht="15" customHeight="1" x14ac:dyDescent="0.2"/>
    <row r="10766" ht="15" customHeight="1" x14ac:dyDescent="0.2"/>
    <row r="10767" ht="15" customHeight="1" x14ac:dyDescent="0.2"/>
    <row r="10768" ht="15" customHeight="1" x14ac:dyDescent="0.2"/>
    <row r="10769" ht="15" customHeight="1" x14ac:dyDescent="0.2"/>
    <row r="10770" ht="15" customHeight="1" x14ac:dyDescent="0.2"/>
    <row r="10771" ht="15" customHeight="1" x14ac:dyDescent="0.2"/>
    <row r="10772" ht="15" customHeight="1" x14ac:dyDescent="0.2"/>
    <row r="10773" ht="15" customHeight="1" x14ac:dyDescent="0.2"/>
    <row r="10774" ht="15" customHeight="1" x14ac:dyDescent="0.2"/>
    <row r="10775" ht="15" customHeight="1" x14ac:dyDescent="0.2"/>
    <row r="10776" ht="15" customHeight="1" x14ac:dyDescent="0.2"/>
    <row r="10777" ht="15" customHeight="1" x14ac:dyDescent="0.2"/>
    <row r="10778" ht="15" customHeight="1" x14ac:dyDescent="0.2"/>
    <row r="10779" ht="15" customHeight="1" x14ac:dyDescent="0.2"/>
    <row r="10780" ht="15" customHeight="1" x14ac:dyDescent="0.2"/>
    <row r="10781" ht="15" customHeight="1" x14ac:dyDescent="0.2"/>
    <row r="10782" ht="15" customHeight="1" x14ac:dyDescent="0.2"/>
    <row r="10783" ht="15" customHeight="1" x14ac:dyDescent="0.2"/>
    <row r="10784" ht="15" customHeight="1" x14ac:dyDescent="0.2"/>
    <row r="10785" ht="15" customHeight="1" x14ac:dyDescent="0.2"/>
    <row r="10786" ht="15" customHeight="1" x14ac:dyDescent="0.2"/>
    <row r="10787" ht="15" customHeight="1" x14ac:dyDescent="0.2"/>
    <row r="10788" ht="15" customHeight="1" x14ac:dyDescent="0.2"/>
    <row r="10789" ht="15" customHeight="1" x14ac:dyDescent="0.2"/>
    <row r="10790" ht="15" customHeight="1" x14ac:dyDescent="0.2"/>
    <row r="10791" ht="15" customHeight="1" x14ac:dyDescent="0.2"/>
    <row r="10792" ht="15" customHeight="1" x14ac:dyDescent="0.2"/>
    <row r="10793" ht="15" customHeight="1" x14ac:dyDescent="0.2"/>
    <row r="10794" ht="15" customHeight="1" x14ac:dyDescent="0.2"/>
    <row r="10795" ht="15" customHeight="1" x14ac:dyDescent="0.2"/>
    <row r="10796" ht="15" customHeight="1" x14ac:dyDescent="0.2"/>
    <row r="10797" ht="15" customHeight="1" x14ac:dyDescent="0.2"/>
    <row r="10798" ht="15" customHeight="1" x14ac:dyDescent="0.2"/>
    <row r="10799" ht="15" customHeight="1" x14ac:dyDescent="0.2"/>
    <row r="10800" ht="15" customHeight="1" x14ac:dyDescent="0.2"/>
    <row r="10801" ht="15" customHeight="1" x14ac:dyDescent="0.2"/>
    <row r="10802" ht="15" customHeight="1" x14ac:dyDescent="0.2"/>
    <row r="10803" ht="15" customHeight="1" x14ac:dyDescent="0.2"/>
    <row r="10804" ht="15" customHeight="1" x14ac:dyDescent="0.2"/>
    <row r="10805" ht="15" customHeight="1" x14ac:dyDescent="0.2"/>
    <row r="10806" ht="15" customHeight="1" x14ac:dyDescent="0.2"/>
    <row r="10807" ht="15" customHeight="1" x14ac:dyDescent="0.2"/>
    <row r="10808" ht="15" customHeight="1" x14ac:dyDescent="0.2"/>
    <row r="10809" ht="15" customHeight="1" x14ac:dyDescent="0.2"/>
    <row r="10810" ht="15" customHeight="1" x14ac:dyDescent="0.2"/>
    <row r="10811" ht="15" customHeight="1" x14ac:dyDescent="0.2"/>
    <row r="10812" ht="15" customHeight="1" x14ac:dyDescent="0.2"/>
    <row r="10813" ht="15" customHeight="1" x14ac:dyDescent="0.2"/>
    <row r="10814" ht="15" customHeight="1" x14ac:dyDescent="0.2"/>
    <row r="10815" ht="15" customHeight="1" x14ac:dyDescent="0.2"/>
    <row r="10816" ht="15" customHeight="1" x14ac:dyDescent="0.2"/>
    <row r="10817" ht="15" customHeight="1" x14ac:dyDescent="0.2"/>
    <row r="10818" ht="15" customHeight="1" x14ac:dyDescent="0.2"/>
    <row r="10819" ht="15" customHeight="1" x14ac:dyDescent="0.2"/>
    <row r="10820" ht="15" customHeight="1" x14ac:dyDescent="0.2"/>
    <row r="10821" ht="15" customHeight="1" x14ac:dyDescent="0.2"/>
    <row r="10822" ht="15" customHeight="1" x14ac:dyDescent="0.2"/>
    <row r="10823" ht="15" customHeight="1" x14ac:dyDescent="0.2"/>
    <row r="10824" ht="15" customHeight="1" x14ac:dyDescent="0.2"/>
    <row r="10825" ht="15" customHeight="1" x14ac:dyDescent="0.2"/>
    <row r="10826" ht="15" customHeight="1" x14ac:dyDescent="0.2"/>
    <row r="10827" ht="15" customHeight="1" x14ac:dyDescent="0.2"/>
    <row r="10828" ht="15" customHeight="1" x14ac:dyDescent="0.2"/>
    <row r="10829" ht="15" customHeight="1" x14ac:dyDescent="0.2"/>
    <row r="10830" ht="15" customHeight="1" x14ac:dyDescent="0.2"/>
    <row r="10831" ht="15" customHeight="1" x14ac:dyDescent="0.2"/>
    <row r="10832" ht="15" customHeight="1" x14ac:dyDescent="0.2"/>
    <row r="10833" ht="15" customHeight="1" x14ac:dyDescent="0.2"/>
    <row r="10834" ht="15" customHeight="1" x14ac:dyDescent="0.2"/>
    <row r="10835" ht="15" customHeight="1" x14ac:dyDescent="0.2"/>
    <row r="10836" ht="15" customHeight="1" x14ac:dyDescent="0.2"/>
    <row r="10837" ht="15" customHeight="1" x14ac:dyDescent="0.2"/>
    <row r="10838" ht="15" customHeight="1" x14ac:dyDescent="0.2"/>
    <row r="10839" ht="15" customHeight="1" x14ac:dyDescent="0.2"/>
    <row r="10840" ht="15" customHeight="1" x14ac:dyDescent="0.2"/>
    <row r="10841" ht="15" customHeight="1" x14ac:dyDescent="0.2"/>
    <row r="10842" ht="15" customHeight="1" x14ac:dyDescent="0.2"/>
    <row r="10843" ht="15" customHeight="1" x14ac:dyDescent="0.2"/>
    <row r="10844" ht="15" customHeight="1" x14ac:dyDescent="0.2"/>
    <row r="10845" ht="15" customHeight="1" x14ac:dyDescent="0.2"/>
    <row r="10846" ht="15" customHeight="1" x14ac:dyDescent="0.2"/>
    <row r="10847" ht="15" customHeight="1" x14ac:dyDescent="0.2"/>
    <row r="10848" ht="15" customHeight="1" x14ac:dyDescent="0.2"/>
    <row r="10849" ht="15" customHeight="1" x14ac:dyDescent="0.2"/>
    <row r="10850" ht="15" customHeight="1" x14ac:dyDescent="0.2"/>
    <row r="10851" ht="15" customHeight="1" x14ac:dyDescent="0.2"/>
    <row r="10852" ht="15" customHeight="1" x14ac:dyDescent="0.2"/>
    <row r="10853" ht="15" customHeight="1" x14ac:dyDescent="0.2"/>
    <row r="10854" ht="15" customHeight="1" x14ac:dyDescent="0.2"/>
    <row r="10855" ht="15" customHeight="1" x14ac:dyDescent="0.2"/>
    <row r="10856" ht="15" customHeight="1" x14ac:dyDescent="0.2"/>
    <row r="10857" ht="15" customHeight="1" x14ac:dyDescent="0.2"/>
    <row r="10858" ht="15" customHeight="1" x14ac:dyDescent="0.2"/>
    <row r="10859" ht="15" customHeight="1" x14ac:dyDescent="0.2"/>
    <row r="10860" ht="15" customHeight="1" x14ac:dyDescent="0.2"/>
    <row r="10861" ht="15" customHeight="1" x14ac:dyDescent="0.2"/>
    <row r="10862" ht="15" customHeight="1" x14ac:dyDescent="0.2"/>
    <row r="10863" ht="15" customHeight="1" x14ac:dyDescent="0.2"/>
    <row r="10864" ht="15" customHeight="1" x14ac:dyDescent="0.2"/>
    <row r="10865" ht="15" customHeight="1" x14ac:dyDescent="0.2"/>
    <row r="10866" ht="15" customHeight="1" x14ac:dyDescent="0.2"/>
    <row r="10867" ht="15" customHeight="1" x14ac:dyDescent="0.2"/>
    <row r="10868" ht="15" customHeight="1" x14ac:dyDescent="0.2"/>
    <row r="10869" ht="15" customHeight="1" x14ac:dyDescent="0.2"/>
    <row r="10870" ht="15" customHeight="1" x14ac:dyDescent="0.2"/>
    <row r="10871" ht="15" customHeight="1" x14ac:dyDescent="0.2"/>
    <row r="10872" ht="15" customHeight="1" x14ac:dyDescent="0.2"/>
    <row r="10873" ht="15" customHeight="1" x14ac:dyDescent="0.2"/>
    <row r="10874" ht="15" customHeight="1" x14ac:dyDescent="0.2"/>
    <row r="10875" ht="15" customHeight="1" x14ac:dyDescent="0.2"/>
    <row r="10876" ht="15" customHeight="1" x14ac:dyDescent="0.2"/>
    <row r="10877" ht="15" customHeight="1" x14ac:dyDescent="0.2"/>
    <row r="10878" ht="15" customHeight="1" x14ac:dyDescent="0.2"/>
    <row r="10879" ht="15" customHeight="1" x14ac:dyDescent="0.2"/>
    <row r="10880" ht="15" customHeight="1" x14ac:dyDescent="0.2"/>
    <row r="10881" ht="15" customHeight="1" x14ac:dyDescent="0.2"/>
    <row r="10882" ht="15" customHeight="1" x14ac:dyDescent="0.2"/>
    <row r="10883" ht="15" customHeight="1" x14ac:dyDescent="0.2"/>
    <row r="10884" ht="15" customHeight="1" x14ac:dyDescent="0.2"/>
    <row r="10885" ht="15" customHeight="1" x14ac:dyDescent="0.2"/>
    <row r="10886" ht="15" customHeight="1" x14ac:dyDescent="0.2"/>
    <row r="10887" ht="15" customHeight="1" x14ac:dyDescent="0.2"/>
    <row r="10888" ht="15" customHeight="1" x14ac:dyDescent="0.2"/>
    <row r="10889" ht="15" customHeight="1" x14ac:dyDescent="0.2"/>
    <row r="10890" ht="15" customHeight="1" x14ac:dyDescent="0.2"/>
    <row r="10891" ht="15" customHeight="1" x14ac:dyDescent="0.2"/>
    <row r="10892" ht="15" customHeight="1" x14ac:dyDescent="0.2"/>
    <row r="10893" ht="15" customHeight="1" x14ac:dyDescent="0.2"/>
    <row r="10894" ht="15" customHeight="1" x14ac:dyDescent="0.2"/>
    <row r="10895" ht="15" customHeight="1" x14ac:dyDescent="0.2"/>
    <row r="10896" ht="15" customHeight="1" x14ac:dyDescent="0.2"/>
    <row r="10897" ht="15" customHeight="1" x14ac:dyDescent="0.2"/>
    <row r="10898" ht="15" customHeight="1" x14ac:dyDescent="0.2"/>
    <row r="10899" ht="15" customHeight="1" x14ac:dyDescent="0.2"/>
    <row r="10900" ht="15" customHeight="1" x14ac:dyDescent="0.2"/>
    <row r="10901" ht="15" customHeight="1" x14ac:dyDescent="0.2"/>
    <row r="10902" ht="15" customHeight="1" x14ac:dyDescent="0.2"/>
    <row r="10903" ht="15" customHeight="1" x14ac:dyDescent="0.2"/>
    <row r="10904" ht="15" customHeight="1" x14ac:dyDescent="0.2"/>
    <row r="10905" ht="15" customHeight="1" x14ac:dyDescent="0.2"/>
    <row r="10906" ht="15" customHeight="1" x14ac:dyDescent="0.2"/>
    <row r="10907" ht="15" customHeight="1" x14ac:dyDescent="0.2"/>
    <row r="10908" ht="15" customHeight="1" x14ac:dyDescent="0.2"/>
    <row r="10909" ht="15" customHeight="1" x14ac:dyDescent="0.2"/>
    <row r="10910" ht="15" customHeight="1" x14ac:dyDescent="0.2"/>
    <row r="10911" ht="15" customHeight="1" x14ac:dyDescent="0.2"/>
    <row r="10912" ht="15" customHeight="1" x14ac:dyDescent="0.2"/>
    <row r="10913" ht="15" customHeight="1" x14ac:dyDescent="0.2"/>
    <row r="10914" ht="15" customHeight="1" x14ac:dyDescent="0.2"/>
    <row r="10915" ht="15" customHeight="1" x14ac:dyDescent="0.2"/>
    <row r="10916" ht="15" customHeight="1" x14ac:dyDescent="0.2"/>
    <row r="10917" ht="15" customHeight="1" x14ac:dyDescent="0.2"/>
    <row r="10918" ht="15" customHeight="1" x14ac:dyDescent="0.2"/>
    <row r="10919" ht="15" customHeight="1" x14ac:dyDescent="0.2"/>
    <row r="10920" ht="15" customHeight="1" x14ac:dyDescent="0.2"/>
    <row r="10921" ht="15" customHeight="1" x14ac:dyDescent="0.2"/>
    <row r="10922" ht="15" customHeight="1" x14ac:dyDescent="0.2"/>
    <row r="10923" ht="15" customHeight="1" x14ac:dyDescent="0.2"/>
    <row r="10924" ht="15" customHeight="1" x14ac:dyDescent="0.2"/>
    <row r="10925" ht="15" customHeight="1" x14ac:dyDescent="0.2"/>
    <row r="10926" ht="15" customHeight="1" x14ac:dyDescent="0.2"/>
    <row r="10927" ht="15" customHeight="1" x14ac:dyDescent="0.2"/>
    <row r="10928" ht="15" customHeight="1" x14ac:dyDescent="0.2"/>
    <row r="10929" ht="15" customHeight="1" x14ac:dyDescent="0.2"/>
    <row r="10930" ht="15" customHeight="1" x14ac:dyDescent="0.2"/>
    <row r="10931" ht="15" customHeight="1" x14ac:dyDescent="0.2"/>
    <row r="10932" ht="15" customHeight="1" x14ac:dyDescent="0.2"/>
    <row r="10933" ht="15" customHeight="1" x14ac:dyDescent="0.2"/>
    <row r="10934" ht="15" customHeight="1" x14ac:dyDescent="0.2"/>
    <row r="10935" ht="15" customHeight="1" x14ac:dyDescent="0.2"/>
    <row r="10936" ht="15" customHeight="1" x14ac:dyDescent="0.2"/>
    <row r="10937" ht="15" customHeight="1" x14ac:dyDescent="0.2"/>
    <row r="10938" ht="15" customHeight="1" x14ac:dyDescent="0.2"/>
    <row r="10939" ht="15" customHeight="1" x14ac:dyDescent="0.2"/>
    <row r="10940" ht="15" customHeight="1" x14ac:dyDescent="0.2"/>
    <row r="10941" ht="15" customHeight="1" x14ac:dyDescent="0.2"/>
    <row r="10942" ht="15" customHeight="1" x14ac:dyDescent="0.2"/>
    <row r="10943" ht="15" customHeight="1" x14ac:dyDescent="0.2"/>
    <row r="10944" ht="15" customHeight="1" x14ac:dyDescent="0.2"/>
    <row r="10945" ht="15" customHeight="1" x14ac:dyDescent="0.2"/>
    <row r="10946" ht="15" customHeight="1" x14ac:dyDescent="0.2"/>
    <row r="10947" ht="15" customHeight="1" x14ac:dyDescent="0.2"/>
    <row r="10948" ht="15" customHeight="1" x14ac:dyDescent="0.2"/>
    <row r="10949" ht="15" customHeight="1" x14ac:dyDescent="0.2"/>
    <row r="10950" ht="15" customHeight="1" x14ac:dyDescent="0.2"/>
    <row r="10951" ht="15" customHeight="1" x14ac:dyDescent="0.2"/>
    <row r="10952" ht="15" customHeight="1" x14ac:dyDescent="0.2"/>
    <row r="10953" ht="15" customHeight="1" x14ac:dyDescent="0.2"/>
    <row r="10954" ht="15" customHeight="1" x14ac:dyDescent="0.2"/>
    <row r="10955" ht="15" customHeight="1" x14ac:dyDescent="0.2"/>
    <row r="10956" ht="15" customHeight="1" x14ac:dyDescent="0.2"/>
    <row r="10957" ht="15" customHeight="1" x14ac:dyDescent="0.2"/>
    <row r="10958" ht="15" customHeight="1" x14ac:dyDescent="0.2"/>
    <row r="10959" ht="15" customHeight="1" x14ac:dyDescent="0.2"/>
    <row r="10960" ht="15" customHeight="1" x14ac:dyDescent="0.2"/>
    <row r="10961" ht="15" customHeight="1" x14ac:dyDescent="0.2"/>
    <row r="10962" ht="15" customHeight="1" x14ac:dyDescent="0.2"/>
    <row r="10963" ht="15" customHeight="1" x14ac:dyDescent="0.2"/>
    <row r="10964" ht="15" customHeight="1" x14ac:dyDescent="0.2"/>
    <row r="10965" ht="15" customHeight="1" x14ac:dyDescent="0.2"/>
    <row r="10966" ht="15" customHeight="1" x14ac:dyDescent="0.2"/>
    <row r="10967" ht="15" customHeight="1" x14ac:dyDescent="0.2"/>
    <row r="10968" ht="15" customHeight="1" x14ac:dyDescent="0.2"/>
    <row r="10969" ht="15" customHeight="1" x14ac:dyDescent="0.2"/>
    <row r="10970" ht="15" customHeight="1" x14ac:dyDescent="0.2"/>
    <row r="10971" ht="15" customHeight="1" x14ac:dyDescent="0.2"/>
    <row r="10972" ht="15" customHeight="1" x14ac:dyDescent="0.2"/>
    <row r="10973" ht="15" customHeight="1" x14ac:dyDescent="0.2"/>
    <row r="10974" ht="15" customHeight="1" x14ac:dyDescent="0.2"/>
    <row r="10975" ht="15" customHeight="1" x14ac:dyDescent="0.2"/>
    <row r="10976" ht="15" customHeight="1" x14ac:dyDescent="0.2"/>
    <row r="10977" ht="15" customHeight="1" x14ac:dyDescent="0.2"/>
    <row r="10978" ht="15" customHeight="1" x14ac:dyDescent="0.2"/>
    <row r="10979" ht="15" customHeight="1" x14ac:dyDescent="0.2"/>
    <row r="10980" ht="15" customHeight="1" x14ac:dyDescent="0.2"/>
    <row r="10981" ht="15" customHeight="1" x14ac:dyDescent="0.2"/>
    <row r="10982" ht="15" customHeight="1" x14ac:dyDescent="0.2"/>
    <row r="10983" ht="15" customHeight="1" x14ac:dyDescent="0.2"/>
    <row r="10984" ht="15" customHeight="1" x14ac:dyDescent="0.2"/>
    <row r="10985" ht="15" customHeight="1" x14ac:dyDescent="0.2"/>
    <row r="10986" ht="15" customHeight="1" x14ac:dyDescent="0.2"/>
    <row r="10987" ht="15" customHeight="1" x14ac:dyDescent="0.2"/>
    <row r="10988" ht="15" customHeight="1" x14ac:dyDescent="0.2"/>
    <row r="10989" ht="15" customHeight="1" x14ac:dyDescent="0.2"/>
    <row r="10990" ht="15" customHeight="1" x14ac:dyDescent="0.2"/>
    <row r="10991" ht="15" customHeight="1" x14ac:dyDescent="0.2"/>
    <row r="10992" ht="15" customHeight="1" x14ac:dyDescent="0.2"/>
    <row r="10993" ht="15" customHeight="1" x14ac:dyDescent="0.2"/>
    <row r="10994" ht="15" customHeight="1" x14ac:dyDescent="0.2"/>
    <row r="10995" ht="15" customHeight="1" x14ac:dyDescent="0.2"/>
    <row r="10996" ht="15" customHeight="1" x14ac:dyDescent="0.2"/>
    <row r="10997" ht="15" customHeight="1" x14ac:dyDescent="0.2"/>
    <row r="10998" ht="15" customHeight="1" x14ac:dyDescent="0.2"/>
    <row r="10999" ht="15" customHeight="1" x14ac:dyDescent="0.2"/>
    <row r="11000" ht="15" customHeight="1" x14ac:dyDescent="0.2"/>
    <row r="11001" ht="15" customHeight="1" x14ac:dyDescent="0.2"/>
    <row r="11002" ht="15" customHeight="1" x14ac:dyDescent="0.2"/>
    <row r="11003" ht="15" customHeight="1" x14ac:dyDescent="0.2"/>
    <row r="11004" ht="15" customHeight="1" x14ac:dyDescent="0.2"/>
    <row r="11005" ht="15" customHeight="1" x14ac:dyDescent="0.2"/>
    <row r="11006" ht="15" customHeight="1" x14ac:dyDescent="0.2"/>
    <row r="11007" ht="15" customHeight="1" x14ac:dyDescent="0.2"/>
    <row r="11008" ht="15" customHeight="1" x14ac:dyDescent="0.2"/>
    <row r="11009" ht="15" customHeight="1" x14ac:dyDescent="0.2"/>
    <row r="11010" ht="15" customHeight="1" x14ac:dyDescent="0.2"/>
    <row r="11011" ht="15" customHeight="1" x14ac:dyDescent="0.2"/>
    <row r="11012" ht="15" customHeight="1" x14ac:dyDescent="0.2"/>
    <row r="11013" ht="15" customHeight="1" x14ac:dyDescent="0.2"/>
    <row r="11014" ht="15" customHeight="1" x14ac:dyDescent="0.2"/>
    <row r="11015" ht="15" customHeight="1" x14ac:dyDescent="0.2"/>
    <row r="11016" ht="15" customHeight="1" x14ac:dyDescent="0.2"/>
    <row r="11017" ht="15" customHeight="1" x14ac:dyDescent="0.2"/>
    <row r="11018" ht="15" customHeight="1" x14ac:dyDescent="0.2"/>
    <row r="11019" ht="15" customHeight="1" x14ac:dyDescent="0.2"/>
    <row r="11020" ht="15" customHeight="1" x14ac:dyDescent="0.2"/>
    <row r="11021" ht="15" customHeight="1" x14ac:dyDescent="0.2"/>
    <row r="11022" ht="15" customHeight="1" x14ac:dyDescent="0.2"/>
    <row r="11023" ht="15" customHeight="1" x14ac:dyDescent="0.2"/>
    <row r="11024" ht="15" customHeight="1" x14ac:dyDescent="0.2"/>
    <row r="11025" ht="15" customHeight="1" x14ac:dyDescent="0.2"/>
    <row r="11026" ht="15" customHeight="1" x14ac:dyDescent="0.2"/>
    <row r="11027" ht="15" customHeight="1" x14ac:dyDescent="0.2"/>
    <row r="11028" ht="15" customHeight="1" x14ac:dyDescent="0.2"/>
    <row r="11029" ht="15" customHeight="1" x14ac:dyDescent="0.2"/>
    <row r="11030" ht="15" customHeight="1" x14ac:dyDescent="0.2"/>
    <row r="11031" ht="15" customHeight="1" x14ac:dyDescent="0.2"/>
    <row r="11032" ht="15" customHeight="1" x14ac:dyDescent="0.2"/>
    <row r="11033" ht="15" customHeight="1" x14ac:dyDescent="0.2"/>
    <row r="11034" ht="15" customHeight="1" x14ac:dyDescent="0.2"/>
    <row r="11035" ht="15" customHeight="1" x14ac:dyDescent="0.2"/>
    <row r="11036" ht="15" customHeight="1" x14ac:dyDescent="0.2"/>
    <row r="11037" ht="15" customHeight="1" x14ac:dyDescent="0.2"/>
    <row r="11038" ht="15" customHeight="1" x14ac:dyDescent="0.2"/>
    <row r="11039" ht="15" customHeight="1" x14ac:dyDescent="0.2"/>
    <row r="11040" ht="15" customHeight="1" x14ac:dyDescent="0.2"/>
    <row r="11041" ht="15" customHeight="1" x14ac:dyDescent="0.2"/>
    <row r="11042" ht="15" customHeight="1" x14ac:dyDescent="0.2"/>
    <row r="11043" ht="15" customHeight="1" x14ac:dyDescent="0.2"/>
    <row r="11044" ht="15" customHeight="1" x14ac:dyDescent="0.2"/>
    <row r="11045" ht="15" customHeight="1" x14ac:dyDescent="0.2"/>
    <row r="11046" ht="15" customHeight="1" x14ac:dyDescent="0.2"/>
    <row r="11047" ht="15" customHeight="1" x14ac:dyDescent="0.2"/>
    <row r="11048" ht="15" customHeight="1" x14ac:dyDescent="0.2"/>
    <row r="11049" ht="15" customHeight="1" x14ac:dyDescent="0.2"/>
    <row r="11050" ht="15" customHeight="1" x14ac:dyDescent="0.2"/>
    <row r="11051" ht="15" customHeight="1" x14ac:dyDescent="0.2"/>
    <row r="11052" ht="15" customHeight="1" x14ac:dyDescent="0.2"/>
    <row r="11053" ht="15" customHeight="1" x14ac:dyDescent="0.2"/>
    <row r="11054" ht="15" customHeight="1" x14ac:dyDescent="0.2"/>
    <row r="11055" ht="15" customHeight="1" x14ac:dyDescent="0.2"/>
    <row r="11056" ht="15" customHeight="1" x14ac:dyDescent="0.2"/>
    <row r="11057" ht="15" customHeight="1" x14ac:dyDescent="0.2"/>
    <row r="11058" ht="15" customHeight="1" x14ac:dyDescent="0.2"/>
    <row r="11059" ht="15" customHeight="1" x14ac:dyDescent="0.2"/>
    <row r="11060" ht="15" customHeight="1" x14ac:dyDescent="0.2"/>
    <row r="11061" ht="15" customHeight="1" x14ac:dyDescent="0.2"/>
    <row r="11062" ht="15" customHeight="1" x14ac:dyDescent="0.2"/>
    <row r="11063" ht="15" customHeight="1" x14ac:dyDescent="0.2"/>
    <row r="11064" ht="15" customHeight="1" x14ac:dyDescent="0.2"/>
    <row r="11065" ht="15" customHeight="1" x14ac:dyDescent="0.2"/>
    <row r="11066" ht="15" customHeight="1" x14ac:dyDescent="0.2"/>
    <row r="11067" ht="15" customHeight="1" x14ac:dyDescent="0.2"/>
    <row r="11068" ht="15" customHeight="1" x14ac:dyDescent="0.2"/>
    <row r="11069" ht="15" customHeight="1" x14ac:dyDescent="0.2"/>
    <row r="11070" ht="15" customHeight="1" x14ac:dyDescent="0.2"/>
    <row r="11071" ht="15" customHeight="1" x14ac:dyDescent="0.2"/>
    <row r="11072" ht="15" customHeight="1" x14ac:dyDescent="0.2"/>
    <row r="11073" ht="15" customHeight="1" x14ac:dyDescent="0.2"/>
    <row r="11074" ht="15" customHeight="1" x14ac:dyDescent="0.2"/>
    <row r="11075" ht="15" customHeight="1" x14ac:dyDescent="0.2"/>
    <row r="11076" ht="15" customHeight="1" x14ac:dyDescent="0.2"/>
    <row r="11077" ht="15" customHeight="1" x14ac:dyDescent="0.2"/>
    <row r="11078" ht="15" customHeight="1" x14ac:dyDescent="0.2"/>
    <row r="11079" ht="15" customHeight="1" x14ac:dyDescent="0.2"/>
    <row r="11080" ht="15" customHeight="1" x14ac:dyDescent="0.2"/>
    <row r="11081" ht="15" customHeight="1" x14ac:dyDescent="0.2"/>
    <row r="11082" ht="15" customHeight="1" x14ac:dyDescent="0.2"/>
    <row r="11083" ht="15" customHeight="1" x14ac:dyDescent="0.2"/>
    <row r="11084" ht="15" customHeight="1" x14ac:dyDescent="0.2"/>
    <row r="11085" ht="15" customHeight="1" x14ac:dyDescent="0.2"/>
    <row r="11086" ht="15" customHeight="1" x14ac:dyDescent="0.2"/>
    <row r="11087" ht="15" customHeight="1" x14ac:dyDescent="0.2"/>
    <row r="11088" ht="15" customHeight="1" x14ac:dyDescent="0.2"/>
    <row r="11089" ht="15" customHeight="1" x14ac:dyDescent="0.2"/>
    <row r="11090" ht="15" customHeight="1" x14ac:dyDescent="0.2"/>
    <row r="11091" ht="15" customHeight="1" x14ac:dyDescent="0.2"/>
    <row r="11092" ht="15" customHeight="1" x14ac:dyDescent="0.2"/>
    <row r="11093" ht="15" customHeight="1" x14ac:dyDescent="0.2"/>
    <row r="11094" ht="15" customHeight="1" x14ac:dyDescent="0.2"/>
    <row r="11095" ht="15" customHeight="1" x14ac:dyDescent="0.2"/>
    <row r="11096" ht="15" customHeight="1" x14ac:dyDescent="0.2"/>
    <row r="11097" ht="15" customHeight="1" x14ac:dyDescent="0.2"/>
    <row r="11098" ht="15" customHeight="1" x14ac:dyDescent="0.2"/>
    <row r="11099" ht="15" customHeight="1" x14ac:dyDescent="0.2"/>
    <row r="11100" ht="15" customHeight="1" x14ac:dyDescent="0.2"/>
    <row r="11101" ht="15" customHeight="1" x14ac:dyDescent="0.2"/>
    <row r="11102" ht="15" customHeight="1" x14ac:dyDescent="0.2"/>
    <row r="11103" ht="15" customHeight="1" x14ac:dyDescent="0.2"/>
    <row r="11104" ht="15" customHeight="1" x14ac:dyDescent="0.2"/>
    <row r="11105" ht="15" customHeight="1" x14ac:dyDescent="0.2"/>
    <row r="11106" ht="15" customHeight="1" x14ac:dyDescent="0.2"/>
    <row r="11107" ht="15" customHeight="1" x14ac:dyDescent="0.2"/>
    <row r="11108" ht="15" customHeight="1" x14ac:dyDescent="0.2"/>
    <row r="11109" ht="15" customHeight="1" x14ac:dyDescent="0.2"/>
    <row r="11110" ht="15" customHeight="1" x14ac:dyDescent="0.2"/>
    <row r="11111" ht="15" customHeight="1" x14ac:dyDescent="0.2"/>
    <row r="11112" ht="15" customHeight="1" x14ac:dyDescent="0.2"/>
    <row r="11113" ht="15" customHeight="1" x14ac:dyDescent="0.2"/>
    <row r="11114" ht="15" customHeight="1" x14ac:dyDescent="0.2"/>
    <row r="11115" ht="15" customHeight="1" x14ac:dyDescent="0.2"/>
    <row r="11116" ht="15" customHeight="1" x14ac:dyDescent="0.2"/>
    <row r="11117" ht="15" customHeight="1" x14ac:dyDescent="0.2"/>
    <row r="11118" ht="15" customHeight="1" x14ac:dyDescent="0.2"/>
    <row r="11119" ht="15" customHeight="1" x14ac:dyDescent="0.2"/>
    <row r="11120" ht="15" customHeight="1" x14ac:dyDescent="0.2"/>
    <row r="11121" ht="15" customHeight="1" x14ac:dyDescent="0.2"/>
    <row r="11122" ht="15" customHeight="1" x14ac:dyDescent="0.2"/>
    <row r="11123" ht="15" customHeight="1" x14ac:dyDescent="0.2"/>
    <row r="11124" ht="15" customHeight="1" x14ac:dyDescent="0.2"/>
    <row r="11125" ht="15" customHeight="1" x14ac:dyDescent="0.2"/>
    <row r="11126" ht="15" customHeight="1" x14ac:dyDescent="0.2"/>
    <row r="11127" ht="15" customHeight="1" x14ac:dyDescent="0.2"/>
    <row r="11128" ht="15" customHeight="1" x14ac:dyDescent="0.2"/>
    <row r="11129" ht="15" customHeight="1" x14ac:dyDescent="0.2"/>
    <row r="11130" ht="15" customHeight="1" x14ac:dyDescent="0.2"/>
    <row r="11131" ht="15" customHeight="1" x14ac:dyDescent="0.2"/>
    <row r="11132" ht="15" customHeight="1" x14ac:dyDescent="0.2"/>
    <row r="11133" ht="15" customHeight="1" x14ac:dyDescent="0.2"/>
    <row r="11134" ht="15" customHeight="1" x14ac:dyDescent="0.2"/>
    <row r="11135" ht="15" customHeight="1" x14ac:dyDescent="0.2"/>
    <row r="11136" ht="15" customHeight="1" x14ac:dyDescent="0.2"/>
    <row r="11137" ht="15" customHeight="1" x14ac:dyDescent="0.2"/>
    <row r="11138" ht="15" customHeight="1" x14ac:dyDescent="0.2"/>
    <row r="11139" ht="15" customHeight="1" x14ac:dyDescent="0.2"/>
    <row r="11140" ht="15" customHeight="1" x14ac:dyDescent="0.2"/>
    <row r="11141" ht="15" customHeight="1" x14ac:dyDescent="0.2"/>
    <row r="11142" ht="15" customHeight="1" x14ac:dyDescent="0.2"/>
    <row r="11143" ht="15" customHeight="1" x14ac:dyDescent="0.2"/>
    <row r="11144" ht="15" customHeight="1" x14ac:dyDescent="0.2"/>
    <row r="11145" ht="15" customHeight="1" x14ac:dyDescent="0.2"/>
    <row r="11146" ht="15" customHeight="1" x14ac:dyDescent="0.2"/>
    <row r="11147" ht="15" customHeight="1" x14ac:dyDescent="0.2"/>
    <row r="11148" ht="15" customHeight="1" x14ac:dyDescent="0.2"/>
    <row r="11149" ht="15" customHeight="1" x14ac:dyDescent="0.2"/>
    <row r="11150" ht="15" customHeight="1" x14ac:dyDescent="0.2"/>
    <row r="11151" ht="15" customHeight="1" x14ac:dyDescent="0.2"/>
    <row r="11152" ht="15" customHeight="1" x14ac:dyDescent="0.2"/>
    <row r="11153" ht="15" customHeight="1" x14ac:dyDescent="0.2"/>
    <row r="11154" ht="15" customHeight="1" x14ac:dyDescent="0.2"/>
    <row r="11155" ht="15" customHeight="1" x14ac:dyDescent="0.2"/>
    <row r="11156" ht="15" customHeight="1" x14ac:dyDescent="0.2"/>
    <row r="11157" ht="15" customHeight="1" x14ac:dyDescent="0.2"/>
    <row r="11158" ht="15" customHeight="1" x14ac:dyDescent="0.2"/>
    <row r="11159" ht="15" customHeight="1" x14ac:dyDescent="0.2"/>
    <row r="11160" ht="15" customHeight="1" x14ac:dyDescent="0.2"/>
    <row r="11161" ht="15" customHeight="1" x14ac:dyDescent="0.2"/>
    <row r="11162" ht="15" customHeight="1" x14ac:dyDescent="0.2"/>
    <row r="11163" ht="15" customHeight="1" x14ac:dyDescent="0.2"/>
    <row r="11164" ht="15" customHeight="1" x14ac:dyDescent="0.2"/>
    <row r="11165" ht="15" customHeight="1" x14ac:dyDescent="0.2"/>
    <row r="11166" ht="15" customHeight="1" x14ac:dyDescent="0.2"/>
    <row r="11167" ht="15" customHeight="1" x14ac:dyDescent="0.2"/>
    <row r="11168" ht="15" customHeight="1" x14ac:dyDescent="0.2"/>
    <row r="11169" ht="15" customHeight="1" x14ac:dyDescent="0.2"/>
    <row r="11170" ht="15" customHeight="1" x14ac:dyDescent="0.2"/>
    <row r="11171" ht="15" customHeight="1" x14ac:dyDescent="0.2"/>
    <row r="11172" ht="15" customHeight="1" x14ac:dyDescent="0.2"/>
    <row r="11173" ht="15" customHeight="1" x14ac:dyDescent="0.2"/>
    <row r="11174" ht="15" customHeight="1" x14ac:dyDescent="0.2"/>
    <row r="11175" ht="15" customHeight="1" x14ac:dyDescent="0.2"/>
    <row r="11176" ht="15" customHeight="1" x14ac:dyDescent="0.2"/>
    <row r="11177" ht="15" customHeight="1" x14ac:dyDescent="0.2"/>
    <row r="11178" ht="15" customHeight="1" x14ac:dyDescent="0.2"/>
    <row r="11179" ht="15" customHeight="1" x14ac:dyDescent="0.2"/>
    <row r="11180" ht="15" customHeight="1" x14ac:dyDescent="0.2"/>
    <row r="11181" ht="15" customHeight="1" x14ac:dyDescent="0.2"/>
    <row r="11182" ht="15" customHeight="1" x14ac:dyDescent="0.2"/>
    <row r="11183" ht="15" customHeight="1" x14ac:dyDescent="0.2"/>
    <row r="11184" ht="15" customHeight="1" x14ac:dyDescent="0.2"/>
    <row r="11185" ht="15" customHeight="1" x14ac:dyDescent="0.2"/>
    <row r="11186" ht="15" customHeight="1" x14ac:dyDescent="0.2"/>
    <row r="11187" ht="15" customHeight="1" x14ac:dyDescent="0.2"/>
    <row r="11188" ht="15" customHeight="1" x14ac:dyDescent="0.2"/>
    <row r="11189" ht="15" customHeight="1" x14ac:dyDescent="0.2"/>
    <row r="11190" ht="15" customHeight="1" x14ac:dyDescent="0.2"/>
    <row r="11191" ht="15" customHeight="1" x14ac:dyDescent="0.2"/>
    <row r="11192" ht="15" customHeight="1" x14ac:dyDescent="0.2"/>
    <row r="11193" ht="15" customHeight="1" x14ac:dyDescent="0.2"/>
    <row r="11194" ht="15" customHeight="1" x14ac:dyDescent="0.2"/>
    <row r="11195" ht="15" customHeight="1" x14ac:dyDescent="0.2"/>
    <row r="11196" ht="15" customHeight="1" x14ac:dyDescent="0.2"/>
    <row r="11197" ht="15" customHeight="1" x14ac:dyDescent="0.2"/>
    <row r="11198" ht="15" customHeight="1" x14ac:dyDescent="0.2"/>
    <row r="11199" ht="15" customHeight="1" x14ac:dyDescent="0.2"/>
    <row r="11200" ht="15" customHeight="1" x14ac:dyDescent="0.2"/>
    <row r="11201" ht="15" customHeight="1" x14ac:dyDescent="0.2"/>
    <row r="11202" ht="15" customHeight="1" x14ac:dyDescent="0.2"/>
    <row r="11203" ht="15" customHeight="1" x14ac:dyDescent="0.2"/>
    <row r="11204" ht="15" customHeight="1" x14ac:dyDescent="0.2"/>
    <row r="11205" ht="15" customHeight="1" x14ac:dyDescent="0.2"/>
    <row r="11206" ht="15" customHeight="1" x14ac:dyDescent="0.2"/>
    <row r="11207" ht="15" customHeight="1" x14ac:dyDescent="0.2"/>
    <row r="11208" ht="15" customHeight="1" x14ac:dyDescent="0.2"/>
    <row r="11209" ht="15" customHeight="1" x14ac:dyDescent="0.2"/>
    <row r="11210" ht="15" customHeight="1" x14ac:dyDescent="0.2"/>
    <row r="11211" ht="15" customHeight="1" x14ac:dyDescent="0.2"/>
    <row r="11212" ht="15" customHeight="1" x14ac:dyDescent="0.2"/>
    <row r="11213" ht="15" customHeight="1" x14ac:dyDescent="0.2"/>
    <row r="11214" ht="15" customHeight="1" x14ac:dyDescent="0.2"/>
    <row r="11215" ht="15" customHeight="1" x14ac:dyDescent="0.2"/>
    <row r="11216" ht="15" customHeight="1" x14ac:dyDescent="0.2"/>
    <row r="11217" ht="15" customHeight="1" x14ac:dyDescent="0.2"/>
    <row r="11218" ht="15" customHeight="1" x14ac:dyDescent="0.2"/>
    <row r="11219" ht="15" customHeight="1" x14ac:dyDescent="0.2"/>
    <row r="11220" ht="15" customHeight="1" x14ac:dyDescent="0.2"/>
    <row r="11221" ht="15" customHeight="1" x14ac:dyDescent="0.2"/>
    <row r="11222" ht="15" customHeight="1" x14ac:dyDescent="0.2"/>
    <row r="11223" ht="15" customHeight="1" x14ac:dyDescent="0.2"/>
    <row r="11224" ht="15" customHeight="1" x14ac:dyDescent="0.2"/>
    <row r="11225" ht="15" customHeight="1" x14ac:dyDescent="0.2"/>
    <row r="11226" ht="15" customHeight="1" x14ac:dyDescent="0.2"/>
    <row r="11227" ht="15" customHeight="1" x14ac:dyDescent="0.2"/>
    <row r="11228" ht="15" customHeight="1" x14ac:dyDescent="0.2"/>
    <row r="11229" ht="15" customHeight="1" x14ac:dyDescent="0.2"/>
    <row r="11230" ht="15" customHeight="1" x14ac:dyDescent="0.2"/>
    <row r="11231" ht="15" customHeight="1" x14ac:dyDescent="0.2"/>
    <row r="11232" ht="15" customHeight="1" x14ac:dyDescent="0.2"/>
    <row r="11233" ht="15" customHeight="1" x14ac:dyDescent="0.2"/>
    <row r="11234" ht="15" customHeight="1" x14ac:dyDescent="0.2"/>
    <row r="11235" ht="15" customHeight="1" x14ac:dyDescent="0.2"/>
    <row r="11236" ht="15" customHeight="1" x14ac:dyDescent="0.2"/>
    <row r="11237" ht="15" customHeight="1" x14ac:dyDescent="0.2"/>
    <row r="11238" ht="15" customHeight="1" x14ac:dyDescent="0.2"/>
    <row r="11239" ht="15" customHeight="1" x14ac:dyDescent="0.2"/>
    <row r="11240" ht="15" customHeight="1" x14ac:dyDescent="0.2"/>
    <row r="11241" ht="15" customHeight="1" x14ac:dyDescent="0.2"/>
    <row r="11242" ht="15" customHeight="1" x14ac:dyDescent="0.2"/>
    <row r="11243" ht="15" customHeight="1" x14ac:dyDescent="0.2"/>
    <row r="11244" ht="15" customHeight="1" x14ac:dyDescent="0.2"/>
    <row r="11245" ht="15" customHeight="1" x14ac:dyDescent="0.2"/>
    <row r="11246" ht="15" customHeight="1" x14ac:dyDescent="0.2"/>
    <row r="11247" ht="15" customHeight="1" x14ac:dyDescent="0.2"/>
    <row r="11248" ht="15" customHeight="1" x14ac:dyDescent="0.2"/>
    <row r="11249" ht="15" customHeight="1" x14ac:dyDescent="0.2"/>
    <row r="11250" ht="15" customHeight="1" x14ac:dyDescent="0.2"/>
    <row r="11251" ht="15" customHeight="1" x14ac:dyDescent="0.2"/>
    <row r="11252" ht="15" customHeight="1" x14ac:dyDescent="0.2"/>
    <row r="11253" ht="15" customHeight="1" x14ac:dyDescent="0.2"/>
    <row r="11254" ht="15" customHeight="1" x14ac:dyDescent="0.2"/>
    <row r="11255" ht="15" customHeight="1" x14ac:dyDescent="0.2"/>
    <row r="11256" ht="15" customHeight="1" x14ac:dyDescent="0.2"/>
    <row r="11257" ht="15" customHeight="1" x14ac:dyDescent="0.2"/>
    <row r="11258" ht="15" customHeight="1" x14ac:dyDescent="0.2"/>
    <row r="11259" ht="15" customHeight="1" x14ac:dyDescent="0.2"/>
    <row r="11260" ht="15" customHeight="1" x14ac:dyDescent="0.2"/>
    <row r="11261" ht="15" customHeight="1" x14ac:dyDescent="0.2"/>
    <row r="11262" ht="15" customHeight="1" x14ac:dyDescent="0.2"/>
    <row r="11263" ht="15" customHeight="1" x14ac:dyDescent="0.2"/>
    <row r="11264" ht="15" customHeight="1" x14ac:dyDescent="0.2"/>
    <row r="11265" ht="15" customHeight="1" x14ac:dyDescent="0.2"/>
    <row r="11266" ht="15" customHeight="1" x14ac:dyDescent="0.2"/>
    <row r="11267" ht="15" customHeight="1" x14ac:dyDescent="0.2"/>
    <row r="11268" ht="15" customHeight="1" x14ac:dyDescent="0.2"/>
    <row r="11269" ht="15" customHeight="1" x14ac:dyDescent="0.2"/>
    <row r="11270" ht="15" customHeight="1" x14ac:dyDescent="0.2"/>
    <row r="11271" ht="15" customHeight="1" x14ac:dyDescent="0.2"/>
    <row r="11272" ht="15" customHeight="1" x14ac:dyDescent="0.2"/>
    <row r="11273" ht="15" customHeight="1" x14ac:dyDescent="0.2"/>
    <row r="11274" ht="15" customHeight="1" x14ac:dyDescent="0.2"/>
    <row r="11275" ht="15" customHeight="1" x14ac:dyDescent="0.2"/>
    <row r="11276" ht="15" customHeight="1" x14ac:dyDescent="0.2"/>
    <row r="11277" ht="15" customHeight="1" x14ac:dyDescent="0.2"/>
    <row r="11278" ht="15" customHeight="1" x14ac:dyDescent="0.2"/>
    <row r="11279" ht="15" customHeight="1" x14ac:dyDescent="0.2"/>
    <row r="11280" ht="15" customHeight="1" x14ac:dyDescent="0.2"/>
    <row r="11281" ht="15" customHeight="1" x14ac:dyDescent="0.2"/>
    <row r="11282" ht="15" customHeight="1" x14ac:dyDescent="0.2"/>
    <row r="11283" ht="15" customHeight="1" x14ac:dyDescent="0.2"/>
    <row r="11284" ht="15" customHeight="1" x14ac:dyDescent="0.2"/>
    <row r="11285" ht="15" customHeight="1" x14ac:dyDescent="0.2"/>
    <row r="11286" ht="15" customHeight="1" x14ac:dyDescent="0.2"/>
    <row r="11287" ht="15" customHeight="1" x14ac:dyDescent="0.2"/>
    <row r="11288" ht="15" customHeight="1" x14ac:dyDescent="0.2"/>
    <row r="11289" ht="15" customHeight="1" x14ac:dyDescent="0.2"/>
    <row r="11290" ht="15" customHeight="1" x14ac:dyDescent="0.2"/>
    <row r="11291" ht="15" customHeight="1" x14ac:dyDescent="0.2"/>
    <row r="11292" ht="15" customHeight="1" x14ac:dyDescent="0.2"/>
    <row r="11293" ht="15" customHeight="1" x14ac:dyDescent="0.2"/>
    <row r="11294" ht="15" customHeight="1" x14ac:dyDescent="0.2"/>
    <row r="11295" ht="15" customHeight="1" x14ac:dyDescent="0.2"/>
    <row r="11296" ht="15" customHeight="1" x14ac:dyDescent="0.2"/>
    <row r="11297" ht="15" customHeight="1" x14ac:dyDescent="0.2"/>
    <row r="11298" ht="15" customHeight="1" x14ac:dyDescent="0.2"/>
    <row r="11299" ht="15" customHeight="1" x14ac:dyDescent="0.2"/>
    <row r="11300" ht="15" customHeight="1" x14ac:dyDescent="0.2"/>
    <row r="11301" ht="15" customHeight="1" x14ac:dyDescent="0.2"/>
    <row r="11302" ht="15" customHeight="1" x14ac:dyDescent="0.2"/>
    <row r="11303" ht="15" customHeight="1" x14ac:dyDescent="0.2"/>
    <row r="11304" ht="15" customHeight="1" x14ac:dyDescent="0.2"/>
    <row r="11305" ht="15" customHeight="1" x14ac:dyDescent="0.2"/>
    <row r="11306" ht="15" customHeight="1" x14ac:dyDescent="0.2"/>
    <row r="11307" ht="15" customHeight="1" x14ac:dyDescent="0.2"/>
    <row r="11308" ht="15" customHeight="1" x14ac:dyDescent="0.2"/>
    <row r="11309" ht="15" customHeight="1" x14ac:dyDescent="0.2"/>
    <row r="11310" ht="15" customHeight="1" x14ac:dyDescent="0.2"/>
    <row r="11311" ht="15" customHeight="1" x14ac:dyDescent="0.2"/>
    <row r="11312" ht="15" customHeight="1" x14ac:dyDescent="0.2"/>
    <row r="11313" ht="15" customHeight="1" x14ac:dyDescent="0.2"/>
    <row r="11314" ht="15" customHeight="1" x14ac:dyDescent="0.2"/>
    <row r="11315" ht="15" customHeight="1" x14ac:dyDescent="0.2"/>
    <row r="11316" ht="15" customHeight="1" x14ac:dyDescent="0.2"/>
    <row r="11317" ht="15" customHeight="1" x14ac:dyDescent="0.2"/>
    <row r="11318" ht="15" customHeight="1" x14ac:dyDescent="0.2"/>
    <row r="11319" ht="15" customHeight="1" x14ac:dyDescent="0.2"/>
    <row r="11320" ht="15" customHeight="1" x14ac:dyDescent="0.2"/>
    <row r="11321" ht="15" customHeight="1" x14ac:dyDescent="0.2"/>
    <row r="11322" ht="15" customHeight="1" x14ac:dyDescent="0.2"/>
    <row r="11323" ht="15" customHeight="1" x14ac:dyDescent="0.2"/>
    <row r="11324" ht="15" customHeight="1" x14ac:dyDescent="0.2"/>
    <row r="11325" ht="15" customHeight="1" x14ac:dyDescent="0.2"/>
    <row r="11326" ht="15" customHeight="1" x14ac:dyDescent="0.2"/>
    <row r="11327" ht="15" customHeight="1" x14ac:dyDescent="0.2"/>
    <row r="11328" ht="15" customHeight="1" x14ac:dyDescent="0.2"/>
    <row r="11329" ht="15" customHeight="1" x14ac:dyDescent="0.2"/>
    <row r="11330" ht="15" customHeight="1" x14ac:dyDescent="0.2"/>
    <row r="11331" ht="15" customHeight="1" x14ac:dyDescent="0.2"/>
    <row r="11332" ht="15" customHeight="1" x14ac:dyDescent="0.2"/>
    <row r="11333" ht="15" customHeight="1" x14ac:dyDescent="0.2"/>
    <row r="11334" ht="15" customHeight="1" x14ac:dyDescent="0.2"/>
    <row r="11335" ht="15" customHeight="1" x14ac:dyDescent="0.2"/>
    <row r="11336" ht="15" customHeight="1" x14ac:dyDescent="0.2"/>
    <row r="11337" ht="15" customHeight="1" x14ac:dyDescent="0.2"/>
    <row r="11338" ht="15" customHeight="1" x14ac:dyDescent="0.2"/>
    <row r="11339" ht="15" customHeight="1" x14ac:dyDescent="0.2"/>
    <row r="11340" ht="15" customHeight="1" x14ac:dyDescent="0.2"/>
    <row r="11341" ht="15" customHeight="1" x14ac:dyDescent="0.2"/>
    <row r="11342" ht="15" customHeight="1" x14ac:dyDescent="0.2"/>
    <row r="11343" ht="15" customHeight="1" x14ac:dyDescent="0.2"/>
    <row r="11344" ht="15" customHeight="1" x14ac:dyDescent="0.2"/>
    <row r="11345" ht="15" customHeight="1" x14ac:dyDescent="0.2"/>
    <row r="11346" ht="15" customHeight="1" x14ac:dyDescent="0.2"/>
    <row r="11347" ht="15" customHeight="1" x14ac:dyDescent="0.2"/>
    <row r="11348" ht="15" customHeight="1" x14ac:dyDescent="0.2"/>
    <row r="11349" ht="15" customHeight="1" x14ac:dyDescent="0.2"/>
    <row r="11350" ht="15" customHeight="1" x14ac:dyDescent="0.2"/>
    <row r="11351" ht="15" customHeight="1" x14ac:dyDescent="0.2"/>
    <row r="11352" ht="15" customHeight="1" x14ac:dyDescent="0.2"/>
    <row r="11353" ht="15" customHeight="1" x14ac:dyDescent="0.2"/>
    <row r="11354" ht="15" customHeight="1" x14ac:dyDescent="0.2"/>
    <row r="11355" ht="15" customHeight="1" x14ac:dyDescent="0.2"/>
    <row r="11356" ht="15" customHeight="1" x14ac:dyDescent="0.2"/>
    <row r="11357" ht="15" customHeight="1" x14ac:dyDescent="0.2"/>
    <row r="11358" ht="15" customHeight="1" x14ac:dyDescent="0.2"/>
    <row r="11359" ht="15" customHeight="1" x14ac:dyDescent="0.2"/>
    <row r="11360" ht="15" customHeight="1" x14ac:dyDescent="0.2"/>
    <row r="11361" ht="15" customHeight="1" x14ac:dyDescent="0.2"/>
    <row r="11362" ht="15" customHeight="1" x14ac:dyDescent="0.2"/>
    <row r="11363" ht="15" customHeight="1" x14ac:dyDescent="0.2"/>
    <row r="11364" ht="15" customHeight="1" x14ac:dyDescent="0.2"/>
    <row r="11365" ht="15" customHeight="1" x14ac:dyDescent="0.2"/>
    <row r="11366" ht="15" customHeight="1" x14ac:dyDescent="0.2"/>
    <row r="11367" ht="15" customHeight="1" x14ac:dyDescent="0.2"/>
    <row r="11368" ht="15" customHeight="1" x14ac:dyDescent="0.2"/>
    <row r="11369" ht="15" customHeight="1" x14ac:dyDescent="0.2"/>
    <row r="11370" ht="15" customHeight="1" x14ac:dyDescent="0.2"/>
    <row r="11371" ht="15" customHeight="1" x14ac:dyDescent="0.2"/>
    <row r="11372" ht="15" customHeight="1" x14ac:dyDescent="0.2"/>
    <row r="11373" ht="15" customHeight="1" x14ac:dyDescent="0.2"/>
    <row r="11374" ht="15" customHeight="1" x14ac:dyDescent="0.2"/>
    <row r="11375" ht="15" customHeight="1" x14ac:dyDescent="0.2"/>
    <row r="11376" ht="15" customHeight="1" x14ac:dyDescent="0.2"/>
    <row r="11377" ht="15" customHeight="1" x14ac:dyDescent="0.2"/>
    <row r="11378" ht="15" customHeight="1" x14ac:dyDescent="0.2"/>
    <row r="11379" ht="15" customHeight="1" x14ac:dyDescent="0.2"/>
    <row r="11380" ht="15" customHeight="1" x14ac:dyDescent="0.2"/>
    <row r="11381" ht="15" customHeight="1" x14ac:dyDescent="0.2"/>
    <row r="11382" ht="15" customHeight="1" x14ac:dyDescent="0.2"/>
    <row r="11383" ht="15" customHeight="1" x14ac:dyDescent="0.2"/>
    <row r="11384" ht="15" customHeight="1" x14ac:dyDescent="0.2"/>
    <row r="11385" ht="15" customHeight="1" x14ac:dyDescent="0.2"/>
    <row r="11386" ht="15" customHeight="1" x14ac:dyDescent="0.2"/>
    <row r="11387" ht="15" customHeight="1" x14ac:dyDescent="0.2"/>
    <row r="11388" ht="15" customHeight="1" x14ac:dyDescent="0.2"/>
    <row r="11389" ht="15" customHeight="1" x14ac:dyDescent="0.2"/>
    <row r="11390" ht="15" customHeight="1" x14ac:dyDescent="0.2"/>
    <row r="11391" ht="15" customHeight="1" x14ac:dyDescent="0.2"/>
    <row r="11392" ht="15" customHeight="1" x14ac:dyDescent="0.2"/>
    <row r="11393" ht="15" customHeight="1" x14ac:dyDescent="0.2"/>
    <row r="11394" ht="15" customHeight="1" x14ac:dyDescent="0.2"/>
    <row r="11395" ht="15" customHeight="1" x14ac:dyDescent="0.2"/>
    <row r="11396" ht="15" customHeight="1" x14ac:dyDescent="0.2"/>
    <row r="11397" ht="15" customHeight="1" x14ac:dyDescent="0.2"/>
    <row r="11398" ht="15" customHeight="1" x14ac:dyDescent="0.2"/>
    <row r="11399" ht="15" customHeight="1" x14ac:dyDescent="0.2"/>
    <row r="11400" ht="15" customHeight="1" x14ac:dyDescent="0.2"/>
    <row r="11401" ht="15" customHeight="1" x14ac:dyDescent="0.2"/>
    <row r="11402" ht="15" customHeight="1" x14ac:dyDescent="0.2"/>
    <row r="11403" ht="15" customHeight="1" x14ac:dyDescent="0.2"/>
    <row r="11404" ht="15" customHeight="1" x14ac:dyDescent="0.2"/>
    <row r="11405" ht="15" customHeight="1" x14ac:dyDescent="0.2"/>
    <row r="11406" ht="15" customHeight="1" x14ac:dyDescent="0.2"/>
    <row r="11407" ht="15" customHeight="1" x14ac:dyDescent="0.2"/>
    <row r="11408" ht="15" customHeight="1" x14ac:dyDescent="0.2"/>
    <row r="11409" ht="15" customHeight="1" x14ac:dyDescent="0.2"/>
    <row r="11410" ht="15" customHeight="1" x14ac:dyDescent="0.2"/>
    <row r="11411" ht="15" customHeight="1" x14ac:dyDescent="0.2"/>
    <row r="11412" ht="15" customHeight="1" x14ac:dyDescent="0.2"/>
    <row r="11413" ht="15" customHeight="1" x14ac:dyDescent="0.2"/>
    <row r="11414" ht="15" customHeight="1" x14ac:dyDescent="0.2"/>
    <row r="11415" ht="15" customHeight="1" x14ac:dyDescent="0.2"/>
    <row r="11416" ht="15" customHeight="1" x14ac:dyDescent="0.2"/>
    <row r="11417" ht="15" customHeight="1" x14ac:dyDescent="0.2"/>
    <row r="11418" ht="15" customHeight="1" x14ac:dyDescent="0.2"/>
    <row r="11419" ht="15" customHeight="1" x14ac:dyDescent="0.2"/>
    <row r="11420" ht="15" customHeight="1" x14ac:dyDescent="0.2"/>
    <row r="11421" ht="15" customHeight="1" x14ac:dyDescent="0.2"/>
    <row r="11422" ht="15" customHeight="1" x14ac:dyDescent="0.2"/>
    <row r="11423" ht="15" customHeight="1" x14ac:dyDescent="0.2"/>
    <row r="11424" ht="15" customHeight="1" x14ac:dyDescent="0.2"/>
    <row r="11425" ht="15" customHeight="1" x14ac:dyDescent="0.2"/>
    <row r="11426" ht="15" customHeight="1" x14ac:dyDescent="0.2"/>
    <row r="11427" ht="15" customHeight="1" x14ac:dyDescent="0.2"/>
    <row r="11428" ht="15" customHeight="1" x14ac:dyDescent="0.2"/>
    <row r="11429" ht="15" customHeight="1" x14ac:dyDescent="0.2"/>
    <row r="11430" ht="15" customHeight="1" x14ac:dyDescent="0.2"/>
    <row r="11431" ht="15" customHeight="1" x14ac:dyDescent="0.2"/>
    <row r="11432" ht="15" customHeight="1" x14ac:dyDescent="0.2"/>
    <row r="11433" ht="15" customHeight="1" x14ac:dyDescent="0.2"/>
    <row r="11434" ht="15" customHeight="1" x14ac:dyDescent="0.2"/>
    <row r="11435" ht="15" customHeight="1" x14ac:dyDescent="0.2"/>
    <row r="11436" ht="15" customHeight="1" x14ac:dyDescent="0.2"/>
    <row r="11437" ht="15" customHeight="1" x14ac:dyDescent="0.2"/>
    <row r="11438" ht="15" customHeight="1" x14ac:dyDescent="0.2"/>
    <row r="11439" ht="15" customHeight="1" x14ac:dyDescent="0.2"/>
    <row r="11440" ht="15" customHeight="1" x14ac:dyDescent="0.2"/>
    <row r="11441" ht="15" customHeight="1" x14ac:dyDescent="0.2"/>
    <row r="11442" ht="15" customHeight="1" x14ac:dyDescent="0.2"/>
    <row r="11443" ht="15" customHeight="1" x14ac:dyDescent="0.2"/>
    <row r="11444" ht="15" customHeight="1" x14ac:dyDescent="0.2"/>
    <row r="11445" ht="15" customHeight="1" x14ac:dyDescent="0.2"/>
    <row r="11446" ht="15" customHeight="1" x14ac:dyDescent="0.2"/>
    <row r="11447" ht="15" customHeight="1" x14ac:dyDescent="0.2"/>
    <row r="11448" ht="15" customHeight="1" x14ac:dyDescent="0.2"/>
    <row r="11449" ht="15" customHeight="1" x14ac:dyDescent="0.2"/>
    <row r="11450" ht="15" customHeight="1" x14ac:dyDescent="0.2"/>
    <row r="11451" ht="15" customHeight="1" x14ac:dyDescent="0.2"/>
    <row r="11452" ht="15" customHeight="1" x14ac:dyDescent="0.2"/>
    <row r="11453" ht="15" customHeight="1" x14ac:dyDescent="0.2"/>
    <row r="11454" ht="15" customHeight="1" x14ac:dyDescent="0.2"/>
    <row r="11455" ht="15" customHeight="1" x14ac:dyDescent="0.2"/>
    <row r="11456" ht="15" customHeight="1" x14ac:dyDescent="0.2"/>
    <row r="11457" ht="15" customHeight="1" x14ac:dyDescent="0.2"/>
    <row r="11458" ht="15" customHeight="1" x14ac:dyDescent="0.2"/>
    <row r="11459" ht="15" customHeight="1" x14ac:dyDescent="0.2"/>
    <row r="11460" ht="15" customHeight="1" x14ac:dyDescent="0.2"/>
    <row r="11461" ht="15" customHeight="1" x14ac:dyDescent="0.2"/>
    <row r="11462" ht="15" customHeight="1" x14ac:dyDescent="0.2"/>
    <row r="11463" ht="15" customHeight="1" x14ac:dyDescent="0.2"/>
    <row r="11464" ht="15" customHeight="1" x14ac:dyDescent="0.2"/>
    <row r="11465" ht="15" customHeight="1" x14ac:dyDescent="0.2"/>
    <row r="11466" ht="15" customHeight="1" x14ac:dyDescent="0.2"/>
    <row r="11467" ht="15" customHeight="1" x14ac:dyDescent="0.2"/>
    <row r="11468" ht="15" customHeight="1" x14ac:dyDescent="0.2"/>
    <row r="11469" ht="15" customHeight="1" x14ac:dyDescent="0.2"/>
    <row r="11470" ht="15" customHeight="1" x14ac:dyDescent="0.2"/>
    <row r="11471" ht="15" customHeight="1" x14ac:dyDescent="0.2"/>
    <row r="11472" ht="15" customHeight="1" x14ac:dyDescent="0.2"/>
    <row r="11473" ht="15" customHeight="1" x14ac:dyDescent="0.2"/>
    <row r="11474" ht="15" customHeight="1" x14ac:dyDescent="0.2"/>
    <row r="11475" ht="15" customHeight="1" x14ac:dyDescent="0.2"/>
    <row r="11476" ht="15" customHeight="1" x14ac:dyDescent="0.2"/>
    <row r="11477" ht="15" customHeight="1" x14ac:dyDescent="0.2"/>
    <row r="11478" ht="15" customHeight="1" x14ac:dyDescent="0.2"/>
    <row r="11479" ht="15" customHeight="1" x14ac:dyDescent="0.2"/>
    <row r="11480" ht="15" customHeight="1" x14ac:dyDescent="0.2"/>
    <row r="11481" ht="15" customHeight="1" x14ac:dyDescent="0.2"/>
    <row r="11482" ht="15" customHeight="1" x14ac:dyDescent="0.2"/>
    <row r="11483" ht="15" customHeight="1" x14ac:dyDescent="0.2"/>
    <row r="11484" ht="15" customHeight="1" x14ac:dyDescent="0.2"/>
    <row r="11485" ht="15" customHeight="1" x14ac:dyDescent="0.2"/>
    <row r="11486" ht="15" customHeight="1" x14ac:dyDescent="0.2"/>
    <row r="11487" ht="15" customHeight="1" x14ac:dyDescent="0.2"/>
    <row r="11488" ht="15" customHeight="1" x14ac:dyDescent="0.2"/>
    <row r="11489" ht="15" customHeight="1" x14ac:dyDescent="0.2"/>
    <row r="11490" ht="15" customHeight="1" x14ac:dyDescent="0.2"/>
    <row r="11491" ht="15" customHeight="1" x14ac:dyDescent="0.2"/>
    <row r="11492" ht="15" customHeight="1" x14ac:dyDescent="0.2"/>
    <row r="11493" ht="15" customHeight="1" x14ac:dyDescent="0.2"/>
    <row r="11494" ht="15" customHeight="1" x14ac:dyDescent="0.2"/>
    <row r="11495" ht="15" customHeight="1" x14ac:dyDescent="0.2"/>
    <row r="11496" ht="15" customHeight="1" x14ac:dyDescent="0.2"/>
    <row r="11497" ht="15" customHeight="1" x14ac:dyDescent="0.2"/>
    <row r="11498" ht="15" customHeight="1" x14ac:dyDescent="0.2"/>
    <row r="11499" ht="15" customHeight="1" x14ac:dyDescent="0.2"/>
    <row r="11500" ht="15" customHeight="1" x14ac:dyDescent="0.2"/>
    <row r="11501" ht="15" customHeight="1" x14ac:dyDescent="0.2"/>
    <row r="11502" ht="15" customHeight="1" x14ac:dyDescent="0.2"/>
    <row r="11503" ht="15" customHeight="1" x14ac:dyDescent="0.2"/>
    <row r="11504" ht="15" customHeight="1" x14ac:dyDescent="0.2"/>
    <row r="11505" ht="15" customHeight="1" x14ac:dyDescent="0.2"/>
    <row r="11506" ht="15" customHeight="1" x14ac:dyDescent="0.2"/>
    <row r="11507" ht="15" customHeight="1" x14ac:dyDescent="0.2"/>
    <row r="11508" ht="15" customHeight="1" x14ac:dyDescent="0.2"/>
    <row r="11509" ht="15" customHeight="1" x14ac:dyDescent="0.2"/>
    <row r="11510" ht="15" customHeight="1" x14ac:dyDescent="0.2"/>
    <row r="11511" ht="15" customHeight="1" x14ac:dyDescent="0.2"/>
    <row r="11512" ht="15" customHeight="1" x14ac:dyDescent="0.2"/>
    <row r="11513" ht="15" customHeight="1" x14ac:dyDescent="0.2"/>
    <row r="11514" ht="15" customHeight="1" x14ac:dyDescent="0.2"/>
    <row r="11515" ht="15" customHeight="1" x14ac:dyDescent="0.2"/>
    <row r="11516" ht="15" customHeight="1" x14ac:dyDescent="0.2"/>
    <row r="11517" ht="15" customHeight="1" x14ac:dyDescent="0.2"/>
    <row r="11518" ht="15" customHeight="1" x14ac:dyDescent="0.2"/>
    <row r="11519" ht="15" customHeight="1" x14ac:dyDescent="0.2"/>
    <row r="11520" ht="15" customHeight="1" x14ac:dyDescent="0.2"/>
    <row r="11521" ht="15" customHeight="1" x14ac:dyDescent="0.2"/>
    <row r="11522" ht="15" customHeight="1" x14ac:dyDescent="0.2"/>
    <row r="11523" ht="15" customHeight="1" x14ac:dyDescent="0.2"/>
    <row r="11524" ht="15" customHeight="1" x14ac:dyDescent="0.2"/>
    <row r="11525" ht="15" customHeight="1" x14ac:dyDescent="0.2"/>
    <row r="11526" ht="15" customHeight="1" x14ac:dyDescent="0.2"/>
    <row r="11527" ht="15" customHeight="1" x14ac:dyDescent="0.2"/>
    <row r="11528" ht="15" customHeight="1" x14ac:dyDescent="0.2"/>
    <row r="11529" ht="15" customHeight="1" x14ac:dyDescent="0.2"/>
    <row r="11530" ht="15" customHeight="1" x14ac:dyDescent="0.2"/>
    <row r="11531" ht="15" customHeight="1" x14ac:dyDescent="0.2"/>
    <row r="11532" ht="15" customHeight="1" x14ac:dyDescent="0.2"/>
    <row r="11533" ht="15" customHeight="1" x14ac:dyDescent="0.2"/>
    <row r="11534" ht="15" customHeight="1" x14ac:dyDescent="0.2"/>
    <row r="11535" ht="15" customHeight="1" x14ac:dyDescent="0.2"/>
    <row r="11536" ht="15" customHeight="1" x14ac:dyDescent="0.2"/>
    <row r="11537" ht="15" customHeight="1" x14ac:dyDescent="0.2"/>
    <row r="11538" ht="15" customHeight="1" x14ac:dyDescent="0.2"/>
    <row r="11539" ht="15" customHeight="1" x14ac:dyDescent="0.2"/>
    <row r="11540" ht="15" customHeight="1" x14ac:dyDescent="0.2"/>
    <row r="11541" ht="15" customHeight="1" x14ac:dyDescent="0.2"/>
    <row r="11542" ht="15" customHeight="1" x14ac:dyDescent="0.2"/>
    <row r="11543" ht="15" customHeight="1" x14ac:dyDescent="0.2"/>
    <row r="11544" ht="15" customHeight="1" x14ac:dyDescent="0.2"/>
    <row r="11545" ht="15" customHeight="1" x14ac:dyDescent="0.2"/>
    <row r="11546" ht="15" customHeight="1" x14ac:dyDescent="0.2"/>
    <row r="11547" ht="15" customHeight="1" x14ac:dyDescent="0.2"/>
    <row r="11548" ht="15" customHeight="1" x14ac:dyDescent="0.2"/>
    <row r="11549" ht="15" customHeight="1" x14ac:dyDescent="0.2"/>
    <row r="11550" ht="15" customHeight="1" x14ac:dyDescent="0.2"/>
    <row r="11551" ht="15" customHeight="1" x14ac:dyDescent="0.2"/>
    <row r="11552" ht="15" customHeight="1" x14ac:dyDescent="0.2"/>
    <row r="11553" ht="15" customHeight="1" x14ac:dyDescent="0.2"/>
    <row r="11554" ht="15" customHeight="1" x14ac:dyDescent="0.2"/>
    <row r="11555" ht="15" customHeight="1" x14ac:dyDescent="0.2"/>
    <row r="11556" ht="15" customHeight="1" x14ac:dyDescent="0.2"/>
    <row r="11557" ht="15" customHeight="1" x14ac:dyDescent="0.2"/>
    <row r="11558" ht="15" customHeight="1" x14ac:dyDescent="0.2"/>
    <row r="11559" ht="15" customHeight="1" x14ac:dyDescent="0.2"/>
    <row r="11560" ht="15" customHeight="1" x14ac:dyDescent="0.2"/>
    <row r="11561" ht="15" customHeight="1" x14ac:dyDescent="0.2"/>
    <row r="11562" ht="15" customHeight="1" x14ac:dyDescent="0.2"/>
    <row r="11563" ht="15" customHeight="1" x14ac:dyDescent="0.2"/>
    <row r="11564" ht="15" customHeight="1" x14ac:dyDescent="0.2"/>
    <row r="11565" ht="15" customHeight="1" x14ac:dyDescent="0.2"/>
    <row r="11566" ht="15" customHeight="1" x14ac:dyDescent="0.2"/>
    <row r="11567" ht="15" customHeight="1" x14ac:dyDescent="0.2"/>
    <row r="11568" ht="15" customHeight="1" x14ac:dyDescent="0.2"/>
    <row r="11569" ht="15" customHeight="1" x14ac:dyDescent="0.2"/>
    <row r="11570" ht="15" customHeight="1" x14ac:dyDescent="0.2"/>
    <row r="11571" ht="15" customHeight="1" x14ac:dyDescent="0.2"/>
    <row r="11572" ht="15" customHeight="1" x14ac:dyDescent="0.2"/>
    <row r="11573" ht="15" customHeight="1" x14ac:dyDescent="0.2"/>
    <row r="11574" ht="15" customHeight="1" x14ac:dyDescent="0.2"/>
    <row r="11575" ht="15" customHeight="1" x14ac:dyDescent="0.2"/>
    <row r="11576" ht="15" customHeight="1" x14ac:dyDescent="0.2"/>
    <row r="11577" ht="15" customHeight="1" x14ac:dyDescent="0.2"/>
    <row r="11578" ht="15" customHeight="1" x14ac:dyDescent="0.2"/>
    <row r="11579" ht="15" customHeight="1" x14ac:dyDescent="0.2"/>
    <row r="11580" ht="15" customHeight="1" x14ac:dyDescent="0.2"/>
    <row r="11581" ht="15" customHeight="1" x14ac:dyDescent="0.2"/>
    <row r="11582" ht="15" customHeight="1" x14ac:dyDescent="0.2"/>
    <row r="11583" ht="15" customHeight="1" x14ac:dyDescent="0.2"/>
    <row r="11584" ht="15" customHeight="1" x14ac:dyDescent="0.2"/>
    <row r="11585" ht="15" customHeight="1" x14ac:dyDescent="0.2"/>
    <row r="11586" ht="15" customHeight="1" x14ac:dyDescent="0.2"/>
    <row r="11587" ht="15" customHeight="1" x14ac:dyDescent="0.2"/>
    <row r="11588" ht="15" customHeight="1" x14ac:dyDescent="0.2"/>
    <row r="11589" ht="15" customHeight="1" x14ac:dyDescent="0.2"/>
    <row r="11590" ht="15" customHeight="1" x14ac:dyDescent="0.2"/>
    <row r="11591" ht="15" customHeight="1" x14ac:dyDescent="0.2"/>
    <row r="11592" ht="15" customHeight="1" x14ac:dyDescent="0.2"/>
    <row r="11593" ht="15" customHeight="1" x14ac:dyDescent="0.2"/>
    <row r="11594" ht="15" customHeight="1" x14ac:dyDescent="0.2"/>
    <row r="11595" ht="15" customHeight="1" x14ac:dyDescent="0.2"/>
    <row r="11596" ht="15" customHeight="1" x14ac:dyDescent="0.2"/>
    <row r="11597" ht="15" customHeight="1" x14ac:dyDescent="0.2"/>
    <row r="11598" ht="15" customHeight="1" x14ac:dyDescent="0.2"/>
    <row r="11599" ht="15" customHeight="1" x14ac:dyDescent="0.2"/>
    <row r="11600" ht="15" customHeight="1" x14ac:dyDescent="0.2"/>
    <row r="11601" ht="15" customHeight="1" x14ac:dyDescent="0.2"/>
    <row r="11602" ht="15" customHeight="1" x14ac:dyDescent="0.2"/>
    <row r="11603" ht="15" customHeight="1" x14ac:dyDescent="0.2"/>
    <row r="11604" ht="15" customHeight="1" x14ac:dyDescent="0.2"/>
    <row r="11605" ht="15" customHeight="1" x14ac:dyDescent="0.2"/>
    <row r="11606" ht="15" customHeight="1" x14ac:dyDescent="0.2"/>
    <row r="11607" ht="15" customHeight="1" x14ac:dyDescent="0.2"/>
    <row r="11608" ht="15" customHeight="1" x14ac:dyDescent="0.2"/>
    <row r="11609" ht="15" customHeight="1" x14ac:dyDescent="0.2"/>
    <row r="11610" ht="15" customHeight="1" x14ac:dyDescent="0.2"/>
    <row r="11611" ht="15" customHeight="1" x14ac:dyDescent="0.2"/>
    <row r="11612" ht="15" customHeight="1" x14ac:dyDescent="0.2"/>
    <row r="11613" ht="15" customHeight="1" x14ac:dyDescent="0.2"/>
    <row r="11614" ht="15" customHeight="1" x14ac:dyDescent="0.2"/>
    <row r="11615" ht="15" customHeight="1" x14ac:dyDescent="0.2"/>
    <row r="11616" ht="15" customHeight="1" x14ac:dyDescent="0.2"/>
    <row r="11617" ht="15" customHeight="1" x14ac:dyDescent="0.2"/>
    <row r="11618" ht="15" customHeight="1" x14ac:dyDescent="0.2"/>
    <row r="11619" ht="15" customHeight="1" x14ac:dyDescent="0.2"/>
    <row r="11620" ht="15" customHeight="1" x14ac:dyDescent="0.2"/>
    <row r="11621" ht="15" customHeight="1" x14ac:dyDescent="0.2"/>
    <row r="11622" ht="15" customHeight="1" x14ac:dyDescent="0.2"/>
    <row r="11623" ht="15" customHeight="1" x14ac:dyDescent="0.2"/>
    <row r="11624" ht="15" customHeight="1" x14ac:dyDescent="0.2"/>
    <row r="11625" ht="15" customHeight="1" x14ac:dyDescent="0.2"/>
    <row r="11626" ht="15" customHeight="1" x14ac:dyDescent="0.2"/>
    <row r="11627" ht="15" customHeight="1" x14ac:dyDescent="0.2"/>
    <row r="11628" ht="15" customHeight="1" x14ac:dyDescent="0.2"/>
    <row r="11629" ht="15" customHeight="1" x14ac:dyDescent="0.2"/>
    <row r="11630" ht="15" customHeight="1" x14ac:dyDescent="0.2"/>
    <row r="11631" ht="15" customHeight="1" x14ac:dyDescent="0.2"/>
    <row r="11632" ht="15" customHeight="1" x14ac:dyDescent="0.2"/>
    <row r="11633" ht="15" customHeight="1" x14ac:dyDescent="0.2"/>
    <row r="11634" ht="15" customHeight="1" x14ac:dyDescent="0.2"/>
    <row r="11635" ht="15" customHeight="1" x14ac:dyDescent="0.2"/>
    <row r="11636" ht="15" customHeight="1" x14ac:dyDescent="0.2"/>
    <row r="11637" ht="15" customHeight="1" x14ac:dyDescent="0.2"/>
    <row r="11638" ht="15" customHeight="1" x14ac:dyDescent="0.2"/>
    <row r="11639" ht="15" customHeight="1" x14ac:dyDescent="0.2"/>
    <row r="11640" ht="15" customHeight="1" x14ac:dyDescent="0.2"/>
    <row r="11641" ht="15" customHeight="1" x14ac:dyDescent="0.2"/>
    <row r="11642" ht="15" customHeight="1" x14ac:dyDescent="0.2"/>
    <row r="11643" ht="15" customHeight="1" x14ac:dyDescent="0.2"/>
    <row r="11644" ht="15" customHeight="1" x14ac:dyDescent="0.2"/>
    <row r="11645" ht="15" customHeight="1" x14ac:dyDescent="0.2"/>
    <row r="11646" ht="15" customHeight="1" x14ac:dyDescent="0.2"/>
    <row r="11647" ht="15" customHeight="1" x14ac:dyDescent="0.2"/>
    <row r="11648" ht="15" customHeight="1" x14ac:dyDescent="0.2"/>
    <row r="11649" ht="15" customHeight="1" x14ac:dyDescent="0.2"/>
    <row r="11650" ht="15" customHeight="1" x14ac:dyDescent="0.2"/>
    <row r="11651" ht="15" customHeight="1" x14ac:dyDescent="0.2"/>
    <row r="11652" ht="15" customHeight="1" x14ac:dyDescent="0.2"/>
    <row r="11653" ht="15" customHeight="1" x14ac:dyDescent="0.2"/>
    <row r="11654" ht="15" customHeight="1" x14ac:dyDescent="0.2"/>
    <row r="11655" ht="15" customHeight="1" x14ac:dyDescent="0.2"/>
    <row r="11656" ht="15" customHeight="1" x14ac:dyDescent="0.2"/>
    <row r="11657" ht="15" customHeight="1" x14ac:dyDescent="0.2"/>
    <row r="11658" ht="15" customHeight="1" x14ac:dyDescent="0.2"/>
    <row r="11659" ht="15" customHeight="1" x14ac:dyDescent="0.2"/>
    <row r="11660" ht="15" customHeight="1" x14ac:dyDescent="0.2"/>
    <row r="11661" ht="15" customHeight="1" x14ac:dyDescent="0.2"/>
    <row r="11662" ht="15" customHeight="1" x14ac:dyDescent="0.2"/>
    <row r="11663" ht="15" customHeight="1" x14ac:dyDescent="0.2"/>
    <row r="11664" ht="15" customHeight="1" x14ac:dyDescent="0.2"/>
    <row r="11665" ht="15" customHeight="1" x14ac:dyDescent="0.2"/>
    <row r="11666" ht="15" customHeight="1" x14ac:dyDescent="0.2"/>
    <row r="11667" ht="15" customHeight="1" x14ac:dyDescent="0.2"/>
    <row r="11668" ht="15" customHeight="1" x14ac:dyDescent="0.2"/>
    <row r="11669" ht="15" customHeight="1" x14ac:dyDescent="0.2"/>
    <row r="11670" ht="15" customHeight="1" x14ac:dyDescent="0.2"/>
    <row r="11671" ht="15" customHeight="1" x14ac:dyDescent="0.2"/>
    <row r="11672" ht="15" customHeight="1" x14ac:dyDescent="0.2"/>
    <row r="11673" ht="15" customHeight="1" x14ac:dyDescent="0.2"/>
    <row r="11674" ht="15" customHeight="1" x14ac:dyDescent="0.2"/>
    <row r="11675" ht="15" customHeight="1" x14ac:dyDescent="0.2"/>
    <row r="11676" ht="15" customHeight="1" x14ac:dyDescent="0.2"/>
    <row r="11677" ht="15" customHeight="1" x14ac:dyDescent="0.2"/>
    <row r="11678" ht="15" customHeight="1" x14ac:dyDescent="0.2"/>
    <row r="11679" ht="15" customHeight="1" x14ac:dyDescent="0.2"/>
    <row r="11680" ht="15" customHeight="1" x14ac:dyDescent="0.2"/>
    <row r="11681" ht="15" customHeight="1" x14ac:dyDescent="0.2"/>
    <row r="11682" ht="15" customHeight="1" x14ac:dyDescent="0.2"/>
    <row r="11683" ht="15" customHeight="1" x14ac:dyDescent="0.2"/>
    <row r="11684" ht="15" customHeight="1" x14ac:dyDescent="0.2"/>
    <row r="11685" ht="15" customHeight="1" x14ac:dyDescent="0.2"/>
    <row r="11686" ht="15" customHeight="1" x14ac:dyDescent="0.2"/>
    <row r="11687" ht="15" customHeight="1" x14ac:dyDescent="0.2"/>
    <row r="11688" ht="15" customHeight="1" x14ac:dyDescent="0.2"/>
    <row r="11689" ht="15" customHeight="1" x14ac:dyDescent="0.2"/>
    <row r="11690" ht="15" customHeight="1" x14ac:dyDescent="0.2"/>
    <row r="11691" ht="15" customHeight="1" x14ac:dyDescent="0.2"/>
    <row r="11692" ht="15" customHeight="1" x14ac:dyDescent="0.2"/>
    <row r="11693" ht="15" customHeight="1" x14ac:dyDescent="0.2"/>
    <row r="11694" ht="15" customHeight="1" x14ac:dyDescent="0.2"/>
    <row r="11695" ht="15" customHeight="1" x14ac:dyDescent="0.2"/>
    <row r="11696" ht="15" customHeight="1" x14ac:dyDescent="0.2"/>
    <row r="11697" ht="15" customHeight="1" x14ac:dyDescent="0.2"/>
    <row r="11698" ht="15" customHeight="1" x14ac:dyDescent="0.2"/>
    <row r="11699" ht="15" customHeight="1" x14ac:dyDescent="0.2"/>
    <row r="11700" ht="15" customHeight="1" x14ac:dyDescent="0.2"/>
    <row r="11701" ht="15" customHeight="1" x14ac:dyDescent="0.2"/>
    <row r="11702" ht="15" customHeight="1" x14ac:dyDescent="0.2"/>
    <row r="11703" ht="15" customHeight="1" x14ac:dyDescent="0.2"/>
    <row r="11704" ht="15" customHeight="1" x14ac:dyDescent="0.2"/>
    <row r="11705" ht="15" customHeight="1" x14ac:dyDescent="0.2"/>
    <row r="11706" ht="15" customHeight="1" x14ac:dyDescent="0.2"/>
    <row r="11707" ht="15" customHeight="1" x14ac:dyDescent="0.2"/>
    <row r="11708" ht="15" customHeight="1" x14ac:dyDescent="0.2"/>
    <row r="11709" ht="15" customHeight="1" x14ac:dyDescent="0.2"/>
    <row r="11710" ht="15" customHeight="1" x14ac:dyDescent="0.2"/>
    <row r="11711" ht="15" customHeight="1" x14ac:dyDescent="0.2"/>
    <row r="11712" ht="15" customHeight="1" x14ac:dyDescent="0.2"/>
    <row r="11713" ht="15" customHeight="1" x14ac:dyDescent="0.2"/>
    <row r="11714" ht="15" customHeight="1" x14ac:dyDescent="0.2"/>
    <row r="11715" ht="15" customHeight="1" x14ac:dyDescent="0.2"/>
    <row r="11716" ht="15" customHeight="1" x14ac:dyDescent="0.2"/>
    <row r="11717" ht="15" customHeight="1" x14ac:dyDescent="0.2"/>
    <row r="11718" ht="15" customHeight="1" x14ac:dyDescent="0.2"/>
    <row r="11719" ht="15" customHeight="1" x14ac:dyDescent="0.2"/>
    <row r="11720" ht="15" customHeight="1" x14ac:dyDescent="0.2"/>
    <row r="11721" ht="15" customHeight="1" x14ac:dyDescent="0.2"/>
    <row r="11722" ht="15" customHeight="1" x14ac:dyDescent="0.2"/>
    <row r="11723" ht="15" customHeight="1" x14ac:dyDescent="0.2"/>
    <row r="11724" ht="15" customHeight="1" x14ac:dyDescent="0.2"/>
    <row r="11725" ht="15" customHeight="1" x14ac:dyDescent="0.2"/>
    <row r="11726" ht="15" customHeight="1" x14ac:dyDescent="0.2"/>
    <row r="11727" ht="15" customHeight="1" x14ac:dyDescent="0.2"/>
    <row r="11728" ht="15" customHeight="1" x14ac:dyDescent="0.2"/>
    <row r="11729" ht="15" customHeight="1" x14ac:dyDescent="0.2"/>
    <row r="11730" ht="15" customHeight="1" x14ac:dyDescent="0.2"/>
    <row r="11731" ht="15" customHeight="1" x14ac:dyDescent="0.2"/>
    <row r="11732" ht="15" customHeight="1" x14ac:dyDescent="0.2"/>
    <row r="11733" ht="15" customHeight="1" x14ac:dyDescent="0.2"/>
    <row r="11734" ht="15" customHeight="1" x14ac:dyDescent="0.2"/>
    <row r="11735" ht="15" customHeight="1" x14ac:dyDescent="0.2"/>
    <row r="11736" ht="15" customHeight="1" x14ac:dyDescent="0.2"/>
    <row r="11737" ht="15" customHeight="1" x14ac:dyDescent="0.2"/>
    <row r="11738" ht="15" customHeight="1" x14ac:dyDescent="0.2"/>
    <row r="11739" ht="15" customHeight="1" x14ac:dyDescent="0.2"/>
    <row r="11740" ht="15" customHeight="1" x14ac:dyDescent="0.2"/>
    <row r="11741" ht="15" customHeight="1" x14ac:dyDescent="0.2"/>
    <row r="11742" ht="15" customHeight="1" x14ac:dyDescent="0.2"/>
    <row r="11743" ht="15" customHeight="1" x14ac:dyDescent="0.2"/>
    <row r="11744" ht="15" customHeight="1" x14ac:dyDescent="0.2"/>
    <row r="11745" ht="15" customHeight="1" x14ac:dyDescent="0.2"/>
    <row r="11746" ht="15" customHeight="1" x14ac:dyDescent="0.2"/>
    <row r="11747" ht="15" customHeight="1" x14ac:dyDescent="0.2"/>
    <row r="11748" ht="15" customHeight="1" x14ac:dyDescent="0.2"/>
    <row r="11749" ht="15" customHeight="1" x14ac:dyDescent="0.2"/>
    <row r="11750" ht="15" customHeight="1" x14ac:dyDescent="0.2"/>
    <row r="11751" ht="15" customHeight="1" x14ac:dyDescent="0.2"/>
    <row r="11752" ht="15" customHeight="1" x14ac:dyDescent="0.2"/>
    <row r="11753" ht="15" customHeight="1" x14ac:dyDescent="0.2"/>
    <row r="11754" ht="15" customHeight="1" x14ac:dyDescent="0.2"/>
    <row r="11755" ht="15" customHeight="1" x14ac:dyDescent="0.2"/>
    <row r="11756" ht="15" customHeight="1" x14ac:dyDescent="0.2"/>
    <row r="11757" ht="15" customHeight="1" x14ac:dyDescent="0.2"/>
    <row r="11758" ht="15" customHeight="1" x14ac:dyDescent="0.2"/>
    <row r="11759" ht="15" customHeight="1" x14ac:dyDescent="0.2"/>
    <row r="11760" ht="15" customHeight="1" x14ac:dyDescent="0.2"/>
    <row r="11761" ht="15" customHeight="1" x14ac:dyDescent="0.2"/>
    <row r="11762" ht="15" customHeight="1" x14ac:dyDescent="0.2"/>
    <row r="11763" ht="15" customHeight="1" x14ac:dyDescent="0.2"/>
    <row r="11764" ht="15" customHeight="1" x14ac:dyDescent="0.2"/>
    <row r="11765" ht="15" customHeight="1" x14ac:dyDescent="0.2"/>
    <row r="11766" ht="15" customHeight="1" x14ac:dyDescent="0.2"/>
    <row r="11767" ht="15" customHeight="1" x14ac:dyDescent="0.2"/>
    <row r="11768" ht="15" customHeight="1" x14ac:dyDescent="0.2"/>
    <row r="11769" ht="15" customHeight="1" x14ac:dyDescent="0.2"/>
    <row r="11770" ht="15" customHeight="1" x14ac:dyDescent="0.2"/>
    <row r="11771" ht="15" customHeight="1" x14ac:dyDescent="0.2"/>
    <row r="11772" ht="15" customHeight="1" x14ac:dyDescent="0.2"/>
    <row r="11773" ht="15" customHeight="1" x14ac:dyDescent="0.2"/>
    <row r="11774" ht="15" customHeight="1" x14ac:dyDescent="0.2"/>
    <row r="11775" ht="15" customHeight="1" x14ac:dyDescent="0.2"/>
    <row r="11776" ht="15" customHeight="1" x14ac:dyDescent="0.2"/>
    <row r="11777" ht="15" customHeight="1" x14ac:dyDescent="0.2"/>
    <row r="11778" ht="15" customHeight="1" x14ac:dyDescent="0.2"/>
    <row r="11779" ht="15" customHeight="1" x14ac:dyDescent="0.2"/>
    <row r="11780" ht="15" customHeight="1" x14ac:dyDescent="0.2"/>
    <row r="11781" ht="15" customHeight="1" x14ac:dyDescent="0.2"/>
    <row r="11782" ht="15" customHeight="1" x14ac:dyDescent="0.2"/>
    <row r="11783" ht="15" customHeight="1" x14ac:dyDescent="0.2"/>
    <row r="11784" ht="15" customHeight="1" x14ac:dyDescent="0.2"/>
    <row r="11785" ht="15" customHeight="1" x14ac:dyDescent="0.2"/>
    <row r="11786" ht="15" customHeight="1" x14ac:dyDescent="0.2"/>
    <row r="11787" ht="15" customHeight="1" x14ac:dyDescent="0.2"/>
    <row r="11788" ht="15" customHeight="1" x14ac:dyDescent="0.2"/>
    <row r="11789" ht="15" customHeight="1" x14ac:dyDescent="0.2"/>
    <row r="11790" ht="15" customHeight="1" x14ac:dyDescent="0.2"/>
    <row r="11791" ht="15" customHeight="1" x14ac:dyDescent="0.2"/>
    <row r="11792" ht="15" customHeight="1" x14ac:dyDescent="0.2"/>
    <row r="11793" ht="15" customHeight="1" x14ac:dyDescent="0.2"/>
    <row r="11794" ht="15" customHeight="1" x14ac:dyDescent="0.2"/>
    <row r="11795" ht="15" customHeight="1" x14ac:dyDescent="0.2"/>
    <row r="11796" ht="15" customHeight="1" x14ac:dyDescent="0.2"/>
    <row r="11797" ht="15" customHeight="1" x14ac:dyDescent="0.2"/>
    <row r="11798" ht="15" customHeight="1" x14ac:dyDescent="0.2"/>
    <row r="11799" ht="15" customHeight="1" x14ac:dyDescent="0.2"/>
    <row r="11800" ht="15" customHeight="1" x14ac:dyDescent="0.2"/>
    <row r="11801" ht="15" customHeight="1" x14ac:dyDescent="0.2"/>
    <row r="11802" ht="15" customHeight="1" x14ac:dyDescent="0.2"/>
    <row r="11803" ht="15" customHeight="1" x14ac:dyDescent="0.2"/>
    <row r="11804" ht="15" customHeight="1" x14ac:dyDescent="0.2"/>
    <row r="11805" ht="15" customHeight="1" x14ac:dyDescent="0.2"/>
    <row r="11806" ht="15" customHeight="1" x14ac:dyDescent="0.2"/>
    <row r="11807" ht="15" customHeight="1" x14ac:dyDescent="0.2"/>
    <row r="11808" ht="15" customHeight="1" x14ac:dyDescent="0.2"/>
    <row r="11809" ht="15" customHeight="1" x14ac:dyDescent="0.2"/>
    <row r="11810" ht="15" customHeight="1" x14ac:dyDescent="0.2"/>
    <row r="11811" ht="15" customHeight="1" x14ac:dyDescent="0.2"/>
    <row r="11812" ht="15" customHeight="1" x14ac:dyDescent="0.2"/>
    <row r="11813" ht="15" customHeight="1" x14ac:dyDescent="0.2"/>
    <row r="11814" ht="15" customHeight="1" x14ac:dyDescent="0.2"/>
    <row r="11815" ht="15" customHeight="1" x14ac:dyDescent="0.2"/>
    <row r="11816" ht="15" customHeight="1" x14ac:dyDescent="0.2"/>
    <row r="11817" ht="15" customHeight="1" x14ac:dyDescent="0.2"/>
    <row r="11818" ht="15" customHeight="1" x14ac:dyDescent="0.2"/>
    <row r="11819" ht="15" customHeight="1" x14ac:dyDescent="0.2"/>
    <row r="11820" ht="15" customHeight="1" x14ac:dyDescent="0.2"/>
    <row r="11821" ht="15" customHeight="1" x14ac:dyDescent="0.2"/>
    <row r="11822" ht="15" customHeight="1" x14ac:dyDescent="0.2"/>
    <row r="11823" ht="15" customHeight="1" x14ac:dyDescent="0.2"/>
    <row r="11824" ht="15" customHeight="1" x14ac:dyDescent="0.2"/>
    <row r="11825" ht="15" customHeight="1" x14ac:dyDescent="0.2"/>
    <row r="11826" ht="15" customHeight="1" x14ac:dyDescent="0.2"/>
    <row r="11827" ht="15" customHeight="1" x14ac:dyDescent="0.2"/>
    <row r="11828" ht="15" customHeight="1" x14ac:dyDescent="0.2"/>
    <row r="11829" ht="15" customHeight="1" x14ac:dyDescent="0.2"/>
    <row r="11830" ht="15" customHeight="1" x14ac:dyDescent="0.2"/>
    <row r="11831" ht="15" customHeight="1" x14ac:dyDescent="0.2"/>
    <row r="11832" ht="15" customHeight="1" x14ac:dyDescent="0.2"/>
    <row r="11833" ht="15" customHeight="1" x14ac:dyDescent="0.2"/>
    <row r="11834" ht="15" customHeight="1" x14ac:dyDescent="0.2"/>
    <row r="11835" ht="15" customHeight="1" x14ac:dyDescent="0.2"/>
    <row r="11836" ht="15" customHeight="1" x14ac:dyDescent="0.2"/>
    <row r="11837" ht="15" customHeight="1" x14ac:dyDescent="0.2"/>
    <row r="11838" ht="15" customHeight="1" x14ac:dyDescent="0.2"/>
    <row r="11839" ht="15" customHeight="1" x14ac:dyDescent="0.2"/>
    <row r="11840" ht="15" customHeight="1" x14ac:dyDescent="0.2"/>
    <row r="11841" ht="15" customHeight="1" x14ac:dyDescent="0.2"/>
    <row r="11842" ht="15" customHeight="1" x14ac:dyDescent="0.2"/>
    <row r="11843" ht="15" customHeight="1" x14ac:dyDescent="0.2"/>
    <row r="11844" ht="15" customHeight="1" x14ac:dyDescent="0.2"/>
    <row r="11845" ht="15" customHeight="1" x14ac:dyDescent="0.2"/>
    <row r="11846" ht="15" customHeight="1" x14ac:dyDescent="0.2"/>
    <row r="11847" ht="15" customHeight="1" x14ac:dyDescent="0.2"/>
    <row r="11848" ht="15" customHeight="1" x14ac:dyDescent="0.2"/>
    <row r="11849" ht="15" customHeight="1" x14ac:dyDescent="0.2"/>
    <row r="11850" ht="15" customHeight="1" x14ac:dyDescent="0.2"/>
    <row r="11851" ht="15" customHeight="1" x14ac:dyDescent="0.2"/>
    <row r="11852" ht="15" customHeight="1" x14ac:dyDescent="0.2"/>
    <row r="11853" ht="15" customHeight="1" x14ac:dyDescent="0.2"/>
    <row r="11854" ht="15" customHeight="1" x14ac:dyDescent="0.2"/>
    <row r="11855" ht="15" customHeight="1" x14ac:dyDescent="0.2"/>
    <row r="11856" ht="15" customHeight="1" x14ac:dyDescent="0.2"/>
    <row r="11857" ht="15" customHeight="1" x14ac:dyDescent="0.2"/>
    <row r="11858" ht="15" customHeight="1" x14ac:dyDescent="0.2"/>
    <row r="11859" ht="15" customHeight="1" x14ac:dyDescent="0.2"/>
    <row r="11860" ht="15" customHeight="1" x14ac:dyDescent="0.2"/>
    <row r="11861" ht="15" customHeight="1" x14ac:dyDescent="0.2"/>
    <row r="11862" ht="15" customHeight="1" x14ac:dyDescent="0.2"/>
    <row r="11863" ht="15" customHeight="1" x14ac:dyDescent="0.2"/>
    <row r="11864" ht="15" customHeight="1" x14ac:dyDescent="0.2"/>
    <row r="11865" ht="15" customHeight="1" x14ac:dyDescent="0.2"/>
    <row r="11866" ht="15" customHeight="1" x14ac:dyDescent="0.2"/>
    <row r="11867" ht="15" customHeight="1" x14ac:dyDescent="0.2"/>
    <row r="11868" ht="15" customHeight="1" x14ac:dyDescent="0.2"/>
    <row r="11869" ht="15" customHeight="1" x14ac:dyDescent="0.2"/>
    <row r="11870" ht="15" customHeight="1" x14ac:dyDescent="0.2"/>
    <row r="11871" ht="15" customHeight="1" x14ac:dyDescent="0.2"/>
    <row r="11872" ht="15" customHeight="1" x14ac:dyDescent="0.2"/>
    <row r="11873" ht="15" customHeight="1" x14ac:dyDescent="0.2"/>
    <row r="11874" ht="15" customHeight="1" x14ac:dyDescent="0.2"/>
    <row r="11875" ht="15" customHeight="1" x14ac:dyDescent="0.2"/>
    <row r="11876" ht="15" customHeight="1" x14ac:dyDescent="0.2"/>
    <row r="11877" ht="15" customHeight="1" x14ac:dyDescent="0.2"/>
    <row r="11878" ht="15" customHeight="1" x14ac:dyDescent="0.2"/>
    <row r="11879" ht="15" customHeight="1" x14ac:dyDescent="0.2"/>
    <row r="11880" ht="15" customHeight="1" x14ac:dyDescent="0.2"/>
    <row r="11881" ht="15" customHeight="1" x14ac:dyDescent="0.2"/>
    <row r="11882" ht="15" customHeight="1" x14ac:dyDescent="0.2"/>
    <row r="11883" ht="15" customHeight="1" x14ac:dyDescent="0.2"/>
    <row r="11884" ht="15" customHeight="1" x14ac:dyDescent="0.2"/>
    <row r="11885" ht="15" customHeight="1" x14ac:dyDescent="0.2"/>
    <row r="11886" ht="15" customHeight="1" x14ac:dyDescent="0.2"/>
    <row r="11887" ht="15" customHeight="1" x14ac:dyDescent="0.2"/>
    <row r="11888" ht="15" customHeight="1" x14ac:dyDescent="0.2"/>
    <row r="11889" ht="15" customHeight="1" x14ac:dyDescent="0.2"/>
    <row r="11890" ht="15" customHeight="1" x14ac:dyDescent="0.2"/>
    <row r="11891" ht="15" customHeight="1" x14ac:dyDescent="0.2"/>
    <row r="11892" ht="15" customHeight="1" x14ac:dyDescent="0.2"/>
    <row r="11893" ht="15" customHeight="1" x14ac:dyDescent="0.2"/>
    <row r="11894" ht="15" customHeight="1" x14ac:dyDescent="0.2"/>
    <row r="11895" ht="15" customHeight="1" x14ac:dyDescent="0.2"/>
    <row r="11896" ht="15" customHeight="1" x14ac:dyDescent="0.2"/>
    <row r="11897" ht="15" customHeight="1" x14ac:dyDescent="0.2"/>
    <row r="11898" ht="15" customHeight="1" x14ac:dyDescent="0.2"/>
    <row r="11899" ht="15" customHeight="1" x14ac:dyDescent="0.2"/>
    <row r="11900" ht="15" customHeight="1" x14ac:dyDescent="0.2"/>
    <row r="11901" ht="15" customHeight="1" x14ac:dyDescent="0.2"/>
    <row r="11902" ht="15" customHeight="1" x14ac:dyDescent="0.2"/>
    <row r="11903" ht="15" customHeight="1" x14ac:dyDescent="0.2"/>
    <row r="11904" ht="15" customHeight="1" x14ac:dyDescent="0.2"/>
    <row r="11905" ht="15" customHeight="1" x14ac:dyDescent="0.2"/>
    <row r="11906" ht="15" customHeight="1" x14ac:dyDescent="0.2"/>
    <row r="11907" ht="15" customHeight="1" x14ac:dyDescent="0.2"/>
    <row r="11908" ht="15" customHeight="1" x14ac:dyDescent="0.2"/>
    <row r="11909" ht="15" customHeight="1" x14ac:dyDescent="0.2"/>
    <row r="11910" ht="15" customHeight="1" x14ac:dyDescent="0.2"/>
    <row r="11911" ht="15" customHeight="1" x14ac:dyDescent="0.2"/>
    <row r="11912" ht="15" customHeight="1" x14ac:dyDescent="0.2"/>
    <row r="11913" ht="15" customHeight="1" x14ac:dyDescent="0.2"/>
    <row r="11914" ht="15" customHeight="1" x14ac:dyDescent="0.2"/>
    <row r="11915" ht="15" customHeight="1" x14ac:dyDescent="0.2"/>
    <row r="11916" ht="15" customHeight="1" x14ac:dyDescent="0.2"/>
    <row r="11917" ht="15" customHeight="1" x14ac:dyDescent="0.2"/>
    <row r="11918" ht="15" customHeight="1" x14ac:dyDescent="0.2"/>
    <row r="11919" ht="15" customHeight="1" x14ac:dyDescent="0.2"/>
    <row r="11920" ht="15" customHeight="1" x14ac:dyDescent="0.2"/>
    <row r="11921" ht="15" customHeight="1" x14ac:dyDescent="0.2"/>
    <row r="11922" ht="15" customHeight="1" x14ac:dyDescent="0.2"/>
    <row r="11923" ht="15" customHeight="1" x14ac:dyDescent="0.2"/>
    <row r="11924" ht="15" customHeight="1" x14ac:dyDescent="0.2"/>
    <row r="11925" ht="15" customHeight="1" x14ac:dyDescent="0.2"/>
    <row r="11926" ht="15" customHeight="1" x14ac:dyDescent="0.2"/>
    <row r="11927" ht="15" customHeight="1" x14ac:dyDescent="0.2"/>
    <row r="11928" ht="15" customHeight="1" x14ac:dyDescent="0.2"/>
    <row r="11929" ht="15" customHeight="1" x14ac:dyDescent="0.2"/>
    <row r="11930" ht="15" customHeight="1" x14ac:dyDescent="0.2"/>
    <row r="11931" ht="15" customHeight="1" x14ac:dyDescent="0.2"/>
    <row r="11932" ht="15" customHeight="1" x14ac:dyDescent="0.2"/>
    <row r="11933" ht="15" customHeight="1" x14ac:dyDescent="0.2"/>
    <row r="11934" ht="15" customHeight="1" x14ac:dyDescent="0.2"/>
    <row r="11935" ht="15" customHeight="1" x14ac:dyDescent="0.2"/>
    <row r="11936" ht="15" customHeight="1" x14ac:dyDescent="0.2"/>
    <row r="11937" ht="15" customHeight="1" x14ac:dyDescent="0.2"/>
    <row r="11938" ht="15" customHeight="1" x14ac:dyDescent="0.2"/>
    <row r="11939" ht="15" customHeight="1" x14ac:dyDescent="0.2"/>
    <row r="11940" ht="15" customHeight="1" x14ac:dyDescent="0.2"/>
    <row r="11941" ht="15" customHeight="1" x14ac:dyDescent="0.2"/>
    <row r="11942" ht="15" customHeight="1" x14ac:dyDescent="0.2"/>
    <row r="11943" ht="15" customHeight="1" x14ac:dyDescent="0.2"/>
    <row r="11944" ht="15" customHeight="1" x14ac:dyDescent="0.2"/>
    <row r="11945" ht="15" customHeight="1" x14ac:dyDescent="0.2"/>
    <row r="11946" ht="15" customHeight="1" x14ac:dyDescent="0.2"/>
    <row r="11947" ht="15" customHeight="1" x14ac:dyDescent="0.2"/>
    <row r="11948" ht="15" customHeight="1" x14ac:dyDescent="0.2"/>
    <row r="11949" ht="15" customHeight="1" x14ac:dyDescent="0.2"/>
    <row r="11950" ht="15" customHeight="1" x14ac:dyDescent="0.2"/>
    <row r="11951" ht="15" customHeight="1" x14ac:dyDescent="0.2"/>
    <row r="11952" ht="15" customHeight="1" x14ac:dyDescent="0.2"/>
    <row r="11953" ht="15" customHeight="1" x14ac:dyDescent="0.2"/>
    <row r="11954" ht="15" customHeight="1" x14ac:dyDescent="0.2"/>
    <row r="11955" ht="15" customHeight="1" x14ac:dyDescent="0.2"/>
    <row r="11956" ht="15" customHeight="1" x14ac:dyDescent="0.2"/>
    <row r="11957" ht="15" customHeight="1" x14ac:dyDescent="0.2"/>
    <row r="11958" ht="15" customHeight="1" x14ac:dyDescent="0.2"/>
    <row r="11959" ht="15" customHeight="1" x14ac:dyDescent="0.2"/>
    <row r="11960" ht="15" customHeight="1" x14ac:dyDescent="0.2"/>
    <row r="11961" ht="15" customHeight="1" x14ac:dyDescent="0.2"/>
    <row r="11962" ht="15" customHeight="1" x14ac:dyDescent="0.2"/>
    <row r="11963" ht="15" customHeight="1" x14ac:dyDescent="0.2"/>
    <row r="11964" ht="15" customHeight="1" x14ac:dyDescent="0.2"/>
    <row r="11965" ht="15" customHeight="1" x14ac:dyDescent="0.2"/>
    <row r="11966" ht="15" customHeight="1" x14ac:dyDescent="0.2"/>
    <row r="11967" ht="15" customHeight="1" x14ac:dyDescent="0.2"/>
    <row r="11968" ht="15" customHeight="1" x14ac:dyDescent="0.2"/>
    <row r="11969" ht="15" customHeight="1" x14ac:dyDescent="0.2"/>
    <row r="11970" ht="15" customHeight="1" x14ac:dyDescent="0.2"/>
    <row r="11971" ht="15" customHeight="1" x14ac:dyDescent="0.2"/>
    <row r="11972" ht="15" customHeight="1" x14ac:dyDescent="0.2"/>
    <row r="11973" ht="15" customHeight="1" x14ac:dyDescent="0.2"/>
    <row r="11974" ht="15" customHeight="1" x14ac:dyDescent="0.2"/>
    <row r="11975" ht="15" customHeight="1" x14ac:dyDescent="0.2"/>
    <row r="11976" ht="15" customHeight="1" x14ac:dyDescent="0.2"/>
    <row r="11977" ht="15" customHeight="1" x14ac:dyDescent="0.2"/>
    <row r="11978" ht="15" customHeight="1" x14ac:dyDescent="0.2"/>
    <row r="11979" ht="15" customHeight="1" x14ac:dyDescent="0.2"/>
    <row r="11980" ht="15" customHeight="1" x14ac:dyDescent="0.2"/>
    <row r="11981" ht="15" customHeight="1" x14ac:dyDescent="0.2"/>
    <row r="11982" ht="15" customHeight="1" x14ac:dyDescent="0.2"/>
    <row r="11983" ht="15" customHeight="1" x14ac:dyDescent="0.2"/>
    <row r="11984" ht="15" customHeight="1" x14ac:dyDescent="0.2"/>
    <row r="11985" ht="15" customHeight="1" x14ac:dyDescent="0.2"/>
    <row r="11986" ht="15" customHeight="1" x14ac:dyDescent="0.2"/>
    <row r="11987" ht="15" customHeight="1" x14ac:dyDescent="0.2"/>
    <row r="11988" ht="15" customHeight="1" x14ac:dyDescent="0.2"/>
    <row r="11989" ht="15" customHeight="1" x14ac:dyDescent="0.2"/>
    <row r="11990" ht="15" customHeight="1" x14ac:dyDescent="0.2"/>
    <row r="11991" ht="15" customHeight="1" x14ac:dyDescent="0.2"/>
    <row r="11992" ht="15" customHeight="1" x14ac:dyDescent="0.2"/>
    <row r="11993" ht="15" customHeight="1" x14ac:dyDescent="0.2"/>
    <row r="11994" ht="15" customHeight="1" x14ac:dyDescent="0.2"/>
    <row r="11995" ht="15" customHeight="1" x14ac:dyDescent="0.2"/>
    <row r="11996" ht="15" customHeight="1" x14ac:dyDescent="0.2"/>
    <row r="11997" ht="15" customHeight="1" x14ac:dyDescent="0.2"/>
    <row r="11998" ht="15" customHeight="1" x14ac:dyDescent="0.2"/>
    <row r="11999" ht="15" customHeight="1" x14ac:dyDescent="0.2"/>
    <row r="12000" ht="15" customHeight="1" x14ac:dyDescent="0.2"/>
    <row r="12001" ht="15" customHeight="1" x14ac:dyDescent="0.2"/>
    <row r="12002" ht="15" customHeight="1" x14ac:dyDescent="0.2"/>
    <row r="12003" ht="15" customHeight="1" x14ac:dyDescent="0.2"/>
    <row r="12004" ht="15" customHeight="1" x14ac:dyDescent="0.2"/>
    <row r="12005" ht="15" customHeight="1" x14ac:dyDescent="0.2"/>
    <row r="12006" ht="15" customHeight="1" x14ac:dyDescent="0.2"/>
    <row r="12007" ht="15" customHeight="1" x14ac:dyDescent="0.2"/>
    <row r="12008" ht="15" customHeight="1" x14ac:dyDescent="0.2"/>
    <row r="12009" ht="15" customHeight="1" x14ac:dyDescent="0.2"/>
    <row r="12010" ht="15" customHeight="1" x14ac:dyDescent="0.2"/>
    <row r="12011" ht="15" customHeight="1" x14ac:dyDescent="0.2"/>
    <row r="12012" ht="15" customHeight="1" x14ac:dyDescent="0.2"/>
    <row r="12013" ht="15" customHeight="1" x14ac:dyDescent="0.2"/>
    <row r="12014" ht="15" customHeight="1" x14ac:dyDescent="0.2"/>
    <row r="12015" ht="15" customHeight="1" x14ac:dyDescent="0.2"/>
    <row r="12016" ht="15" customHeight="1" x14ac:dyDescent="0.2"/>
    <row r="12017" ht="15" customHeight="1" x14ac:dyDescent="0.2"/>
    <row r="12018" ht="15" customHeight="1" x14ac:dyDescent="0.2"/>
    <row r="12019" ht="15" customHeight="1" x14ac:dyDescent="0.2"/>
    <row r="12020" ht="15" customHeight="1" x14ac:dyDescent="0.2"/>
    <row r="12021" ht="15" customHeight="1" x14ac:dyDescent="0.2"/>
    <row r="12022" ht="15" customHeight="1" x14ac:dyDescent="0.2"/>
    <row r="12023" ht="15" customHeight="1" x14ac:dyDescent="0.2"/>
    <row r="12024" ht="15" customHeight="1" x14ac:dyDescent="0.2"/>
    <row r="12025" ht="15" customHeight="1" x14ac:dyDescent="0.2"/>
    <row r="12026" ht="15" customHeight="1" x14ac:dyDescent="0.2"/>
    <row r="12027" ht="15" customHeight="1" x14ac:dyDescent="0.2"/>
    <row r="12028" ht="15" customHeight="1" x14ac:dyDescent="0.2"/>
    <row r="12029" ht="15" customHeight="1" x14ac:dyDescent="0.2"/>
    <row r="12030" ht="15" customHeight="1" x14ac:dyDescent="0.2"/>
    <row r="12031" ht="15" customHeight="1" x14ac:dyDescent="0.2"/>
    <row r="12032" ht="15" customHeight="1" x14ac:dyDescent="0.2"/>
    <row r="12033" ht="15" customHeight="1" x14ac:dyDescent="0.2"/>
    <row r="12034" ht="15" customHeight="1" x14ac:dyDescent="0.2"/>
    <row r="12035" ht="15" customHeight="1" x14ac:dyDescent="0.2"/>
    <row r="12036" ht="15" customHeight="1" x14ac:dyDescent="0.2"/>
    <row r="12037" ht="15" customHeight="1" x14ac:dyDescent="0.2"/>
    <row r="12038" ht="15" customHeight="1" x14ac:dyDescent="0.2"/>
    <row r="12039" ht="15" customHeight="1" x14ac:dyDescent="0.2"/>
    <row r="12040" ht="15" customHeight="1" x14ac:dyDescent="0.2"/>
    <row r="12041" ht="15" customHeight="1" x14ac:dyDescent="0.2"/>
    <row r="12042" ht="15" customHeight="1" x14ac:dyDescent="0.2"/>
    <row r="12043" ht="15" customHeight="1" x14ac:dyDescent="0.2"/>
    <row r="12044" ht="15" customHeight="1" x14ac:dyDescent="0.2"/>
    <row r="12045" ht="15" customHeight="1" x14ac:dyDescent="0.2"/>
    <row r="12046" ht="15" customHeight="1" x14ac:dyDescent="0.2"/>
    <row r="12047" ht="15" customHeight="1" x14ac:dyDescent="0.2"/>
    <row r="12048" ht="15" customHeight="1" x14ac:dyDescent="0.2"/>
    <row r="12049" ht="15" customHeight="1" x14ac:dyDescent="0.2"/>
    <row r="12050" ht="15" customHeight="1" x14ac:dyDescent="0.2"/>
    <row r="12051" ht="15" customHeight="1" x14ac:dyDescent="0.2"/>
    <row r="12052" ht="15" customHeight="1" x14ac:dyDescent="0.2"/>
    <row r="12053" ht="15" customHeight="1" x14ac:dyDescent="0.2"/>
    <row r="12054" ht="15" customHeight="1" x14ac:dyDescent="0.2"/>
    <row r="12055" ht="15" customHeight="1" x14ac:dyDescent="0.2"/>
    <row r="12056" ht="15" customHeight="1" x14ac:dyDescent="0.2"/>
    <row r="12057" ht="15" customHeight="1" x14ac:dyDescent="0.2"/>
    <row r="12058" ht="15" customHeight="1" x14ac:dyDescent="0.2"/>
    <row r="12059" ht="15" customHeight="1" x14ac:dyDescent="0.2"/>
    <row r="12060" ht="15" customHeight="1" x14ac:dyDescent="0.2"/>
    <row r="12061" ht="15" customHeight="1" x14ac:dyDescent="0.2"/>
    <row r="12062" ht="15" customHeight="1" x14ac:dyDescent="0.2"/>
    <row r="12063" ht="15" customHeight="1" x14ac:dyDescent="0.2"/>
    <row r="12064" ht="15" customHeight="1" x14ac:dyDescent="0.2"/>
    <row r="12065" ht="15" customHeight="1" x14ac:dyDescent="0.2"/>
    <row r="12066" ht="15" customHeight="1" x14ac:dyDescent="0.2"/>
    <row r="12067" ht="15" customHeight="1" x14ac:dyDescent="0.2"/>
    <row r="12068" ht="15" customHeight="1" x14ac:dyDescent="0.2"/>
    <row r="12069" ht="15" customHeight="1" x14ac:dyDescent="0.2"/>
    <row r="12070" ht="15" customHeight="1" x14ac:dyDescent="0.2"/>
    <row r="12071" ht="15" customHeight="1" x14ac:dyDescent="0.2"/>
    <row r="12072" ht="15" customHeight="1" x14ac:dyDescent="0.2"/>
    <row r="12073" ht="15" customHeight="1" x14ac:dyDescent="0.2"/>
    <row r="12074" ht="15" customHeight="1" x14ac:dyDescent="0.2"/>
    <row r="12075" ht="15" customHeight="1" x14ac:dyDescent="0.2"/>
    <row r="12076" ht="15" customHeight="1" x14ac:dyDescent="0.2"/>
    <row r="12077" ht="15" customHeight="1" x14ac:dyDescent="0.2"/>
    <row r="12078" ht="15" customHeight="1" x14ac:dyDescent="0.2"/>
    <row r="12079" ht="15" customHeight="1" x14ac:dyDescent="0.2"/>
    <row r="12080" ht="15" customHeight="1" x14ac:dyDescent="0.2"/>
    <row r="12081" ht="15" customHeight="1" x14ac:dyDescent="0.2"/>
    <row r="12082" ht="15" customHeight="1" x14ac:dyDescent="0.2"/>
    <row r="12083" ht="15" customHeight="1" x14ac:dyDescent="0.2"/>
    <row r="12084" ht="15" customHeight="1" x14ac:dyDescent="0.2"/>
    <row r="12085" ht="15" customHeight="1" x14ac:dyDescent="0.2"/>
    <row r="12086" ht="15" customHeight="1" x14ac:dyDescent="0.2"/>
    <row r="12087" ht="15" customHeight="1" x14ac:dyDescent="0.2"/>
    <row r="12088" ht="15" customHeight="1" x14ac:dyDescent="0.2"/>
    <row r="12089" ht="15" customHeight="1" x14ac:dyDescent="0.2"/>
    <row r="12090" ht="15" customHeight="1" x14ac:dyDescent="0.2"/>
    <row r="12091" ht="15" customHeight="1" x14ac:dyDescent="0.2"/>
    <row r="12092" ht="15" customHeight="1" x14ac:dyDescent="0.2"/>
    <row r="12093" ht="15" customHeight="1" x14ac:dyDescent="0.2"/>
    <row r="12094" ht="15" customHeight="1" x14ac:dyDescent="0.2"/>
    <row r="12095" ht="15" customHeight="1" x14ac:dyDescent="0.2"/>
    <row r="12096" ht="15" customHeight="1" x14ac:dyDescent="0.2"/>
    <row r="12097" ht="15" customHeight="1" x14ac:dyDescent="0.2"/>
    <row r="12098" ht="15" customHeight="1" x14ac:dyDescent="0.2"/>
    <row r="12099" ht="15" customHeight="1" x14ac:dyDescent="0.2"/>
    <row r="12100" ht="15" customHeight="1" x14ac:dyDescent="0.2"/>
    <row r="12101" ht="15" customHeight="1" x14ac:dyDescent="0.2"/>
    <row r="12102" ht="15" customHeight="1" x14ac:dyDescent="0.2"/>
    <row r="12103" ht="15" customHeight="1" x14ac:dyDescent="0.2"/>
    <row r="12104" ht="15" customHeight="1" x14ac:dyDescent="0.2"/>
    <row r="12105" ht="15" customHeight="1" x14ac:dyDescent="0.2"/>
    <row r="12106" ht="15" customHeight="1" x14ac:dyDescent="0.2"/>
    <row r="12107" ht="15" customHeight="1" x14ac:dyDescent="0.2"/>
    <row r="12108" ht="15" customHeight="1" x14ac:dyDescent="0.2"/>
    <row r="12109" ht="15" customHeight="1" x14ac:dyDescent="0.2"/>
    <row r="12110" ht="15" customHeight="1" x14ac:dyDescent="0.2"/>
    <row r="12111" ht="15" customHeight="1" x14ac:dyDescent="0.2"/>
    <row r="12112" ht="15" customHeight="1" x14ac:dyDescent="0.2"/>
    <row r="12113" ht="15" customHeight="1" x14ac:dyDescent="0.2"/>
    <row r="12114" ht="15" customHeight="1" x14ac:dyDescent="0.2"/>
    <row r="12115" ht="15" customHeight="1" x14ac:dyDescent="0.2"/>
    <row r="12116" ht="15" customHeight="1" x14ac:dyDescent="0.2"/>
    <row r="12117" ht="15" customHeight="1" x14ac:dyDescent="0.2"/>
    <row r="12118" ht="15" customHeight="1" x14ac:dyDescent="0.2"/>
    <row r="12119" ht="15" customHeight="1" x14ac:dyDescent="0.2"/>
    <row r="12120" ht="15" customHeight="1" x14ac:dyDescent="0.2"/>
    <row r="12121" ht="15" customHeight="1" x14ac:dyDescent="0.2"/>
    <row r="12122" ht="15" customHeight="1" x14ac:dyDescent="0.2"/>
    <row r="12123" ht="15" customHeight="1" x14ac:dyDescent="0.2"/>
    <row r="12124" ht="15" customHeight="1" x14ac:dyDescent="0.2"/>
    <row r="12125" ht="15" customHeight="1" x14ac:dyDescent="0.2"/>
    <row r="12126" ht="15" customHeight="1" x14ac:dyDescent="0.2"/>
    <row r="12127" ht="15" customHeight="1" x14ac:dyDescent="0.2"/>
    <row r="12128" ht="15" customHeight="1" x14ac:dyDescent="0.2"/>
    <row r="12129" ht="15" customHeight="1" x14ac:dyDescent="0.2"/>
    <row r="12130" ht="15" customHeight="1" x14ac:dyDescent="0.2"/>
    <row r="12131" ht="15" customHeight="1" x14ac:dyDescent="0.2"/>
    <row r="12132" ht="15" customHeight="1" x14ac:dyDescent="0.2"/>
    <row r="12133" ht="15" customHeight="1" x14ac:dyDescent="0.2"/>
    <row r="12134" ht="15" customHeight="1" x14ac:dyDescent="0.2"/>
    <row r="12135" ht="15" customHeight="1" x14ac:dyDescent="0.2"/>
    <row r="12136" ht="15" customHeight="1" x14ac:dyDescent="0.2"/>
    <row r="12137" ht="15" customHeight="1" x14ac:dyDescent="0.2"/>
    <row r="12138" ht="15" customHeight="1" x14ac:dyDescent="0.2"/>
    <row r="12139" ht="15" customHeight="1" x14ac:dyDescent="0.2"/>
    <row r="12140" ht="15" customHeight="1" x14ac:dyDescent="0.2"/>
    <row r="12141" ht="15" customHeight="1" x14ac:dyDescent="0.2"/>
    <row r="12142" ht="15" customHeight="1" x14ac:dyDescent="0.2"/>
    <row r="12143" ht="15" customHeight="1" x14ac:dyDescent="0.2"/>
    <row r="12144" ht="15" customHeight="1" x14ac:dyDescent="0.2"/>
    <row r="12145" ht="15" customHeight="1" x14ac:dyDescent="0.2"/>
    <row r="12146" ht="15" customHeight="1" x14ac:dyDescent="0.2"/>
    <row r="12147" ht="15" customHeight="1" x14ac:dyDescent="0.2"/>
    <row r="12148" ht="15" customHeight="1" x14ac:dyDescent="0.2"/>
    <row r="12149" ht="15" customHeight="1" x14ac:dyDescent="0.2"/>
    <row r="12150" ht="15" customHeight="1" x14ac:dyDescent="0.2"/>
    <row r="12151" ht="15" customHeight="1" x14ac:dyDescent="0.2"/>
    <row r="12152" ht="15" customHeight="1" x14ac:dyDescent="0.2"/>
    <row r="12153" ht="15" customHeight="1" x14ac:dyDescent="0.2"/>
    <row r="12154" ht="15" customHeight="1" x14ac:dyDescent="0.2"/>
    <row r="12155" ht="15" customHeight="1" x14ac:dyDescent="0.2"/>
    <row r="12156" ht="15" customHeight="1" x14ac:dyDescent="0.2"/>
    <row r="12157" ht="15" customHeight="1" x14ac:dyDescent="0.2"/>
    <row r="12158" ht="15" customHeight="1" x14ac:dyDescent="0.2"/>
    <row r="12159" ht="15" customHeight="1" x14ac:dyDescent="0.2"/>
    <row r="12160" ht="15" customHeight="1" x14ac:dyDescent="0.2"/>
    <row r="12161" ht="15" customHeight="1" x14ac:dyDescent="0.2"/>
    <row r="12162" ht="15" customHeight="1" x14ac:dyDescent="0.2"/>
    <row r="12163" ht="15" customHeight="1" x14ac:dyDescent="0.2"/>
    <row r="12164" ht="15" customHeight="1" x14ac:dyDescent="0.2"/>
    <row r="12165" ht="15" customHeight="1" x14ac:dyDescent="0.2"/>
    <row r="12166" ht="15" customHeight="1" x14ac:dyDescent="0.2"/>
    <row r="12167" ht="15" customHeight="1" x14ac:dyDescent="0.2"/>
    <row r="12168" ht="15" customHeight="1" x14ac:dyDescent="0.2"/>
    <row r="12169" ht="15" customHeight="1" x14ac:dyDescent="0.2"/>
    <row r="12170" ht="15" customHeight="1" x14ac:dyDescent="0.2"/>
    <row r="12171" ht="15" customHeight="1" x14ac:dyDescent="0.2"/>
    <row r="12172" ht="15" customHeight="1" x14ac:dyDescent="0.2"/>
    <row r="12173" ht="15" customHeight="1" x14ac:dyDescent="0.2"/>
    <row r="12174" ht="15" customHeight="1" x14ac:dyDescent="0.2"/>
    <row r="12175" ht="15" customHeight="1" x14ac:dyDescent="0.2"/>
    <row r="12176" ht="15" customHeight="1" x14ac:dyDescent="0.2"/>
    <row r="12177" ht="15" customHeight="1" x14ac:dyDescent="0.2"/>
    <row r="12178" ht="15" customHeight="1" x14ac:dyDescent="0.2"/>
    <row r="12179" ht="15" customHeight="1" x14ac:dyDescent="0.2"/>
    <row r="12180" ht="15" customHeight="1" x14ac:dyDescent="0.2"/>
    <row r="12181" ht="15" customHeight="1" x14ac:dyDescent="0.2"/>
    <row r="12182" ht="15" customHeight="1" x14ac:dyDescent="0.2"/>
    <row r="12183" ht="15" customHeight="1" x14ac:dyDescent="0.2"/>
    <row r="12184" ht="15" customHeight="1" x14ac:dyDescent="0.2"/>
    <row r="12185" ht="15" customHeight="1" x14ac:dyDescent="0.2"/>
    <row r="12186" ht="15" customHeight="1" x14ac:dyDescent="0.2"/>
    <row r="12187" ht="15" customHeight="1" x14ac:dyDescent="0.2"/>
    <row r="12188" ht="15" customHeight="1" x14ac:dyDescent="0.2"/>
    <row r="12189" ht="15" customHeight="1" x14ac:dyDescent="0.2"/>
    <row r="12190" ht="15" customHeight="1" x14ac:dyDescent="0.2"/>
    <row r="12191" ht="15" customHeight="1" x14ac:dyDescent="0.2"/>
    <row r="12192" ht="15" customHeight="1" x14ac:dyDescent="0.2"/>
    <row r="12193" ht="15" customHeight="1" x14ac:dyDescent="0.2"/>
    <row r="12194" ht="15" customHeight="1" x14ac:dyDescent="0.2"/>
    <row r="12195" ht="15" customHeight="1" x14ac:dyDescent="0.2"/>
    <row r="12196" ht="15" customHeight="1" x14ac:dyDescent="0.2"/>
    <row r="12197" ht="15" customHeight="1" x14ac:dyDescent="0.2"/>
    <row r="12198" ht="15" customHeight="1" x14ac:dyDescent="0.2"/>
    <row r="12199" ht="15" customHeight="1" x14ac:dyDescent="0.2"/>
    <row r="12200" ht="15" customHeight="1" x14ac:dyDescent="0.2"/>
    <row r="12201" ht="15" customHeight="1" x14ac:dyDescent="0.2"/>
    <row r="12202" ht="15" customHeight="1" x14ac:dyDescent="0.2"/>
    <row r="12203" ht="15" customHeight="1" x14ac:dyDescent="0.2"/>
    <row r="12204" ht="15" customHeight="1" x14ac:dyDescent="0.2"/>
    <row r="12205" ht="15" customHeight="1" x14ac:dyDescent="0.2"/>
    <row r="12206" ht="15" customHeight="1" x14ac:dyDescent="0.2"/>
    <row r="12207" ht="15" customHeight="1" x14ac:dyDescent="0.2"/>
    <row r="12208" ht="15" customHeight="1" x14ac:dyDescent="0.2"/>
    <row r="12209" ht="15" customHeight="1" x14ac:dyDescent="0.2"/>
    <row r="12210" ht="15" customHeight="1" x14ac:dyDescent="0.2"/>
    <row r="12211" ht="15" customHeight="1" x14ac:dyDescent="0.2"/>
    <row r="12212" ht="15" customHeight="1" x14ac:dyDescent="0.2"/>
    <row r="12213" ht="15" customHeight="1" x14ac:dyDescent="0.2"/>
    <row r="12214" ht="15" customHeight="1" x14ac:dyDescent="0.2"/>
    <row r="12215" ht="15" customHeight="1" x14ac:dyDescent="0.2"/>
    <row r="12216" ht="15" customHeight="1" x14ac:dyDescent="0.2"/>
    <row r="12217" ht="15" customHeight="1" x14ac:dyDescent="0.2"/>
    <row r="12218" ht="15" customHeight="1" x14ac:dyDescent="0.2"/>
    <row r="12219" ht="15" customHeight="1" x14ac:dyDescent="0.2"/>
    <row r="12220" ht="15" customHeight="1" x14ac:dyDescent="0.2"/>
    <row r="12221" ht="15" customHeight="1" x14ac:dyDescent="0.2"/>
    <row r="12222" ht="15" customHeight="1" x14ac:dyDescent="0.2"/>
    <row r="12223" ht="15" customHeight="1" x14ac:dyDescent="0.2"/>
    <row r="12224" ht="15" customHeight="1" x14ac:dyDescent="0.2"/>
    <row r="12225" ht="15" customHeight="1" x14ac:dyDescent="0.2"/>
    <row r="12226" ht="15" customHeight="1" x14ac:dyDescent="0.2"/>
    <row r="12227" ht="15" customHeight="1" x14ac:dyDescent="0.2"/>
    <row r="12228" ht="15" customHeight="1" x14ac:dyDescent="0.2"/>
    <row r="12229" ht="15" customHeight="1" x14ac:dyDescent="0.2"/>
    <row r="12230" ht="15" customHeight="1" x14ac:dyDescent="0.2"/>
    <row r="12231" ht="15" customHeight="1" x14ac:dyDescent="0.2"/>
    <row r="12232" ht="15" customHeight="1" x14ac:dyDescent="0.2"/>
    <row r="12233" ht="15" customHeight="1" x14ac:dyDescent="0.2"/>
    <row r="12234" ht="15" customHeight="1" x14ac:dyDescent="0.2"/>
    <row r="12235" ht="15" customHeight="1" x14ac:dyDescent="0.2"/>
    <row r="12236" ht="15" customHeight="1" x14ac:dyDescent="0.2"/>
    <row r="12237" ht="15" customHeight="1" x14ac:dyDescent="0.2"/>
    <row r="12238" ht="15" customHeight="1" x14ac:dyDescent="0.2"/>
    <row r="12239" ht="15" customHeight="1" x14ac:dyDescent="0.2"/>
    <row r="12240" ht="15" customHeight="1" x14ac:dyDescent="0.2"/>
    <row r="12241" ht="15" customHeight="1" x14ac:dyDescent="0.2"/>
    <row r="12242" ht="15" customHeight="1" x14ac:dyDescent="0.2"/>
    <row r="12243" ht="15" customHeight="1" x14ac:dyDescent="0.2"/>
    <row r="12244" ht="15" customHeight="1" x14ac:dyDescent="0.2"/>
    <row r="12245" ht="15" customHeight="1" x14ac:dyDescent="0.2"/>
    <row r="12246" ht="15" customHeight="1" x14ac:dyDescent="0.2"/>
    <row r="12247" ht="15" customHeight="1" x14ac:dyDescent="0.2"/>
    <row r="12248" ht="15" customHeight="1" x14ac:dyDescent="0.2"/>
    <row r="12249" ht="15" customHeight="1" x14ac:dyDescent="0.2"/>
    <row r="12250" ht="15" customHeight="1" x14ac:dyDescent="0.2"/>
    <row r="12251" ht="15" customHeight="1" x14ac:dyDescent="0.2"/>
    <row r="12252" ht="15" customHeight="1" x14ac:dyDescent="0.2"/>
    <row r="12253" ht="15" customHeight="1" x14ac:dyDescent="0.2"/>
    <row r="12254" ht="15" customHeight="1" x14ac:dyDescent="0.2"/>
    <row r="12255" ht="15" customHeight="1" x14ac:dyDescent="0.2"/>
    <row r="12256" ht="15" customHeight="1" x14ac:dyDescent="0.2"/>
    <row r="12257" ht="15" customHeight="1" x14ac:dyDescent="0.2"/>
    <row r="12258" ht="15" customHeight="1" x14ac:dyDescent="0.2"/>
    <row r="12259" ht="15" customHeight="1" x14ac:dyDescent="0.2"/>
    <row r="12260" ht="15" customHeight="1" x14ac:dyDescent="0.2"/>
    <row r="12261" ht="15" customHeight="1" x14ac:dyDescent="0.2"/>
    <row r="12262" ht="15" customHeight="1" x14ac:dyDescent="0.2"/>
    <row r="12263" ht="15" customHeight="1" x14ac:dyDescent="0.2"/>
    <row r="12264" ht="15" customHeight="1" x14ac:dyDescent="0.2"/>
    <row r="12265" ht="15" customHeight="1" x14ac:dyDescent="0.2"/>
    <row r="12266" ht="15" customHeight="1" x14ac:dyDescent="0.2"/>
    <row r="12267" ht="15" customHeight="1" x14ac:dyDescent="0.2"/>
    <row r="12268" ht="15" customHeight="1" x14ac:dyDescent="0.2"/>
    <row r="12269" ht="15" customHeight="1" x14ac:dyDescent="0.2"/>
    <row r="12270" ht="15" customHeight="1" x14ac:dyDescent="0.2"/>
    <row r="12271" ht="15" customHeight="1" x14ac:dyDescent="0.2"/>
    <row r="12272" ht="15" customHeight="1" x14ac:dyDescent="0.2"/>
    <row r="12273" ht="15" customHeight="1" x14ac:dyDescent="0.2"/>
    <row r="12274" ht="15" customHeight="1" x14ac:dyDescent="0.2"/>
    <row r="12275" ht="15" customHeight="1" x14ac:dyDescent="0.2"/>
    <row r="12276" ht="15" customHeight="1" x14ac:dyDescent="0.2"/>
    <row r="12277" ht="15" customHeight="1" x14ac:dyDescent="0.2"/>
    <row r="12278" ht="15" customHeight="1" x14ac:dyDescent="0.2"/>
    <row r="12279" ht="15" customHeight="1" x14ac:dyDescent="0.2"/>
    <row r="12280" ht="15" customHeight="1" x14ac:dyDescent="0.2"/>
    <row r="12281" ht="15" customHeight="1" x14ac:dyDescent="0.2"/>
    <row r="12282" ht="15" customHeight="1" x14ac:dyDescent="0.2"/>
    <row r="12283" ht="15" customHeight="1" x14ac:dyDescent="0.2"/>
    <row r="12284" ht="15" customHeight="1" x14ac:dyDescent="0.2"/>
    <row r="12285" ht="15" customHeight="1" x14ac:dyDescent="0.2"/>
    <row r="12286" ht="15" customHeight="1" x14ac:dyDescent="0.2"/>
    <row r="12287" ht="15" customHeight="1" x14ac:dyDescent="0.2"/>
    <row r="12288" ht="15" customHeight="1" x14ac:dyDescent="0.2"/>
    <row r="12289" ht="15" customHeight="1" x14ac:dyDescent="0.2"/>
    <row r="12290" ht="15" customHeight="1" x14ac:dyDescent="0.2"/>
    <row r="12291" ht="15" customHeight="1" x14ac:dyDescent="0.2"/>
    <row r="12292" ht="15" customHeight="1" x14ac:dyDescent="0.2"/>
    <row r="12293" ht="15" customHeight="1" x14ac:dyDescent="0.2"/>
    <row r="12294" ht="15" customHeight="1" x14ac:dyDescent="0.2"/>
    <row r="12295" ht="15" customHeight="1" x14ac:dyDescent="0.2"/>
    <row r="12296" ht="15" customHeight="1" x14ac:dyDescent="0.2"/>
    <row r="12297" ht="15" customHeight="1" x14ac:dyDescent="0.2"/>
    <row r="12298" ht="15" customHeight="1" x14ac:dyDescent="0.2"/>
    <row r="12299" ht="15" customHeight="1" x14ac:dyDescent="0.2"/>
    <row r="12300" ht="15" customHeight="1" x14ac:dyDescent="0.2"/>
    <row r="12301" ht="15" customHeight="1" x14ac:dyDescent="0.2"/>
    <row r="12302" ht="15" customHeight="1" x14ac:dyDescent="0.2"/>
    <row r="12303" ht="15" customHeight="1" x14ac:dyDescent="0.2"/>
    <row r="12304" ht="15" customHeight="1" x14ac:dyDescent="0.2"/>
    <row r="12305" ht="15" customHeight="1" x14ac:dyDescent="0.2"/>
    <row r="12306" ht="15" customHeight="1" x14ac:dyDescent="0.2"/>
    <row r="12307" ht="15" customHeight="1" x14ac:dyDescent="0.2"/>
    <row r="12308" ht="15" customHeight="1" x14ac:dyDescent="0.2"/>
    <row r="12309" ht="15" customHeight="1" x14ac:dyDescent="0.2"/>
    <row r="12310" ht="15" customHeight="1" x14ac:dyDescent="0.2"/>
    <row r="12311" ht="15" customHeight="1" x14ac:dyDescent="0.2"/>
    <row r="12312" ht="15" customHeight="1" x14ac:dyDescent="0.2"/>
    <row r="12313" ht="15" customHeight="1" x14ac:dyDescent="0.2"/>
    <row r="12314" ht="15" customHeight="1" x14ac:dyDescent="0.2"/>
    <row r="12315" ht="15" customHeight="1" x14ac:dyDescent="0.2"/>
    <row r="12316" ht="15" customHeight="1" x14ac:dyDescent="0.2"/>
    <row r="12317" ht="15" customHeight="1" x14ac:dyDescent="0.2"/>
    <row r="12318" ht="15" customHeight="1" x14ac:dyDescent="0.2"/>
    <row r="12319" ht="15" customHeight="1" x14ac:dyDescent="0.2"/>
    <row r="12320" ht="15" customHeight="1" x14ac:dyDescent="0.2"/>
    <row r="12321" ht="15" customHeight="1" x14ac:dyDescent="0.2"/>
    <row r="12322" ht="15" customHeight="1" x14ac:dyDescent="0.2"/>
    <row r="12323" ht="15" customHeight="1" x14ac:dyDescent="0.2"/>
    <row r="12324" ht="15" customHeight="1" x14ac:dyDescent="0.2"/>
    <row r="12325" ht="15" customHeight="1" x14ac:dyDescent="0.2"/>
    <row r="12326" ht="15" customHeight="1" x14ac:dyDescent="0.2"/>
    <row r="12327" ht="15" customHeight="1" x14ac:dyDescent="0.2"/>
    <row r="12328" ht="15" customHeight="1" x14ac:dyDescent="0.2"/>
    <row r="12329" ht="15" customHeight="1" x14ac:dyDescent="0.2"/>
    <row r="12330" ht="15" customHeight="1" x14ac:dyDescent="0.2"/>
    <row r="12331" ht="15" customHeight="1" x14ac:dyDescent="0.2"/>
    <row r="12332" ht="15" customHeight="1" x14ac:dyDescent="0.2"/>
    <row r="12333" ht="15" customHeight="1" x14ac:dyDescent="0.2"/>
    <row r="12334" ht="15" customHeight="1" x14ac:dyDescent="0.2"/>
    <row r="12335" ht="15" customHeight="1" x14ac:dyDescent="0.2"/>
    <row r="12336" ht="15" customHeight="1" x14ac:dyDescent="0.2"/>
    <row r="12337" ht="15" customHeight="1" x14ac:dyDescent="0.2"/>
    <row r="12338" ht="15" customHeight="1" x14ac:dyDescent="0.2"/>
    <row r="12339" ht="15" customHeight="1" x14ac:dyDescent="0.2"/>
    <row r="12340" ht="15" customHeight="1" x14ac:dyDescent="0.2"/>
    <row r="12341" ht="15" customHeight="1" x14ac:dyDescent="0.2"/>
    <row r="12342" ht="15" customHeight="1" x14ac:dyDescent="0.2"/>
    <row r="12343" ht="15" customHeight="1" x14ac:dyDescent="0.2"/>
    <row r="12344" ht="15" customHeight="1" x14ac:dyDescent="0.2"/>
    <row r="12345" ht="15" customHeight="1" x14ac:dyDescent="0.2"/>
    <row r="12346" ht="15" customHeight="1" x14ac:dyDescent="0.2"/>
    <row r="12347" ht="15" customHeight="1" x14ac:dyDescent="0.2"/>
    <row r="12348" ht="15" customHeight="1" x14ac:dyDescent="0.2"/>
    <row r="12349" ht="15" customHeight="1" x14ac:dyDescent="0.2"/>
    <row r="12350" ht="15" customHeight="1" x14ac:dyDescent="0.2"/>
    <row r="12351" ht="15" customHeight="1" x14ac:dyDescent="0.2"/>
    <row r="12352" ht="15" customHeight="1" x14ac:dyDescent="0.2"/>
    <row r="12353" ht="15" customHeight="1" x14ac:dyDescent="0.2"/>
    <row r="12354" ht="15" customHeight="1" x14ac:dyDescent="0.2"/>
    <row r="12355" ht="15" customHeight="1" x14ac:dyDescent="0.2"/>
    <row r="12356" ht="15" customHeight="1" x14ac:dyDescent="0.2"/>
    <row r="12357" ht="15" customHeight="1" x14ac:dyDescent="0.2"/>
    <row r="12358" ht="15" customHeight="1" x14ac:dyDescent="0.2"/>
    <row r="12359" ht="15" customHeight="1" x14ac:dyDescent="0.2"/>
    <row r="12360" ht="15" customHeight="1" x14ac:dyDescent="0.2"/>
    <row r="12361" ht="15" customHeight="1" x14ac:dyDescent="0.2"/>
    <row r="12362" ht="15" customHeight="1" x14ac:dyDescent="0.2"/>
    <row r="12363" ht="15" customHeight="1" x14ac:dyDescent="0.2"/>
    <row r="12364" ht="15" customHeight="1" x14ac:dyDescent="0.2"/>
    <row r="12365" ht="15" customHeight="1" x14ac:dyDescent="0.2"/>
    <row r="12366" ht="15" customHeight="1" x14ac:dyDescent="0.2"/>
    <row r="12367" ht="15" customHeight="1" x14ac:dyDescent="0.2"/>
    <row r="12368" ht="15" customHeight="1" x14ac:dyDescent="0.2"/>
    <row r="12369" ht="15" customHeight="1" x14ac:dyDescent="0.2"/>
    <row r="12370" ht="15" customHeight="1" x14ac:dyDescent="0.2"/>
    <row r="12371" ht="15" customHeight="1" x14ac:dyDescent="0.2"/>
    <row r="12372" ht="15" customHeight="1" x14ac:dyDescent="0.2"/>
    <row r="12373" ht="15" customHeight="1" x14ac:dyDescent="0.2"/>
    <row r="12374" ht="15" customHeight="1" x14ac:dyDescent="0.2"/>
    <row r="12375" ht="15" customHeight="1" x14ac:dyDescent="0.2"/>
    <row r="12376" ht="15" customHeight="1" x14ac:dyDescent="0.2"/>
    <row r="12377" ht="15" customHeight="1" x14ac:dyDescent="0.2"/>
    <row r="12378" ht="15" customHeight="1" x14ac:dyDescent="0.2"/>
    <row r="12379" ht="15" customHeight="1" x14ac:dyDescent="0.2"/>
    <row r="12380" ht="15" customHeight="1" x14ac:dyDescent="0.2"/>
    <row r="12381" ht="15" customHeight="1" x14ac:dyDescent="0.2"/>
    <row r="12382" ht="15" customHeight="1" x14ac:dyDescent="0.2"/>
    <row r="12383" ht="15" customHeight="1" x14ac:dyDescent="0.2"/>
    <row r="12384" ht="15" customHeight="1" x14ac:dyDescent="0.2"/>
    <row r="12385" ht="15" customHeight="1" x14ac:dyDescent="0.2"/>
    <row r="12386" ht="15" customHeight="1" x14ac:dyDescent="0.2"/>
    <row r="12387" ht="15" customHeight="1" x14ac:dyDescent="0.2"/>
    <row r="12388" ht="15" customHeight="1" x14ac:dyDescent="0.2"/>
    <row r="12389" ht="15" customHeight="1" x14ac:dyDescent="0.2"/>
    <row r="12390" ht="15" customHeight="1" x14ac:dyDescent="0.2"/>
    <row r="12391" ht="15" customHeight="1" x14ac:dyDescent="0.2"/>
    <row r="12392" ht="15" customHeight="1" x14ac:dyDescent="0.2"/>
    <row r="12393" ht="15" customHeight="1" x14ac:dyDescent="0.2"/>
    <row r="12394" ht="15" customHeight="1" x14ac:dyDescent="0.2"/>
    <row r="12395" ht="15" customHeight="1" x14ac:dyDescent="0.2"/>
    <row r="12396" ht="15" customHeight="1" x14ac:dyDescent="0.2"/>
    <row r="12397" ht="15" customHeight="1" x14ac:dyDescent="0.2"/>
    <row r="12398" ht="15" customHeight="1" x14ac:dyDescent="0.2"/>
    <row r="12399" ht="15" customHeight="1" x14ac:dyDescent="0.2"/>
    <row r="12400" ht="15" customHeight="1" x14ac:dyDescent="0.2"/>
    <row r="12401" ht="15" customHeight="1" x14ac:dyDescent="0.2"/>
    <row r="12402" ht="15" customHeight="1" x14ac:dyDescent="0.2"/>
    <row r="12403" ht="15" customHeight="1" x14ac:dyDescent="0.2"/>
    <row r="12404" ht="15" customHeight="1" x14ac:dyDescent="0.2"/>
    <row r="12405" ht="15" customHeight="1" x14ac:dyDescent="0.2"/>
    <row r="12406" ht="15" customHeight="1" x14ac:dyDescent="0.2"/>
    <row r="12407" ht="15" customHeight="1" x14ac:dyDescent="0.2"/>
    <row r="12408" ht="15" customHeight="1" x14ac:dyDescent="0.2"/>
    <row r="12409" ht="15" customHeight="1" x14ac:dyDescent="0.2"/>
    <row r="12410" ht="15" customHeight="1" x14ac:dyDescent="0.2"/>
    <row r="12411" ht="15" customHeight="1" x14ac:dyDescent="0.2"/>
    <row r="12412" ht="15" customHeight="1" x14ac:dyDescent="0.2"/>
    <row r="12413" ht="15" customHeight="1" x14ac:dyDescent="0.2"/>
    <row r="12414" ht="15" customHeight="1" x14ac:dyDescent="0.2"/>
    <row r="12415" ht="15" customHeight="1" x14ac:dyDescent="0.2"/>
    <row r="12416" ht="15" customHeight="1" x14ac:dyDescent="0.2"/>
    <row r="12417" ht="15" customHeight="1" x14ac:dyDescent="0.2"/>
    <row r="12418" ht="15" customHeight="1" x14ac:dyDescent="0.2"/>
    <row r="12419" ht="15" customHeight="1" x14ac:dyDescent="0.2"/>
    <row r="12420" ht="15" customHeight="1" x14ac:dyDescent="0.2"/>
    <row r="12421" ht="15" customHeight="1" x14ac:dyDescent="0.2"/>
    <row r="12422" ht="15" customHeight="1" x14ac:dyDescent="0.2"/>
    <row r="12423" ht="15" customHeight="1" x14ac:dyDescent="0.2"/>
    <row r="12424" ht="15" customHeight="1" x14ac:dyDescent="0.2"/>
    <row r="12425" ht="15" customHeight="1" x14ac:dyDescent="0.2"/>
    <row r="12426" ht="15" customHeight="1" x14ac:dyDescent="0.2"/>
    <row r="12427" ht="15" customHeight="1" x14ac:dyDescent="0.2"/>
    <row r="12428" ht="15" customHeight="1" x14ac:dyDescent="0.2"/>
    <row r="12429" ht="15" customHeight="1" x14ac:dyDescent="0.2"/>
    <row r="12430" ht="15" customHeight="1" x14ac:dyDescent="0.2"/>
    <row r="12431" ht="15" customHeight="1" x14ac:dyDescent="0.2"/>
    <row r="12432" ht="15" customHeight="1" x14ac:dyDescent="0.2"/>
    <row r="12433" ht="15" customHeight="1" x14ac:dyDescent="0.2"/>
    <row r="12434" ht="15" customHeight="1" x14ac:dyDescent="0.2"/>
    <row r="12435" ht="15" customHeight="1" x14ac:dyDescent="0.2"/>
    <row r="12436" ht="15" customHeight="1" x14ac:dyDescent="0.2"/>
    <row r="12437" ht="15" customHeight="1" x14ac:dyDescent="0.2"/>
    <row r="12438" ht="15" customHeight="1" x14ac:dyDescent="0.2"/>
    <row r="12439" ht="15" customHeight="1" x14ac:dyDescent="0.2"/>
    <row r="12440" ht="15" customHeight="1" x14ac:dyDescent="0.2"/>
    <row r="12441" ht="15" customHeight="1" x14ac:dyDescent="0.2"/>
    <row r="12442" ht="15" customHeight="1" x14ac:dyDescent="0.2"/>
    <row r="12443" ht="15" customHeight="1" x14ac:dyDescent="0.2"/>
    <row r="12444" ht="15" customHeight="1" x14ac:dyDescent="0.2"/>
    <row r="12445" ht="15" customHeight="1" x14ac:dyDescent="0.2"/>
    <row r="12446" ht="15" customHeight="1" x14ac:dyDescent="0.2"/>
    <row r="12447" ht="15" customHeight="1" x14ac:dyDescent="0.2"/>
    <row r="12448" ht="15" customHeight="1" x14ac:dyDescent="0.2"/>
    <row r="12449" ht="15" customHeight="1" x14ac:dyDescent="0.2"/>
    <row r="12450" ht="15" customHeight="1" x14ac:dyDescent="0.2"/>
    <row r="12451" ht="15" customHeight="1" x14ac:dyDescent="0.2"/>
    <row r="12452" ht="15" customHeight="1" x14ac:dyDescent="0.2"/>
    <row r="12453" ht="15" customHeight="1" x14ac:dyDescent="0.2"/>
    <row r="12454" ht="15" customHeight="1" x14ac:dyDescent="0.2"/>
    <row r="12455" ht="15" customHeight="1" x14ac:dyDescent="0.2"/>
    <row r="12456" ht="15" customHeight="1" x14ac:dyDescent="0.2"/>
    <row r="12457" ht="15" customHeight="1" x14ac:dyDescent="0.2"/>
    <row r="12458" ht="15" customHeight="1" x14ac:dyDescent="0.2"/>
    <row r="12459" ht="15" customHeight="1" x14ac:dyDescent="0.2"/>
    <row r="12460" ht="15" customHeight="1" x14ac:dyDescent="0.2"/>
    <row r="12461" ht="15" customHeight="1" x14ac:dyDescent="0.2"/>
    <row r="12462" ht="15" customHeight="1" x14ac:dyDescent="0.2"/>
    <row r="12463" ht="15" customHeight="1" x14ac:dyDescent="0.2"/>
    <row r="12464" ht="15" customHeight="1" x14ac:dyDescent="0.2"/>
    <row r="12465" ht="15" customHeight="1" x14ac:dyDescent="0.2"/>
    <row r="12466" ht="15" customHeight="1" x14ac:dyDescent="0.2"/>
    <row r="12467" ht="15" customHeight="1" x14ac:dyDescent="0.2"/>
    <row r="12468" ht="15" customHeight="1" x14ac:dyDescent="0.2"/>
    <row r="12469" ht="15" customHeight="1" x14ac:dyDescent="0.2"/>
    <row r="12470" ht="15" customHeight="1" x14ac:dyDescent="0.2"/>
    <row r="12471" ht="15" customHeight="1" x14ac:dyDescent="0.2"/>
    <row r="12472" ht="15" customHeight="1" x14ac:dyDescent="0.2"/>
    <row r="12473" ht="15" customHeight="1" x14ac:dyDescent="0.2"/>
    <row r="12474" ht="15" customHeight="1" x14ac:dyDescent="0.2"/>
    <row r="12475" ht="15" customHeight="1" x14ac:dyDescent="0.2"/>
    <row r="12476" ht="15" customHeight="1" x14ac:dyDescent="0.2"/>
    <row r="12477" ht="15" customHeight="1" x14ac:dyDescent="0.2"/>
    <row r="12478" ht="15" customHeight="1" x14ac:dyDescent="0.2"/>
    <row r="12479" ht="15" customHeight="1" x14ac:dyDescent="0.2"/>
    <row r="12480" ht="15" customHeight="1" x14ac:dyDescent="0.2"/>
    <row r="12481" ht="15" customHeight="1" x14ac:dyDescent="0.2"/>
    <row r="12482" ht="15" customHeight="1" x14ac:dyDescent="0.2"/>
    <row r="12483" ht="15" customHeight="1" x14ac:dyDescent="0.2"/>
    <row r="12484" ht="15" customHeight="1" x14ac:dyDescent="0.2"/>
    <row r="12485" ht="15" customHeight="1" x14ac:dyDescent="0.2"/>
    <row r="12486" ht="15" customHeight="1" x14ac:dyDescent="0.2"/>
    <row r="12487" ht="15" customHeight="1" x14ac:dyDescent="0.2"/>
    <row r="12488" ht="15" customHeight="1" x14ac:dyDescent="0.2"/>
    <row r="12489" ht="15" customHeight="1" x14ac:dyDescent="0.2"/>
    <row r="12490" ht="15" customHeight="1" x14ac:dyDescent="0.2"/>
    <row r="12491" ht="15" customHeight="1" x14ac:dyDescent="0.2"/>
    <row r="12492" ht="15" customHeight="1" x14ac:dyDescent="0.2"/>
    <row r="12493" ht="15" customHeight="1" x14ac:dyDescent="0.2"/>
    <row r="12494" ht="15" customHeight="1" x14ac:dyDescent="0.2"/>
    <row r="12495" ht="15" customHeight="1" x14ac:dyDescent="0.2"/>
    <row r="12496" ht="15" customHeight="1" x14ac:dyDescent="0.2"/>
    <row r="12497" ht="15" customHeight="1" x14ac:dyDescent="0.2"/>
    <row r="12498" ht="15" customHeight="1" x14ac:dyDescent="0.2"/>
    <row r="12499" ht="15" customHeight="1" x14ac:dyDescent="0.2"/>
    <row r="12500" ht="15" customHeight="1" x14ac:dyDescent="0.2"/>
    <row r="12501" ht="15" customHeight="1" x14ac:dyDescent="0.2"/>
    <row r="12502" ht="15" customHeight="1" x14ac:dyDescent="0.2"/>
    <row r="12503" ht="15" customHeight="1" x14ac:dyDescent="0.2"/>
    <row r="12504" ht="15" customHeight="1" x14ac:dyDescent="0.2"/>
    <row r="12505" ht="15" customHeight="1" x14ac:dyDescent="0.2"/>
    <row r="12506" ht="15" customHeight="1" x14ac:dyDescent="0.2"/>
    <row r="12507" ht="15" customHeight="1" x14ac:dyDescent="0.2"/>
    <row r="12508" ht="15" customHeight="1" x14ac:dyDescent="0.2"/>
    <row r="12509" ht="15" customHeight="1" x14ac:dyDescent="0.2"/>
    <row r="12510" ht="15" customHeight="1" x14ac:dyDescent="0.2"/>
    <row r="12511" ht="15" customHeight="1" x14ac:dyDescent="0.2"/>
    <row r="12512" ht="15" customHeight="1" x14ac:dyDescent="0.2"/>
    <row r="12513" ht="15" customHeight="1" x14ac:dyDescent="0.2"/>
    <row r="12514" ht="15" customHeight="1" x14ac:dyDescent="0.2"/>
    <row r="12515" ht="15" customHeight="1" x14ac:dyDescent="0.2"/>
    <row r="12516" ht="15" customHeight="1" x14ac:dyDescent="0.2"/>
    <row r="12517" ht="15" customHeight="1" x14ac:dyDescent="0.2"/>
    <row r="12518" ht="15" customHeight="1" x14ac:dyDescent="0.2"/>
    <row r="12519" ht="15" customHeight="1" x14ac:dyDescent="0.2"/>
    <row r="12520" ht="15" customHeight="1" x14ac:dyDescent="0.2"/>
    <row r="12521" ht="15" customHeight="1" x14ac:dyDescent="0.2"/>
    <row r="12522" ht="15" customHeight="1" x14ac:dyDescent="0.2"/>
    <row r="12523" ht="15" customHeight="1" x14ac:dyDescent="0.2"/>
    <row r="12524" ht="15" customHeight="1" x14ac:dyDescent="0.2"/>
    <row r="12525" ht="15" customHeight="1" x14ac:dyDescent="0.2"/>
    <row r="12526" ht="15" customHeight="1" x14ac:dyDescent="0.2"/>
    <row r="12527" ht="15" customHeight="1" x14ac:dyDescent="0.2"/>
    <row r="12528" ht="15" customHeight="1" x14ac:dyDescent="0.2"/>
    <row r="12529" ht="15" customHeight="1" x14ac:dyDescent="0.2"/>
    <row r="12530" ht="15" customHeight="1" x14ac:dyDescent="0.2"/>
    <row r="12531" ht="15" customHeight="1" x14ac:dyDescent="0.2"/>
    <row r="12532" ht="15" customHeight="1" x14ac:dyDescent="0.2"/>
    <row r="12533" ht="15" customHeight="1" x14ac:dyDescent="0.2"/>
    <row r="12534" ht="15" customHeight="1" x14ac:dyDescent="0.2"/>
    <row r="12535" ht="15" customHeight="1" x14ac:dyDescent="0.2"/>
    <row r="12536" ht="15" customHeight="1" x14ac:dyDescent="0.2"/>
    <row r="12537" ht="15" customHeight="1" x14ac:dyDescent="0.2"/>
    <row r="12538" ht="15" customHeight="1" x14ac:dyDescent="0.2"/>
    <row r="12539" ht="15" customHeight="1" x14ac:dyDescent="0.2"/>
    <row r="12540" ht="15" customHeight="1" x14ac:dyDescent="0.2"/>
    <row r="12541" ht="15" customHeight="1" x14ac:dyDescent="0.2"/>
    <row r="12542" ht="15" customHeight="1" x14ac:dyDescent="0.2"/>
    <row r="12543" ht="15" customHeight="1" x14ac:dyDescent="0.2"/>
    <row r="12544" ht="15" customHeight="1" x14ac:dyDescent="0.2"/>
    <row r="12545" ht="15" customHeight="1" x14ac:dyDescent="0.2"/>
    <row r="12546" ht="15" customHeight="1" x14ac:dyDescent="0.2"/>
    <row r="12547" ht="15" customHeight="1" x14ac:dyDescent="0.2"/>
    <row r="12548" ht="15" customHeight="1" x14ac:dyDescent="0.2"/>
    <row r="12549" ht="15" customHeight="1" x14ac:dyDescent="0.2"/>
    <row r="12550" ht="15" customHeight="1" x14ac:dyDescent="0.2"/>
    <row r="12551" ht="15" customHeight="1" x14ac:dyDescent="0.2"/>
    <row r="12552" ht="15" customHeight="1" x14ac:dyDescent="0.2"/>
    <row r="12553" ht="15" customHeight="1" x14ac:dyDescent="0.2"/>
    <row r="12554" ht="15" customHeight="1" x14ac:dyDescent="0.2"/>
    <row r="12555" ht="15" customHeight="1" x14ac:dyDescent="0.2"/>
    <row r="12556" ht="15" customHeight="1" x14ac:dyDescent="0.2"/>
    <row r="12557" ht="15" customHeight="1" x14ac:dyDescent="0.2"/>
    <row r="12558" ht="15" customHeight="1" x14ac:dyDescent="0.2"/>
    <row r="12559" ht="15" customHeight="1" x14ac:dyDescent="0.2"/>
    <row r="12560" ht="15" customHeight="1" x14ac:dyDescent="0.2"/>
    <row r="12561" ht="15" customHeight="1" x14ac:dyDescent="0.2"/>
    <row r="12562" ht="15" customHeight="1" x14ac:dyDescent="0.2"/>
    <row r="12563" ht="15" customHeight="1" x14ac:dyDescent="0.2"/>
    <row r="12564" ht="15" customHeight="1" x14ac:dyDescent="0.2"/>
    <row r="12565" ht="15" customHeight="1" x14ac:dyDescent="0.2"/>
    <row r="12566" ht="15" customHeight="1" x14ac:dyDescent="0.2"/>
    <row r="12567" ht="15" customHeight="1" x14ac:dyDescent="0.2"/>
    <row r="12568" ht="15" customHeight="1" x14ac:dyDescent="0.2"/>
    <row r="12569" ht="15" customHeight="1" x14ac:dyDescent="0.2"/>
    <row r="12570" ht="15" customHeight="1" x14ac:dyDescent="0.2"/>
    <row r="12571" ht="15" customHeight="1" x14ac:dyDescent="0.2"/>
    <row r="12572" ht="15" customHeight="1" x14ac:dyDescent="0.2"/>
    <row r="12573" ht="15" customHeight="1" x14ac:dyDescent="0.2"/>
    <row r="12574" ht="15" customHeight="1" x14ac:dyDescent="0.2"/>
    <row r="12575" ht="15" customHeight="1" x14ac:dyDescent="0.2"/>
    <row r="12576" ht="15" customHeight="1" x14ac:dyDescent="0.2"/>
    <row r="12577" ht="15" customHeight="1" x14ac:dyDescent="0.2"/>
    <row r="12578" ht="15" customHeight="1" x14ac:dyDescent="0.2"/>
    <row r="12579" ht="15" customHeight="1" x14ac:dyDescent="0.2"/>
    <row r="12580" ht="15" customHeight="1" x14ac:dyDescent="0.2"/>
    <row r="12581" ht="15" customHeight="1" x14ac:dyDescent="0.2"/>
    <row r="12582" ht="15" customHeight="1" x14ac:dyDescent="0.2"/>
    <row r="12583" ht="15" customHeight="1" x14ac:dyDescent="0.2"/>
    <row r="12584" ht="15" customHeight="1" x14ac:dyDescent="0.2"/>
    <row r="12585" ht="15" customHeight="1" x14ac:dyDescent="0.2"/>
    <row r="12586" ht="15" customHeight="1" x14ac:dyDescent="0.2"/>
    <row r="12587" ht="15" customHeight="1" x14ac:dyDescent="0.2"/>
    <row r="12588" ht="15" customHeight="1" x14ac:dyDescent="0.2"/>
    <row r="12589" ht="15" customHeight="1" x14ac:dyDescent="0.2"/>
    <row r="12590" ht="15" customHeight="1" x14ac:dyDescent="0.2"/>
    <row r="12591" ht="15" customHeight="1" x14ac:dyDescent="0.2"/>
    <row r="12592" ht="15" customHeight="1" x14ac:dyDescent="0.2"/>
    <row r="12593" ht="15" customHeight="1" x14ac:dyDescent="0.2"/>
    <row r="12594" ht="15" customHeight="1" x14ac:dyDescent="0.2"/>
    <row r="12595" ht="15" customHeight="1" x14ac:dyDescent="0.2"/>
    <row r="12596" ht="15" customHeight="1" x14ac:dyDescent="0.2"/>
    <row r="12597" ht="15" customHeight="1" x14ac:dyDescent="0.2"/>
    <row r="12598" ht="15" customHeight="1" x14ac:dyDescent="0.2"/>
    <row r="12599" ht="15" customHeight="1" x14ac:dyDescent="0.2"/>
    <row r="12600" ht="15" customHeight="1" x14ac:dyDescent="0.2"/>
    <row r="12601" ht="15" customHeight="1" x14ac:dyDescent="0.2"/>
    <row r="12602" ht="15" customHeight="1" x14ac:dyDescent="0.2"/>
    <row r="12603" ht="15" customHeight="1" x14ac:dyDescent="0.2"/>
    <row r="12604" ht="15" customHeight="1" x14ac:dyDescent="0.2"/>
    <row r="12605" ht="15" customHeight="1" x14ac:dyDescent="0.2"/>
    <row r="12606" ht="15" customHeight="1" x14ac:dyDescent="0.2"/>
    <row r="12607" ht="15" customHeight="1" x14ac:dyDescent="0.2"/>
    <row r="12608" ht="15" customHeight="1" x14ac:dyDescent="0.2"/>
    <row r="12609" ht="15" customHeight="1" x14ac:dyDescent="0.2"/>
    <row r="12610" ht="15" customHeight="1" x14ac:dyDescent="0.2"/>
    <row r="12611" ht="15" customHeight="1" x14ac:dyDescent="0.2"/>
    <row r="12612" ht="15" customHeight="1" x14ac:dyDescent="0.2"/>
    <row r="12613" ht="15" customHeight="1" x14ac:dyDescent="0.2"/>
    <row r="12614" ht="15" customHeight="1" x14ac:dyDescent="0.2"/>
    <row r="12615" ht="15" customHeight="1" x14ac:dyDescent="0.2"/>
    <row r="12616" ht="15" customHeight="1" x14ac:dyDescent="0.2"/>
    <row r="12617" ht="15" customHeight="1" x14ac:dyDescent="0.2"/>
    <row r="12618" ht="15" customHeight="1" x14ac:dyDescent="0.2"/>
    <row r="12619" ht="15" customHeight="1" x14ac:dyDescent="0.2"/>
    <row r="12620" ht="15" customHeight="1" x14ac:dyDescent="0.2"/>
    <row r="12621" ht="15" customHeight="1" x14ac:dyDescent="0.2"/>
    <row r="12622" ht="15" customHeight="1" x14ac:dyDescent="0.2"/>
    <row r="12623" ht="15" customHeight="1" x14ac:dyDescent="0.2"/>
    <row r="12624" ht="15" customHeight="1" x14ac:dyDescent="0.2"/>
    <row r="12625" ht="15" customHeight="1" x14ac:dyDescent="0.2"/>
    <row r="12626" ht="15" customHeight="1" x14ac:dyDescent="0.2"/>
    <row r="12627" ht="15" customHeight="1" x14ac:dyDescent="0.2"/>
    <row r="12628" ht="15" customHeight="1" x14ac:dyDescent="0.2"/>
    <row r="12629" ht="15" customHeight="1" x14ac:dyDescent="0.2"/>
    <row r="12630" ht="15" customHeight="1" x14ac:dyDescent="0.2"/>
    <row r="12631" ht="15" customHeight="1" x14ac:dyDescent="0.2"/>
    <row r="12632" ht="15" customHeight="1" x14ac:dyDescent="0.2"/>
    <row r="12633" ht="15" customHeight="1" x14ac:dyDescent="0.2"/>
    <row r="12634" ht="15" customHeight="1" x14ac:dyDescent="0.2"/>
    <row r="12635" ht="15" customHeight="1" x14ac:dyDescent="0.2"/>
    <row r="12636" ht="15" customHeight="1" x14ac:dyDescent="0.2"/>
    <row r="12637" ht="15" customHeight="1" x14ac:dyDescent="0.2"/>
    <row r="12638" ht="15" customHeight="1" x14ac:dyDescent="0.2"/>
    <row r="12639" ht="15" customHeight="1" x14ac:dyDescent="0.2"/>
    <row r="12640" ht="15" customHeight="1" x14ac:dyDescent="0.2"/>
    <row r="12641" ht="15" customHeight="1" x14ac:dyDescent="0.2"/>
    <row r="12642" ht="15" customHeight="1" x14ac:dyDescent="0.2"/>
    <row r="12643" ht="15" customHeight="1" x14ac:dyDescent="0.2"/>
    <row r="12644" ht="15" customHeight="1" x14ac:dyDescent="0.2"/>
    <row r="12645" ht="15" customHeight="1" x14ac:dyDescent="0.2"/>
    <row r="12646" ht="15" customHeight="1" x14ac:dyDescent="0.2"/>
    <row r="12647" ht="15" customHeight="1" x14ac:dyDescent="0.2"/>
    <row r="12648" ht="15" customHeight="1" x14ac:dyDescent="0.2"/>
    <row r="12649" ht="15" customHeight="1" x14ac:dyDescent="0.2"/>
    <row r="12650" ht="15" customHeight="1" x14ac:dyDescent="0.2"/>
    <row r="12651" ht="15" customHeight="1" x14ac:dyDescent="0.2"/>
    <row r="12652" ht="15" customHeight="1" x14ac:dyDescent="0.2"/>
    <row r="12653" ht="15" customHeight="1" x14ac:dyDescent="0.2"/>
    <row r="12654" ht="15" customHeight="1" x14ac:dyDescent="0.2"/>
    <row r="12655" ht="15" customHeight="1" x14ac:dyDescent="0.2"/>
    <row r="12656" ht="15" customHeight="1" x14ac:dyDescent="0.2"/>
    <row r="12657" ht="15" customHeight="1" x14ac:dyDescent="0.2"/>
    <row r="12658" ht="15" customHeight="1" x14ac:dyDescent="0.2"/>
    <row r="12659" ht="15" customHeight="1" x14ac:dyDescent="0.2"/>
    <row r="12660" ht="15" customHeight="1" x14ac:dyDescent="0.2"/>
    <row r="12661" ht="15" customHeight="1" x14ac:dyDescent="0.2"/>
    <row r="12662" ht="15" customHeight="1" x14ac:dyDescent="0.2"/>
    <row r="12663" ht="15" customHeight="1" x14ac:dyDescent="0.2"/>
    <row r="12664" ht="15" customHeight="1" x14ac:dyDescent="0.2"/>
    <row r="12665" ht="15" customHeight="1" x14ac:dyDescent="0.2"/>
    <row r="12666" ht="15" customHeight="1" x14ac:dyDescent="0.2"/>
    <row r="12667" ht="15" customHeight="1" x14ac:dyDescent="0.2"/>
    <row r="12668" ht="15" customHeight="1" x14ac:dyDescent="0.2"/>
    <row r="12669" ht="15" customHeight="1" x14ac:dyDescent="0.2"/>
    <row r="12670" ht="15" customHeight="1" x14ac:dyDescent="0.2"/>
    <row r="12671" ht="15" customHeight="1" x14ac:dyDescent="0.2"/>
    <row r="12672" ht="15" customHeight="1" x14ac:dyDescent="0.2"/>
    <row r="12673" ht="15" customHeight="1" x14ac:dyDescent="0.2"/>
    <row r="12674" ht="15" customHeight="1" x14ac:dyDescent="0.2"/>
    <row r="12675" ht="15" customHeight="1" x14ac:dyDescent="0.2"/>
    <row r="12676" ht="15" customHeight="1" x14ac:dyDescent="0.2"/>
    <row r="12677" ht="15" customHeight="1" x14ac:dyDescent="0.2"/>
    <row r="12678" ht="15" customHeight="1" x14ac:dyDescent="0.2"/>
    <row r="12679" ht="15" customHeight="1" x14ac:dyDescent="0.2"/>
    <row r="12680" ht="15" customHeight="1" x14ac:dyDescent="0.2"/>
    <row r="12681" ht="15" customHeight="1" x14ac:dyDescent="0.2"/>
    <row r="12682" ht="15" customHeight="1" x14ac:dyDescent="0.2"/>
    <row r="12683" ht="15" customHeight="1" x14ac:dyDescent="0.2"/>
    <row r="12684" ht="15" customHeight="1" x14ac:dyDescent="0.2"/>
    <row r="12685" ht="15" customHeight="1" x14ac:dyDescent="0.2"/>
    <row r="12686" ht="15" customHeight="1" x14ac:dyDescent="0.2"/>
    <row r="12687" ht="15" customHeight="1" x14ac:dyDescent="0.2"/>
    <row r="12688" ht="15" customHeight="1" x14ac:dyDescent="0.2"/>
    <row r="12689" ht="15" customHeight="1" x14ac:dyDescent="0.2"/>
    <row r="12690" ht="15" customHeight="1" x14ac:dyDescent="0.2"/>
    <row r="12691" ht="15" customHeight="1" x14ac:dyDescent="0.2"/>
    <row r="12692" ht="15" customHeight="1" x14ac:dyDescent="0.2"/>
    <row r="12693" ht="15" customHeight="1" x14ac:dyDescent="0.2"/>
    <row r="12694" ht="15" customHeight="1" x14ac:dyDescent="0.2"/>
    <row r="12695" ht="15" customHeight="1" x14ac:dyDescent="0.2"/>
    <row r="12696" ht="15" customHeight="1" x14ac:dyDescent="0.2"/>
    <row r="12697" ht="15" customHeight="1" x14ac:dyDescent="0.2"/>
    <row r="12698" ht="15" customHeight="1" x14ac:dyDescent="0.2"/>
    <row r="12699" ht="15" customHeight="1" x14ac:dyDescent="0.2"/>
    <row r="12700" ht="15" customHeight="1" x14ac:dyDescent="0.2"/>
    <row r="12701" ht="15" customHeight="1" x14ac:dyDescent="0.2"/>
    <row r="12702" ht="15" customHeight="1" x14ac:dyDescent="0.2"/>
    <row r="12703" ht="15" customHeight="1" x14ac:dyDescent="0.2"/>
    <row r="12704" ht="15" customHeight="1" x14ac:dyDescent="0.2"/>
    <row r="12705" ht="15" customHeight="1" x14ac:dyDescent="0.2"/>
    <row r="12706" ht="15" customHeight="1" x14ac:dyDescent="0.2"/>
    <row r="12707" ht="15" customHeight="1" x14ac:dyDescent="0.2"/>
    <row r="12708" ht="15" customHeight="1" x14ac:dyDescent="0.2"/>
    <row r="12709" ht="15" customHeight="1" x14ac:dyDescent="0.2"/>
    <row r="12710" ht="15" customHeight="1" x14ac:dyDescent="0.2"/>
    <row r="12711" ht="15" customHeight="1" x14ac:dyDescent="0.2"/>
    <row r="12712" ht="15" customHeight="1" x14ac:dyDescent="0.2"/>
    <row r="12713" ht="15" customHeight="1" x14ac:dyDescent="0.2"/>
    <row r="12714" ht="15" customHeight="1" x14ac:dyDescent="0.2"/>
    <row r="12715" ht="15" customHeight="1" x14ac:dyDescent="0.2"/>
    <row r="12716" ht="15" customHeight="1" x14ac:dyDescent="0.2"/>
    <row r="12717" ht="15" customHeight="1" x14ac:dyDescent="0.2"/>
    <row r="12718" ht="15" customHeight="1" x14ac:dyDescent="0.2"/>
    <row r="12719" ht="15" customHeight="1" x14ac:dyDescent="0.2"/>
    <row r="12720" ht="15" customHeight="1" x14ac:dyDescent="0.2"/>
    <row r="12721" ht="15" customHeight="1" x14ac:dyDescent="0.2"/>
    <row r="12722" ht="15" customHeight="1" x14ac:dyDescent="0.2"/>
    <row r="12723" ht="15" customHeight="1" x14ac:dyDescent="0.2"/>
    <row r="12724" ht="15" customHeight="1" x14ac:dyDescent="0.2"/>
    <row r="12725" ht="15" customHeight="1" x14ac:dyDescent="0.2"/>
    <row r="12726" ht="15" customHeight="1" x14ac:dyDescent="0.2"/>
    <row r="12727" ht="15" customHeight="1" x14ac:dyDescent="0.2"/>
    <row r="12728" ht="15" customHeight="1" x14ac:dyDescent="0.2"/>
    <row r="12729" ht="15" customHeight="1" x14ac:dyDescent="0.2"/>
    <row r="12730" ht="15" customHeight="1" x14ac:dyDescent="0.2"/>
    <row r="12731" ht="15" customHeight="1" x14ac:dyDescent="0.2"/>
    <row r="12732" ht="15" customHeight="1" x14ac:dyDescent="0.2"/>
    <row r="12733" ht="15" customHeight="1" x14ac:dyDescent="0.2"/>
    <row r="12734" ht="15" customHeight="1" x14ac:dyDescent="0.2"/>
    <row r="12735" ht="15" customHeight="1" x14ac:dyDescent="0.2"/>
    <row r="12736" ht="15" customHeight="1" x14ac:dyDescent="0.2"/>
    <row r="12737" ht="15" customHeight="1" x14ac:dyDescent="0.2"/>
    <row r="12738" ht="15" customHeight="1" x14ac:dyDescent="0.2"/>
    <row r="12739" ht="15" customHeight="1" x14ac:dyDescent="0.2"/>
    <row r="12740" ht="15" customHeight="1" x14ac:dyDescent="0.2"/>
    <row r="12741" ht="15" customHeight="1" x14ac:dyDescent="0.2"/>
    <row r="12742" ht="15" customHeight="1" x14ac:dyDescent="0.2"/>
    <row r="12743" ht="15" customHeight="1" x14ac:dyDescent="0.2"/>
    <row r="12744" ht="15" customHeight="1" x14ac:dyDescent="0.2"/>
    <row r="12745" ht="15" customHeight="1" x14ac:dyDescent="0.2"/>
    <row r="12746" ht="15" customHeight="1" x14ac:dyDescent="0.2"/>
    <row r="12747" ht="15" customHeight="1" x14ac:dyDescent="0.2"/>
    <row r="12748" ht="15" customHeight="1" x14ac:dyDescent="0.2"/>
    <row r="12749" ht="15" customHeight="1" x14ac:dyDescent="0.2"/>
    <row r="12750" ht="15" customHeight="1" x14ac:dyDescent="0.2"/>
    <row r="12751" ht="15" customHeight="1" x14ac:dyDescent="0.2"/>
    <row r="12752" ht="15" customHeight="1" x14ac:dyDescent="0.2"/>
    <row r="12753" ht="15" customHeight="1" x14ac:dyDescent="0.2"/>
    <row r="12754" ht="15" customHeight="1" x14ac:dyDescent="0.2"/>
    <row r="12755" ht="15" customHeight="1" x14ac:dyDescent="0.2"/>
    <row r="12756" ht="15" customHeight="1" x14ac:dyDescent="0.2"/>
    <row r="12757" ht="15" customHeight="1" x14ac:dyDescent="0.2"/>
    <row r="12758" ht="15" customHeight="1" x14ac:dyDescent="0.2"/>
    <row r="12759" ht="15" customHeight="1" x14ac:dyDescent="0.2"/>
    <row r="12760" ht="15" customHeight="1" x14ac:dyDescent="0.2"/>
    <row r="12761" ht="15" customHeight="1" x14ac:dyDescent="0.2"/>
    <row r="12762" ht="15" customHeight="1" x14ac:dyDescent="0.2"/>
    <row r="12763" ht="15" customHeight="1" x14ac:dyDescent="0.2"/>
    <row r="12764" ht="15" customHeight="1" x14ac:dyDescent="0.2"/>
    <row r="12765" ht="15" customHeight="1" x14ac:dyDescent="0.2"/>
    <row r="12766" ht="15" customHeight="1" x14ac:dyDescent="0.2"/>
    <row r="12767" ht="15" customHeight="1" x14ac:dyDescent="0.2"/>
    <row r="12768" ht="15" customHeight="1" x14ac:dyDescent="0.2"/>
    <row r="12769" ht="15" customHeight="1" x14ac:dyDescent="0.2"/>
    <row r="12770" ht="15" customHeight="1" x14ac:dyDescent="0.2"/>
    <row r="12771" ht="15" customHeight="1" x14ac:dyDescent="0.2"/>
    <row r="12772" ht="15" customHeight="1" x14ac:dyDescent="0.2"/>
    <row r="12773" ht="15" customHeight="1" x14ac:dyDescent="0.2"/>
    <row r="12774" ht="15" customHeight="1" x14ac:dyDescent="0.2"/>
    <row r="12775" ht="15" customHeight="1" x14ac:dyDescent="0.2"/>
    <row r="12776" ht="15" customHeight="1" x14ac:dyDescent="0.2"/>
    <row r="12777" ht="15" customHeight="1" x14ac:dyDescent="0.2"/>
    <row r="12778" ht="15" customHeight="1" x14ac:dyDescent="0.2"/>
    <row r="12779" ht="15" customHeight="1" x14ac:dyDescent="0.2"/>
    <row r="12780" ht="15" customHeight="1" x14ac:dyDescent="0.2"/>
    <row r="12781" ht="15" customHeight="1" x14ac:dyDescent="0.2"/>
    <row r="12782" ht="15" customHeight="1" x14ac:dyDescent="0.2"/>
    <row r="12783" ht="15" customHeight="1" x14ac:dyDescent="0.2"/>
    <row r="12784" ht="15" customHeight="1" x14ac:dyDescent="0.2"/>
    <row r="12785" ht="15" customHeight="1" x14ac:dyDescent="0.2"/>
    <row r="12786" ht="15" customHeight="1" x14ac:dyDescent="0.2"/>
    <row r="12787" ht="15" customHeight="1" x14ac:dyDescent="0.2"/>
    <row r="12788" ht="15" customHeight="1" x14ac:dyDescent="0.2"/>
    <row r="12789" ht="15" customHeight="1" x14ac:dyDescent="0.2"/>
    <row r="12790" ht="15" customHeight="1" x14ac:dyDescent="0.2"/>
    <row r="12791" ht="15" customHeight="1" x14ac:dyDescent="0.2"/>
    <row r="12792" ht="15" customHeight="1" x14ac:dyDescent="0.2"/>
    <row r="12793" ht="15" customHeight="1" x14ac:dyDescent="0.2"/>
    <row r="12794" ht="15" customHeight="1" x14ac:dyDescent="0.2"/>
    <row r="12795" ht="15" customHeight="1" x14ac:dyDescent="0.2"/>
    <row r="12796" ht="15" customHeight="1" x14ac:dyDescent="0.2"/>
    <row r="12797" ht="15" customHeight="1" x14ac:dyDescent="0.2"/>
    <row r="12798" ht="15" customHeight="1" x14ac:dyDescent="0.2"/>
    <row r="12799" ht="15" customHeight="1" x14ac:dyDescent="0.2"/>
    <row r="12800" ht="15" customHeight="1" x14ac:dyDescent="0.2"/>
    <row r="12801" ht="15" customHeight="1" x14ac:dyDescent="0.2"/>
    <row r="12802" ht="15" customHeight="1" x14ac:dyDescent="0.2"/>
    <row r="12803" ht="15" customHeight="1" x14ac:dyDescent="0.2"/>
    <row r="12804" ht="15" customHeight="1" x14ac:dyDescent="0.2"/>
    <row r="12805" ht="15" customHeight="1" x14ac:dyDescent="0.2"/>
    <row r="12806" ht="15" customHeight="1" x14ac:dyDescent="0.2"/>
    <row r="12807" ht="15" customHeight="1" x14ac:dyDescent="0.2"/>
    <row r="12808" ht="15" customHeight="1" x14ac:dyDescent="0.2"/>
    <row r="12809" ht="15" customHeight="1" x14ac:dyDescent="0.2"/>
    <row r="12810" ht="15" customHeight="1" x14ac:dyDescent="0.2"/>
    <row r="12811" ht="15" customHeight="1" x14ac:dyDescent="0.2"/>
    <row r="12812" ht="15" customHeight="1" x14ac:dyDescent="0.2"/>
    <row r="12813" ht="15" customHeight="1" x14ac:dyDescent="0.2"/>
    <row r="12814" ht="15" customHeight="1" x14ac:dyDescent="0.2"/>
    <row r="12815" ht="15" customHeight="1" x14ac:dyDescent="0.2"/>
    <row r="12816" ht="15" customHeight="1" x14ac:dyDescent="0.2"/>
    <row r="12817" ht="15" customHeight="1" x14ac:dyDescent="0.2"/>
    <row r="12818" ht="15" customHeight="1" x14ac:dyDescent="0.2"/>
    <row r="12819" ht="15" customHeight="1" x14ac:dyDescent="0.2"/>
    <row r="12820" ht="15" customHeight="1" x14ac:dyDescent="0.2"/>
    <row r="12821" ht="15" customHeight="1" x14ac:dyDescent="0.2"/>
    <row r="12822" ht="15" customHeight="1" x14ac:dyDescent="0.2"/>
    <row r="12823" ht="15" customHeight="1" x14ac:dyDescent="0.2"/>
    <row r="12824" ht="15" customHeight="1" x14ac:dyDescent="0.2"/>
    <row r="12825" ht="15" customHeight="1" x14ac:dyDescent="0.2"/>
    <row r="12826" ht="15" customHeight="1" x14ac:dyDescent="0.2"/>
    <row r="12827" ht="15" customHeight="1" x14ac:dyDescent="0.2"/>
    <row r="12828" ht="15" customHeight="1" x14ac:dyDescent="0.2"/>
    <row r="12829" ht="15" customHeight="1" x14ac:dyDescent="0.2"/>
    <row r="12830" ht="15" customHeight="1" x14ac:dyDescent="0.2"/>
    <row r="12831" ht="15" customHeight="1" x14ac:dyDescent="0.2"/>
    <row r="12832" ht="15" customHeight="1" x14ac:dyDescent="0.2"/>
    <row r="12833" ht="15" customHeight="1" x14ac:dyDescent="0.2"/>
    <row r="12834" ht="15" customHeight="1" x14ac:dyDescent="0.2"/>
    <row r="12835" ht="15" customHeight="1" x14ac:dyDescent="0.2"/>
    <row r="12836" ht="15" customHeight="1" x14ac:dyDescent="0.2"/>
    <row r="12837" ht="15" customHeight="1" x14ac:dyDescent="0.2"/>
    <row r="12838" ht="15" customHeight="1" x14ac:dyDescent="0.2"/>
    <row r="12839" ht="15" customHeight="1" x14ac:dyDescent="0.2"/>
    <row r="12840" ht="15" customHeight="1" x14ac:dyDescent="0.2"/>
    <row r="12841" ht="15" customHeight="1" x14ac:dyDescent="0.2"/>
    <row r="12842" ht="15" customHeight="1" x14ac:dyDescent="0.2"/>
    <row r="12843" ht="15" customHeight="1" x14ac:dyDescent="0.2"/>
    <row r="12844" ht="15" customHeight="1" x14ac:dyDescent="0.2"/>
    <row r="12845" ht="15" customHeight="1" x14ac:dyDescent="0.2"/>
    <row r="12846" ht="15" customHeight="1" x14ac:dyDescent="0.2"/>
    <row r="12847" ht="15" customHeight="1" x14ac:dyDescent="0.2"/>
    <row r="12848" ht="15" customHeight="1" x14ac:dyDescent="0.2"/>
    <row r="12849" ht="15" customHeight="1" x14ac:dyDescent="0.2"/>
    <row r="12850" ht="15" customHeight="1" x14ac:dyDescent="0.2"/>
    <row r="12851" ht="15" customHeight="1" x14ac:dyDescent="0.2"/>
    <row r="12852" ht="15" customHeight="1" x14ac:dyDescent="0.2"/>
    <row r="12853" ht="15" customHeight="1" x14ac:dyDescent="0.2"/>
    <row r="12854" ht="15" customHeight="1" x14ac:dyDescent="0.2"/>
    <row r="12855" ht="15" customHeight="1" x14ac:dyDescent="0.2"/>
    <row r="12856" ht="15" customHeight="1" x14ac:dyDescent="0.2"/>
    <row r="12857" ht="15" customHeight="1" x14ac:dyDescent="0.2"/>
    <row r="12858" ht="15" customHeight="1" x14ac:dyDescent="0.2"/>
    <row r="12859" ht="15" customHeight="1" x14ac:dyDescent="0.2"/>
    <row r="12860" ht="15" customHeight="1" x14ac:dyDescent="0.2"/>
    <row r="12861" ht="15" customHeight="1" x14ac:dyDescent="0.2"/>
    <row r="12862" ht="15" customHeight="1" x14ac:dyDescent="0.2"/>
    <row r="12863" ht="15" customHeight="1" x14ac:dyDescent="0.2"/>
    <row r="12864" ht="15" customHeight="1" x14ac:dyDescent="0.2"/>
    <row r="12865" ht="15" customHeight="1" x14ac:dyDescent="0.2"/>
    <row r="12866" ht="15" customHeight="1" x14ac:dyDescent="0.2"/>
    <row r="12867" ht="15" customHeight="1" x14ac:dyDescent="0.2"/>
    <row r="12868" ht="15" customHeight="1" x14ac:dyDescent="0.2"/>
    <row r="12869" ht="15" customHeight="1" x14ac:dyDescent="0.2"/>
    <row r="12870" ht="15" customHeight="1" x14ac:dyDescent="0.2"/>
    <row r="12871" ht="15" customHeight="1" x14ac:dyDescent="0.2"/>
    <row r="12872" ht="15" customHeight="1" x14ac:dyDescent="0.2"/>
    <row r="12873" ht="15" customHeight="1" x14ac:dyDescent="0.2"/>
    <row r="12874" ht="15" customHeight="1" x14ac:dyDescent="0.2"/>
    <row r="12875" ht="15" customHeight="1" x14ac:dyDescent="0.2"/>
    <row r="12876" ht="15" customHeight="1" x14ac:dyDescent="0.2"/>
    <row r="12877" ht="15" customHeight="1" x14ac:dyDescent="0.2"/>
    <row r="12878" ht="15" customHeight="1" x14ac:dyDescent="0.2"/>
    <row r="12879" ht="15" customHeight="1" x14ac:dyDescent="0.2"/>
    <row r="12880" ht="15" customHeight="1" x14ac:dyDescent="0.2"/>
    <row r="12881" ht="15" customHeight="1" x14ac:dyDescent="0.2"/>
    <row r="12882" ht="15" customHeight="1" x14ac:dyDescent="0.2"/>
    <row r="12883" ht="15" customHeight="1" x14ac:dyDescent="0.2"/>
    <row r="12884" ht="15" customHeight="1" x14ac:dyDescent="0.2"/>
    <row r="12885" ht="15" customHeight="1" x14ac:dyDescent="0.2"/>
    <row r="12886" ht="15" customHeight="1" x14ac:dyDescent="0.2"/>
    <row r="12887" ht="15" customHeight="1" x14ac:dyDescent="0.2"/>
    <row r="12888" ht="15" customHeight="1" x14ac:dyDescent="0.2"/>
    <row r="12889" ht="15" customHeight="1" x14ac:dyDescent="0.2"/>
    <row r="12890" ht="15" customHeight="1" x14ac:dyDescent="0.2"/>
    <row r="12891" ht="15" customHeight="1" x14ac:dyDescent="0.2"/>
    <row r="12892" ht="15" customHeight="1" x14ac:dyDescent="0.2"/>
    <row r="12893" ht="15" customHeight="1" x14ac:dyDescent="0.2"/>
    <row r="12894" ht="15" customHeight="1" x14ac:dyDescent="0.2"/>
    <row r="12895" ht="15" customHeight="1" x14ac:dyDescent="0.2"/>
    <row r="12896" ht="15" customHeight="1" x14ac:dyDescent="0.2"/>
    <row r="12897" ht="15" customHeight="1" x14ac:dyDescent="0.2"/>
    <row r="12898" ht="15" customHeight="1" x14ac:dyDescent="0.2"/>
    <row r="12899" ht="15" customHeight="1" x14ac:dyDescent="0.2"/>
    <row r="12900" ht="15" customHeight="1" x14ac:dyDescent="0.2"/>
    <row r="12901" ht="15" customHeight="1" x14ac:dyDescent="0.2"/>
    <row r="12902" ht="15" customHeight="1" x14ac:dyDescent="0.2"/>
    <row r="12903" ht="15" customHeight="1" x14ac:dyDescent="0.2"/>
    <row r="12904" ht="15" customHeight="1" x14ac:dyDescent="0.2"/>
    <row r="12905" ht="15" customHeight="1" x14ac:dyDescent="0.2"/>
    <row r="12906" ht="15" customHeight="1" x14ac:dyDescent="0.2"/>
    <row r="12907" ht="15" customHeight="1" x14ac:dyDescent="0.2"/>
    <row r="12908" ht="15" customHeight="1" x14ac:dyDescent="0.2"/>
    <row r="12909" ht="15" customHeight="1" x14ac:dyDescent="0.2"/>
    <row r="12910" ht="15" customHeight="1" x14ac:dyDescent="0.2"/>
    <row r="12911" ht="15" customHeight="1" x14ac:dyDescent="0.2"/>
    <row r="12912" ht="15" customHeight="1" x14ac:dyDescent="0.2"/>
    <row r="12913" ht="15" customHeight="1" x14ac:dyDescent="0.2"/>
    <row r="12914" ht="15" customHeight="1" x14ac:dyDescent="0.2"/>
    <row r="12915" ht="15" customHeight="1" x14ac:dyDescent="0.2"/>
    <row r="12916" ht="15" customHeight="1" x14ac:dyDescent="0.2"/>
    <row r="12917" ht="15" customHeight="1" x14ac:dyDescent="0.2"/>
    <row r="12918" ht="15" customHeight="1" x14ac:dyDescent="0.2"/>
    <row r="12919" ht="15" customHeight="1" x14ac:dyDescent="0.2"/>
    <row r="12920" ht="15" customHeight="1" x14ac:dyDescent="0.2"/>
    <row r="12921" ht="15" customHeight="1" x14ac:dyDescent="0.2"/>
    <row r="12922" ht="15" customHeight="1" x14ac:dyDescent="0.2"/>
    <row r="12923" ht="15" customHeight="1" x14ac:dyDescent="0.2"/>
    <row r="12924" ht="15" customHeight="1" x14ac:dyDescent="0.2"/>
    <row r="12925" ht="15" customHeight="1" x14ac:dyDescent="0.2"/>
    <row r="12926" ht="15" customHeight="1" x14ac:dyDescent="0.2"/>
    <row r="12927" ht="15" customHeight="1" x14ac:dyDescent="0.2"/>
    <row r="12928" ht="15" customHeight="1" x14ac:dyDescent="0.2"/>
    <row r="12929" ht="15" customHeight="1" x14ac:dyDescent="0.2"/>
    <row r="12930" ht="15" customHeight="1" x14ac:dyDescent="0.2"/>
    <row r="12931" ht="15" customHeight="1" x14ac:dyDescent="0.2"/>
    <row r="12932" ht="15" customHeight="1" x14ac:dyDescent="0.2"/>
    <row r="12933" ht="15" customHeight="1" x14ac:dyDescent="0.2"/>
    <row r="12934" ht="15" customHeight="1" x14ac:dyDescent="0.2"/>
    <row r="12935" ht="15" customHeight="1" x14ac:dyDescent="0.2"/>
    <row r="12936" ht="15" customHeight="1" x14ac:dyDescent="0.2"/>
    <row r="12937" ht="15" customHeight="1" x14ac:dyDescent="0.2"/>
    <row r="12938" ht="15" customHeight="1" x14ac:dyDescent="0.2"/>
    <row r="12939" ht="15" customHeight="1" x14ac:dyDescent="0.2"/>
    <row r="12940" ht="15" customHeight="1" x14ac:dyDescent="0.2"/>
    <row r="12941" ht="15" customHeight="1" x14ac:dyDescent="0.2"/>
    <row r="12942" ht="15" customHeight="1" x14ac:dyDescent="0.2"/>
    <row r="12943" ht="15" customHeight="1" x14ac:dyDescent="0.2"/>
    <row r="12944" ht="15" customHeight="1" x14ac:dyDescent="0.2"/>
    <row r="12945" ht="15" customHeight="1" x14ac:dyDescent="0.2"/>
    <row r="12946" ht="15" customHeight="1" x14ac:dyDescent="0.2"/>
    <row r="12947" ht="15" customHeight="1" x14ac:dyDescent="0.2"/>
    <row r="12948" ht="15" customHeight="1" x14ac:dyDescent="0.2"/>
    <row r="12949" ht="15" customHeight="1" x14ac:dyDescent="0.2"/>
    <row r="12950" ht="15" customHeight="1" x14ac:dyDescent="0.2"/>
    <row r="12951" ht="15" customHeight="1" x14ac:dyDescent="0.2"/>
    <row r="12952" ht="15" customHeight="1" x14ac:dyDescent="0.2"/>
    <row r="12953" ht="15" customHeight="1" x14ac:dyDescent="0.2"/>
    <row r="12954" ht="15" customHeight="1" x14ac:dyDescent="0.2"/>
    <row r="12955" ht="15" customHeight="1" x14ac:dyDescent="0.2"/>
    <row r="12956" ht="15" customHeight="1" x14ac:dyDescent="0.2"/>
    <row r="12957" ht="15" customHeight="1" x14ac:dyDescent="0.2"/>
    <row r="12958" ht="15" customHeight="1" x14ac:dyDescent="0.2"/>
    <row r="12959" ht="15" customHeight="1" x14ac:dyDescent="0.2"/>
    <row r="12960" ht="15" customHeight="1" x14ac:dyDescent="0.2"/>
    <row r="12961" ht="15" customHeight="1" x14ac:dyDescent="0.2"/>
    <row r="12962" ht="15" customHeight="1" x14ac:dyDescent="0.2"/>
    <row r="12963" ht="15" customHeight="1" x14ac:dyDescent="0.2"/>
    <row r="12964" ht="15" customHeight="1" x14ac:dyDescent="0.2"/>
    <row r="12965" ht="15" customHeight="1" x14ac:dyDescent="0.2"/>
    <row r="12966" ht="15" customHeight="1" x14ac:dyDescent="0.2"/>
    <row r="12967" ht="15" customHeight="1" x14ac:dyDescent="0.2"/>
    <row r="12968" ht="15" customHeight="1" x14ac:dyDescent="0.2"/>
    <row r="12969" ht="15" customHeight="1" x14ac:dyDescent="0.2"/>
    <row r="12970" ht="15" customHeight="1" x14ac:dyDescent="0.2"/>
    <row r="12971" ht="15" customHeight="1" x14ac:dyDescent="0.2"/>
    <row r="12972" ht="15" customHeight="1" x14ac:dyDescent="0.2"/>
    <row r="12973" ht="15" customHeight="1" x14ac:dyDescent="0.2"/>
    <row r="12974" ht="15" customHeight="1" x14ac:dyDescent="0.2"/>
    <row r="12975" ht="15" customHeight="1" x14ac:dyDescent="0.2"/>
    <row r="12976" ht="15" customHeight="1" x14ac:dyDescent="0.2"/>
    <row r="12977" ht="15" customHeight="1" x14ac:dyDescent="0.2"/>
    <row r="12978" ht="15" customHeight="1" x14ac:dyDescent="0.2"/>
    <row r="12979" ht="15" customHeight="1" x14ac:dyDescent="0.2"/>
    <row r="12980" ht="15" customHeight="1" x14ac:dyDescent="0.2"/>
    <row r="12981" ht="15" customHeight="1" x14ac:dyDescent="0.2"/>
    <row r="12982" ht="15" customHeight="1" x14ac:dyDescent="0.2"/>
    <row r="12983" ht="15" customHeight="1" x14ac:dyDescent="0.2"/>
    <row r="12984" ht="15" customHeight="1" x14ac:dyDescent="0.2"/>
    <row r="12985" ht="15" customHeight="1" x14ac:dyDescent="0.2"/>
    <row r="12986" ht="15" customHeight="1" x14ac:dyDescent="0.2"/>
    <row r="12987" ht="15" customHeight="1" x14ac:dyDescent="0.2"/>
    <row r="12988" ht="15" customHeight="1" x14ac:dyDescent="0.2"/>
    <row r="12989" ht="15" customHeight="1" x14ac:dyDescent="0.2"/>
    <row r="12990" ht="15" customHeight="1" x14ac:dyDescent="0.2"/>
    <row r="12991" ht="15" customHeight="1" x14ac:dyDescent="0.2"/>
    <row r="12992" ht="15" customHeight="1" x14ac:dyDescent="0.2"/>
    <row r="12993" ht="15" customHeight="1" x14ac:dyDescent="0.2"/>
    <row r="12994" ht="15" customHeight="1" x14ac:dyDescent="0.2"/>
    <row r="12995" ht="15" customHeight="1" x14ac:dyDescent="0.2"/>
    <row r="12996" ht="15" customHeight="1" x14ac:dyDescent="0.2"/>
    <row r="12997" ht="15" customHeight="1" x14ac:dyDescent="0.2"/>
    <row r="12998" ht="15" customHeight="1" x14ac:dyDescent="0.2"/>
    <row r="12999" ht="15" customHeight="1" x14ac:dyDescent="0.2"/>
    <row r="13000" ht="15" customHeight="1" x14ac:dyDescent="0.2"/>
    <row r="13001" ht="15" customHeight="1" x14ac:dyDescent="0.2"/>
    <row r="13002" ht="15" customHeight="1" x14ac:dyDescent="0.2"/>
    <row r="13003" ht="15" customHeight="1" x14ac:dyDescent="0.2"/>
    <row r="13004" ht="15" customHeight="1" x14ac:dyDescent="0.2"/>
    <row r="13005" ht="15" customHeight="1" x14ac:dyDescent="0.2"/>
    <row r="13006" ht="15" customHeight="1" x14ac:dyDescent="0.2"/>
    <row r="13007" ht="15" customHeight="1" x14ac:dyDescent="0.2"/>
    <row r="13008" ht="15" customHeight="1" x14ac:dyDescent="0.2"/>
    <row r="13009" ht="15" customHeight="1" x14ac:dyDescent="0.2"/>
    <row r="13010" ht="15" customHeight="1" x14ac:dyDescent="0.2"/>
    <row r="13011" ht="15" customHeight="1" x14ac:dyDescent="0.2"/>
    <row r="13012" ht="15" customHeight="1" x14ac:dyDescent="0.2"/>
    <row r="13013" ht="15" customHeight="1" x14ac:dyDescent="0.2"/>
    <row r="13014" ht="15" customHeight="1" x14ac:dyDescent="0.2"/>
    <row r="13015" ht="15" customHeight="1" x14ac:dyDescent="0.2"/>
    <row r="13016" ht="15" customHeight="1" x14ac:dyDescent="0.2"/>
    <row r="13017" ht="15" customHeight="1" x14ac:dyDescent="0.2"/>
    <row r="13018" ht="15" customHeight="1" x14ac:dyDescent="0.2"/>
    <row r="13019" ht="15" customHeight="1" x14ac:dyDescent="0.2"/>
    <row r="13020" ht="15" customHeight="1" x14ac:dyDescent="0.2"/>
    <row r="13021" ht="15" customHeight="1" x14ac:dyDescent="0.2"/>
    <row r="13022" ht="15" customHeight="1" x14ac:dyDescent="0.2"/>
    <row r="13023" ht="15" customHeight="1" x14ac:dyDescent="0.2"/>
    <row r="13024" ht="15" customHeight="1" x14ac:dyDescent="0.2"/>
    <row r="13025" ht="15" customHeight="1" x14ac:dyDescent="0.2"/>
    <row r="13026" ht="15" customHeight="1" x14ac:dyDescent="0.2"/>
    <row r="13027" ht="15" customHeight="1" x14ac:dyDescent="0.2"/>
    <row r="13028" ht="15" customHeight="1" x14ac:dyDescent="0.2"/>
    <row r="13029" ht="15" customHeight="1" x14ac:dyDescent="0.2"/>
    <row r="13030" ht="15" customHeight="1" x14ac:dyDescent="0.2"/>
    <row r="13031" ht="15" customHeight="1" x14ac:dyDescent="0.2"/>
    <row r="13032" ht="15" customHeight="1" x14ac:dyDescent="0.2"/>
    <row r="13033" ht="15" customHeight="1" x14ac:dyDescent="0.2"/>
    <row r="13034" ht="15" customHeight="1" x14ac:dyDescent="0.2"/>
    <row r="13035" ht="15" customHeight="1" x14ac:dyDescent="0.2"/>
    <row r="13036" ht="15" customHeight="1" x14ac:dyDescent="0.2"/>
    <row r="13037" ht="15" customHeight="1" x14ac:dyDescent="0.2"/>
    <row r="13038" ht="15" customHeight="1" x14ac:dyDescent="0.2"/>
    <row r="13039" ht="15" customHeight="1" x14ac:dyDescent="0.2"/>
    <row r="13040" ht="15" customHeight="1" x14ac:dyDescent="0.2"/>
    <row r="13041" ht="15" customHeight="1" x14ac:dyDescent="0.2"/>
    <row r="13042" ht="15" customHeight="1" x14ac:dyDescent="0.2"/>
    <row r="13043" ht="15" customHeight="1" x14ac:dyDescent="0.2"/>
    <row r="13044" ht="15" customHeight="1" x14ac:dyDescent="0.2"/>
    <row r="13045" ht="15" customHeight="1" x14ac:dyDescent="0.2"/>
    <row r="13046" ht="15" customHeight="1" x14ac:dyDescent="0.2"/>
    <row r="13047" ht="15" customHeight="1" x14ac:dyDescent="0.2"/>
    <row r="13048" ht="15" customHeight="1" x14ac:dyDescent="0.2"/>
    <row r="13049" ht="15" customHeight="1" x14ac:dyDescent="0.2"/>
    <row r="13050" ht="15" customHeight="1" x14ac:dyDescent="0.2"/>
    <row r="13051" ht="15" customHeight="1" x14ac:dyDescent="0.2"/>
    <row r="13052" ht="15" customHeight="1" x14ac:dyDescent="0.2"/>
    <row r="13053" ht="15" customHeight="1" x14ac:dyDescent="0.2"/>
    <row r="13054" ht="15" customHeight="1" x14ac:dyDescent="0.2"/>
    <row r="13055" ht="15" customHeight="1" x14ac:dyDescent="0.2"/>
    <row r="13056" ht="15" customHeight="1" x14ac:dyDescent="0.2"/>
    <row r="13057" ht="15" customHeight="1" x14ac:dyDescent="0.2"/>
    <row r="13058" ht="15" customHeight="1" x14ac:dyDescent="0.2"/>
    <row r="13059" ht="15" customHeight="1" x14ac:dyDescent="0.2"/>
    <row r="13060" ht="15" customHeight="1" x14ac:dyDescent="0.2"/>
    <row r="13061" ht="15" customHeight="1" x14ac:dyDescent="0.2"/>
    <row r="13062" ht="15" customHeight="1" x14ac:dyDescent="0.2"/>
    <row r="13063" ht="15" customHeight="1" x14ac:dyDescent="0.2"/>
    <row r="13064" ht="15" customHeight="1" x14ac:dyDescent="0.2"/>
    <row r="13065" ht="15" customHeight="1" x14ac:dyDescent="0.2"/>
    <row r="13066" ht="15" customHeight="1" x14ac:dyDescent="0.2"/>
    <row r="13067" ht="15" customHeight="1" x14ac:dyDescent="0.2"/>
    <row r="13068" ht="15" customHeight="1" x14ac:dyDescent="0.2"/>
    <row r="13069" ht="15" customHeight="1" x14ac:dyDescent="0.2"/>
    <row r="13070" ht="15" customHeight="1" x14ac:dyDescent="0.2"/>
    <row r="13071" ht="15" customHeight="1" x14ac:dyDescent="0.2"/>
    <row r="13072" ht="15" customHeight="1" x14ac:dyDescent="0.2"/>
    <row r="13073" ht="15" customHeight="1" x14ac:dyDescent="0.2"/>
    <row r="13074" ht="15" customHeight="1" x14ac:dyDescent="0.2"/>
    <row r="13075" ht="15" customHeight="1" x14ac:dyDescent="0.2"/>
    <row r="13076" ht="15" customHeight="1" x14ac:dyDescent="0.2"/>
    <row r="13077" ht="15" customHeight="1" x14ac:dyDescent="0.2"/>
    <row r="13078" ht="15" customHeight="1" x14ac:dyDescent="0.2"/>
    <row r="13079" ht="15" customHeight="1" x14ac:dyDescent="0.2"/>
    <row r="13080" ht="15" customHeight="1" x14ac:dyDescent="0.2"/>
    <row r="13081" ht="15" customHeight="1" x14ac:dyDescent="0.2"/>
    <row r="13082" ht="15" customHeight="1" x14ac:dyDescent="0.2"/>
    <row r="13083" ht="15" customHeight="1" x14ac:dyDescent="0.2"/>
    <row r="13084" ht="15" customHeight="1" x14ac:dyDescent="0.2"/>
    <row r="13085" ht="15" customHeight="1" x14ac:dyDescent="0.2"/>
    <row r="13086" ht="15" customHeight="1" x14ac:dyDescent="0.2"/>
    <row r="13087" ht="15" customHeight="1" x14ac:dyDescent="0.2"/>
    <row r="13088" ht="15" customHeight="1" x14ac:dyDescent="0.2"/>
    <row r="13089" ht="15" customHeight="1" x14ac:dyDescent="0.2"/>
    <row r="13090" ht="15" customHeight="1" x14ac:dyDescent="0.2"/>
    <row r="13091" ht="15" customHeight="1" x14ac:dyDescent="0.2"/>
    <row r="13092" ht="15" customHeight="1" x14ac:dyDescent="0.2"/>
    <row r="13093" ht="15" customHeight="1" x14ac:dyDescent="0.2"/>
    <row r="13094" ht="15" customHeight="1" x14ac:dyDescent="0.2"/>
    <row r="13095" ht="15" customHeight="1" x14ac:dyDescent="0.2"/>
    <row r="13096" ht="15" customHeight="1" x14ac:dyDescent="0.2"/>
    <row r="13097" ht="15" customHeight="1" x14ac:dyDescent="0.2"/>
    <row r="13098" ht="15" customHeight="1" x14ac:dyDescent="0.2"/>
    <row r="13099" ht="15" customHeight="1" x14ac:dyDescent="0.2"/>
    <row r="13100" ht="15" customHeight="1" x14ac:dyDescent="0.2"/>
    <row r="13101" ht="15" customHeight="1" x14ac:dyDescent="0.2"/>
    <row r="13102" ht="15" customHeight="1" x14ac:dyDescent="0.2"/>
    <row r="13103" ht="15" customHeight="1" x14ac:dyDescent="0.2"/>
    <row r="13104" ht="15" customHeight="1" x14ac:dyDescent="0.2"/>
    <row r="13105" ht="15" customHeight="1" x14ac:dyDescent="0.2"/>
    <row r="13106" ht="15" customHeight="1" x14ac:dyDescent="0.2"/>
    <row r="13107" ht="15" customHeight="1" x14ac:dyDescent="0.2"/>
    <row r="13108" ht="15" customHeight="1" x14ac:dyDescent="0.2"/>
    <row r="13109" ht="15" customHeight="1" x14ac:dyDescent="0.2"/>
    <row r="13110" ht="15" customHeight="1" x14ac:dyDescent="0.2"/>
    <row r="13111" ht="15" customHeight="1" x14ac:dyDescent="0.2"/>
    <row r="13112" ht="15" customHeight="1" x14ac:dyDescent="0.2"/>
    <row r="13113" ht="15" customHeight="1" x14ac:dyDescent="0.2"/>
    <row r="13114" ht="15" customHeight="1" x14ac:dyDescent="0.2"/>
    <row r="13115" ht="15" customHeight="1" x14ac:dyDescent="0.2"/>
    <row r="13116" ht="15" customHeight="1" x14ac:dyDescent="0.2"/>
    <row r="13117" ht="15" customHeight="1" x14ac:dyDescent="0.2"/>
    <row r="13118" ht="15" customHeight="1" x14ac:dyDescent="0.2"/>
    <row r="13119" ht="15" customHeight="1" x14ac:dyDescent="0.2"/>
    <row r="13120" ht="15" customHeight="1" x14ac:dyDescent="0.2"/>
    <row r="13121" ht="15" customHeight="1" x14ac:dyDescent="0.2"/>
    <row r="13122" ht="15" customHeight="1" x14ac:dyDescent="0.2"/>
    <row r="13123" ht="15" customHeight="1" x14ac:dyDescent="0.2"/>
    <row r="13124" ht="15" customHeight="1" x14ac:dyDescent="0.2"/>
    <row r="13125" ht="15" customHeight="1" x14ac:dyDescent="0.2"/>
    <row r="13126" ht="15" customHeight="1" x14ac:dyDescent="0.2"/>
    <row r="13127" ht="15" customHeight="1" x14ac:dyDescent="0.2"/>
    <row r="13128" ht="15" customHeight="1" x14ac:dyDescent="0.2"/>
    <row r="13129" ht="15" customHeight="1" x14ac:dyDescent="0.2"/>
    <row r="13130" ht="15" customHeight="1" x14ac:dyDescent="0.2"/>
    <row r="13131" ht="15" customHeight="1" x14ac:dyDescent="0.2"/>
    <row r="13132" ht="15" customHeight="1" x14ac:dyDescent="0.2"/>
    <row r="13133" ht="15" customHeight="1" x14ac:dyDescent="0.2"/>
    <row r="13134" ht="15" customHeight="1" x14ac:dyDescent="0.2"/>
    <row r="13135" ht="15" customHeight="1" x14ac:dyDescent="0.2"/>
    <row r="13136" ht="15" customHeight="1" x14ac:dyDescent="0.2"/>
    <row r="13137" ht="15" customHeight="1" x14ac:dyDescent="0.2"/>
    <row r="13138" ht="15" customHeight="1" x14ac:dyDescent="0.2"/>
    <row r="13139" ht="15" customHeight="1" x14ac:dyDescent="0.2"/>
    <row r="13140" ht="15" customHeight="1" x14ac:dyDescent="0.2"/>
    <row r="13141" ht="15" customHeight="1" x14ac:dyDescent="0.2"/>
    <row r="13142" ht="15" customHeight="1" x14ac:dyDescent="0.2"/>
    <row r="13143" ht="15" customHeight="1" x14ac:dyDescent="0.2"/>
    <row r="13144" ht="15" customHeight="1" x14ac:dyDescent="0.2"/>
    <row r="13145" ht="15" customHeight="1" x14ac:dyDescent="0.2"/>
    <row r="13146" ht="15" customHeight="1" x14ac:dyDescent="0.2"/>
    <row r="13147" ht="15" customHeight="1" x14ac:dyDescent="0.2"/>
    <row r="13148" ht="15" customHeight="1" x14ac:dyDescent="0.2"/>
    <row r="13149" ht="15" customHeight="1" x14ac:dyDescent="0.2"/>
    <row r="13150" ht="15" customHeight="1" x14ac:dyDescent="0.2"/>
    <row r="13151" ht="15" customHeight="1" x14ac:dyDescent="0.2"/>
    <row r="13152" ht="15" customHeight="1" x14ac:dyDescent="0.2"/>
    <row r="13153" ht="15" customHeight="1" x14ac:dyDescent="0.2"/>
    <row r="13154" ht="15" customHeight="1" x14ac:dyDescent="0.2"/>
    <row r="13155" ht="15" customHeight="1" x14ac:dyDescent="0.2"/>
    <row r="13156" ht="15" customHeight="1" x14ac:dyDescent="0.2"/>
    <row r="13157" ht="15" customHeight="1" x14ac:dyDescent="0.2"/>
    <row r="13158" ht="15" customHeight="1" x14ac:dyDescent="0.2"/>
    <row r="13159" ht="15" customHeight="1" x14ac:dyDescent="0.2"/>
    <row r="13160" ht="15" customHeight="1" x14ac:dyDescent="0.2"/>
    <row r="13161" ht="15" customHeight="1" x14ac:dyDescent="0.2"/>
    <row r="13162" ht="15" customHeight="1" x14ac:dyDescent="0.2"/>
    <row r="13163" ht="15" customHeight="1" x14ac:dyDescent="0.2"/>
    <row r="13164" ht="15" customHeight="1" x14ac:dyDescent="0.2"/>
    <row r="13165" ht="15" customHeight="1" x14ac:dyDescent="0.2"/>
    <row r="13166" ht="15" customHeight="1" x14ac:dyDescent="0.2"/>
    <row r="13167" ht="15" customHeight="1" x14ac:dyDescent="0.2"/>
    <row r="13168" ht="15" customHeight="1" x14ac:dyDescent="0.2"/>
    <row r="13169" ht="15" customHeight="1" x14ac:dyDescent="0.2"/>
    <row r="13170" ht="15" customHeight="1" x14ac:dyDescent="0.2"/>
    <row r="13171" ht="15" customHeight="1" x14ac:dyDescent="0.2"/>
    <row r="13172" ht="15" customHeight="1" x14ac:dyDescent="0.2"/>
    <row r="13173" ht="15" customHeight="1" x14ac:dyDescent="0.2"/>
    <row r="13174" ht="15" customHeight="1" x14ac:dyDescent="0.2"/>
    <row r="13175" ht="15" customHeight="1" x14ac:dyDescent="0.2"/>
    <row r="13176" ht="15" customHeight="1" x14ac:dyDescent="0.2"/>
    <row r="13177" ht="15" customHeight="1" x14ac:dyDescent="0.2"/>
    <row r="13178" ht="15" customHeight="1" x14ac:dyDescent="0.2"/>
    <row r="13179" ht="15" customHeight="1" x14ac:dyDescent="0.2"/>
    <row r="13180" ht="15" customHeight="1" x14ac:dyDescent="0.2"/>
    <row r="13181" ht="15" customHeight="1" x14ac:dyDescent="0.2"/>
    <row r="13182" ht="15" customHeight="1" x14ac:dyDescent="0.2"/>
    <row r="13183" ht="15" customHeight="1" x14ac:dyDescent="0.2"/>
    <row r="13184" ht="15" customHeight="1" x14ac:dyDescent="0.2"/>
    <row r="13185" ht="15" customHeight="1" x14ac:dyDescent="0.2"/>
    <row r="13186" ht="15" customHeight="1" x14ac:dyDescent="0.2"/>
    <row r="13187" ht="15" customHeight="1" x14ac:dyDescent="0.2"/>
    <row r="13188" ht="15" customHeight="1" x14ac:dyDescent="0.2"/>
    <row r="13189" ht="15" customHeight="1" x14ac:dyDescent="0.2"/>
    <row r="13190" ht="15" customHeight="1" x14ac:dyDescent="0.2"/>
    <row r="13191" ht="15" customHeight="1" x14ac:dyDescent="0.2"/>
    <row r="13192" ht="15" customHeight="1" x14ac:dyDescent="0.2"/>
    <row r="13193" ht="15" customHeight="1" x14ac:dyDescent="0.2"/>
    <row r="13194" ht="15" customHeight="1" x14ac:dyDescent="0.2"/>
    <row r="13195" ht="15" customHeight="1" x14ac:dyDescent="0.2"/>
    <row r="13196" ht="15" customHeight="1" x14ac:dyDescent="0.2"/>
    <row r="13197" ht="15" customHeight="1" x14ac:dyDescent="0.2"/>
    <row r="13198" ht="15" customHeight="1" x14ac:dyDescent="0.2"/>
    <row r="13199" ht="15" customHeight="1" x14ac:dyDescent="0.2"/>
    <row r="13200" ht="15" customHeight="1" x14ac:dyDescent="0.2"/>
    <row r="13201" ht="15" customHeight="1" x14ac:dyDescent="0.2"/>
    <row r="13202" ht="15" customHeight="1" x14ac:dyDescent="0.2"/>
    <row r="13203" ht="15" customHeight="1" x14ac:dyDescent="0.2"/>
    <row r="13204" ht="15" customHeight="1" x14ac:dyDescent="0.2"/>
    <row r="13205" ht="15" customHeight="1" x14ac:dyDescent="0.2"/>
    <row r="13206" ht="15" customHeight="1" x14ac:dyDescent="0.2"/>
    <row r="13207" ht="15" customHeight="1" x14ac:dyDescent="0.2"/>
    <row r="13208" ht="15" customHeight="1" x14ac:dyDescent="0.2"/>
    <row r="13209" ht="15" customHeight="1" x14ac:dyDescent="0.2"/>
    <row r="13210" ht="15" customHeight="1" x14ac:dyDescent="0.2"/>
    <row r="13211" ht="15" customHeight="1" x14ac:dyDescent="0.2"/>
    <row r="13212" ht="15" customHeight="1" x14ac:dyDescent="0.2"/>
    <row r="13213" ht="15" customHeight="1" x14ac:dyDescent="0.2"/>
    <row r="13214" ht="15" customHeight="1" x14ac:dyDescent="0.2"/>
    <row r="13215" ht="15" customHeight="1" x14ac:dyDescent="0.2"/>
    <row r="13216" ht="15" customHeight="1" x14ac:dyDescent="0.2"/>
    <row r="13217" ht="15" customHeight="1" x14ac:dyDescent="0.2"/>
    <row r="13218" ht="15" customHeight="1" x14ac:dyDescent="0.2"/>
    <row r="13219" ht="15" customHeight="1" x14ac:dyDescent="0.2"/>
    <row r="13220" ht="15" customHeight="1" x14ac:dyDescent="0.2"/>
    <row r="13221" ht="15" customHeight="1" x14ac:dyDescent="0.2"/>
    <row r="13222" ht="15" customHeight="1" x14ac:dyDescent="0.2"/>
    <row r="13223" ht="15" customHeight="1" x14ac:dyDescent="0.2"/>
    <row r="13224" ht="15" customHeight="1" x14ac:dyDescent="0.2"/>
    <row r="13225" ht="15" customHeight="1" x14ac:dyDescent="0.2"/>
    <row r="13226" ht="15" customHeight="1" x14ac:dyDescent="0.2"/>
    <row r="13227" ht="15" customHeight="1" x14ac:dyDescent="0.2"/>
    <row r="13228" ht="15" customHeight="1" x14ac:dyDescent="0.2"/>
    <row r="13229" ht="15" customHeight="1" x14ac:dyDescent="0.2"/>
    <row r="13230" ht="15" customHeight="1" x14ac:dyDescent="0.2"/>
    <row r="13231" ht="15" customHeight="1" x14ac:dyDescent="0.2"/>
    <row r="13232" ht="15" customHeight="1" x14ac:dyDescent="0.2"/>
    <row r="13233" ht="15" customHeight="1" x14ac:dyDescent="0.2"/>
    <row r="13234" ht="15" customHeight="1" x14ac:dyDescent="0.2"/>
    <row r="13235" ht="15" customHeight="1" x14ac:dyDescent="0.2"/>
    <row r="13236" ht="15" customHeight="1" x14ac:dyDescent="0.2"/>
    <row r="13237" ht="15" customHeight="1" x14ac:dyDescent="0.2"/>
    <row r="13238" ht="15" customHeight="1" x14ac:dyDescent="0.2"/>
    <row r="13239" ht="15" customHeight="1" x14ac:dyDescent="0.2"/>
    <row r="13240" ht="15" customHeight="1" x14ac:dyDescent="0.2"/>
    <row r="13241" ht="15" customHeight="1" x14ac:dyDescent="0.2"/>
    <row r="13242" ht="15" customHeight="1" x14ac:dyDescent="0.2"/>
    <row r="13243" ht="15" customHeight="1" x14ac:dyDescent="0.2"/>
    <row r="13244" ht="15" customHeight="1" x14ac:dyDescent="0.2"/>
    <row r="13245" ht="15" customHeight="1" x14ac:dyDescent="0.2"/>
    <row r="13246" ht="15" customHeight="1" x14ac:dyDescent="0.2"/>
    <row r="13247" ht="15" customHeight="1" x14ac:dyDescent="0.2"/>
    <row r="13248" ht="15" customHeight="1" x14ac:dyDescent="0.2"/>
    <row r="13249" ht="15" customHeight="1" x14ac:dyDescent="0.2"/>
    <row r="13250" ht="15" customHeight="1" x14ac:dyDescent="0.2"/>
    <row r="13251" ht="15" customHeight="1" x14ac:dyDescent="0.2"/>
    <row r="13252" ht="15" customHeight="1" x14ac:dyDescent="0.2"/>
    <row r="13253" ht="15" customHeight="1" x14ac:dyDescent="0.2"/>
    <row r="13254" ht="15" customHeight="1" x14ac:dyDescent="0.2"/>
    <row r="13255" ht="15" customHeight="1" x14ac:dyDescent="0.2"/>
    <row r="13256" ht="15" customHeight="1" x14ac:dyDescent="0.2"/>
    <row r="13257" ht="15" customHeight="1" x14ac:dyDescent="0.2"/>
    <row r="13258" ht="15" customHeight="1" x14ac:dyDescent="0.2"/>
    <row r="13259" ht="15" customHeight="1" x14ac:dyDescent="0.2"/>
    <row r="13260" ht="15" customHeight="1" x14ac:dyDescent="0.2"/>
    <row r="13261" ht="15" customHeight="1" x14ac:dyDescent="0.2"/>
    <row r="13262" ht="15" customHeight="1" x14ac:dyDescent="0.2"/>
    <row r="13263" ht="15" customHeight="1" x14ac:dyDescent="0.2"/>
    <row r="13264" ht="15" customHeight="1" x14ac:dyDescent="0.2"/>
    <row r="13265" ht="15" customHeight="1" x14ac:dyDescent="0.2"/>
    <row r="13266" ht="15" customHeight="1" x14ac:dyDescent="0.2"/>
    <row r="13267" ht="15" customHeight="1" x14ac:dyDescent="0.2"/>
    <row r="13268" ht="15" customHeight="1" x14ac:dyDescent="0.2"/>
    <row r="13269" ht="15" customHeight="1" x14ac:dyDescent="0.2"/>
    <row r="13270" ht="15" customHeight="1" x14ac:dyDescent="0.2"/>
    <row r="13271" ht="15" customHeight="1" x14ac:dyDescent="0.2"/>
    <row r="13272" ht="15" customHeight="1" x14ac:dyDescent="0.2"/>
    <row r="13273" ht="15" customHeight="1" x14ac:dyDescent="0.2"/>
    <row r="13274" ht="15" customHeight="1" x14ac:dyDescent="0.2"/>
    <row r="13275" ht="15" customHeight="1" x14ac:dyDescent="0.2"/>
    <row r="13276" ht="15" customHeight="1" x14ac:dyDescent="0.2"/>
    <row r="13277" ht="15" customHeight="1" x14ac:dyDescent="0.2"/>
    <row r="13278" ht="15" customHeight="1" x14ac:dyDescent="0.2"/>
    <row r="13279" ht="15" customHeight="1" x14ac:dyDescent="0.2"/>
    <row r="13280" ht="15" customHeight="1" x14ac:dyDescent="0.2"/>
    <row r="13281" ht="15" customHeight="1" x14ac:dyDescent="0.2"/>
    <row r="13282" ht="15" customHeight="1" x14ac:dyDescent="0.2"/>
    <row r="13283" ht="15" customHeight="1" x14ac:dyDescent="0.2"/>
    <row r="13284" ht="15" customHeight="1" x14ac:dyDescent="0.2"/>
    <row r="13285" ht="15" customHeight="1" x14ac:dyDescent="0.2"/>
    <row r="13286" ht="15" customHeight="1" x14ac:dyDescent="0.2"/>
    <row r="13287" ht="15" customHeight="1" x14ac:dyDescent="0.2"/>
    <row r="13288" ht="15" customHeight="1" x14ac:dyDescent="0.2"/>
    <row r="13289" ht="15" customHeight="1" x14ac:dyDescent="0.2"/>
    <row r="13290" ht="15" customHeight="1" x14ac:dyDescent="0.2"/>
    <row r="13291" ht="15" customHeight="1" x14ac:dyDescent="0.2"/>
    <row r="13292" ht="15" customHeight="1" x14ac:dyDescent="0.2"/>
    <row r="13293" ht="15" customHeight="1" x14ac:dyDescent="0.2"/>
    <row r="13294" ht="15" customHeight="1" x14ac:dyDescent="0.2"/>
    <row r="13295" ht="15" customHeight="1" x14ac:dyDescent="0.2"/>
    <row r="13296" ht="15" customHeight="1" x14ac:dyDescent="0.2"/>
    <row r="13297" ht="15" customHeight="1" x14ac:dyDescent="0.2"/>
    <row r="13298" ht="15" customHeight="1" x14ac:dyDescent="0.2"/>
    <row r="13299" ht="15" customHeight="1" x14ac:dyDescent="0.2"/>
    <row r="13300" ht="15" customHeight="1" x14ac:dyDescent="0.2"/>
    <row r="13301" ht="15" customHeight="1" x14ac:dyDescent="0.2"/>
    <row r="13302" ht="15" customHeight="1" x14ac:dyDescent="0.2"/>
    <row r="13303" ht="15" customHeight="1" x14ac:dyDescent="0.2"/>
    <row r="13304" ht="15" customHeight="1" x14ac:dyDescent="0.2"/>
    <row r="13305" ht="15" customHeight="1" x14ac:dyDescent="0.2"/>
    <row r="13306" ht="15" customHeight="1" x14ac:dyDescent="0.2"/>
    <row r="13307" ht="15" customHeight="1" x14ac:dyDescent="0.2"/>
    <row r="13308" ht="15" customHeight="1" x14ac:dyDescent="0.2"/>
    <row r="13309" ht="15" customHeight="1" x14ac:dyDescent="0.2"/>
    <row r="13310" ht="15" customHeight="1" x14ac:dyDescent="0.2"/>
    <row r="13311" ht="15" customHeight="1" x14ac:dyDescent="0.2"/>
    <row r="13312" ht="15" customHeight="1" x14ac:dyDescent="0.2"/>
    <row r="13313" ht="15" customHeight="1" x14ac:dyDescent="0.2"/>
    <row r="13314" ht="15" customHeight="1" x14ac:dyDescent="0.2"/>
    <row r="13315" ht="15" customHeight="1" x14ac:dyDescent="0.2"/>
    <row r="13316" ht="15" customHeight="1" x14ac:dyDescent="0.2"/>
    <row r="13317" ht="15" customHeight="1" x14ac:dyDescent="0.2"/>
    <row r="13318" ht="15" customHeight="1" x14ac:dyDescent="0.2"/>
    <row r="13319" ht="15" customHeight="1" x14ac:dyDescent="0.2"/>
    <row r="13320" ht="15" customHeight="1" x14ac:dyDescent="0.2"/>
    <row r="13321" ht="15" customHeight="1" x14ac:dyDescent="0.2"/>
    <row r="13322" ht="15" customHeight="1" x14ac:dyDescent="0.2"/>
    <row r="13323" ht="15" customHeight="1" x14ac:dyDescent="0.2"/>
    <row r="13324" ht="15" customHeight="1" x14ac:dyDescent="0.2"/>
    <row r="13325" ht="15" customHeight="1" x14ac:dyDescent="0.2"/>
    <row r="13326" ht="15" customHeight="1" x14ac:dyDescent="0.2"/>
    <row r="13327" ht="15" customHeight="1" x14ac:dyDescent="0.2"/>
    <row r="13328" ht="15" customHeight="1" x14ac:dyDescent="0.2"/>
    <row r="13329" ht="15" customHeight="1" x14ac:dyDescent="0.2"/>
    <row r="13330" ht="15" customHeight="1" x14ac:dyDescent="0.2"/>
    <row r="13331" ht="15" customHeight="1" x14ac:dyDescent="0.2"/>
    <row r="13332" ht="15" customHeight="1" x14ac:dyDescent="0.2"/>
    <row r="13333" ht="15" customHeight="1" x14ac:dyDescent="0.2"/>
    <row r="13334" ht="15" customHeight="1" x14ac:dyDescent="0.2"/>
    <row r="13335" ht="15" customHeight="1" x14ac:dyDescent="0.2"/>
    <row r="13336" ht="15" customHeight="1" x14ac:dyDescent="0.2"/>
    <row r="13337" ht="15" customHeight="1" x14ac:dyDescent="0.2"/>
    <row r="13338" ht="15" customHeight="1" x14ac:dyDescent="0.2"/>
    <row r="13339" ht="15" customHeight="1" x14ac:dyDescent="0.2"/>
    <row r="13340" ht="15" customHeight="1" x14ac:dyDescent="0.2"/>
    <row r="13341" ht="15" customHeight="1" x14ac:dyDescent="0.2"/>
    <row r="13342" ht="15" customHeight="1" x14ac:dyDescent="0.2"/>
    <row r="13343" ht="15" customHeight="1" x14ac:dyDescent="0.2"/>
    <row r="13344" ht="15" customHeight="1" x14ac:dyDescent="0.2"/>
    <row r="13345" ht="15" customHeight="1" x14ac:dyDescent="0.2"/>
    <row r="13346" ht="15" customHeight="1" x14ac:dyDescent="0.2"/>
    <row r="13347" ht="15" customHeight="1" x14ac:dyDescent="0.2"/>
    <row r="13348" ht="15" customHeight="1" x14ac:dyDescent="0.2"/>
    <row r="13349" ht="15" customHeight="1" x14ac:dyDescent="0.2"/>
    <row r="13350" ht="15" customHeight="1" x14ac:dyDescent="0.2"/>
    <row r="13351" ht="15" customHeight="1" x14ac:dyDescent="0.2"/>
    <row r="13352" ht="15" customHeight="1" x14ac:dyDescent="0.2"/>
    <row r="13353" ht="15" customHeight="1" x14ac:dyDescent="0.2"/>
    <row r="13354" ht="15" customHeight="1" x14ac:dyDescent="0.2"/>
    <row r="13355" ht="15" customHeight="1" x14ac:dyDescent="0.2"/>
    <row r="13356" ht="15" customHeight="1" x14ac:dyDescent="0.2"/>
    <row r="13357" ht="15" customHeight="1" x14ac:dyDescent="0.2"/>
    <row r="13358" ht="15" customHeight="1" x14ac:dyDescent="0.2"/>
    <row r="13359" ht="15" customHeight="1" x14ac:dyDescent="0.2"/>
    <row r="13360" ht="15" customHeight="1" x14ac:dyDescent="0.2"/>
    <row r="13361" ht="15" customHeight="1" x14ac:dyDescent="0.2"/>
    <row r="13362" ht="15" customHeight="1" x14ac:dyDescent="0.2"/>
    <row r="13363" ht="15" customHeight="1" x14ac:dyDescent="0.2"/>
    <row r="13364" ht="15" customHeight="1" x14ac:dyDescent="0.2"/>
    <row r="13365" ht="15" customHeight="1" x14ac:dyDescent="0.2"/>
    <row r="13366" ht="15" customHeight="1" x14ac:dyDescent="0.2"/>
    <row r="13367" ht="15" customHeight="1" x14ac:dyDescent="0.2"/>
    <row r="13368" ht="15" customHeight="1" x14ac:dyDescent="0.2"/>
    <row r="13369" ht="15" customHeight="1" x14ac:dyDescent="0.2"/>
    <row r="13370" ht="15" customHeight="1" x14ac:dyDescent="0.2"/>
    <row r="13371" ht="15" customHeight="1" x14ac:dyDescent="0.2"/>
    <row r="13372" ht="15" customHeight="1" x14ac:dyDescent="0.2"/>
    <row r="13373" ht="15" customHeight="1" x14ac:dyDescent="0.2"/>
    <row r="13374" ht="15" customHeight="1" x14ac:dyDescent="0.2"/>
    <row r="13375" ht="15" customHeight="1" x14ac:dyDescent="0.2"/>
    <row r="13376" ht="15" customHeight="1" x14ac:dyDescent="0.2"/>
    <row r="13377" ht="15" customHeight="1" x14ac:dyDescent="0.2"/>
    <row r="13378" ht="15" customHeight="1" x14ac:dyDescent="0.2"/>
    <row r="13379" ht="15" customHeight="1" x14ac:dyDescent="0.2"/>
    <row r="13380" ht="15" customHeight="1" x14ac:dyDescent="0.2"/>
    <row r="13381" ht="15" customHeight="1" x14ac:dyDescent="0.2"/>
    <row r="13382" ht="15" customHeight="1" x14ac:dyDescent="0.2"/>
    <row r="13383" ht="15" customHeight="1" x14ac:dyDescent="0.2"/>
    <row r="13384" ht="15" customHeight="1" x14ac:dyDescent="0.2"/>
    <row r="13385" ht="15" customHeight="1" x14ac:dyDescent="0.2"/>
    <row r="13386" ht="15" customHeight="1" x14ac:dyDescent="0.2"/>
    <row r="13387" ht="15" customHeight="1" x14ac:dyDescent="0.2"/>
    <row r="13388" ht="15" customHeight="1" x14ac:dyDescent="0.2"/>
    <row r="13389" ht="15" customHeight="1" x14ac:dyDescent="0.2"/>
    <row r="13390" ht="15" customHeight="1" x14ac:dyDescent="0.2"/>
    <row r="13391" ht="15" customHeight="1" x14ac:dyDescent="0.2"/>
    <row r="13392" ht="15" customHeight="1" x14ac:dyDescent="0.2"/>
    <row r="13393" ht="15" customHeight="1" x14ac:dyDescent="0.2"/>
    <row r="13394" ht="15" customHeight="1" x14ac:dyDescent="0.2"/>
    <row r="13395" ht="15" customHeight="1" x14ac:dyDescent="0.2"/>
    <row r="13396" ht="15" customHeight="1" x14ac:dyDescent="0.2"/>
    <row r="13397" ht="15" customHeight="1" x14ac:dyDescent="0.2"/>
    <row r="13398" ht="15" customHeight="1" x14ac:dyDescent="0.2"/>
    <row r="13399" ht="15" customHeight="1" x14ac:dyDescent="0.2"/>
    <row r="13400" ht="15" customHeight="1" x14ac:dyDescent="0.2"/>
    <row r="13401" ht="15" customHeight="1" x14ac:dyDescent="0.2"/>
    <row r="13402" ht="15" customHeight="1" x14ac:dyDescent="0.2"/>
    <row r="13403" ht="15" customHeight="1" x14ac:dyDescent="0.2"/>
    <row r="13404" ht="15" customHeight="1" x14ac:dyDescent="0.2"/>
    <row r="13405" ht="15" customHeight="1" x14ac:dyDescent="0.2"/>
    <row r="13406" ht="15" customHeight="1" x14ac:dyDescent="0.2"/>
    <row r="13407" ht="15" customHeight="1" x14ac:dyDescent="0.2"/>
    <row r="13408" ht="15" customHeight="1" x14ac:dyDescent="0.2"/>
    <row r="13409" ht="15" customHeight="1" x14ac:dyDescent="0.2"/>
    <row r="13410" ht="15" customHeight="1" x14ac:dyDescent="0.2"/>
    <row r="13411" ht="15" customHeight="1" x14ac:dyDescent="0.2"/>
    <row r="13412" ht="15" customHeight="1" x14ac:dyDescent="0.2"/>
    <row r="13413" ht="15" customHeight="1" x14ac:dyDescent="0.2"/>
    <row r="13414" ht="15" customHeight="1" x14ac:dyDescent="0.2"/>
    <row r="13415" ht="15" customHeight="1" x14ac:dyDescent="0.2"/>
    <row r="13416" ht="15" customHeight="1" x14ac:dyDescent="0.2"/>
    <row r="13417" ht="15" customHeight="1" x14ac:dyDescent="0.2"/>
    <row r="13418" ht="15" customHeight="1" x14ac:dyDescent="0.2"/>
    <row r="13419" ht="15" customHeight="1" x14ac:dyDescent="0.2"/>
    <row r="13420" ht="15" customHeight="1" x14ac:dyDescent="0.2"/>
    <row r="13421" ht="15" customHeight="1" x14ac:dyDescent="0.2"/>
    <row r="13422" ht="15" customHeight="1" x14ac:dyDescent="0.2"/>
    <row r="13423" ht="15" customHeight="1" x14ac:dyDescent="0.2"/>
    <row r="13424" ht="15" customHeight="1" x14ac:dyDescent="0.2"/>
    <row r="13425" ht="15" customHeight="1" x14ac:dyDescent="0.2"/>
    <row r="13426" ht="15" customHeight="1" x14ac:dyDescent="0.2"/>
    <row r="13427" ht="15" customHeight="1" x14ac:dyDescent="0.2"/>
    <row r="13428" ht="15" customHeight="1" x14ac:dyDescent="0.2"/>
    <row r="13429" ht="15" customHeight="1" x14ac:dyDescent="0.2"/>
    <row r="13430" ht="15" customHeight="1" x14ac:dyDescent="0.2"/>
    <row r="13431" ht="15" customHeight="1" x14ac:dyDescent="0.2"/>
    <row r="13432" ht="15" customHeight="1" x14ac:dyDescent="0.2"/>
    <row r="13433" ht="15" customHeight="1" x14ac:dyDescent="0.2"/>
    <row r="13434" ht="15" customHeight="1" x14ac:dyDescent="0.2"/>
    <row r="13435" ht="15" customHeight="1" x14ac:dyDescent="0.2"/>
    <row r="13436" ht="15" customHeight="1" x14ac:dyDescent="0.2"/>
    <row r="13437" ht="15" customHeight="1" x14ac:dyDescent="0.2"/>
    <row r="13438" ht="15" customHeight="1" x14ac:dyDescent="0.2"/>
    <row r="13439" ht="15" customHeight="1" x14ac:dyDescent="0.2"/>
    <row r="13440" ht="15" customHeight="1" x14ac:dyDescent="0.2"/>
    <row r="13441" ht="15" customHeight="1" x14ac:dyDescent="0.2"/>
    <row r="13442" ht="15" customHeight="1" x14ac:dyDescent="0.2"/>
    <row r="13443" ht="15" customHeight="1" x14ac:dyDescent="0.2"/>
    <row r="13444" ht="15" customHeight="1" x14ac:dyDescent="0.2"/>
    <row r="13445" ht="15" customHeight="1" x14ac:dyDescent="0.2"/>
    <row r="13446" ht="15" customHeight="1" x14ac:dyDescent="0.2"/>
    <row r="13447" ht="15" customHeight="1" x14ac:dyDescent="0.2"/>
    <row r="13448" ht="15" customHeight="1" x14ac:dyDescent="0.2"/>
    <row r="13449" ht="15" customHeight="1" x14ac:dyDescent="0.2"/>
    <row r="13450" ht="15" customHeight="1" x14ac:dyDescent="0.2"/>
    <row r="13451" ht="15" customHeight="1" x14ac:dyDescent="0.2"/>
    <row r="13452" ht="15" customHeight="1" x14ac:dyDescent="0.2"/>
    <row r="13453" ht="15" customHeight="1" x14ac:dyDescent="0.2"/>
    <row r="13454" ht="15" customHeight="1" x14ac:dyDescent="0.2"/>
    <row r="13455" ht="15" customHeight="1" x14ac:dyDescent="0.2"/>
    <row r="13456" ht="15" customHeight="1" x14ac:dyDescent="0.2"/>
    <row r="13457" ht="15" customHeight="1" x14ac:dyDescent="0.2"/>
    <row r="13458" ht="15" customHeight="1" x14ac:dyDescent="0.2"/>
    <row r="13459" ht="15" customHeight="1" x14ac:dyDescent="0.2"/>
    <row r="13460" ht="15" customHeight="1" x14ac:dyDescent="0.2"/>
    <row r="13461" ht="15" customHeight="1" x14ac:dyDescent="0.2"/>
    <row r="13462" ht="15" customHeight="1" x14ac:dyDescent="0.2"/>
    <row r="13463" ht="15" customHeight="1" x14ac:dyDescent="0.2"/>
    <row r="13464" ht="15" customHeight="1" x14ac:dyDescent="0.2"/>
    <row r="13465" ht="15" customHeight="1" x14ac:dyDescent="0.2"/>
    <row r="13466" ht="15" customHeight="1" x14ac:dyDescent="0.2"/>
    <row r="13467" ht="15" customHeight="1" x14ac:dyDescent="0.2"/>
    <row r="13468" ht="15" customHeight="1" x14ac:dyDescent="0.2"/>
    <row r="13469" ht="15" customHeight="1" x14ac:dyDescent="0.2"/>
    <row r="13470" ht="15" customHeight="1" x14ac:dyDescent="0.2"/>
    <row r="13471" ht="15" customHeight="1" x14ac:dyDescent="0.2"/>
    <row r="13472" ht="15" customHeight="1" x14ac:dyDescent="0.2"/>
    <row r="13473" ht="15" customHeight="1" x14ac:dyDescent="0.2"/>
    <row r="13474" ht="15" customHeight="1" x14ac:dyDescent="0.2"/>
    <row r="13475" ht="15" customHeight="1" x14ac:dyDescent="0.2"/>
    <row r="13476" ht="15" customHeight="1" x14ac:dyDescent="0.2"/>
    <row r="13477" ht="15" customHeight="1" x14ac:dyDescent="0.2"/>
    <row r="13478" ht="15" customHeight="1" x14ac:dyDescent="0.2"/>
    <row r="13479" ht="15" customHeight="1" x14ac:dyDescent="0.2"/>
    <row r="13480" ht="15" customHeight="1" x14ac:dyDescent="0.2"/>
    <row r="13481" ht="15" customHeight="1" x14ac:dyDescent="0.2"/>
    <row r="13482" ht="15" customHeight="1" x14ac:dyDescent="0.2"/>
    <row r="13483" ht="15" customHeight="1" x14ac:dyDescent="0.2"/>
    <row r="13484" ht="15" customHeight="1" x14ac:dyDescent="0.2"/>
    <row r="13485" ht="15" customHeight="1" x14ac:dyDescent="0.2"/>
    <row r="13486" ht="15" customHeight="1" x14ac:dyDescent="0.2"/>
    <row r="13487" ht="15" customHeight="1" x14ac:dyDescent="0.2"/>
    <row r="13488" ht="15" customHeight="1" x14ac:dyDescent="0.2"/>
    <row r="13489" ht="15" customHeight="1" x14ac:dyDescent="0.2"/>
    <row r="13490" ht="15" customHeight="1" x14ac:dyDescent="0.2"/>
    <row r="13491" ht="15" customHeight="1" x14ac:dyDescent="0.2"/>
    <row r="13492" ht="15" customHeight="1" x14ac:dyDescent="0.2"/>
    <row r="13493" ht="15" customHeight="1" x14ac:dyDescent="0.2"/>
    <row r="13494" ht="15" customHeight="1" x14ac:dyDescent="0.2"/>
    <row r="13495" ht="15" customHeight="1" x14ac:dyDescent="0.2"/>
    <row r="13496" ht="15" customHeight="1" x14ac:dyDescent="0.2"/>
    <row r="13497" ht="15" customHeight="1" x14ac:dyDescent="0.2"/>
    <row r="13498" ht="15" customHeight="1" x14ac:dyDescent="0.2"/>
    <row r="13499" ht="15" customHeight="1" x14ac:dyDescent="0.2"/>
    <row r="13500" ht="15" customHeight="1" x14ac:dyDescent="0.2"/>
    <row r="13501" ht="15" customHeight="1" x14ac:dyDescent="0.2"/>
    <row r="13502" ht="15" customHeight="1" x14ac:dyDescent="0.2"/>
    <row r="13503" ht="15" customHeight="1" x14ac:dyDescent="0.2"/>
    <row r="13504" ht="15" customHeight="1" x14ac:dyDescent="0.2"/>
    <row r="13505" ht="15" customHeight="1" x14ac:dyDescent="0.2"/>
    <row r="13506" ht="15" customHeight="1" x14ac:dyDescent="0.2"/>
    <row r="13507" ht="15" customHeight="1" x14ac:dyDescent="0.2"/>
    <row r="13508" ht="15" customHeight="1" x14ac:dyDescent="0.2"/>
    <row r="13509" ht="15" customHeight="1" x14ac:dyDescent="0.2"/>
    <row r="13510" ht="15" customHeight="1" x14ac:dyDescent="0.2"/>
    <row r="13511" ht="15" customHeight="1" x14ac:dyDescent="0.2"/>
    <row r="13512" ht="15" customHeight="1" x14ac:dyDescent="0.2"/>
    <row r="13513" ht="15" customHeight="1" x14ac:dyDescent="0.2"/>
    <row r="13514" ht="15" customHeight="1" x14ac:dyDescent="0.2"/>
    <row r="13515" ht="15" customHeight="1" x14ac:dyDescent="0.2"/>
    <row r="13516" ht="15" customHeight="1" x14ac:dyDescent="0.2"/>
    <row r="13517" ht="15" customHeight="1" x14ac:dyDescent="0.2"/>
    <row r="13518" ht="15" customHeight="1" x14ac:dyDescent="0.2"/>
    <row r="13519" ht="15" customHeight="1" x14ac:dyDescent="0.2"/>
    <row r="13520" ht="15" customHeight="1" x14ac:dyDescent="0.2"/>
    <row r="13521" ht="15" customHeight="1" x14ac:dyDescent="0.2"/>
    <row r="13522" ht="15" customHeight="1" x14ac:dyDescent="0.2"/>
    <row r="13523" ht="15" customHeight="1" x14ac:dyDescent="0.2"/>
    <row r="13524" ht="15" customHeight="1" x14ac:dyDescent="0.2"/>
    <row r="13525" ht="15" customHeight="1" x14ac:dyDescent="0.2"/>
    <row r="13526" ht="15" customHeight="1" x14ac:dyDescent="0.2"/>
    <row r="13527" ht="15" customHeight="1" x14ac:dyDescent="0.2"/>
    <row r="13528" ht="15" customHeight="1" x14ac:dyDescent="0.2"/>
    <row r="13529" ht="15" customHeight="1" x14ac:dyDescent="0.2"/>
    <row r="13530" ht="15" customHeight="1" x14ac:dyDescent="0.2"/>
    <row r="13531" ht="15" customHeight="1" x14ac:dyDescent="0.2"/>
    <row r="13532" ht="15" customHeight="1" x14ac:dyDescent="0.2"/>
    <row r="13533" ht="15" customHeight="1" x14ac:dyDescent="0.2"/>
    <row r="13534" ht="15" customHeight="1" x14ac:dyDescent="0.2"/>
    <row r="13535" ht="15" customHeight="1" x14ac:dyDescent="0.2"/>
    <row r="13536" ht="15" customHeight="1" x14ac:dyDescent="0.2"/>
    <row r="13537" ht="15" customHeight="1" x14ac:dyDescent="0.2"/>
    <row r="13538" ht="15" customHeight="1" x14ac:dyDescent="0.2"/>
    <row r="13539" ht="15" customHeight="1" x14ac:dyDescent="0.2"/>
    <row r="13540" ht="15" customHeight="1" x14ac:dyDescent="0.2"/>
    <row r="13541" ht="15" customHeight="1" x14ac:dyDescent="0.2"/>
    <row r="13542" ht="15" customHeight="1" x14ac:dyDescent="0.2"/>
    <row r="13543" ht="15" customHeight="1" x14ac:dyDescent="0.2"/>
    <row r="13544" ht="15" customHeight="1" x14ac:dyDescent="0.2"/>
    <row r="13545" ht="15" customHeight="1" x14ac:dyDescent="0.2"/>
    <row r="13546" ht="15" customHeight="1" x14ac:dyDescent="0.2"/>
    <row r="13547" ht="15" customHeight="1" x14ac:dyDescent="0.2"/>
    <row r="13548" ht="15" customHeight="1" x14ac:dyDescent="0.2"/>
    <row r="13549" ht="15" customHeight="1" x14ac:dyDescent="0.2"/>
    <row r="13550" ht="15" customHeight="1" x14ac:dyDescent="0.2"/>
    <row r="13551" ht="15" customHeight="1" x14ac:dyDescent="0.2"/>
    <row r="13552" ht="15" customHeight="1" x14ac:dyDescent="0.2"/>
    <row r="13553" ht="15" customHeight="1" x14ac:dyDescent="0.2"/>
    <row r="13554" ht="15" customHeight="1" x14ac:dyDescent="0.2"/>
    <row r="13555" ht="15" customHeight="1" x14ac:dyDescent="0.2"/>
    <row r="13556" ht="15" customHeight="1" x14ac:dyDescent="0.2"/>
    <row r="13557" ht="15" customHeight="1" x14ac:dyDescent="0.2"/>
    <row r="13558" ht="15" customHeight="1" x14ac:dyDescent="0.2"/>
    <row r="13559" ht="15" customHeight="1" x14ac:dyDescent="0.2"/>
    <row r="13560" ht="15" customHeight="1" x14ac:dyDescent="0.2"/>
    <row r="13561" ht="15" customHeight="1" x14ac:dyDescent="0.2"/>
    <row r="13562" ht="15" customHeight="1" x14ac:dyDescent="0.2"/>
    <row r="13563" ht="15" customHeight="1" x14ac:dyDescent="0.2"/>
    <row r="13564" ht="15" customHeight="1" x14ac:dyDescent="0.2"/>
    <row r="13565" ht="15" customHeight="1" x14ac:dyDescent="0.2"/>
    <row r="13566" ht="15" customHeight="1" x14ac:dyDescent="0.2"/>
    <row r="13567" ht="15" customHeight="1" x14ac:dyDescent="0.2"/>
    <row r="13568" ht="15" customHeight="1" x14ac:dyDescent="0.2"/>
    <row r="13569" ht="15" customHeight="1" x14ac:dyDescent="0.2"/>
    <row r="13570" ht="15" customHeight="1" x14ac:dyDescent="0.2"/>
    <row r="13571" ht="15" customHeight="1" x14ac:dyDescent="0.2"/>
    <row r="13572" ht="15" customHeight="1" x14ac:dyDescent="0.2"/>
    <row r="13573" ht="15" customHeight="1" x14ac:dyDescent="0.2"/>
    <row r="13574" ht="15" customHeight="1" x14ac:dyDescent="0.2"/>
    <row r="13575" ht="15" customHeight="1" x14ac:dyDescent="0.2"/>
    <row r="13576" ht="15" customHeight="1" x14ac:dyDescent="0.2"/>
    <row r="13577" ht="15" customHeight="1" x14ac:dyDescent="0.2"/>
    <row r="13578" ht="15" customHeight="1" x14ac:dyDescent="0.2"/>
    <row r="13579" ht="15" customHeight="1" x14ac:dyDescent="0.2"/>
    <row r="13580" ht="15" customHeight="1" x14ac:dyDescent="0.2"/>
    <row r="13581" ht="15" customHeight="1" x14ac:dyDescent="0.2"/>
    <row r="13582" ht="15" customHeight="1" x14ac:dyDescent="0.2"/>
    <row r="13583" ht="15" customHeight="1" x14ac:dyDescent="0.2"/>
    <row r="13584" ht="15" customHeight="1" x14ac:dyDescent="0.2"/>
    <row r="13585" ht="15" customHeight="1" x14ac:dyDescent="0.2"/>
    <row r="13586" ht="15" customHeight="1" x14ac:dyDescent="0.2"/>
    <row r="13587" ht="15" customHeight="1" x14ac:dyDescent="0.2"/>
    <row r="13588" ht="15" customHeight="1" x14ac:dyDescent="0.2"/>
    <row r="13589" ht="15" customHeight="1" x14ac:dyDescent="0.2"/>
    <row r="13590" ht="15" customHeight="1" x14ac:dyDescent="0.2"/>
    <row r="13591" ht="15" customHeight="1" x14ac:dyDescent="0.2"/>
    <row r="13592" ht="15" customHeight="1" x14ac:dyDescent="0.2"/>
    <row r="13593" ht="15" customHeight="1" x14ac:dyDescent="0.2"/>
    <row r="13594" ht="15" customHeight="1" x14ac:dyDescent="0.2"/>
    <row r="13595" ht="15" customHeight="1" x14ac:dyDescent="0.2"/>
    <row r="13596" ht="15" customHeight="1" x14ac:dyDescent="0.2"/>
    <row r="13597" ht="15" customHeight="1" x14ac:dyDescent="0.2"/>
    <row r="13598" ht="15" customHeight="1" x14ac:dyDescent="0.2"/>
    <row r="13599" ht="15" customHeight="1" x14ac:dyDescent="0.2"/>
    <row r="13600" ht="15" customHeight="1" x14ac:dyDescent="0.2"/>
    <row r="13601" ht="15" customHeight="1" x14ac:dyDescent="0.2"/>
    <row r="13602" ht="15" customHeight="1" x14ac:dyDescent="0.2"/>
    <row r="13603" ht="15" customHeight="1" x14ac:dyDescent="0.2"/>
    <row r="13604" ht="15" customHeight="1" x14ac:dyDescent="0.2"/>
    <row r="13605" ht="15" customHeight="1" x14ac:dyDescent="0.2"/>
    <row r="13606" ht="15" customHeight="1" x14ac:dyDescent="0.2"/>
    <row r="13607" ht="15" customHeight="1" x14ac:dyDescent="0.2"/>
    <row r="13608" ht="15" customHeight="1" x14ac:dyDescent="0.2"/>
    <row r="13609" ht="15" customHeight="1" x14ac:dyDescent="0.2"/>
    <row r="13610" ht="15" customHeight="1" x14ac:dyDescent="0.2"/>
    <row r="13611" ht="15" customHeight="1" x14ac:dyDescent="0.2"/>
    <row r="13612" ht="15" customHeight="1" x14ac:dyDescent="0.2"/>
    <row r="13613" ht="15" customHeight="1" x14ac:dyDescent="0.2"/>
    <row r="13614" ht="15" customHeight="1" x14ac:dyDescent="0.2"/>
    <row r="13615" ht="15" customHeight="1" x14ac:dyDescent="0.2"/>
    <row r="13616" ht="15" customHeight="1" x14ac:dyDescent="0.2"/>
    <row r="13617" ht="15" customHeight="1" x14ac:dyDescent="0.2"/>
    <row r="13618" ht="15" customHeight="1" x14ac:dyDescent="0.2"/>
    <row r="13619" ht="15" customHeight="1" x14ac:dyDescent="0.2"/>
    <row r="13620" ht="15" customHeight="1" x14ac:dyDescent="0.2"/>
    <row r="13621" ht="15" customHeight="1" x14ac:dyDescent="0.2"/>
    <row r="13622" ht="15" customHeight="1" x14ac:dyDescent="0.2"/>
    <row r="13623" ht="15" customHeight="1" x14ac:dyDescent="0.2"/>
    <row r="13624" ht="15" customHeight="1" x14ac:dyDescent="0.2"/>
    <row r="13625" ht="15" customHeight="1" x14ac:dyDescent="0.2"/>
    <row r="13626" ht="15" customHeight="1" x14ac:dyDescent="0.2"/>
    <row r="13627" ht="15" customHeight="1" x14ac:dyDescent="0.2"/>
    <row r="13628" ht="15" customHeight="1" x14ac:dyDescent="0.2"/>
    <row r="13629" ht="15" customHeight="1" x14ac:dyDescent="0.2"/>
    <row r="13630" ht="15" customHeight="1" x14ac:dyDescent="0.2"/>
    <row r="13631" ht="15" customHeight="1" x14ac:dyDescent="0.2"/>
    <row r="13632" ht="15" customHeight="1" x14ac:dyDescent="0.2"/>
    <row r="13633" ht="15" customHeight="1" x14ac:dyDescent="0.2"/>
    <row r="13634" ht="15" customHeight="1" x14ac:dyDescent="0.2"/>
    <row r="13635" ht="15" customHeight="1" x14ac:dyDescent="0.2"/>
    <row r="13636" ht="15" customHeight="1" x14ac:dyDescent="0.2"/>
    <row r="13637" ht="15" customHeight="1" x14ac:dyDescent="0.2"/>
    <row r="13638" ht="15" customHeight="1" x14ac:dyDescent="0.2"/>
    <row r="13639" ht="15" customHeight="1" x14ac:dyDescent="0.2"/>
    <row r="13640" ht="15" customHeight="1" x14ac:dyDescent="0.2"/>
    <row r="13641" ht="15" customHeight="1" x14ac:dyDescent="0.2"/>
    <row r="13642" ht="15" customHeight="1" x14ac:dyDescent="0.2"/>
    <row r="13643" ht="15" customHeight="1" x14ac:dyDescent="0.2"/>
    <row r="13644" ht="15" customHeight="1" x14ac:dyDescent="0.2"/>
    <row r="13645" ht="15" customHeight="1" x14ac:dyDescent="0.2"/>
    <row r="13646" ht="15" customHeight="1" x14ac:dyDescent="0.2"/>
    <row r="13647" ht="15" customHeight="1" x14ac:dyDescent="0.2"/>
    <row r="13648" ht="15" customHeight="1" x14ac:dyDescent="0.2"/>
    <row r="13649" ht="15" customHeight="1" x14ac:dyDescent="0.2"/>
    <row r="13650" ht="15" customHeight="1" x14ac:dyDescent="0.2"/>
    <row r="13651" ht="15" customHeight="1" x14ac:dyDescent="0.2"/>
    <row r="13652" ht="15" customHeight="1" x14ac:dyDescent="0.2"/>
    <row r="13653" ht="15" customHeight="1" x14ac:dyDescent="0.2"/>
    <row r="13654" ht="15" customHeight="1" x14ac:dyDescent="0.2"/>
    <row r="13655" ht="15" customHeight="1" x14ac:dyDescent="0.2"/>
    <row r="13656" ht="15" customHeight="1" x14ac:dyDescent="0.2"/>
    <row r="13657" ht="15" customHeight="1" x14ac:dyDescent="0.2"/>
    <row r="13658" ht="15" customHeight="1" x14ac:dyDescent="0.2"/>
    <row r="13659" ht="15" customHeight="1" x14ac:dyDescent="0.2"/>
    <row r="13660" ht="15" customHeight="1" x14ac:dyDescent="0.2"/>
    <row r="13661" ht="15" customHeight="1" x14ac:dyDescent="0.2"/>
    <row r="13662" ht="15" customHeight="1" x14ac:dyDescent="0.2"/>
    <row r="13663" ht="15" customHeight="1" x14ac:dyDescent="0.2"/>
    <row r="13664" ht="15" customHeight="1" x14ac:dyDescent="0.2"/>
    <row r="13665" ht="15" customHeight="1" x14ac:dyDescent="0.2"/>
    <row r="13666" ht="15" customHeight="1" x14ac:dyDescent="0.2"/>
    <row r="13667" ht="15" customHeight="1" x14ac:dyDescent="0.2"/>
    <row r="13668" ht="15" customHeight="1" x14ac:dyDescent="0.2"/>
    <row r="13669" ht="15" customHeight="1" x14ac:dyDescent="0.2"/>
    <row r="13670" ht="15" customHeight="1" x14ac:dyDescent="0.2"/>
    <row r="13671" ht="15" customHeight="1" x14ac:dyDescent="0.2"/>
    <row r="13672" ht="15" customHeight="1" x14ac:dyDescent="0.2"/>
    <row r="13673" ht="15" customHeight="1" x14ac:dyDescent="0.2"/>
    <row r="13674" ht="15" customHeight="1" x14ac:dyDescent="0.2"/>
    <row r="13675" ht="15" customHeight="1" x14ac:dyDescent="0.2"/>
    <row r="13676" ht="15" customHeight="1" x14ac:dyDescent="0.2"/>
    <row r="13677" ht="15" customHeight="1" x14ac:dyDescent="0.2"/>
    <row r="13678" ht="15" customHeight="1" x14ac:dyDescent="0.2"/>
    <row r="13679" ht="15" customHeight="1" x14ac:dyDescent="0.2"/>
    <row r="13680" ht="15" customHeight="1" x14ac:dyDescent="0.2"/>
    <row r="13681" ht="15" customHeight="1" x14ac:dyDescent="0.2"/>
    <row r="13682" ht="15" customHeight="1" x14ac:dyDescent="0.2"/>
    <row r="13683" ht="15" customHeight="1" x14ac:dyDescent="0.2"/>
    <row r="13684" ht="15" customHeight="1" x14ac:dyDescent="0.2"/>
    <row r="13685" ht="15" customHeight="1" x14ac:dyDescent="0.2"/>
    <row r="13686" ht="15" customHeight="1" x14ac:dyDescent="0.2"/>
    <row r="13687" ht="15" customHeight="1" x14ac:dyDescent="0.2"/>
    <row r="13688" ht="15" customHeight="1" x14ac:dyDescent="0.2"/>
    <row r="13689" ht="15" customHeight="1" x14ac:dyDescent="0.2"/>
    <row r="13690" ht="15" customHeight="1" x14ac:dyDescent="0.2"/>
    <row r="13691" ht="15" customHeight="1" x14ac:dyDescent="0.2"/>
    <row r="13692" ht="15" customHeight="1" x14ac:dyDescent="0.2"/>
    <row r="13693" ht="15" customHeight="1" x14ac:dyDescent="0.2"/>
    <row r="13694" ht="15" customHeight="1" x14ac:dyDescent="0.2"/>
    <row r="13695" ht="15" customHeight="1" x14ac:dyDescent="0.2"/>
    <row r="13696" ht="15" customHeight="1" x14ac:dyDescent="0.2"/>
    <row r="13697" ht="15" customHeight="1" x14ac:dyDescent="0.2"/>
    <row r="13698" ht="15" customHeight="1" x14ac:dyDescent="0.2"/>
    <row r="13699" ht="15" customHeight="1" x14ac:dyDescent="0.2"/>
    <row r="13700" ht="15" customHeight="1" x14ac:dyDescent="0.2"/>
    <row r="13701" ht="15" customHeight="1" x14ac:dyDescent="0.2"/>
    <row r="13702" ht="15" customHeight="1" x14ac:dyDescent="0.2"/>
    <row r="13703" ht="15" customHeight="1" x14ac:dyDescent="0.2"/>
    <row r="13704" ht="15" customHeight="1" x14ac:dyDescent="0.2"/>
    <row r="13705" ht="15" customHeight="1" x14ac:dyDescent="0.2"/>
    <row r="13706" ht="15" customHeight="1" x14ac:dyDescent="0.2"/>
    <row r="13707" ht="15" customHeight="1" x14ac:dyDescent="0.2"/>
    <row r="13708" ht="15" customHeight="1" x14ac:dyDescent="0.2"/>
    <row r="13709" ht="15" customHeight="1" x14ac:dyDescent="0.2"/>
    <row r="13710" ht="15" customHeight="1" x14ac:dyDescent="0.2"/>
    <row r="13711" ht="15" customHeight="1" x14ac:dyDescent="0.2"/>
    <row r="13712" ht="15" customHeight="1" x14ac:dyDescent="0.2"/>
    <row r="13713" ht="15" customHeight="1" x14ac:dyDescent="0.2"/>
    <row r="13714" ht="15" customHeight="1" x14ac:dyDescent="0.2"/>
    <row r="13715" ht="15" customHeight="1" x14ac:dyDescent="0.2"/>
    <row r="13716" ht="15" customHeight="1" x14ac:dyDescent="0.2"/>
    <row r="13717" ht="15" customHeight="1" x14ac:dyDescent="0.2"/>
    <row r="13718" ht="15" customHeight="1" x14ac:dyDescent="0.2"/>
    <row r="13719" ht="15" customHeight="1" x14ac:dyDescent="0.2"/>
    <row r="13720" ht="15" customHeight="1" x14ac:dyDescent="0.2"/>
    <row r="13721" ht="15" customHeight="1" x14ac:dyDescent="0.2"/>
    <row r="13722" ht="15" customHeight="1" x14ac:dyDescent="0.2"/>
    <row r="13723" ht="15" customHeight="1" x14ac:dyDescent="0.2"/>
    <row r="13724" ht="15" customHeight="1" x14ac:dyDescent="0.2"/>
    <row r="13725" ht="15" customHeight="1" x14ac:dyDescent="0.2"/>
    <row r="13726" ht="15" customHeight="1" x14ac:dyDescent="0.2"/>
    <row r="13727" ht="15" customHeight="1" x14ac:dyDescent="0.2"/>
    <row r="13728" ht="15" customHeight="1" x14ac:dyDescent="0.2"/>
    <row r="13729" ht="15" customHeight="1" x14ac:dyDescent="0.2"/>
    <row r="13730" ht="15" customHeight="1" x14ac:dyDescent="0.2"/>
    <row r="13731" ht="15" customHeight="1" x14ac:dyDescent="0.2"/>
    <row r="13732" ht="15" customHeight="1" x14ac:dyDescent="0.2"/>
    <row r="13733" ht="15" customHeight="1" x14ac:dyDescent="0.2"/>
    <row r="13734" ht="15" customHeight="1" x14ac:dyDescent="0.2"/>
    <row r="13735" ht="15" customHeight="1" x14ac:dyDescent="0.2"/>
    <row r="13736" ht="15" customHeight="1" x14ac:dyDescent="0.2"/>
    <row r="13737" ht="15" customHeight="1" x14ac:dyDescent="0.2"/>
    <row r="13738" ht="15" customHeight="1" x14ac:dyDescent="0.2"/>
    <row r="13739" ht="15" customHeight="1" x14ac:dyDescent="0.2"/>
    <row r="13740" ht="15" customHeight="1" x14ac:dyDescent="0.2"/>
    <row r="13741" ht="15" customHeight="1" x14ac:dyDescent="0.2"/>
    <row r="13742" ht="15" customHeight="1" x14ac:dyDescent="0.2"/>
    <row r="13743" ht="15" customHeight="1" x14ac:dyDescent="0.2"/>
    <row r="13744" ht="15" customHeight="1" x14ac:dyDescent="0.2"/>
    <row r="13745" ht="15" customHeight="1" x14ac:dyDescent="0.2"/>
    <row r="13746" ht="15" customHeight="1" x14ac:dyDescent="0.2"/>
    <row r="13747" ht="15" customHeight="1" x14ac:dyDescent="0.2"/>
    <row r="13748" ht="15" customHeight="1" x14ac:dyDescent="0.2"/>
    <row r="13749" ht="15" customHeight="1" x14ac:dyDescent="0.2"/>
    <row r="13750" ht="15" customHeight="1" x14ac:dyDescent="0.2"/>
    <row r="13751" ht="15" customHeight="1" x14ac:dyDescent="0.2"/>
    <row r="13752" ht="15" customHeight="1" x14ac:dyDescent="0.2"/>
    <row r="13753" ht="15" customHeight="1" x14ac:dyDescent="0.2"/>
    <row r="13754" ht="15" customHeight="1" x14ac:dyDescent="0.2"/>
    <row r="13755" ht="15" customHeight="1" x14ac:dyDescent="0.2"/>
    <row r="13756" ht="15" customHeight="1" x14ac:dyDescent="0.2"/>
    <row r="13757" ht="15" customHeight="1" x14ac:dyDescent="0.2"/>
    <row r="13758" ht="15" customHeight="1" x14ac:dyDescent="0.2"/>
    <row r="13759" ht="15" customHeight="1" x14ac:dyDescent="0.2"/>
    <row r="13760" ht="15" customHeight="1" x14ac:dyDescent="0.2"/>
    <row r="13761" ht="15" customHeight="1" x14ac:dyDescent="0.2"/>
    <row r="13762" ht="15" customHeight="1" x14ac:dyDescent="0.2"/>
    <row r="13763" ht="15" customHeight="1" x14ac:dyDescent="0.2"/>
    <row r="13764" ht="15" customHeight="1" x14ac:dyDescent="0.2"/>
    <row r="13765" ht="15" customHeight="1" x14ac:dyDescent="0.2"/>
    <row r="13766" ht="15" customHeight="1" x14ac:dyDescent="0.2"/>
    <row r="13767" ht="15" customHeight="1" x14ac:dyDescent="0.2"/>
    <row r="13768" ht="15" customHeight="1" x14ac:dyDescent="0.2"/>
    <row r="13769" ht="15" customHeight="1" x14ac:dyDescent="0.2"/>
    <row r="13770" ht="15" customHeight="1" x14ac:dyDescent="0.2"/>
    <row r="13771" ht="15" customHeight="1" x14ac:dyDescent="0.2"/>
    <row r="13772" ht="15" customHeight="1" x14ac:dyDescent="0.2"/>
    <row r="13773" ht="15" customHeight="1" x14ac:dyDescent="0.2"/>
    <row r="13774" ht="15" customHeight="1" x14ac:dyDescent="0.2"/>
    <row r="13775" ht="15" customHeight="1" x14ac:dyDescent="0.2"/>
    <row r="13776" ht="15" customHeight="1" x14ac:dyDescent="0.2"/>
    <row r="13777" ht="15" customHeight="1" x14ac:dyDescent="0.2"/>
    <row r="13778" ht="15" customHeight="1" x14ac:dyDescent="0.2"/>
    <row r="13779" ht="15" customHeight="1" x14ac:dyDescent="0.2"/>
    <row r="13780" ht="15" customHeight="1" x14ac:dyDescent="0.2"/>
    <row r="13781" ht="15" customHeight="1" x14ac:dyDescent="0.2"/>
    <row r="13782" ht="15" customHeight="1" x14ac:dyDescent="0.2"/>
    <row r="13783" ht="15" customHeight="1" x14ac:dyDescent="0.2"/>
    <row r="13784" ht="15" customHeight="1" x14ac:dyDescent="0.2"/>
    <row r="13785" ht="15" customHeight="1" x14ac:dyDescent="0.2"/>
    <row r="13786" ht="15" customHeight="1" x14ac:dyDescent="0.2"/>
    <row r="13787" ht="15" customHeight="1" x14ac:dyDescent="0.2"/>
    <row r="13788" ht="15" customHeight="1" x14ac:dyDescent="0.2"/>
    <row r="13789" ht="15" customHeight="1" x14ac:dyDescent="0.2"/>
    <row r="13790" ht="15" customHeight="1" x14ac:dyDescent="0.2"/>
    <row r="13791" ht="15" customHeight="1" x14ac:dyDescent="0.2"/>
    <row r="13792" ht="15" customHeight="1" x14ac:dyDescent="0.2"/>
    <row r="13793" ht="15" customHeight="1" x14ac:dyDescent="0.2"/>
    <row r="13794" ht="15" customHeight="1" x14ac:dyDescent="0.2"/>
    <row r="13795" ht="15" customHeight="1" x14ac:dyDescent="0.2"/>
    <row r="13796" ht="15" customHeight="1" x14ac:dyDescent="0.2"/>
    <row r="13797" ht="15" customHeight="1" x14ac:dyDescent="0.2"/>
    <row r="13798" ht="15" customHeight="1" x14ac:dyDescent="0.2"/>
    <row r="13799" ht="15" customHeight="1" x14ac:dyDescent="0.2"/>
    <row r="13800" ht="15" customHeight="1" x14ac:dyDescent="0.2"/>
    <row r="13801" ht="15" customHeight="1" x14ac:dyDescent="0.2"/>
    <row r="13802" ht="15" customHeight="1" x14ac:dyDescent="0.2"/>
    <row r="13803" ht="15" customHeight="1" x14ac:dyDescent="0.2"/>
    <row r="13804" ht="15" customHeight="1" x14ac:dyDescent="0.2"/>
    <row r="13805" ht="15" customHeight="1" x14ac:dyDescent="0.2"/>
    <row r="13806" ht="15" customHeight="1" x14ac:dyDescent="0.2"/>
    <row r="13807" ht="15" customHeight="1" x14ac:dyDescent="0.2"/>
    <row r="13808" ht="15" customHeight="1" x14ac:dyDescent="0.2"/>
    <row r="13809" ht="15" customHeight="1" x14ac:dyDescent="0.2"/>
    <row r="13810" ht="15" customHeight="1" x14ac:dyDescent="0.2"/>
    <row r="13811" ht="15" customHeight="1" x14ac:dyDescent="0.2"/>
    <row r="13812" ht="15" customHeight="1" x14ac:dyDescent="0.2"/>
    <row r="13813" ht="15" customHeight="1" x14ac:dyDescent="0.2"/>
    <row r="13814" ht="15" customHeight="1" x14ac:dyDescent="0.2"/>
    <row r="13815" ht="15" customHeight="1" x14ac:dyDescent="0.2"/>
    <row r="13816" ht="15" customHeight="1" x14ac:dyDescent="0.2"/>
    <row r="13817" ht="15" customHeight="1" x14ac:dyDescent="0.2"/>
    <row r="13818" ht="15" customHeight="1" x14ac:dyDescent="0.2"/>
    <row r="13819" ht="15" customHeight="1" x14ac:dyDescent="0.2"/>
    <row r="13820" ht="15" customHeight="1" x14ac:dyDescent="0.2"/>
    <row r="13821" ht="15" customHeight="1" x14ac:dyDescent="0.2"/>
    <row r="13822" ht="15" customHeight="1" x14ac:dyDescent="0.2"/>
    <row r="13823" ht="15" customHeight="1" x14ac:dyDescent="0.2"/>
    <row r="13824" ht="15" customHeight="1" x14ac:dyDescent="0.2"/>
    <row r="13825" ht="15" customHeight="1" x14ac:dyDescent="0.2"/>
    <row r="13826" ht="15" customHeight="1" x14ac:dyDescent="0.2"/>
    <row r="13827" ht="15" customHeight="1" x14ac:dyDescent="0.2"/>
    <row r="13828" ht="15" customHeight="1" x14ac:dyDescent="0.2"/>
    <row r="13829" ht="15" customHeight="1" x14ac:dyDescent="0.2"/>
    <row r="13830" ht="15" customHeight="1" x14ac:dyDescent="0.2"/>
    <row r="13831" ht="15" customHeight="1" x14ac:dyDescent="0.2"/>
    <row r="13832" ht="15" customHeight="1" x14ac:dyDescent="0.2"/>
    <row r="13833" ht="15" customHeight="1" x14ac:dyDescent="0.2"/>
    <row r="13834" ht="15" customHeight="1" x14ac:dyDescent="0.2"/>
    <row r="13835" ht="15" customHeight="1" x14ac:dyDescent="0.2"/>
    <row r="13836" ht="15" customHeight="1" x14ac:dyDescent="0.2"/>
    <row r="13837" ht="15" customHeight="1" x14ac:dyDescent="0.2"/>
    <row r="13838" ht="15" customHeight="1" x14ac:dyDescent="0.2"/>
    <row r="13839" ht="15" customHeight="1" x14ac:dyDescent="0.2"/>
    <row r="13840" ht="15" customHeight="1" x14ac:dyDescent="0.2"/>
    <row r="13841" ht="15" customHeight="1" x14ac:dyDescent="0.2"/>
    <row r="13842" ht="15" customHeight="1" x14ac:dyDescent="0.2"/>
    <row r="13843" ht="15" customHeight="1" x14ac:dyDescent="0.2"/>
    <row r="13844" ht="15" customHeight="1" x14ac:dyDescent="0.2"/>
    <row r="13845" ht="15" customHeight="1" x14ac:dyDescent="0.2"/>
    <row r="13846" ht="15" customHeight="1" x14ac:dyDescent="0.2"/>
    <row r="13847" ht="15" customHeight="1" x14ac:dyDescent="0.2"/>
    <row r="13848" ht="15" customHeight="1" x14ac:dyDescent="0.2"/>
    <row r="13849" ht="15" customHeight="1" x14ac:dyDescent="0.2"/>
    <row r="13850" ht="15" customHeight="1" x14ac:dyDescent="0.2"/>
    <row r="13851" ht="15" customHeight="1" x14ac:dyDescent="0.2"/>
    <row r="13852" ht="15" customHeight="1" x14ac:dyDescent="0.2"/>
    <row r="13853" ht="15" customHeight="1" x14ac:dyDescent="0.2"/>
    <row r="13854" ht="15" customHeight="1" x14ac:dyDescent="0.2"/>
    <row r="13855" ht="15" customHeight="1" x14ac:dyDescent="0.2"/>
    <row r="13856" ht="15" customHeight="1" x14ac:dyDescent="0.2"/>
    <row r="13857" ht="15" customHeight="1" x14ac:dyDescent="0.2"/>
    <row r="13858" ht="15" customHeight="1" x14ac:dyDescent="0.2"/>
    <row r="13859" ht="15" customHeight="1" x14ac:dyDescent="0.2"/>
    <row r="13860" ht="15" customHeight="1" x14ac:dyDescent="0.2"/>
    <row r="13861" ht="15" customHeight="1" x14ac:dyDescent="0.2"/>
    <row r="13862" ht="15" customHeight="1" x14ac:dyDescent="0.2"/>
    <row r="13863" ht="15" customHeight="1" x14ac:dyDescent="0.2"/>
    <row r="13864" ht="15" customHeight="1" x14ac:dyDescent="0.2"/>
    <row r="13865" ht="15" customHeight="1" x14ac:dyDescent="0.2"/>
    <row r="13866" ht="15" customHeight="1" x14ac:dyDescent="0.2"/>
    <row r="13867" ht="15" customHeight="1" x14ac:dyDescent="0.2"/>
    <row r="13868" ht="15" customHeight="1" x14ac:dyDescent="0.2"/>
    <row r="13869" ht="15" customHeight="1" x14ac:dyDescent="0.2"/>
    <row r="13870" ht="15" customHeight="1" x14ac:dyDescent="0.2"/>
    <row r="13871" ht="15" customHeight="1" x14ac:dyDescent="0.2"/>
    <row r="13872" ht="15" customHeight="1" x14ac:dyDescent="0.2"/>
    <row r="13873" ht="15" customHeight="1" x14ac:dyDescent="0.2"/>
    <row r="13874" ht="15" customHeight="1" x14ac:dyDescent="0.2"/>
    <row r="13875" ht="15" customHeight="1" x14ac:dyDescent="0.2"/>
    <row r="13876" ht="15" customHeight="1" x14ac:dyDescent="0.2"/>
    <row r="13877" ht="15" customHeight="1" x14ac:dyDescent="0.2"/>
    <row r="13878" ht="15" customHeight="1" x14ac:dyDescent="0.2"/>
    <row r="13879" ht="15" customHeight="1" x14ac:dyDescent="0.2"/>
    <row r="13880" ht="15" customHeight="1" x14ac:dyDescent="0.2"/>
    <row r="13881" ht="15" customHeight="1" x14ac:dyDescent="0.2"/>
    <row r="13882" ht="15" customHeight="1" x14ac:dyDescent="0.2"/>
    <row r="13883" ht="15" customHeight="1" x14ac:dyDescent="0.2"/>
    <row r="13884" ht="15" customHeight="1" x14ac:dyDescent="0.2"/>
    <row r="13885" ht="15" customHeight="1" x14ac:dyDescent="0.2"/>
    <row r="13886" ht="15" customHeight="1" x14ac:dyDescent="0.2"/>
    <row r="13887" ht="15" customHeight="1" x14ac:dyDescent="0.2"/>
    <row r="13888" ht="15" customHeight="1" x14ac:dyDescent="0.2"/>
    <row r="13889" ht="15" customHeight="1" x14ac:dyDescent="0.2"/>
    <row r="13890" ht="15" customHeight="1" x14ac:dyDescent="0.2"/>
    <row r="13891" ht="15" customHeight="1" x14ac:dyDescent="0.2"/>
    <row r="13892" ht="15" customHeight="1" x14ac:dyDescent="0.2"/>
    <row r="13893" ht="15" customHeight="1" x14ac:dyDescent="0.2"/>
    <row r="13894" ht="15" customHeight="1" x14ac:dyDescent="0.2"/>
    <row r="13895" ht="15" customHeight="1" x14ac:dyDescent="0.2"/>
    <row r="13896" ht="15" customHeight="1" x14ac:dyDescent="0.2"/>
    <row r="13897" ht="15" customHeight="1" x14ac:dyDescent="0.2"/>
    <row r="13898" ht="15" customHeight="1" x14ac:dyDescent="0.2"/>
    <row r="13899" ht="15" customHeight="1" x14ac:dyDescent="0.2"/>
    <row r="13900" ht="15" customHeight="1" x14ac:dyDescent="0.2"/>
    <row r="13901" ht="15" customHeight="1" x14ac:dyDescent="0.2"/>
    <row r="13902" ht="15" customHeight="1" x14ac:dyDescent="0.2"/>
    <row r="13903" ht="15" customHeight="1" x14ac:dyDescent="0.2"/>
    <row r="13904" ht="15" customHeight="1" x14ac:dyDescent="0.2"/>
    <row r="13905" ht="15" customHeight="1" x14ac:dyDescent="0.2"/>
    <row r="13906" ht="15" customHeight="1" x14ac:dyDescent="0.2"/>
    <row r="13907" ht="15" customHeight="1" x14ac:dyDescent="0.2"/>
    <row r="13908" ht="15" customHeight="1" x14ac:dyDescent="0.2"/>
    <row r="13909" ht="15" customHeight="1" x14ac:dyDescent="0.2"/>
    <row r="13910" ht="15" customHeight="1" x14ac:dyDescent="0.2"/>
    <row r="13911" ht="15" customHeight="1" x14ac:dyDescent="0.2"/>
    <row r="13912" ht="15" customHeight="1" x14ac:dyDescent="0.2"/>
    <row r="13913" ht="15" customHeight="1" x14ac:dyDescent="0.2"/>
    <row r="13914" ht="15" customHeight="1" x14ac:dyDescent="0.2"/>
    <row r="13915" ht="15" customHeight="1" x14ac:dyDescent="0.2"/>
    <row r="13916" ht="15" customHeight="1" x14ac:dyDescent="0.2"/>
    <row r="13917" ht="15" customHeight="1" x14ac:dyDescent="0.2"/>
    <row r="13918" ht="15" customHeight="1" x14ac:dyDescent="0.2"/>
    <row r="13919" ht="15" customHeight="1" x14ac:dyDescent="0.2"/>
    <row r="13920" ht="15" customHeight="1" x14ac:dyDescent="0.2"/>
    <row r="13921" ht="15" customHeight="1" x14ac:dyDescent="0.2"/>
    <row r="13922" ht="15" customHeight="1" x14ac:dyDescent="0.2"/>
    <row r="13923" ht="15" customHeight="1" x14ac:dyDescent="0.2"/>
    <row r="13924" ht="15" customHeight="1" x14ac:dyDescent="0.2"/>
    <row r="13925" ht="15" customHeight="1" x14ac:dyDescent="0.2"/>
    <row r="13926" ht="15" customHeight="1" x14ac:dyDescent="0.2"/>
    <row r="13927" ht="15" customHeight="1" x14ac:dyDescent="0.2"/>
    <row r="13928" ht="15" customHeight="1" x14ac:dyDescent="0.2"/>
    <row r="13929" ht="15" customHeight="1" x14ac:dyDescent="0.2"/>
    <row r="13930" ht="15" customHeight="1" x14ac:dyDescent="0.2"/>
    <row r="13931" ht="15" customHeight="1" x14ac:dyDescent="0.2"/>
    <row r="13932" ht="15" customHeight="1" x14ac:dyDescent="0.2"/>
    <row r="13933" ht="15" customHeight="1" x14ac:dyDescent="0.2"/>
    <row r="13934" ht="15" customHeight="1" x14ac:dyDescent="0.2"/>
    <row r="13935" ht="15" customHeight="1" x14ac:dyDescent="0.2"/>
    <row r="13936" ht="15" customHeight="1" x14ac:dyDescent="0.2"/>
    <row r="13937" ht="15" customHeight="1" x14ac:dyDescent="0.2"/>
    <row r="13938" ht="15" customHeight="1" x14ac:dyDescent="0.2"/>
    <row r="13939" ht="15" customHeight="1" x14ac:dyDescent="0.2"/>
    <row r="13940" ht="15" customHeight="1" x14ac:dyDescent="0.2"/>
    <row r="13941" ht="15" customHeight="1" x14ac:dyDescent="0.2"/>
    <row r="13942" ht="15" customHeight="1" x14ac:dyDescent="0.2"/>
    <row r="13943" ht="15" customHeight="1" x14ac:dyDescent="0.2"/>
    <row r="13944" ht="15" customHeight="1" x14ac:dyDescent="0.2"/>
    <row r="13945" ht="15" customHeight="1" x14ac:dyDescent="0.2"/>
    <row r="13946" ht="15" customHeight="1" x14ac:dyDescent="0.2"/>
    <row r="13947" ht="15" customHeight="1" x14ac:dyDescent="0.2"/>
    <row r="13948" ht="15" customHeight="1" x14ac:dyDescent="0.2"/>
    <row r="13949" ht="15" customHeight="1" x14ac:dyDescent="0.2"/>
    <row r="13950" ht="15" customHeight="1" x14ac:dyDescent="0.2"/>
    <row r="13951" ht="15" customHeight="1" x14ac:dyDescent="0.2"/>
    <row r="13952" ht="15" customHeight="1" x14ac:dyDescent="0.2"/>
    <row r="13953" ht="15" customHeight="1" x14ac:dyDescent="0.2"/>
    <row r="13954" ht="15" customHeight="1" x14ac:dyDescent="0.2"/>
    <row r="13955" ht="15" customHeight="1" x14ac:dyDescent="0.2"/>
    <row r="13956" ht="15" customHeight="1" x14ac:dyDescent="0.2"/>
    <row r="13957" ht="15" customHeight="1" x14ac:dyDescent="0.2"/>
    <row r="13958" ht="15" customHeight="1" x14ac:dyDescent="0.2"/>
    <row r="13959" ht="15" customHeight="1" x14ac:dyDescent="0.2"/>
    <row r="13960" ht="15" customHeight="1" x14ac:dyDescent="0.2"/>
    <row r="13961" ht="15" customHeight="1" x14ac:dyDescent="0.2"/>
    <row r="13962" ht="15" customHeight="1" x14ac:dyDescent="0.2"/>
    <row r="13963" ht="15" customHeight="1" x14ac:dyDescent="0.2"/>
    <row r="13964" ht="15" customHeight="1" x14ac:dyDescent="0.2"/>
    <row r="13965" ht="15" customHeight="1" x14ac:dyDescent="0.2"/>
    <row r="13966" ht="15" customHeight="1" x14ac:dyDescent="0.2"/>
    <row r="13967" ht="15" customHeight="1" x14ac:dyDescent="0.2"/>
    <row r="13968" ht="15" customHeight="1" x14ac:dyDescent="0.2"/>
    <row r="13969" ht="15" customHeight="1" x14ac:dyDescent="0.2"/>
    <row r="13970" ht="15" customHeight="1" x14ac:dyDescent="0.2"/>
    <row r="13971" ht="15" customHeight="1" x14ac:dyDescent="0.2"/>
    <row r="13972" ht="15" customHeight="1" x14ac:dyDescent="0.2"/>
    <row r="13973" ht="15" customHeight="1" x14ac:dyDescent="0.2"/>
    <row r="13974" ht="15" customHeight="1" x14ac:dyDescent="0.2"/>
    <row r="13975" ht="15" customHeight="1" x14ac:dyDescent="0.2"/>
    <row r="13976" ht="15" customHeight="1" x14ac:dyDescent="0.2"/>
    <row r="13977" ht="15" customHeight="1" x14ac:dyDescent="0.2"/>
    <row r="13978" ht="15" customHeight="1" x14ac:dyDescent="0.2"/>
    <row r="13979" ht="15" customHeight="1" x14ac:dyDescent="0.2"/>
    <row r="13980" ht="15" customHeight="1" x14ac:dyDescent="0.2"/>
    <row r="13981" ht="15" customHeight="1" x14ac:dyDescent="0.2"/>
    <row r="13982" ht="15" customHeight="1" x14ac:dyDescent="0.2"/>
    <row r="13983" ht="15" customHeight="1" x14ac:dyDescent="0.2"/>
    <row r="13984" ht="15" customHeight="1" x14ac:dyDescent="0.2"/>
    <row r="13985" ht="15" customHeight="1" x14ac:dyDescent="0.2"/>
    <row r="13986" ht="15" customHeight="1" x14ac:dyDescent="0.2"/>
    <row r="13987" ht="15" customHeight="1" x14ac:dyDescent="0.2"/>
    <row r="13988" ht="15" customHeight="1" x14ac:dyDescent="0.2"/>
    <row r="13989" ht="15" customHeight="1" x14ac:dyDescent="0.2"/>
    <row r="13990" ht="15" customHeight="1" x14ac:dyDescent="0.2"/>
    <row r="13991" ht="15" customHeight="1" x14ac:dyDescent="0.2"/>
    <row r="13992" ht="15" customHeight="1" x14ac:dyDescent="0.2"/>
    <row r="13993" ht="15" customHeight="1" x14ac:dyDescent="0.2"/>
    <row r="13994" ht="15" customHeight="1" x14ac:dyDescent="0.2"/>
    <row r="13995" ht="15" customHeight="1" x14ac:dyDescent="0.2"/>
    <row r="13996" ht="15" customHeight="1" x14ac:dyDescent="0.2"/>
    <row r="13997" ht="15" customHeight="1" x14ac:dyDescent="0.2"/>
    <row r="13998" ht="15" customHeight="1" x14ac:dyDescent="0.2"/>
    <row r="13999" ht="15" customHeight="1" x14ac:dyDescent="0.2"/>
    <row r="14000" ht="15" customHeight="1" x14ac:dyDescent="0.2"/>
    <row r="14001" ht="15" customHeight="1" x14ac:dyDescent="0.2"/>
    <row r="14002" ht="15" customHeight="1" x14ac:dyDescent="0.2"/>
    <row r="14003" ht="15" customHeight="1" x14ac:dyDescent="0.2"/>
    <row r="14004" ht="15" customHeight="1" x14ac:dyDescent="0.2"/>
    <row r="14005" ht="15" customHeight="1" x14ac:dyDescent="0.2"/>
    <row r="14006" ht="15" customHeight="1" x14ac:dyDescent="0.2"/>
    <row r="14007" ht="15" customHeight="1" x14ac:dyDescent="0.2"/>
    <row r="14008" ht="15" customHeight="1" x14ac:dyDescent="0.2"/>
    <row r="14009" ht="15" customHeight="1" x14ac:dyDescent="0.2"/>
    <row r="14010" ht="15" customHeight="1" x14ac:dyDescent="0.2"/>
    <row r="14011" ht="15" customHeight="1" x14ac:dyDescent="0.2"/>
    <row r="14012" ht="15" customHeight="1" x14ac:dyDescent="0.2"/>
    <row r="14013" ht="15" customHeight="1" x14ac:dyDescent="0.2"/>
    <row r="14014" ht="15" customHeight="1" x14ac:dyDescent="0.2"/>
    <row r="14015" ht="15" customHeight="1" x14ac:dyDescent="0.2"/>
    <row r="14016" ht="15" customHeight="1" x14ac:dyDescent="0.2"/>
    <row r="14017" ht="15" customHeight="1" x14ac:dyDescent="0.2"/>
    <row r="14018" ht="15" customHeight="1" x14ac:dyDescent="0.2"/>
    <row r="14019" ht="15" customHeight="1" x14ac:dyDescent="0.2"/>
    <row r="14020" ht="15" customHeight="1" x14ac:dyDescent="0.2"/>
    <row r="14021" ht="15" customHeight="1" x14ac:dyDescent="0.2"/>
    <row r="14022" ht="15" customHeight="1" x14ac:dyDescent="0.2"/>
    <row r="14023" ht="15" customHeight="1" x14ac:dyDescent="0.2"/>
    <row r="14024" ht="15" customHeight="1" x14ac:dyDescent="0.2"/>
    <row r="14025" ht="15" customHeight="1" x14ac:dyDescent="0.2"/>
    <row r="14026" ht="15" customHeight="1" x14ac:dyDescent="0.2"/>
    <row r="14027" ht="15" customHeight="1" x14ac:dyDescent="0.2"/>
    <row r="14028" ht="15" customHeight="1" x14ac:dyDescent="0.2"/>
    <row r="14029" ht="15" customHeight="1" x14ac:dyDescent="0.2"/>
    <row r="14030" ht="15" customHeight="1" x14ac:dyDescent="0.2"/>
    <row r="14031" ht="15" customHeight="1" x14ac:dyDescent="0.2"/>
    <row r="14032" ht="15" customHeight="1" x14ac:dyDescent="0.2"/>
    <row r="14033" ht="15" customHeight="1" x14ac:dyDescent="0.2"/>
    <row r="14034" ht="15" customHeight="1" x14ac:dyDescent="0.2"/>
    <row r="14035" ht="15" customHeight="1" x14ac:dyDescent="0.2"/>
    <row r="14036" ht="15" customHeight="1" x14ac:dyDescent="0.2"/>
    <row r="14037" ht="15" customHeight="1" x14ac:dyDescent="0.2"/>
    <row r="14038" ht="15" customHeight="1" x14ac:dyDescent="0.2"/>
    <row r="14039" ht="15" customHeight="1" x14ac:dyDescent="0.2"/>
    <row r="14040" ht="15" customHeight="1" x14ac:dyDescent="0.2"/>
    <row r="14041" ht="15" customHeight="1" x14ac:dyDescent="0.2"/>
    <row r="14042" ht="15" customHeight="1" x14ac:dyDescent="0.2"/>
    <row r="14043" ht="15" customHeight="1" x14ac:dyDescent="0.2"/>
    <row r="14044" ht="15" customHeight="1" x14ac:dyDescent="0.2"/>
    <row r="14045" ht="15" customHeight="1" x14ac:dyDescent="0.2"/>
    <row r="14046" ht="15" customHeight="1" x14ac:dyDescent="0.2"/>
    <row r="14047" ht="15" customHeight="1" x14ac:dyDescent="0.2"/>
    <row r="14048" ht="15" customHeight="1" x14ac:dyDescent="0.2"/>
    <row r="14049" ht="15" customHeight="1" x14ac:dyDescent="0.2"/>
    <row r="14050" ht="15" customHeight="1" x14ac:dyDescent="0.2"/>
    <row r="14051" ht="15" customHeight="1" x14ac:dyDescent="0.2"/>
    <row r="14052" ht="15" customHeight="1" x14ac:dyDescent="0.2"/>
    <row r="14053" ht="15" customHeight="1" x14ac:dyDescent="0.2"/>
    <row r="14054" ht="15" customHeight="1" x14ac:dyDescent="0.2"/>
    <row r="14055" ht="15" customHeight="1" x14ac:dyDescent="0.2"/>
    <row r="14056" ht="15" customHeight="1" x14ac:dyDescent="0.2"/>
    <row r="14057" ht="15" customHeight="1" x14ac:dyDescent="0.2"/>
    <row r="14058" ht="15" customHeight="1" x14ac:dyDescent="0.2"/>
    <row r="14059" ht="15" customHeight="1" x14ac:dyDescent="0.2"/>
    <row r="14060" ht="15" customHeight="1" x14ac:dyDescent="0.2"/>
    <row r="14061" ht="15" customHeight="1" x14ac:dyDescent="0.2"/>
    <row r="14062" ht="15" customHeight="1" x14ac:dyDescent="0.2"/>
    <row r="14063" ht="15" customHeight="1" x14ac:dyDescent="0.2"/>
    <row r="14064" ht="15" customHeight="1" x14ac:dyDescent="0.2"/>
    <row r="14065" ht="15" customHeight="1" x14ac:dyDescent="0.2"/>
    <row r="14066" ht="15" customHeight="1" x14ac:dyDescent="0.2"/>
    <row r="14067" ht="15" customHeight="1" x14ac:dyDescent="0.2"/>
    <row r="14068" ht="15" customHeight="1" x14ac:dyDescent="0.2"/>
    <row r="14069" ht="15" customHeight="1" x14ac:dyDescent="0.2"/>
    <row r="14070" ht="15" customHeight="1" x14ac:dyDescent="0.2"/>
    <row r="14071" ht="15" customHeight="1" x14ac:dyDescent="0.2"/>
    <row r="14072" ht="15" customHeight="1" x14ac:dyDescent="0.2"/>
    <row r="14073" ht="15" customHeight="1" x14ac:dyDescent="0.2"/>
    <row r="14074" ht="15" customHeight="1" x14ac:dyDescent="0.2"/>
    <row r="14075" ht="15" customHeight="1" x14ac:dyDescent="0.2"/>
    <row r="14076" ht="15" customHeight="1" x14ac:dyDescent="0.2"/>
    <row r="14077" ht="15" customHeight="1" x14ac:dyDescent="0.2"/>
    <row r="14078" ht="15" customHeight="1" x14ac:dyDescent="0.2"/>
    <row r="14079" ht="15" customHeight="1" x14ac:dyDescent="0.2"/>
    <row r="14080" ht="15" customHeight="1" x14ac:dyDescent="0.2"/>
    <row r="14081" ht="15" customHeight="1" x14ac:dyDescent="0.2"/>
    <row r="14082" ht="15" customHeight="1" x14ac:dyDescent="0.2"/>
    <row r="14083" ht="15" customHeight="1" x14ac:dyDescent="0.2"/>
    <row r="14084" ht="15" customHeight="1" x14ac:dyDescent="0.2"/>
    <row r="14085" ht="15" customHeight="1" x14ac:dyDescent="0.2"/>
    <row r="14086" ht="15" customHeight="1" x14ac:dyDescent="0.2"/>
    <row r="14087" ht="15" customHeight="1" x14ac:dyDescent="0.2"/>
    <row r="14088" ht="15" customHeight="1" x14ac:dyDescent="0.2"/>
    <row r="14089" ht="15" customHeight="1" x14ac:dyDescent="0.2"/>
    <row r="14090" ht="15" customHeight="1" x14ac:dyDescent="0.2"/>
    <row r="14091" ht="15" customHeight="1" x14ac:dyDescent="0.2"/>
    <row r="14092" ht="15" customHeight="1" x14ac:dyDescent="0.2"/>
    <row r="14093" ht="15" customHeight="1" x14ac:dyDescent="0.2"/>
    <row r="14094" ht="15" customHeight="1" x14ac:dyDescent="0.2"/>
    <row r="14095" ht="15" customHeight="1" x14ac:dyDescent="0.2"/>
    <row r="14096" ht="15" customHeight="1" x14ac:dyDescent="0.2"/>
    <row r="14097" ht="15" customHeight="1" x14ac:dyDescent="0.2"/>
    <row r="14098" ht="15" customHeight="1" x14ac:dyDescent="0.2"/>
    <row r="14099" ht="15" customHeight="1" x14ac:dyDescent="0.2"/>
    <row r="14100" ht="15" customHeight="1" x14ac:dyDescent="0.2"/>
    <row r="14101" ht="15" customHeight="1" x14ac:dyDescent="0.2"/>
    <row r="14102" ht="15" customHeight="1" x14ac:dyDescent="0.2"/>
    <row r="14103" ht="15" customHeight="1" x14ac:dyDescent="0.2"/>
    <row r="14104" ht="15" customHeight="1" x14ac:dyDescent="0.2"/>
    <row r="14105" ht="15" customHeight="1" x14ac:dyDescent="0.2"/>
    <row r="14106" ht="15" customHeight="1" x14ac:dyDescent="0.2"/>
    <row r="14107" ht="15" customHeight="1" x14ac:dyDescent="0.2"/>
    <row r="14108" ht="15" customHeight="1" x14ac:dyDescent="0.2"/>
    <row r="14109" ht="15" customHeight="1" x14ac:dyDescent="0.2"/>
    <row r="14110" ht="15" customHeight="1" x14ac:dyDescent="0.2"/>
    <row r="14111" ht="15" customHeight="1" x14ac:dyDescent="0.2"/>
    <row r="14112" ht="15" customHeight="1" x14ac:dyDescent="0.2"/>
    <row r="14113" ht="15" customHeight="1" x14ac:dyDescent="0.2"/>
    <row r="14114" ht="15" customHeight="1" x14ac:dyDescent="0.2"/>
    <row r="14115" ht="15" customHeight="1" x14ac:dyDescent="0.2"/>
    <row r="14116" ht="15" customHeight="1" x14ac:dyDescent="0.2"/>
    <row r="14117" ht="15" customHeight="1" x14ac:dyDescent="0.2"/>
    <row r="14118" ht="15" customHeight="1" x14ac:dyDescent="0.2"/>
    <row r="14119" ht="15" customHeight="1" x14ac:dyDescent="0.2"/>
    <row r="14120" ht="15" customHeight="1" x14ac:dyDescent="0.2"/>
    <row r="14121" ht="15" customHeight="1" x14ac:dyDescent="0.2"/>
    <row r="14122" ht="15" customHeight="1" x14ac:dyDescent="0.2"/>
    <row r="14123" ht="15" customHeight="1" x14ac:dyDescent="0.2"/>
    <row r="14124" ht="15" customHeight="1" x14ac:dyDescent="0.2"/>
    <row r="14125" ht="15" customHeight="1" x14ac:dyDescent="0.2"/>
    <row r="14126" ht="15" customHeight="1" x14ac:dyDescent="0.2"/>
    <row r="14127" ht="15" customHeight="1" x14ac:dyDescent="0.2"/>
    <row r="14128" ht="15" customHeight="1" x14ac:dyDescent="0.2"/>
    <row r="14129" ht="15" customHeight="1" x14ac:dyDescent="0.2"/>
    <row r="14130" ht="15" customHeight="1" x14ac:dyDescent="0.2"/>
    <row r="14131" ht="15" customHeight="1" x14ac:dyDescent="0.2"/>
    <row r="14132" ht="15" customHeight="1" x14ac:dyDescent="0.2"/>
    <row r="14133" ht="15" customHeight="1" x14ac:dyDescent="0.2"/>
    <row r="14134" ht="15" customHeight="1" x14ac:dyDescent="0.2"/>
    <row r="14135" ht="15" customHeight="1" x14ac:dyDescent="0.2"/>
    <row r="14136" ht="15" customHeight="1" x14ac:dyDescent="0.2"/>
    <row r="14137" ht="15" customHeight="1" x14ac:dyDescent="0.2"/>
    <row r="14138" ht="15" customHeight="1" x14ac:dyDescent="0.2"/>
    <row r="14139" ht="15" customHeight="1" x14ac:dyDescent="0.2"/>
    <row r="14140" ht="15" customHeight="1" x14ac:dyDescent="0.2"/>
    <row r="14141" ht="15" customHeight="1" x14ac:dyDescent="0.2"/>
    <row r="14142" ht="15" customHeight="1" x14ac:dyDescent="0.2"/>
    <row r="14143" ht="15" customHeight="1" x14ac:dyDescent="0.2"/>
    <row r="14144" ht="15" customHeight="1" x14ac:dyDescent="0.2"/>
    <row r="14145" ht="15" customHeight="1" x14ac:dyDescent="0.2"/>
    <row r="14146" ht="15" customHeight="1" x14ac:dyDescent="0.2"/>
    <row r="14147" ht="15" customHeight="1" x14ac:dyDescent="0.2"/>
    <row r="14148" ht="15" customHeight="1" x14ac:dyDescent="0.2"/>
    <row r="14149" ht="15" customHeight="1" x14ac:dyDescent="0.2"/>
    <row r="14150" ht="15" customHeight="1" x14ac:dyDescent="0.2"/>
    <row r="14151" ht="15" customHeight="1" x14ac:dyDescent="0.2"/>
    <row r="14152" ht="15" customHeight="1" x14ac:dyDescent="0.2"/>
    <row r="14153" ht="15" customHeight="1" x14ac:dyDescent="0.2"/>
    <row r="14154" ht="15" customHeight="1" x14ac:dyDescent="0.2"/>
    <row r="14155" ht="15" customHeight="1" x14ac:dyDescent="0.2"/>
    <row r="14156" ht="15" customHeight="1" x14ac:dyDescent="0.2"/>
    <row r="14157" ht="15" customHeight="1" x14ac:dyDescent="0.2"/>
    <row r="14158" ht="15" customHeight="1" x14ac:dyDescent="0.2"/>
    <row r="14159" ht="15" customHeight="1" x14ac:dyDescent="0.2"/>
    <row r="14160" ht="15" customHeight="1" x14ac:dyDescent="0.2"/>
    <row r="14161" ht="15" customHeight="1" x14ac:dyDescent="0.2"/>
    <row r="14162" ht="15" customHeight="1" x14ac:dyDescent="0.2"/>
    <row r="14163" ht="15" customHeight="1" x14ac:dyDescent="0.2"/>
    <row r="14164" ht="15" customHeight="1" x14ac:dyDescent="0.2"/>
    <row r="14165" ht="15" customHeight="1" x14ac:dyDescent="0.2"/>
    <row r="14166" ht="15" customHeight="1" x14ac:dyDescent="0.2"/>
    <row r="14167" ht="15" customHeight="1" x14ac:dyDescent="0.2"/>
    <row r="14168" ht="15" customHeight="1" x14ac:dyDescent="0.2"/>
    <row r="14169" ht="15" customHeight="1" x14ac:dyDescent="0.2"/>
    <row r="14170" ht="15" customHeight="1" x14ac:dyDescent="0.2"/>
    <row r="14171" ht="15" customHeight="1" x14ac:dyDescent="0.2"/>
    <row r="14172" ht="15" customHeight="1" x14ac:dyDescent="0.2"/>
    <row r="14173" ht="15" customHeight="1" x14ac:dyDescent="0.2"/>
    <row r="14174" ht="15" customHeight="1" x14ac:dyDescent="0.2"/>
    <row r="14175" ht="15" customHeight="1" x14ac:dyDescent="0.2"/>
    <row r="14176" ht="15" customHeight="1" x14ac:dyDescent="0.2"/>
    <row r="14177" ht="15" customHeight="1" x14ac:dyDescent="0.2"/>
    <row r="14178" ht="15" customHeight="1" x14ac:dyDescent="0.2"/>
    <row r="14179" ht="15" customHeight="1" x14ac:dyDescent="0.2"/>
    <row r="14180" ht="15" customHeight="1" x14ac:dyDescent="0.2"/>
    <row r="14181" ht="15" customHeight="1" x14ac:dyDescent="0.2"/>
    <row r="14182" ht="15" customHeight="1" x14ac:dyDescent="0.2"/>
    <row r="14183" ht="15" customHeight="1" x14ac:dyDescent="0.2"/>
    <row r="14184" ht="15" customHeight="1" x14ac:dyDescent="0.2"/>
    <row r="14185" ht="15" customHeight="1" x14ac:dyDescent="0.2"/>
    <row r="14186" ht="15" customHeight="1" x14ac:dyDescent="0.2"/>
    <row r="14187" ht="15" customHeight="1" x14ac:dyDescent="0.2"/>
    <row r="14188" ht="15" customHeight="1" x14ac:dyDescent="0.2"/>
    <row r="14189" ht="15" customHeight="1" x14ac:dyDescent="0.2"/>
    <row r="14190" ht="15" customHeight="1" x14ac:dyDescent="0.2"/>
    <row r="14191" ht="15" customHeight="1" x14ac:dyDescent="0.2"/>
    <row r="14192" ht="15" customHeight="1" x14ac:dyDescent="0.2"/>
    <row r="14193" ht="15" customHeight="1" x14ac:dyDescent="0.2"/>
    <row r="14194" ht="15" customHeight="1" x14ac:dyDescent="0.2"/>
    <row r="14195" ht="15" customHeight="1" x14ac:dyDescent="0.2"/>
    <row r="14196" ht="15" customHeight="1" x14ac:dyDescent="0.2"/>
    <row r="14197" ht="15" customHeight="1" x14ac:dyDescent="0.2"/>
    <row r="14198" ht="15" customHeight="1" x14ac:dyDescent="0.2"/>
    <row r="14199" ht="15" customHeight="1" x14ac:dyDescent="0.2"/>
    <row r="14200" ht="15" customHeight="1" x14ac:dyDescent="0.2"/>
    <row r="14201" ht="15" customHeight="1" x14ac:dyDescent="0.2"/>
    <row r="14202" ht="15" customHeight="1" x14ac:dyDescent="0.2"/>
    <row r="14203" ht="15" customHeight="1" x14ac:dyDescent="0.2"/>
    <row r="14204" ht="15" customHeight="1" x14ac:dyDescent="0.2"/>
    <row r="14205" ht="15" customHeight="1" x14ac:dyDescent="0.2"/>
    <row r="14206" ht="15" customHeight="1" x14ac:dyDescent="0.2"/>
    <row r="14207" ht="15" customHeight="1" x14ac:dyDescent="0.2"/>
    <row r="14208" ht="15" customHeight="1" x14ac:dyDescent="0.2"/>
    <row r="14209" ht="15" customHeight="1" x14ac:dyDescent="0.2"/>
    <row r="14210" ht="15" customHeight="1" x14ac:dyDescent="0.2"/>
    <row r="14211" ht="15" customHeight="1" x14ac:dyDescent="0.2"/>
    <row r="14212" ht="15" customHeight="1" x14ac:dyDescent="0.2"/>
    <row r="14213" ht="15" customHeight="1" x14ac:dyDescent="0.2"/>
    <row r="14214" ht="15" customHeight="1" x14ac:dyDescent="0.2"/>
    <row r="14215" ht="15" customHeight="1" x14ac:dyDescent="0.2"/>
    <row r="14216" ht="15" customHeight="1" x14ac:dyDescent="0.2"/>
    <row r="14217" ht="15" customHeight="1" x14ac:dyDescent="0.2"/>
    <row r="14218" ht="15" customHeight="1" x14ac:dyDescent="0.2"/>
    <row r="14219" ht="15" customHeight="1" x14ac:dyDescent="0.2"/>
    <row r="14220" ht="15" customHeight="1" x14ac:dyDescent="0.2"/>
    <row r="14221" ht="15" customHeight="1" x14ac:dyDescent="0.2"/>
    <row r="14222" ht="15" customHeight="1" x14ac:dyDescent="0.2"/>
    <row r="14223" ht="15" customHeight="1" x14ac:dyDescent="0.2"/>
    <row r="14224" ht="15" customHeight="1" x14ac:dyDescent="0.2"/>
    <row r="14225" ht="15" customHeight="1" x14ac:dyDescent="0.2"/>
    <row r="14226" ht="15" customHeight="1" x14ac:dyDescent="0.2"/>
    <row r="14227" ht="15" customHeight="1" x14ac:dyDescent="0.2"/>
    <row r="14228" ht="15" customHeight="1" x14ac:dyDescent="0.2"/>
    <row r="14229" ht="15" customHeight="1" x14ac:dyDescent="0.2"/>
    <row r="14230" ht="15" customHeight="1" x14ac:dyDescent="0.2"/>
    <row r="14231" ht="15" customHeight="1" x14ac:dyDescent="0.2"/>
    <row r="14232" ht="15" customHeight="1" x14ac:dyDescent="0.2"/>
    <row r="14233" ht="15" customHeight="1" x14ac:dyDescent="0.2"/>
    <row r="14234" ht="15" customHeight="1" x14ac:dyDescent="0.2"/>
    <row r="14235" ht="15" customHeight="1" x14ac:dyDescent="0.2"/>
    <row r="14236" ht="15" customHeight="1" x14ac:dyDescent="0.2"/>
    <row r="14237" ht="15" customHeight="1" x14ac:dyDescent="0.2"/>
    <row r="14238" ht="15" customHeight="1" x14ac:dyDescent="0.2"/>
    <row r="14239" ht="15" customHeight="1" x14ac:dyDescent="0.2"/>
    <row r="14240" ht="15" customHeight="1" x14ac:dyDescent="0.2"/>
    <row r="14241" ht="15" customHeight="1" x14ac:dyDescent="0.2"/>
    <row r="14242" ht="15" customHeight="1" x14ac:dyDescent="0.2"/>
    <row r="14243" ht="15" customHeight="1" x14ac:dyDescent="0.2"/>
    <row r="14244" ht="15" customHeight="1" x14ac:dyDescent="0.2"/>
    <row r="14245" ht="15" customHeight="1" x14ac:dyDescent="0.2"/>
    <row r="14246" ht="15" customHeight="1" x14ac:dyDescent="0.2"/>
    <row r="14247" ht="15" customHeight="1" x14ac:dyDescent="0.2"/>
    <row r="14248" ht="15" customHeight="1" x14ac:dyDescent="0.2"/>
    <row r="14249" ht="15" customHeight="1" x14ac:dyDescent="0.2"/>
    <row r="14250" ht="15" customHeight="1" x14ac:dyDescent="0.2"/>
    <row r="14251" ht="15" customHeight="1" x14ac:dyDescent="0.2"/>
    <row r="14252" ht="15" customHeight="1" x14ac:dyDescent="0.2"/>
    <row r="14253" ht="15" customHeight="1" x14ac:dyDescent="0.2"/>
    <row r="14254" ht="15" customHeight="1" x14ac:dyDescent="0.2"/>
    <row r="14255" ht="15" customHeight="1" x14ac:dyDescent="0.2"/>
    <row r="14256" ht="15" customHeight="1" x14ac:dyDescent="0.2"/>
    <row r="14257" ht="15" customHeight="1" x14ac:dyDescent="0.2"/>
    <row r="14258" ht="15" customHeight="1" x14ac:dyDescent="0.2"/>
    <row r="14259" ht="15" customHeight="1" x14ac:dyDescent="0.2"/>
    <row r="14260" ht="15" customHeight="1" x14ac:dyDescent="0.2"/>
    <row r="14261" ht="15" customHeight="1" x14ac:dyDescent="0.2"/>
    <row r="14262" ht="15" customHeight="1" x14ac:dyDescent="0.2"/>
    <row r="14263" ht="15" customHeight="1" x14ac:dyDescent="0.2"/>
    <row r="14264" ht="15" customHeight="1" x14ac:dyDescent="0.2"/>
    <row r="14265" ht="15" customHeight="1" x14ac:dyDescent="0.2"/>
    <row r="14266" ht="15" customHeight="1" x14ac:dyDescent="0.2"/>
    <row r="14267" ht="15" customHeight="1" x14ac:dyDescent="0.2"/>
    <row r="14268" ht="15" customHeight="1" x14ac:dyDescent="0.2"/>
    <row r="14269" ht="15" customHeight="1" x14ac:dyDescent="0.2"/>
    <row r="14270" ht="15" customHeight="1" x14ac:dyDescent="0.2"/>
    <row r="14271" ht="15" customHeight="1" x14ac:dyDescent="0.2"/>
    <row r="14272" ht="15" customHeight="1" x14ac:dyDescent="0.2"/>
    <row r="14273" ht="15" customHeight="1" x14ac:dyDescent="0.2"/>
    <row r="14274" ht="15" customHeight="1" x14ac:dyDescent="0.2"/>
    <row r="14275" ht="15" customHeight="1" x14ac:dyDescent="0.2"/>
    <row r="14276" ht="15" customHeight="1" x14ac:dyDescent="0.2"/>
    <row r="14277" ht="15" customHeight="1" x14ac:dyDescent="0.2"/>
    <row r="14278" ht="15" customHeight="1" x14ac:dyDescent="0.2"/>
    <row r="14279" ht="15" customHeight="1" x14ac:dyDescent="0.2"/>
    <row r="14280" ht="15" customHeight="1" x14ac:dyDescent="0.2"/>
    <row r="14281" ht="15" customHeight="1" x14ac:dyDescent="0.2"/>
    <row r="14282" ht="15" customHeight="1" x14ac:dyDescent="0.2"/>
    <row r="14283" ht="15" customHeight="1" x14ac:dyDescent="0.2"/>
    <row r="14284" ht="15" customHeight="1" x14ac:dyDescent="0.2"/>
    <row r="14285" ht="15" customHeight="1" x14ac:dyDescent="0.2"/>
    <row r="14286" ht="15" customHeight="1" x14ac:dyDescent="0.2"/>
    <row r="14287" ht="15" customHeight="1" x14ac:dyDescent="0.2"/>
    <row r="14288" ht="15" customHeight="1" x14ac:dyDescent="0.2"/>
    <row r="14289" ht="15" customHeight="1" x14ac:dyDescent="0.2"/>
    <row r="14290" ht="15" customHeight="1" x14ac:dyDescent="0.2"/>
    <row r="14291" ht="15" customHeight="1" x14ac:dyDescent="0.2"/>
    <row r="14292" ht="15" customHeight="1" x14ac:dyDescent="0.2"/>
    <row r="14293" ht="15" customHeight="1" x14ac:dyDescent="0.2"/>
    <row r="14294" ht="15" customHeight="1" x14ac:dyDescent="0.2"/>
    <row r="14295" ht="15" customHeight="1" x14ac:dyDescent="0.2"/>
    <row r="14296" ht="15" customHeight="1" x14ac:dyDescent="0.2"/>
    <row r="14297" ht="15" customHeight="1" x14ac:dyDescent="0.2"/>
    <row r="14298" ht="15" customHeight="1" x14ac:dyDescent="0.2"/>
    <row r="14299" ht="15" customHeight="1" x14ac:dyDescent="0.2"/>
    <row r="14300" ht="15" customHeight="1" x14ac:dyDescent="0.2"/>
    <row r="14301" ht="15" customHeight="1" x14ac:dyDescent="0.2"/>
    <row r="14302" ht="15" customHeight="1" x14ac:dyDescent="0.2"/>
    <row r="14303" ht="15" customHeight="1" x14ac:dyDescent="0.2"/>
    <row r="14304" ht="15" customHeight="1" x14ac:dyDescent="0.2"/>
    <row r="14305" ht="15" customHeight="1" x14ac:dyDescent="0.2"/>
    <row r="14306" ht="15" customHeight="1" x14ac:dyDescent="0.2"/>
    <row r="14307" ht="15" customHeight="1" x14ac:dyDescent="0.2"/>
    <row r="14308" ht="15" customHeight="1" x14ac:dyDescent="0.2"/>
    <row r="14309" ht="15" customHeight="1" x14ac:dyDescent="0.2"/>
    <row r="14310" ht="15" customHeight="1" x14ac:dyDescent="0.2"/>
    <row r="14311" ht="15" customHeight="1" x14ac:dyDescent="0.2"/>
    <row r="14312" ht="15" customHeight="1" x14ac:dyDescent="0.2"/>
    <row r="14313" ht="15" customHeight="1" x14ac:dyDescent="0.2"/>
    <row r="14314" ht="15" customHeight="1" x14ac:dyDescent="0.2"/>
    <row r="14315" ht="15" customHeight="1" x14ac:dyDescent="0.2"/>
    <row r="14316" ht="15" customHeight="1" x14ac:dyDescent="0.2"/>
    <row r="14317" ht="15" customHeight="1" x14ac:dyDescent="0.2"/>
    <row r="14318" ht="15" customHeight="1" x14ac:dyDescent="0.2"/>
    <row r="14319" ht="15" customHeight="1" x14ac:dyDescent="0.2"/>
    <row r="14320" ht="15" customHeight="1" x14ac:dyDescent="0.2"/>
    <row r="14321" ht="15" customHeight="1" x14ac:dyDescent="0.2"/>
    <row r="14322" ht="15" customHeight="1" x14ac:dyDescent="0.2"/>
    <row r="14323" ht="15" customHeight="1" x14ac:dyDescent="0.2"/>
    <row r="14324" ht="15" customHeight="1" x14ac:dyDescent="0.2"/>
    <row r="14325" ht="15" customHeight="1" x14ac:dyDescent="0.2"/>
    <row r="14326" ht="15" customHeight="1" x14ac:dyDescent="0.2"/>
    <row r="14327" ht="15" customHeight="1" x14ac:dyDescent="0.2"/>
    <row r="14328" ht="15" customHeight="1" x14ac:dyDescent="0.2"/>
    <row r="14329" ht="15" customHeight="1" x14ac:dyDescent="0.2"/>
    <row r="14330" ht="15" customHeight="1" x14ac:dyDescent="0.2"/>
    <row r="14331" ht="15" customHeight="1" x14ac:dyDescent="0.2"/>
    <row r="14332" ht="15" customHeight="1" x14ac:dyDescent="0.2"/>
    <row r="14333" ht="15" customHeight="1" x14ac:dyDescent="0.2"/>
    <row r="14334" ht="15" customHeight="1" x14ac:dyDescent="0.2"/>
    <row r="14335" ht="15" customHeight="1" x14ac:dyDescent="0.2"/>
    <row r="14336" ht="15" customHeight="1" x14ac:dyDescent="0.2"/>
    <row r="14337" ht="15" customHeight="1" x14ac:dyDescent="0.2"/>
    <row r="14338" ht="15" customHeight="1" x14ac:dyDescent="0.2"/>
    <row r="14339" ht="15" customHeight="1" x14ac:dyDescent="0.2"/>
    <row r="14340" ht="15" customHeight="1" x14ac:dyDescent="0.2"/>
    <row r="14341" ht="15" customHeight="1" x14ac:dyDescent="0.2"/>
    <row r="14342" ht="15" customHeight="1" x14ac:dyDescent="0.2"/>
    <row r="14343" ht="15" customHeight="1" x14ac:dyDescent="0.2"/>
    <row r="14344" ht="15" customHeight="1" x14ac:dyDescent="0.2"/>
    <row r="14345" ht="15" customHeight="1" x14ac:dyDescent="0.2"/>
    <row r="14346" ht="15" customHeight="1" x14ac:dyDescent="0.2"/>
    <row r="14347" ht="15" customHeight="1" x14ac:dyDescent="0.2"/>
    <row r="14348" ht="15" customHeight="1" x14ac:dyDescent="0.2"/>
    <row r="14349" ht="15" customHeight="1" x14ac:dyDescent="0.2"/>
    <row r="14350" ht="15" customHeight="1" x14ac:dyDescent="0.2"/>
    <row r="14351" ht="15" customHeight="1" x14ac:dyDescent="0.2"/>
    <row r="14352" ht="15" customHeight="1" x14ac:dyDescent="0.2"/>
    <row r="14353" ht="15" customHeight="1" x14ac:dyDescent="0.2"/>
    <row r="14354" ht="15" customHeight="1" x14ac:dyDescent="0.2"/>
    <row r="14355" ht="15" customHeight="1" x14ac:dyDescent="0.2"/>
    <row r="14356" ht="15" customHeight="1" x14ac:dyDescent="0.2"/>
    <row r="14357" ht="15" customHeight="1" x14ac:dyDescent="0.2"/>
    <row r="14358" ht="15" customHeight="1" x14ac:dyDescent="0.2"/>
    <row r="14359" ht="15" customHeight="1" x14ac:dyDescent="0.2"/>
    <row r="14360" ht="15" customHeight="1" x14ac:dyDescent="0.2"/>
    <row r="14361" ht="15" customHeight="1" x14ac:dyDescent="0.2"/>
    <row r="14362" ht="15" customHeight="1" x14ac:dyDescent="0.2"/>
    <row r="14363" ht="15" customHeight="1" x14ac:dyDescent="0.2"/>
    <row r="14364" ht="15" customHeight="1" x14ac:dyDescent="0.2"/>
    <row r="14365" ht="15" customHeight="1" x14ac:dyDescent="0.2"/>
    <row r="14366" ht="15" customHeight="1" x14ac:dyDescent="0.2"/>
    <row r="14367" ht="15" customHeight="1" x14ac:dyDescent="0.2"/>
    <row r="14368" ht="15" customHeight="1" x14ac:dyDescent="0.2"/>
    <row r="14369" ht="15" customHeight="1" x14ac:dyDescent="0.2"/>
    <row r="14370" ht="15" customHeight="1" x14ac:dyDescent="0.2"/>
    <row r="14371" ht="15" customHeight="1" x14ac:dyDescent="0.2"/>
    <row r="14372" ht="15" customHeight="1" x14ac:dyDescent="0.2"/>
    <row r="14373" ht="15" customHeight="1" x14ac:dyDescent="0.2"/>
    <row r="14374" ht="15" customHeight="1" x14ac:dyDescent="0.2"/>
    <row r="14375" ht="15" customHeight="1" x14ac:dyDescent="0.2"/>
    <row r="14376" ht="15" customHeight="1" x14ac:dyDescent="0.2"/>
    <row r="14377" ht="15" customHeight="1" x14ac:dyDescent="0.2"/>
    <row r="14378" ht="15" customHeight="1" x14ac:dyDescent="0.2"/>
    <row r="14379" ht="15" customHeight="1" x14ac:dyDescent="0.2"/>
    <row r="14380" ht="15" customHeight="1" x14ac:dyDescent="0.2"/>
    <row r="14381" ht="15" customHeight="1" x14ac:dyDescent="0.2"/>
    <row r="14382" ht="15" customHeight="1" x14ac:dyDescent="0.2"/>
    <row r="14383" ht="15" customHeight="1" x14ac:dyDescent="0.2"/>
    <row r="14384" ht="15" customHeight="1" x14ac:dyDescent="0.2"/>
    <row r="14385" ht="15" customHeight="1" x14ac:dyDescent="0.2"/>
    <row r="14386" ht="15" customHeight="1" x14ac:dyDescent="0.2"/>
    <row r="14387" ht="15" customHeight="1" x14ac:dyDescent="0.2"/>
    <row r="14388" ht="15" customHeight="1" x14ac:dyDescent="0.2"/>
    <row r="14389" ht="15" customHeight="1" x14ac:dyDescent="0.2"/>
    <row r="14390" ht="15" customHeight="1" x14ac:dyDescent="0.2"/>
    <row r="14391" ht="15" customHeight="1" x14ac:dyDescent="0.2"/>
    <row r="14392" ht="15" customHeight="1" x14ac:dyDescent="0.2"/>
    <row r="14393" ht="15" customHeight="1" x14ac:dyDescent="0.2"/>
    <row r="14394" ht="15" customHeight="1" x14ac:dyDescent="0.2"/>
    <row r="14395" ht="15" customHeight="1" x14ac:dyDescent="0.2"/>
    <row r="14396" ht="15" customHeight="1" x14ac:dyDescent="0.2"/>
    <row r="14397" ht="15" customHeight="1" x14ac:dyDescent="0.2"/>
    <row r="14398" ht="15" customHeight="1" x14ac:dyDescent="0.2"/>
    <row r="14399" ht="15" customHeight="1" x14ac:dyDescent="0.2"/>
    <row r="14400" ht="15" customHeight="1" x14ac:dyDescent="0.2"/>
    <row r="14401" ht="15" customHeight="1" x14ac:dyDescent="0.2"/>
    <row r="14402" ht="15" customHeight="1" x14ac:dyDescent="0.2"/>
    <row r="14403" ht="15" customHeight="1" x14ac:dyDescent="0.2"/>
    <row r="14404" ht="15" customHeight="1" x14ac:dyDescent="0.2"/>
    <row r="14405" ht="15" customHeight="1" x14ac:dyDescent="0.2"/>
    <row r="14406" ht="15" customHeight="1" x14ac:dyDescent="0.2"/>
    <row r="14407" ht="15" customHeight="1" x14ac:dyDescent="0.2"/>
    <row r="14408" ht="15" customHeight="1" x14ac:dyDescent="0.2"/>
    <row r="14409" ht="15" customHeight="1" x14ac:dyDescent="0.2"/>
    <row r="14410" ht="15" customHeight="1" x14ac:dyDescent="0.2"/>
    <row r="14411" ht="15" customHeight="1" x14ac:dyDescent="0.2"/>
    <row r="14412" ht="15" customHeight="1" x14ac:dyDescent="0.2"/>
    <row r="14413" ht="15" customHeight="1" x14ac:dyDescent="0.2"/>
    <row r="14414" ht="15" customHeight="1" x14ac:dyDescent="0.2"/>
    <row r="14415" ht="15" customHeight="1" x14ac:dyDescent="0.2"/>
    <row r="14416" ht="15" customHeight="1" x14ac:dyDescent="0.2"/>
    <row r="14417" ht="15" customHeight="1" x14ac:dyDescent="0.2"/>
    <row r="14418" ht="15" customHeight="1" x14ac:dyDescent="0.2"/>
    <row r="14419" ht="15" customHeight="1" x14ac:dyDescent="0.2"/>
    <row r="14420" ht="15" customHeight="1" x14ac:dyDescent="0.2"/>
    <row r="14421" ht="15" customHeight="1" x14ac:dyDescent="0.2"/>
    <row r="14422" ht="15" customHeight="1" x14ac:dyDescent="0.2"/>
    <row r="14423" ht="15" customHeight="1" x14ac:dyDescent="0.2"/>
    <row r="14424" ht="15" customHeight="1" x14ac:dyDescent="0.2"/>
    <row r="14425" ht="15" customHeight="1" x14ac:dyDescent="0.2"/>
    <row r="14426" ht="15" customHeight="1" x14ac:dyDescent="0.2"/>
    <row r="14427" ht="15" customHeight="1" x14ac:dyDescent="0.2"/>
    <row r="14428" ht="15" customHeight="1" x14ac:dyDescent="0.2"/>
    <row r="14429" ht="15" customHeight="1" x14ac:dyDescent="0.2"/>
    <row r="14430" ht="15" customHeight="1" x14ac:dyDescent="0.2"/>
    <row r="14431" ht="15" customHeight="1" x14ac:dyDescent="0.2"/>
    <row r="14432" ht="15" customHeight="1" x14ac:dyDescent="0.2"/>
    <row r="14433" ht="15" customHeight="1" x14ac:dyDescent="0.2"/>
    <row r="14434" ht="15" customHeight="1" x14ac:dyDescent="0.2"/>
    <row r="14435" ht="15" customHeight="1" x14ac:dyDescent="0.2"/>
    <row r="14436" ht="15" customHeight="1" x14ac:dyDescent="0.2"/>
    <row r="14437" ht="15" customHeight="1" x14ac:dyDescent="0.2"/>
    <row r="14438" ht="15" customHeight="1" x14ac:dyDescent="0.2"/>
    <row r="14439" ht="15" customHeight="1" x14ac:dyDescent="0.2"/>
    <row r="14440" ht="15" customHeight="1" x14ac:dyDescent="0.2"/>
    <row r="14441" ht="15" customHeight="1" x14ac:dyDescent="0.2"/>
    <row r="14442" ht="15" customHeight="1" x14ac:dyDescent="0.2"/>
    <row r="14443" ht="15" customHeight="1" x14ac:dyDescent="0.2"/>
    <row r="14444" ht="15" customHeight="1" x14ac:dyDescent="0.2"/>
    <row r="14445" ht="15" customHeight="1" x14ac:dyDescent="0.2"/>
    <row r="14446" ht="15" customHeight="1" x14ac:dyDescent="0.2"/>
    <row r="14447" ht="15" customHeight="1" x14ac:dyDescent="0.2"/>
    <row r="14448" ht="15" customHeight="1" x14ac:dyDescent="0.2"/>
    <row r="14449" ht="15" customHeight="1" x14ac:dyDescent="0.2"/>
    <row r="14450" ht="15" customHeight="1" x14ac:dyDescent="0.2"/>
    <row r="14451" ht="15" customHeight="1" x14ac:dyDescent="0.2"/>
    <row r="14452" ht="15" customHeight="1" x14ac:dyDescent="0.2"/>
    <row r="14453" ht="15" customHeight="1" x14ac:dyDescent="0.2"/>
    <row r="14454" ht="15" customHeight="1" x14ac:dyDescent="0.2"/>
    <row r="14455" ht="15" customHeight="1" x14ac:dyDescent="0.2"/>
    <row r="14456" ht="15" customHeight="1" x14ac:dyDescent="0.2"/>
    <row r="14457" ht="15" customHeight="1" x14ac:dyDescent="0.2"/>
    <row r="14458" ht="15" customHeight="1" x14ac:dyDescent="0.2"/>
    <row r="14459" ht="15" customHeight="1" x14ac:dyDescent="0.2"/>
    <row r="14460" ht="15" customHeight="1" x14ac:dyDescent="0.2"/>
    <row r="14461" ht="15" customHeight="1" x14ac:dyDescent="0.2"/>
    <row r="14462" ht="15" customHeight="1" x14ac:dyDescent="0.2"/>
    <row r="14463" ht="15" customHeight="1" x14ac:dyDescent="0.2"/>
    <row r="14464" ht="15" customHeight="1" x14ac:dyDescent="0.2"/>
    <row r="14465" ht="15" customHeight="1" x14ac:dyDescent="0.2"/>
    <row r="14466" ht="15" customHeight="1" x14ac:dyDescent="0.2"/>
    <row r="14467" ht="15" customHeight="1" x14ac:dyDescent="0.2"/>
    <row r="14468" ht="15" customHeight="1" x14ac:dyDescent="0.2"/>
    <row r="14469" ht="15" customHeight="1" x14ac:dyDescent="0.2"/>
    <row r="14470" ht="15" customHeight="1" x14ac:dyDescent="0.2"/>
    <row r="14471" ht="15" customHeight="1" x14ac:dyDescent="0.2"/>
    <row r="14472" ht="15" customHeight="1" x14ac:dyDescent="0.2"/>
    <row r="14473" ht="15" customHeight="1" x14ac:dyDescent="0.2"/>
    <row r="14474" ht="15" customHeight="1" x14ac:dyDescent="0.2"/>
    <row r="14475" ht="15" customHeight="1" x14ac:dyDescent="0.2"/>
    <row r="14476" ht="15" customHeight="1" x14ac:dyDescent="0.2"/>
    <row r="14477" ht="15" customHeight="1" x14ac:dyDescent="0.2"/>
    <row r="14478" ht="15" customHeight="1" x14ac:dyDescent="0.2"/>
    <row r="14479" ht="15" customHeight="1" x14ac:dyDescent="0.2"/>
    <row r="14480" ht="15" customHeight="1" x14ac:dyDescent="0.2"/>
    <row r="14481" ht="15" customHeight="1" x14ac:dyDescent="0.2"/>
    <row r="14482" ht="15" customHeight="1" x14ac:dyDescent="0.2"/>
    <row r="14483" ht="15" customHeight="1" x14ac:dyDescent="0.2"/>
    <row r="14484" ht="15" customHeight="1" x14ac:dyDescent="0.2"/>
    <row r="14485" ht="15" customHeight="1" x14ac:dyDescent="0.2"/>
    <row r="14486" ht="15" customHeight="1" x14ac:dyDescent="0.2"/>
    <row r="14487" ht="15" customHeight="1" x14ac:dyDescent="0.2"/>
    <row r="14488" ht="15" customHeight="1" x14ac:dyDescent="0.2"/>
    <row r="14489" ht="15" customHeight="1" x14ac:dyDescent="0.2"/>
    <row r="14490" ht="15" customHeight="1" x14ac:dyDescent="0.2"/>
    <row r="14491" ht="15" customHeight="1" x14ac:dyDescent="0.2"/>
    <row r="14492" ht="15" customHeight="1" x14ac:dyDescent="0.2"/>
    <row r="14493" ht="15" customHeight="1" x14ac:dyDescent="0.2"/>
    <row r="14494" ht="15" customHeight="1" x14ac:dyDescent="0.2"/>
    <row r="14495" ht="15" customHeight="1" x14ac:dyDescent="0.2"/>
    <row r="14496" ht="15" customHeight="1" x14ac:dyDescent="0.2"/>
    <row r="14497" ht="15" customHeight="1" x14ac:dyDescent="0.2"/>
    <row r="14498" ht="15" customHeight="1" x14ac:dyDescent="0.2"/>
    <row r="14499" ht="15" customHeight="1" x14ac:dyDescent="0.2"/>
    <row r="14500" ht="15" customHeight="1" x14ac:dyDescent="0.2"/>
    <row r="14501" ht="15" customHeight="1" x14ac:dyDescent="0.2"/>
    <row r="14502" ht="15" customHeight="1" x14ac:dyDescent="0.2"/>
    <row r="14503" ht="15" customHeight="1" x14ac:dyDescent="0.2"/>
    <row r="14504" ht="15" customHeight="1" x14ac:dyDescent="0.2"/>
    <row r="14505" ht="15" customHeight="1" x14ac:dyDescent="0.2"/>
    <row r="14506" ht="15" customHeight="1" x14ac:dyDescent="0.2"/>
    <row r="14507" ht="15" customHeight="1" x14ac:dyDescent="0.2"/>
    <row r="14508" ht="15" customHeight="1" x14ac:dyDescent="0.2"/>
    <row r="14509" ht="15" customHeight="1" x14ac:dyDescent="0.2"/>
    <row r="14510" ht="15" customHeight="1" x14ac:dyDescent="0.2"/>
    <row r="14511" ht="15" customHeight="1" x14ac:dyDescent="0.2"/>
    <row r="14512" ht="15" customHeight="1" x14ac:dyDescent="0.2"/>
    <row r="14513" ht="15" customHeight="1" x14ac:dyDescent="0.2"/>
    <row r="14514" ht="15" customHeight="1" x14ac:dyDescent="0.2"/>
    <row r="14515" ht="15" customHeight="1" x14ac:dyDescent="0.2"/>
    <row r="14516" ht="15" customHeight="1" x14ac:dyDescent="0.2"/>
    <row r="14517" ht="15" customHeight="1" x14ac:dyDescent="0.2"/>
    <row r="14518" ht="15" customHeight="1" x14ac:dyDescent="0.2"/>
    <row r="14519" ht="15" customHeight="1" x14ac:dyDescent="0.2"/>
    <row r="14520" ht="15" customHeight="1" x14ac:dyDescent="0.2"/>
    <row r="14521" ht="15" customHeight="1" x14ac:dyDescent="0.2"/>
    <row r="14522" ht="15" customHeight="1" x14ac:dyDescent="0.2"/>
    <row r="14523" ht="15" customHeight="1" x14ac:dyDescent="0.2"/>
    <row r="14524" ht="15" customHeight="1" x14ac:dyDescent="0.2"/>
    <row r="14525" ht="15" customHeight="1" x14ac:dyDescent="0.2"/>
    <row r="14526" ht="15" customHeight="1" x14ac:dyDescent="0.2"/>
    <row r="14527" ht="15" customHeight="1" x14ac:dyDescent="0.2"/>
    <row r="14528" ht="15" customHeight="1" x14ac:dyDescent="0.2"/>
    <row r="14529" ht="15" customHeight="1" x14ac:dyDescent="0.2"/>
    <row r="14530" ht="15" customHeight="1" x14ac:dyDescent="0.2"/>
    <row r="14531" ht="15" customHeight="1" x14ac:dyDescent="0.2"/>
    <row r="14532" ht="15" customHeight="1" x14ac:dyDescent="0.2"/>
    <row r="14533" ht="15" customHeight="1" x14ac:dyDescent="0.2"/>
    <row r="14534" ht="15" customHeight="1" x14ac:dyDescent="0.2"/>
    <row r="14535" ht="15" customHeight="1" x14ac:dyDescent="0.2"/>
    <row r="14536" ht="15" customHeight="1" x14ac:dyDescent="0.2"/>
    <row r="14537" ht="15" customHeight="1" x14ac:dyDescent="0.2"/>
    <row r="14538" ht="15" customHeight="1" x14ac:dyDescent="0.2"/>
    <row r="14539" ht="15" customHeight="1" x14ac:dyDescent="0.2"/>
    <row r="14540" ht="15" customHeight="1" x14ac:dyDescent="0.2"/>
    <row r="14541" ht="15" customHeight="1" x14ac:dyDescent="0.2"/>
    <row r="14542" ht="15" customHeight="1" x14ac:dyDescent="0.2"/>
    <row r="14543" ht="15" customHeight="1" x14ac:dyDescent="0.2"/>
    <row r="14544" ht="15" customHeight="1" x14ac:dyDescent="0.2"/>
    <row r="14545" ht="15" customHeight="1" x14ac:dyDescent="0.2"/>
    <row r="14546" ht="15" customHeight="1" x14ac:dyDescent="0.2"/>
    <row r="14547" ht="15" customHeight="1" x14ac:dyDescent="0.2"/>
    <row r="14548" ht="15" customHeight="1" x14ac:dyDescent="0.2"/>
    <row r="14549" ht="15" customHeight="1" x14ac:dyDescent="0.2"/>
    <row r="14550" ht="15" customHeight="1" x14ac:dyDescent="0.2"/>
    <row r="14551" ht="15" customHeight="1" x14ac:dyDescent="0.2"/>
    <row r="14552" ht="15" customHeight="1" x14ac:dyDescent="0.2"/>
    <row r="14553" ht="15" customHeight="1" x14ac:dyDescent="0.2"/>
    <row r="14554" ht="15" customHeight="1" x14ac:dyDescent="0.2"/>
    <row r="14555" ht="15" customHeight="1" x14ac:dyDescent="0.2"/>
    <row r="14556" ht="15" customHeight="1" x14ac:dyDescent="0.2"/>
    <row r="14557" ht="15" customHeight="1" x14ac:dyDescent="0.2"/>
    <row r="14558" ht="15" customHeight="1" x14ac:dyDescent="0.2"/>
    <row r="14559" ht="15" customHeight="1" x14ac:dyDescent="0.2"/>
    <row r="14560" ht="15" customHeight="1" x14ac:dyDescent="0.2"/>
    <row r="14561" ht="15" customHeight="1" x14ac:dyDescent="0.2"/>
    <row r="14562" ht="15" customHeight="1" x14ac:dyDescent="0.2"/>
    <row r="14563" ht="15" customHeight="1" x14ac:dyDescent="0.2"/>
    <row r="14564" ht="15" customHeight="1" x14ac:dyDescent="0.2"/>
    <row r="14565" ht="15" customHeight="1" x14ac:dyDescent="0.2"/>
    <row r="14566" ht="15" customHeight="1" x14ac:dyDescent="0.2"/>
    <row r="14567" ht="15" customHeight="1" x14ac:dyDescent="0.2"/>
    <row r="14568" ht="15" customHeight="1" x14ac:dyDescent="0.2"/>
    <row r="14569" ht="15" customHeight="1" x14ac:dyDescent="0.2"/>
    <row r="14570" ht="15" customHeight="1" x14ac:dyDescent="0.2"/>
    <row r="14571" ht="15" customHeight="1" x14ac:dyDescent="0.2"/>
  </sheetData>
  <mergeCells count="5">
    <mergeCell ref="C59:U60"/>
    <mergeCell ref="A5:A6"/>
    <mergeCell ref="H5:Q5"/>
    <mergeCell ref="C2:U3"/>
    <mergeCell ref="C4:U4"/>
  </mergeCells>
  <pageMargins left="0.6692913385826772" right="0.6692913385826772" top="0.39370078740157483" bottom="0.39370078740157483" header="0" footer="0"/>
  <pageSetup paperSize="9" scale="9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8"/>
  <dimension ref="A1:AA89"/>
  <sheetViews>
    <sheetView workbookViewId="0">
      <selection activeCell="AB46" sqref="AB46"/>
    </sheetView>
  </sheetViews>
  <sheetFormatPr defaultColWidth="9.140625" defaultRowHeight="12.75" x14ac:dyDescent="0.2"/>
  <cols>
    <col min="1" max="1" width="3.7109375" style="6" customWidth="1"/>
    <col min="2" max="2" width="1" customWidth="1"/>
    <col min="3" max="3" width="24.140625" customWidth="1"/>
    <col min="4" max="4" width="4.140625" customWidth="1"/>
    <col min="5" max="5" width="6.7109375" customWidth="1"/>
    <col min="6" max="6" width="7" customWidth="1"/>
    <col min="7" max="14" width="6.85546875" customWidth="1"/>
    <col min="15" max="15" width="6.85546875" style="180" customWidth="1"/>
    <col min="16" max="16" width="6.85546875" customWidth="1"/>
    <col min="17" max="17" width="6.85546875" style="203" customWidth="1"/>
    <col min="18" max="18" width="6.85546875" style="284" customWidth="1"/>
    <col min="19" max="19" width="6.85546875" style="344" customWidth="1"/>
    <col min="20" max="20" width="6.85546875" style="413" customWidth="1"/>
    <col min="21" max="21" width="6.85546875" style="436" customWidth="1"/>
    <col min="22" max="22" width="6.85546875" style="487" customWidth="1"/>
    <col min="23" max="23" width="6.85546875" style="585" customWidth="1"/>
    <col min="24" max="24" width="6.85546875" style="730" customWidth="1"/>
    <col min="25" max="25" width="6.85546875" style="789" customWidth="1"/>
    <col min="26" max="26" width="6.85546875" style="891" customWidth="1"/>
    <col min="27" max="27" width="6.42578125" style="547" customWidth="1"/>
  </cols>
  <sheetData>
    <row r="1" spans="1:27" ht="14.25" customHeight="1" x14ac:dyDescent="0.2">
      <c r="B1" s="151"/>
      <c r="C1" s="152"/>
      <c r="D1" s="152"/>
      <c r="E1" s="152"/>
      <c r="F1" s="152"/>
      <c r="G1" s="152"/>
      <c r="H1" s="152"/>
      <c r="I1" s="152"/>
      <c r="J1" s="152"/>
      <c r="K1" s="152"/>
      <c r="L1" s="152"/>
      <c r="M1" s="152"/>
      <c r="N1" s="152"/>
      <c r="O1" s="254"/>
      <c r="P1" s="254"/>
      <c r="Q1" s="249"/>
      <c r="R1" s="249"/>
      <c r="S1" s="249"/>
      <c r="T1" s="249"/>
      <c r="U1" s="249"/>
      <c r="V1" s="249"/>
      <c r="W1" s="249"/>
      <c r="X1" s="249"/>
      <c r="Y1" s="249"/>
      <c r="Z1" s="249"/>
      <c r="AA1" s="591" t="s">
        <v>253</v>
      </c>
    </row>
    <row r="2" spans="1:27" ht="30" customHeight="1" x14ac:dyDescent="0.2">
      <c r="B2" s="1105" t="s">
        <v>388</v>
      </c>
      <c r="C2" s="1106"/>
      <c r="D2" s="1106"/>
      <c r="E2" s="1106"/>
      <c r="F2" s="1106"/>
      <c r="G2" s="1106"/>
      <c r="H2" s="1106"/>
      <c r="I2" s="1106"/>
      <c r="J2" s="1106"/>
      <c r="K2" s="1106"/>
      <c r="L2" s="1106"/>
      <c r="M2" s="1106"/>
      <c r="N2" s="1106"/>
      <c r="O2" s="1106"/>
      <c r="P2" s="1106"/>
      <c r="Q2" s="1106"/>
      <c r="R2" s="1106"/>
      <c r="S2" s="1106"/>
      <c r="T2" s="1106"/>
      <c r="U2" s="1106"/>
      <c r="V2" s="1106"/>
      <c r="W2" s="583"/>
      <c r="X2" s="728"/>
      <c r="Y2" s="788"/>
      <c r="Z2" s="887"/>
    </row>
    <row r="3" spans="1:27" ht="15" customHeight="1" x14ac:dyDescent="0.2">
      <c r="B3" s="1110" t="s">
        <v>389</v>
      </c>
      <c r="C3" s="1110"/>
      <c r="D3" s="1110"/>
      <c r="E3" s="1110"/>
      <c r="F3" s="1110"/>
      <c r="G3" s="1110"/>
      <c r="H3" s="1110"/>
      <c r="I3" s="1110"/>
      <c r="J3" s="1110"/>
      <c r="K3" s="1110"/>
      <c r="L3" s="1110"/>
      <c r="M3" s="1110"/>
      <c r="N3" s="1110"/>
      <c r="O3" s="1110"/>
      <c r="P3" s="1110"/>
      <c r="Q3" s="1110"/>
      <c r="R3" s="1110"/>
      <c r="S3" s="1110"/>
      <c r="T3" s="1110"/>
      <c r="U3" s="1110"/>
      <c r="V3" s="1110"/>
      <c r="W3" s="582"/>
      <c r="X3" s="727"/>
      <c r="Y3" s="787"/>
      <c r="Z3" s="886"/>
    </row>
    <row r="4" spans="1:27" s="12" customFormat="1" ht="12.75" customHeight="1" x14ac:dyDescent="0.2">
      <c r="A4" s="6"/>
      <c r="B4" s="486"/>
      <c r="C4" s="486"/>
      <c r="D4" s="486"/>
      <c r="E4" s="486"/>
      <c r="F4" s="486"/>
      <c r="G4" s="486"/>
      <c r="H4" s="486"/>
      <c r="I4" s="486"/>
      <c r="J4" s="486"/>
      <c r="K4" s="486"/>
      <c r="L4" s="486"/>
      <c r="M4" s="486"/>
      <c r="N4" s="486"/>
      <c r="O4" s="486"/>
      <c r="P4" s="486"/>
      <c r="Q4" s="486"/>
      <c r="R4" s="486"/>
      <c r="S4" s="486"/>
      <c r="T4" s="486"/>
      <c r="U4" s="486"/>
      <c r="V4" s="486"/>
      <c r="W4" s="582"/>
      <c r="X4" s="727"/>
      <c r="Y4" s="787"/>
      <c r="Z4" s="886"/>
      <c r="AA4" s="547"/>
    </row>
    <row r="5" spans="1:27" s="12" customFormat="1" ht="12.75" customHeight="1" x14ac:dyDescent="0.2">
      <c r="B5" s="1108" t="s">
        <v>2</v>
      </c>
      <c r="C5" s="1108"/>
      <c r="D5" s="1108"/>
      <c r="E5" s="1108"/>
      <c r="F5" s="1108"/>
      <c r="G5" s="1108"/>
      <c r="H5" s="1108"/>
      <c r="I5" s="1108"/>
      <c r="J5" s="1108"/>
      <c r="K5" s="1108"/>
      <c r="L5" s="1108"/>
      <c r="M5" s="1108"/>
      <c r="N5" s="1108"/>
      <c r="O5" s="1108"/>
      <c r="P5" s="1108"/>
      <c r="Q5" s="1108"/>
      <c r="R5" s="1108"/>
      <c r="S5" s="1108"/>
      <c r="T5" s="1108"/>
      <c r="U5" s="1108"/>
      <c r="V5" s="1108"/>
      <c r="W5" s="1108"/>
      <c r="X5" s="1108"/>
      <c r="Y5" s="1108"/>
      <c r="Z5" s="1108"/>
      <c r="AA5" s="549"/>
    </row>
    <row r="6" spans="1:27" s="12" customFormat="1" ht="12.75" customHeight="1" x14ac:dyDescent="0.2">
      <c r="A6" s="1104" t="s">
        <v>173</v>
      </c>
      <c r="B6" s="66"/>
      <c r="C6" s="36"/>
      <c r="D6" s="38"/>
      <c r="E6" s="49"/>
      <c r="F6" s="115"/>
      <c r="G6" s="115"/>
      <c r="H6" s="115"/>
      <c r="I6" s="115"/>
      <c r="J6" s="115"/>
      <c r="K6" s="115"/>
      <c r="L6" s="115"/>
      <c r="M6" s="115"/>
      <c r="N6" s="115"/>
      <c r="O6" s="177"/>
      <c r="P6" s="200"/>
      <c r="Q6" s="281"/>
      <c r="R6" s="341"/>
      <c r="S6" s="410"/>
      <c r="T6" s="433"/>
      <c r="U6" s="482"/>
      <c r="V6" s="586"/>
      <c r="W6" s="731"/>
      <c r="X6" s="791"/>
      <c r="Y6" s="791"/>
      <c r="Z6" s="898"/>
      <c r="AA6" s="592" t="s">
        <v>213</v>
      </c>
    </row>
    <row r="7" spans="1:27" s="12" customFormat="1" ht="12.75" customHeight="1" x14ac:dyDescent="0.2">
      <c r="A7" s="1104"/>
      <c r="B7" s="97"/>
      <c r="C7" s="39" t="s">
        <v>221</v>
      </c>
      <c r="D7" s="46"/>
      <c r="E7" s="34" t="s">
        <v>437</v>
      </c>
      <c r="F7" s="54" t="s">
        <v>438</v>
      </c>
      <c r="G7" s="54" t="s">
        <v>439</v>
      </c>
      <c r="H7" s="54" t="s">
        <v>440</v>
      </c>
      <c r="I7" s="54" t="s">
        <v>441</v>
      </c>
      <c r="J7" s="54" t="s">
        <v>442</v>
      </c>
      <c r="K7" s="54" t="s">
        <v>443</v>
      </c>
      <c r="L7" s="54" t="s">
        <v>444</v>
      </c>
      <c r="M7" s="54" t="s">
        <v>445</v>
      </c>
      <c r="N7" s="54" t="s">
        <v>446</v>
      </c>
      <c r="O7" s="178" t="s">
        <v>447</v>
      </c>
      <c r="P7" s="201" t="s">
        <v>448</v>
      </c>
      <c r="Q7" s="282" t="s">
        <v>449</v>
      </c>
      <c r="R7" s="342" t="s">
        <v>450</v>
      </c>
      <c r="S7" s="411" t="s">
        <v>451</v>
      </c>
      <c r="T7" s="434" t="s">
        <v>318</v>
      </c>
      <c r="U7" s="483" t="s">
        <v>452</v>
      </c>
      <c r="V7" s="587" t="s">
        <v>342</v>
      </c>
      <c r="W7" s="732" t="s">
        <v>352</v>
      </c>
      <c r="X7" s="792" t="s">
        <v>436</v>
      </c>
      <c r="Y7" s="792" t="s">
        <v>477</v>
      </c>
      <c r="Z7" s="899">
        <v>2021</v>
      </c>
      <c r="AA7" s="57" t="s">
        <v>552</v>
      </c>
    </row>
    <row r="8" spans="1:27" s="22" customFormat="1" ht="12.75" customHeight="1" x14ac:dyDescent="0.2">
      <c r="A8" s="1104"/>
      <c r="B8" s="98"/>
      <c r="C8" s="42"/>
      <c r="D8" s="48"/>
      <c r="E8" s="99"/>
      <c r="F8" s="99"/>
      <c r="G8" s="99"/>
      <c r="H8" s="99"/>
      <c r="I8" s="99"/>
      <c r="J8" s="99"/>
      <c r="K8" s="99"/>
      <c r="L8" s="99"/>
      <c r="M8" s="99"/>
      <c r="N8" s="99"/>
      <c r="O8" s="179"/>
      <c r="P8" s="202"/>
      <c r="Q8" s="283"/>
      <c r="R8" s="343"/>
      <c r="S8" s="412"/>
      <c r="T8" s="435"/>
      <c r="U8" s="484"/>
      <c r="V8" s="484"/>
      <c r="W8" s="484"/>
      <c r="X8" s="484"/>
      <c r="Y8" s="484"/>
      <c r="Z8" s="484"/>
      <c r="AA8" s="593" t="s">
        <v>120</v>
      </c>
    </row>
    <row r="9" spans="1:27" s="25" customFormat="1" ht="12.75" customHeight="1" x14ac:dyDescent="0.2">
      <c r="A9" s="146">
        <v>1</v>
      </c>
      <c r="B9" s="182"/>
      <c r="C9" s="384" t="s">
        <v>480</v>
      </c>
      <c r="D9" s="231" t="s">
        <v>107</v>
      </c>
      <c r="E9" s="744">
        <v>1703.422</v>
      </c>
      <c r="F9" s="250">
        <v>1603.0350000000001</v>
      </c>
      <c r="G9" s="250">
        <v>1627.61</v>
      </c>
      <c r="H9" s="250">
        <v>1642.67</v>
      </c>
      <c r="I9" s="250">
        <v>1827.31</v>
      </c>
      <c r="J9" s="250">
        <v>1950.61</v>
      </c>
      <c r="K9" s="250">
        <v>2117.9360000000001</v>
      </c>
      <c r="L9" s="250">
        <v>2162.2109999999998</v>
      </c>
      <c r="M9" s="250">
        <v>2104.348</v>
      </c>
      <c r="N9" s="251">
        <v>1882.662</v>
      </c>
      <c r="O9" s="251">
        <v>2270.2307000000001</v>
      </c>
      <c r="P9" s="251">
        <v>2214.6077</v>
      </c>
      <c r="Q9" s="250">
        <v>2065.2984999999999</v>
      </c>
      <c r="R9" s="250">
        <v>2094.7399</v>
      </c>
      <c r="S9" s="497">
        <v>2131.5846000000001</v>
      </c>
      <c r="T9" s="497">
        <v>2075.6570000000002</v>
      </c>
      <c r="U9" s="497">
        <v>2111.3580000000002</v>
      </c>
      <c r="V9" s="497">
        <v>2193.413</v>
      </c>
      <c r="W9" s="497">
        <v>2175.7199999999998</v>
      </c>
      <c r="X9" s="497">
        <v>2089.2813999999998</v>
      </c>
      <c r="Y9" s="497">
        <v>1911.2886000000001</v>
      </c>
      <c r="Z9" s="968">
        <v>2270.7505000000001</v>
      </c>
      <c r="AA9" s="971">
        <f>Z9/Y9*100-100</f>
        <v>18.807306233082755</v>
      </c>
    </row>
    <row r="10" spans="1:27" s="25" customFormat="1" ht="12.75" customHeight="1" x14ac:dyDescent="0.2">
      <c r="A10" s="147">
        <v>2</v>
      </c>
      <c r="B10" s="441"/>
      <c r="C10" s="67" t="s">
        <v>533</v>
      </c>
      <c r="D10" s="105" t="s">
        <v>109</v>
      </c>
      <c r="E10" s="252">
        <v>1067</v>
      </c>
      <c r="F10" s="249">
        <v>1101.316</v>
      </c>
      <c r="G10" s="249">
        <v>1218.086</v>
      </c>
      <c r="H10" s="249">
        <v>1193.749</v>
      </c>
      <c r="I10" s="249">
        <v>1275.7719999999999</v>
      </c>
      <c r="J10" s="249">
        <v>1217.796</v>
      </c>
      <c r="K10" s="249">
        <v>1340.423</v>
      </c>
      <c r="L10" s="249">
        <v>1434.77</v>
      </c>
      <c r="M10" s="249">
        <v>1392.1389999999999</v>
      </c>
      <c r="N10" s="249">
        <v>1202.2280000000001</v>
      </c>
      <c r="O10" s="249">
        <v>1290.8948</v>
      </c>
      <c r="P10" s="249">
        <v>1530.8918000000001</v>
      </c>
      <c r="Q10" s="249">
        <v>1508.4110000000001</v>
      </c>
      <c r="R10" s="249">
        <v>1489.0521999999999</v>
      </c>
      <c r="S10" s="249">
        <v>2076.0149999999999</v>
      </c>
      <c r="T10" s="249">
        <v>2090.6215999999999</v>
      </c>
      <c r="U10" s="249">
        <v>2112.2869000000001</v>
      </c>
      <c r="V10" s="249">
        <v>2161.3171000000002</v>
      </c>
      <c r="W10" s="249">
        <v>2123.8359999999998</v>
      </c>
      <c r="X10" s="249">
        <v>2096.2898999999998</v>
      </c>
      <c r="Y10" s="249">
        <v>1739.9512999999999</v>
      </c>
      <c r="Z10" s="969">
        <v>2055.3092999999999</v>
      </c>
      <c r="AA10" s="773">
        <f t="shared" ref="AA10:AA58" si="0">Z10/Y10*100-100</f>
        <v>18.124530267025293</v>
      </c>
    </row>
    <row r="11" spans="1:27" s="26" customFormat="1" ht="12.75" customHeight="1" x14ac:dyDescent="0.2">
      <c r="A11" s="147">
        <v>3</v>
      </c>
      <c r="B11" s="182"/>
      <c r="C11" s="384" t="s">
        <v>21</v>
      </c>
      <c r="D11" s="231" t="s">
        <v>104</v>
      </c>
      <c r="E11" s="250">
        <v>1222.508</v>
      </c>
      <c r="F11" s="250">
        <v>1183.222</v>
      </c>
      <c r="G11" s="250">
        <v>1239.9179999999999</v>
      </c>
      <c r="H11" s="250">
        <v>1353.413</v>
      </c>
      <c r="I11" s="250">
        <v>1467.0139999999999</v>
      </c>
      <c r="J11" s="250">
        <v>1495.5609999999999</v>
      </c>
      <c r="K11" s="250">
        <v>1566.7260000000001</v>
      </c>
      <c r="L11" s="250">
        <v>1650.9670000000001</v>
      </c>
      <c r="M11" s="250">
        <v>1592.4549999999999</v>
      </c>
      <c r="N11" s="250">
        <v>1316.848</v>
      </c>
      <c r="O11" s="250">
        <v>1538.0338000000002</v>
      </c>
      <c r="P11" s="250">
        <v>1549.4447</v>
      </c>
      <c r="Q11" s="250">
        <v>1510.9246000000001</v>
      </c>
      <c r="R11" s="250">
        <v>1565.9563000000001</v>
      </c>
      <c r="S11" s="250">
        <v>1670.6704999999999</v>
      </c>
      <c r="T11" s="250">
        <v>1655.3277</v>
      </c>
      <c r="U11" s="250">
        <v>1771.1056000000001</v>
      </c>
      <c r="V11" s="250">
        <v>1778.1683</v>
      </c>
      <c r="W11" s="250">
        <v>1729.6179999999999</v>
      </c>
      <c r="X11" s="250">
        <v>1592.2053000000001</v>
      </c>
      <c r="Y11" s="250">
        <v>1455.4038999999998</v>
      </c>
      <c r="Z11" s="970">
        <v>1679.9303</v>
      </c>
      <c r="AA11" s="833">
        <f t="shared" si="0"/>
        <v>15.427085223558919</v>
      </c>
    </row>
    <row r="12" spans="1:27" s="26" customFormat="1" ht="11.25" x14ac:dyDescent="0.2">
      <c r="A12" s="147">
        <v>4</v>
      </c>
      <c r="B12" s="124"/>
      <c r="C12" s="67" t="s">
        <v>359</v>
      </c>
      <c r="D12" s="105" t="s">
        <v>107</v>
      </c>
      <c r="E12" s="442">
        <v>13.666</v>
      </c>
      <c r="F12" s="386">
        <v>13.067</v>
      </c>
      <c r="G12" s="248">
        <v>14.936999999999999</v>
      </c>
      <c r="H12" s="386">
        <v>15.827</v>
      </c>
      <c r="I12" s="798">
        <v>10.125999999999999</v>
      </c>
      <c r="J12" s="386">
        <v>12.263</v>
      </c>
      <c r="K12" s="248">
        <v>26.812000000000001</v>
      </c>
      <c r="L12" s="386">
        <v>86.103999999999999</v>
      </c>
      <c r="M12" s="248">
        <v>430.23599999999999</v>
      </c>
      <c r="N12" s="386">
        <v>508.79300000000001</v>
      </c>
      <c r="O12" s="248">
        <v>637.81490000000008</v>
      </c>
      <c r="P12" s="386">
        <v>743.76819999999998</v>
      </c>
      <c r="Q12" s="248">
        <v>845.70280000000002</v>
      </c>
      <c r="R12" s="386">
        <v>877.2586</v>
      </c>
      <c r="S12" s="248">
        <v>904.11019999999996</v>
      </c>
      <c r="T12" s="248">
        <v>982.53399999999999</v>
      </c>
      <c r="U12" s="248">
        <v>1044.952</v>
      </c>
      <c r="V12" s="248">
        <v>1130.499</v>
      </c>
      <c r="W12" s="248">
        <v>1209.2919999999999</v>
      </c>
      <c r="X12" s="248">
        <v>1227.2555</v>
      </c>
      <c r="Y12" s="248">
        <v>1377.4026999999999</v>
      </c>
      <c r="Z12" s="417">
        <v>1587.3073999999999</v>
      </c>
      <c r="AA12" s="773">
        <f t="shared" si="0"/>
        <v>15.23916716585498</v>
      </c>
    </row>
    <row r="13" spans="1:27" s="26" customFormat="1" ht="12.75" customHeight="1" x14ac:dyDescent="0.2">
      <c r="A13" s="147">
        <v>5</v>
      </c>
      <c r="B13" s="124"/>
      <c r="C13" s="384" t="s">
        <v>492</v>
      </c>
      <c r="D13" s="231" t="s">
        <v>106</v>
      </c>
      <c r="E13" s="443">
        <v>270.30700000000002</v>
      </c>
      <c r="F13" s="255">
        <v>273.21699999999998</v>
      </c>
      <c r="G13" s="255">
        <v>326.81700000000001</v>
      </c>
      <c r="H13" s="255">
        <v>374.15899999999999</v>
      </c>
      <c r="I13" s="500">
        <v>382.32499999999999</v>
      </c>
      <c r="J13" s="255">
        <v>325.71199999999999</v>
      </c>
      <c r="K13" s="247">
        <v>323.19200000000001</v>
      </c>
      <c r="L13" s="385">
        <v>363.68</v>
      </c>
      <c r="M13" s="247">
        <v>381.637</v>
      </c>
      <c r="N13" s="385">
        <v>401.79899999999998</v>
      </c>
      <c r="O13" s="247">
        <v>508.51799999999997</v>
      </c>
      <c r="P13" s="385">
        <v>544.03200000000004</v>
      </c>
      <c r="Q13" s="247">
        <v>510.286</v>
      </c>
      <c r="R13" s="385">
        <v>534.21</v>
      </c>
      <c r="S13" s="247">
        <v>581.80200000000002</v>
      </c>
      <c r="T13" s="247">
        <v>625.28499999999997</v>
      </c>
      <c r="U13" s="247">
        <v>592.14599999999996</v>
      </c>
      <c r="V13" s="247">
        <v>695.78499999999997</v>
      </c>
      <c r="W13" s="247">
        <v>799.447</v>
      </c>
      <c r="X13" s="247">
        <v>808.54499999999996</v>
      </c>
      <c r="Y13" s="247">
        <v>1026.421</v>
      </c>
      <c r="Z13" s="275">
        <v>1324.9459999999999</v>
      </c>
      <c r="AA13" s="833">
        <f t="shared" si="0"/>
        <v>29.084069792024877</v>
      </c>
    </row>
    <row r="14" spans="1:27" s="7" customFormat="1" ht="12.75" customHeight="1" x14ac:dyDescent="0.2">
      <c r="A14" s="147">
        <v>6</v>
      </c>
      <c r="B14" s="182"/>
      <c r="C14" s="161" t="s">
        <v>159</v>
      </c>
      <c r="D14" s="105" t="s">
        <v>112</v>
      </c>
      <c r="E14" s="256">
        <v>499.90699999999998</v>
      </c>
      <c r="F14" s="256">
        <v>509.09800000000001</v>
      </c>
      <c r="G14" s="256">
        <v>549.53599999999994</v>
      </c>
      <c r="H14" s="256">
        <v>602.07899999999995</v>
      </c>
      <c r="I14" s="248">
        <v>616.58299999999997</v>
      </c>
      <c r="J14" s="248">
        <v>624.803</v>
      </c>
      <c r="K14" s="249">
        <v>633.66300000000001</v>
      </c>
      <c r="L14" s="249">
        <v>702.76</v>
      </c>
      <c r="M14" s="249">
        <v>788.21799999999996</v>
      </c>
      <c r="N14" s="253">
        <v>627.26099999999997</v>
      </c>
      <c r="O14" s="253">
        <v>705.82859999999994</v>
      </c>
      <c r="P14" s="253">
        <v>666.01089999999999</v>
      </c>
      <c r="Q14" s="249">
        <v>615.28640000000007</v>
      </c>
      <c r="R14" s="249">
        <v>673.38019999999995</v>
      </c>
      <c r="S14" s="249">
        <v>707.1499</v>
      </c>
      <c r="T14" s="249">
        <v>736.87969999999996</v>
      </c>
      <c r="U14" s="249">
        <v>801.05600000000004</v>
      </c>
      <c r="V14" s="249">
        <v>892.65899999999999</v>
      </c>
      <c r="W14" s="249">
        <v>895.00300000000004</v>
      </c>
      <c r="X14" s="249">
        <v>853.02800000000002</v>
      </c>
      <c r="Y14" s="249">
        <v>905.29399999999998</v>
      </c>
      <c r="Z14" s="969">
        <v>1088.0160000000001</v>
      </c>
      <c r="AA14" s="773">
        <f t="shared" si="0"/>
        <v>20.18371932212078</v>
      </c>
    </row>
    <row r="15" spans="1:27" s="7" customFormat="1" ht="12.75" customHeight="1" x14ac:dyDescent="0.2">
      <c r="A15" s="147">
        <v>7</v>
      </c>
      <c r="B15" s="124"/>
      <c r="C15" s="384" t="s">
        <v>678</v>
      </c>
      <c r="D15" s="231" t="s">
        <v>107</v>
      </c>
      <c r="E15" s="443">
        <v>438.274</v>
      </c>
      <c r="F15" s="500">
        <v>454.83</v>
      </c>
      <c r="G15" s="500">
        <v>507.53899999999999</v>
      </c>
      <c r="H15" s="500">
        <v>530.005</v>
      </c>
      <c r="I15" s="500">
        <v>621.85299999999995</v>
      </c>
      <c r="J15" s="500">
        <v>646.83299999999997</v>
      </c>
      <c r="K15" s="250">
        <v>690.99800000000005</v>
      </c>
      <c r="L15" s="250">
        <v>709.29700000000003</v>
      </c>
      <c r="M15" s="250">
        <v>574.12300000000005</v>
      </c>
      <c r="N15" s="250">
        <v>549.02499999999998</v>
      </c>
      <c r="O15" s="250">
        <v>638.18389999999999</v>
      </c>
      <c r="P15" s="250">
        <v>727.35519999999997</v>
      </c>
      <c r="Q15" s="250">
        <v>730.04200000000003</v>
      </c>
      <c r="R15" s="250">
        <v>721.72199999999998</v>
      </c>
      <c r="S15" s="250">
        <v>736.43880000000001</v>
      </c>
      <c r="T15" s="250">
        <v>739.46699999999998</v>
      </c>
      <c r="U15" s="250">
        <v>768.13800000000003</v>
      </c>
      <c r="V15" s="250">
        <v>822.15300000000002</v>
      </c>
      <c r="W15" s="250">
        <v>844.29</v>
      </c>
      <c r="X15" s="250">
        <v>799.10030000000006</v>
      </c>
      <c r="Y15" s="250">
        <v>841.6943</v>
      </c>
      <c r="Z15" s="970">
        <v>966.98380000000009</v>
      </c>
      <c r="AA15" s="833">
        <f t="shared" si="0"/>
        <v>14.885392475629232</v>
      </c>
    </row>
    <row r="16" spans="1:27" s="7" customFormat="1" ht="12.75" customHeight="1" x14ac:dyDescent="0.2">
      <c r="A16" s="146">
        <v>8</v>
      </c>
      <c r="B16" s="182"/>
      <c r="C16" s="67" t="s">
        <v>482</v>
      </c>
      <c r="D16" s="105" t="s">
        <v>111</v>
      </c>
      <c r="E16" s="252">
        <v>295.7</v>
      </c>
      <c r="F16" s="256">
        <v>289.20400000000001</v>
      </c>
      <c r="G16" s="386">
        <v>292.95299999999997</v>
      </c>
      <c r="H16" s="386">
        <v>318.37400000000002</v>
      </c>
      <c r="I16" s="508">
        <v>360.589</v>
      </c>
      <c r="J16" s="508">
        <v>383.78899999999999</v>
      </c>
      <c r="K16" s="248">
        <v>417.55500000000001</v>
      </c>
      <c r="L16" s="249">
        <v>482.58</v>
      </c>
      <c r="M16" s="249">
        <v>414.13</v>
      </c>
      <c r="N16" s="253">
        <v>343.56099999999998</v>
      </c>
      <c r="O16" s="253">
        <v>432.66699999999997</v>
      </c>
      <c r="P16" s="253">
        <v>450.44499999999999</v>
      </c>
      <c r="Q16" s="249">
        <v>414.31700000000001</v>
      </c>
      <c r="R16" s="249">
        <v>430.34199999999998</v>
      </c>
      <c r="S16" s="249">
        <v>469.65800000000002</v>
      </c>
      <c r="T16" s="249">
        <v>511.19200000000001</v>
      </c>
      <c r="U16" s="249">
        <v>548.76499999999999</v>
      </c>
      <c r="V16" s="249">
        <v>589.53399999999999</v>
      </c>
      <c r="W16" s="249">
        <v>577.42100000000005</v>
      </c>
      <c r="X16" s="249">
        <v>558.077</v>
      </c>
      <c r="Y16" s="249">
        <v>516.46900000000005</v>
      </c>
      <c r="Z16" s="969">
        <v>747.04499999999996</v>
      </c>
      <c r="AA16" s="773">
        <f t="shared" si="0"/>
        <v>44.644693098714527</v>
      </c>
    </row>
    <row r="17" spans="1:27" s="22" customFormat="1" ht="12.75" customHeight="1" x14ac:dyDescent="0.2">
      <c r="A17" s="147">
        <v>9</v>
      </c>
      <c r="B17" s="124"/>
      <c r="C17" s="384" t="s">
        <v>679</v>
      </c>
      <c r="D17" s="231" t="s">
        <v>106</v>
      </c>
      <c r="E17" s="255">
        <v>687.38499999999999</v>
      </c>
      <c r="F17" s="255">
        <v>583.72900000000004</v>
      </c>
      <c r="G17" s="247">
        <v>499.43099999999998</v>
      </c>
      <c r="H17" s="247">
        <v>606.50400000000002</v>
      </c>
      <c r="I17" s="247">
        <v>660.428</v>
      </c>
      <c r="J17" s="247">
        <v>694.52300000000002</v>
      </c>
      <c r="K17" s="247">
        <v>713.53499999999997</v>
      </c>
      <c r="L17" s="250">
        <v>734.20600000000002</v>
      </c>
      <c r="M17" s="250">
        <v>614.38499999999999</v>
      </c>
      <c r="N17" s="251">
        <v>364.42599999999999</v>
      </c>
      <c r="O17" s="251">
        <v>385.029</v>
      </c>
      <c r="P17" s="251">
        <v>386.65199999999999</v>
      </c>
      <c r="Q17" s="250">
        <v>405.27</v>
      </c>
      <c r="R17" s="250">
        <v>378.67200000000003</v>
      </c>
      <c r="S17" s="250">
        <v>408.04500000000002</v>
      </c>
      <c r="T17" s="250">
        <v>483.12099999999998</v>
      </c>
      <c r="U17" s="250">
        <v>472.71</v>
      </c>
      <c r="V17" s="250">
        <v>530.13800000000003</v>
      </c>
      <c r="W17" s="250">
        <v>586.89400000000001</v>
      </c>
      <c r="X17" s="250">
        <v>561.53200000000004</v>
      </c>
      <c r="Y17" s="250">
        <v>511.91300000000001</v>
      </c>
      <c r="Z17" s="970">
        <v>693.06799999999998</v>
      </c>
      <c r="AA17" s="833">
        <f t="shared" si="0"/>
        <v>35.387849107172485</v>
      </c>
    </row>
    <row r="18" spans="1:27" s="7" customFormat="1" ht="12.75" customHeight="1" x14ac:dyDescent="0.2">
      <c r="A18" s="147">
        <v>10</v>
      </c>
      <c r="B18" s="182"/>
      <c r="C18" s="67" t="s">
        <v>609</v>
      </c>
      <c r="D18" s="105" t="s">
        <v>108</v>
      </c>
      <c r="E18" s="418">
        <v>280.36700000000002</v>
      </c>
      <c r="F18" s="386">
        <v>295.82799999999997</v>
      </c>
      <c r="G18" s="248">
        <v>293.09899999999999</v>
      </c>
      <c r="H18" s="248">
        <v>296.30099999999999</v>
      </c>
      <c r="I18" s="248">
        <v>352.78</v>
      </c>
      <c r="J18" s="248">
        <v>360.30399999999997</v>
      </c>
      <c r="K18" s="248">
        <v>344.24099999999999</v>
      </c>
      <c r="L18" s="249">
        <v>341.56099999999998</v>
      </c>
      <c r="M18" s="249">
        <v>355.03199999999998</v>
      </c>
      <c r="N18" s="253">
        <v>330.161</v>
      </c>
      <c r="O18" s="253">
        <v>400.476</v>
      </c>
      <c r="P18" s="253">
        <v>421.83199999999999</v>
      </c>
      <c r="Q18" s="249">
        <v>385.36099999999999</v>
      </c>
      <c r="R18" s="249">
        <v>367.04399999999998</v>
      </c>
      <c r="S18" s="249">
        <v>376.827</v>
      </c>
      <c r="T18" s="249">
        <v>382.62799999999999</v>
      </c>
      <c r="U18" s="249">
        <v>404.28399999999999</v>
      </c>
      <c r="V18" s="249">
        <v>449.97699999999998</v>
      </c>
      <c r="W18" s="249">
        <v>492.16419999999999</v>
      </c>
      <c r="X18" s="249">
        <v>511.16740000000004</v>
      </c>
      <c r="Y18" s="249">
        <v>371.10980000000001</v>
      </c>
      <c r="Z18" s="969">
        <v>483.2559</v>
      </c>
      <c r="AA18" s="773">
        <f t="shared" si="0"/>
        <v>30.21911574418138</v>
      </c>
    </row>
    <row r="19" spans="1:27" s="7" customFormat="1" ht="12.75" customHeight="1" x14ac:dyDescent="0.2">
      <c r="A19" s="147">
        <v>11</v>
      </c>
      <c r="B19" s="124"/>
      <c r="C19" s="183" t="s">
        <v>483</v>
      </c>
      <c r="D19" s="231" t="s">
        <v>107</v>
      </c>
      <c r="E19" s="443">
        <v>74.957999999999998</v>
      </c>
      <c r="F19" s="500">
        <v>23.986999999999998</v>
      </c>
      <c r="G19" s="247">
        <v>22.408000000000001</v>
      </c>
      <c r="H19" s="247">
        <v>36.963000000000001</v>
      </c>
      <c r="I19" s="247">
        <v>66.069999999999993</v>
      </c>
      <c r="J19" s="247">
        <v>100.943</v>
      </c>
      <c r="K19" s="247">
        <v>113.18</v>
      </c>
      <c r="L19" s="250">
        <v>111.628</v>
      </c>
      <c r="M19" s="250">
        <v>122.131</v>
      </c>
      <c r="N19" s="250">
        <v>105.059</v>
      </c>
      <c r="O19" s="250">
        <v>164.52260000000001</v>
      </c>
      <c r="P19" s="250">
        <v>221.53379999999999</v>
      </c>
      <c r="Q19" s="250">
        <v>175.4546</v>
      </c>
      <c r="R19" s="250">
        <v>133.32650000000001</v>
      </c>
      <c r="S19" s="250">
        <v>126.9165</v>
      </c>
      <c r="T19" s="250">
        <v>73.230999999999995</v>
      </c>
      <c r="U19" s="250">
        <v>62.42</v>
      </c>
      <c r="V19" s="250">
        <v>111.694</v>
      </c>
      <c r="W19" s="250">
        <v>149.60400000000001</v>
      </c>
      <c r="X19" s="250">
        <v>142.41410000000002</v>
      </c>
      <c r="Y19" s="250">
        <v>203.42779999999999</v>
      </c>
      <c r="Z19" s="970">
        <v>233.6754</v>
      </c>
      <c r="AA19" s="833">
        <f t="shared" si="0"/>
        <v>14.86896087948648</v>
      </c>
    </row>
    <row r="20" spans="1:27" s="7" customFormat="1" ht="12.75" customHeight="1" x14ac:dyDescent="0.2">
      <c r="A20" s="147">
        <v>12</v>
      </c>
      <c r="B20" s="182"/>
      <c r="C20" s="161" t="s">
        <v>26</v>
      </c>
      <c r="D20" s="105" t="s">
        <v>102</v>
      </c>
      <c r="E20" s="496">
        <v>419.43200000000002</v>
      </c>
      <c r="F20" s="590">
        <v>379.03699999999998</v>
      </c>
      <c r="G20" s="590">
        <v>373.69400000000002</v>
      </c>
      <c r="H20" s="590">
        <v>335.73099999999999</v>
      </c>
      <c r="I20" s="590">
        <v>335.649</v>
      </c>
      <c r="J20" s="590">
        <v>355.08699999999999</v>
      </c>
      <c r="K20" s="590">
        <v>380.024</v>
      </c>
      <c r="L20" s="590">
        <v>395.50599999999997</v>
      </c>
      <c r="M20" s="249">
        <v>246.79400000000001</v>
      </c>
      <c r="N20" s="249">
        <v>152.012</v>
      </c>
      <c r="O20" s="249">
        <v>138.08770000000001</v>
      </c>
      <c r="P20" s="249">
        <v>141.33109999999999</v>
      </c>
      <c r="Q20" s="249">
        <v>152.374</v>
      </c>
      <c r="R20" s="249">
        <v>136.80500000000001</v>
      </c>
      <c r="S20" s="249">
        <v>200.01400000000001</v>
      </c>
      <c r="T20" s="249">
        <v>196.57900000000001</v>
      </c>
      <c r="U20" s="249">
        <v>185.691</v>
      </c>
      <c r="V20" s="249">
        <v>219.405</v>
      </c>
      <c r="W20" s="249">
        <v>224.62700000000001</v>
      </c>
      <c r="X20" s="249">
        <v>226.161</v>
      </c>
      <c r="Y20" s="249">
        <v>159.87299999999999</v>
      </c>
      <c r="Z20" s="969">
        <v>222.93799999999999</v>
      </c>
      <c r="AA20" s="773">
        <f t="shared" si="0"/>
        <v>39.446936005454319</v>
      </c>
    </row>
    <row r="21" spans="1:27" s="7" customFormat="1" ht="12.75" customHeight="1" x14ac:dyDescent="0.2">
      <c r="A21" s="147">
        <v>13</v>
      </c>
      <c r="B21" s="124"/>
      <c r="C21" s="384" t="s">
        <v>31</v>
      </c>
      <c r="D21" s="231" t="s">
        <v>115</v>
      </c>
      <c r="E21" s="744">
        <v>96.102999999999994</v>
      </c>
      <c r="F21" s="500">
        <v>84.974000000000004</v>
      </c>
      <c r="G21" s="247">
        <v>86.433000000000007</v>
      </c>
      <c r="H21" s="247">
        <v>88.138000000000005</v>
      </c>
      <c r="I21" s="247">
        <v>118.017</v>
      </c>
      <c r="J21" s="247">
        <v>114.843</v>
      </c>
      <c r="K21" s="247">
        <v>123.488</v>
      </c>
      <c r="L21" s="500">
        <v>141.22499999999999</v>
      </c>
      <c r="M21" s="250">
        <v>141.524</v>
      </c>
      <c r="N21" s="250">
        <v>121.849</v>
      </c>
      <c r="O21" s="250">
        <v>157.50839999999999</v>
      </c>
      <c r="P21" s="250">
        <v>170.93389999999999</v>
      </c>
      <c r="Q21" s="250">
        <v>188.54910000000001</v>
      </c>
      <c r="R21" s="250">
        <v>187.2252</v>
      </c>
      <c r="S21" s="250">
        <v>187.41890000000001</v>
      </c>
      <c r="T21" s="250">
        <v>177.4408</v>
      </c>
      <c r="U21" s="250">
        <v>182.1985</v>
      </c>
      <c r="V21" s="250">
        <v>185.20959999999999</v>
      </c>
      <c r="W21" s="250">
        <v>192.4134</v>
      </c>
      <c r="X21" s="250">
        <v>221.452</v>
      </c>
      <c r="Y21" s="250">
        <v>142.65700000000001</v>
      </c>
      <c r="Z21" s="970">
        <v>176.42870000000002</v>
      </c>
      <c r="AA21" s="833">
        <f t="shared" si="0"/>
        <v>23.673356372277567</v>
      </c>
    </row>
    <row r="22" spans="1:27" s="25" customFormat="1" ht="12.75" customHeight="1" x14ac:dyDescent="0.2">
      <c r="A22" s="147">
        <v>14</v>
      </c>
      <c r="B22" s="182"/>
      <c r="C22" s="67" t="s">
        <v>25</v>
      </c>
      <c r="D22" s="105" t="s">
        <v>113</v>
      </c>
      <c r="E22" s="496">
        <v>65.941000000000003</v>
      </c>
      <c r="F22" s="590">
        <v>58.151000000000003</v>
      </c>
      <c r="G22" s="248">
        <v>124.26</v>
      </c>
      <c r="H22" s="248">
        <v>127.011</v>
      </c>
      <c r="I22" s="248">
        <v>158.102</v>
      </c>
      <c r="J22" s="248">
        <v>179.983</v>
      </c>
      <c r="K22" s="248">
        <v>201.83</v>
      </c>
      <c r="L22" s="249">
        <v>204.934</v>
      </c>
      <c r="M22" s="249">
        <v>201.27799999999999</v>
      </c>
      <c r="N22" s="249">
        <v>198.327</v>
      </c>
      <c r="O22" s="249">
        <v>231.76300000000001</v>
      </c>
      <c r="P22" s="249">
        <v>213.29300000000001</v>
      </c>
      <c r="Q22" s="249">
        <v>191.12799999999999</v>
      </c>
      <c r="R22" s="249">
        <v>190.452</v>
      </c>
      <c r="S22" s="249">
        <v>210.27699999999999</v>
      </c>
      <c r="T22" s="249">
        <v>209.053</v>
      </c>
      <c r="U22" s="249">
        <v>216.38249999999999</v>
      </c>
      <c r="V22" s="249">
        <v>220.78979999999999</v>
      </c>
      <c r="W22" s="249">
        <v>229.60679999999999</v>
      </c>
      <c r="X22" s="249">
        <v>220.8313</v>
      </c>
      <c r="Y22" s="249">
        <v>154.66910000000001</v>
      </c>
      <c r="Z22" s="969">
        <v>176.1542</v>
      </c>
      <c r="AA22" s="773">
        <f t="shared" si="0"/>
        <v>13.891009904370023</v>
      </c>
    </row>
    <row r="23" spans="1:27" s="24" customFormat="1" ht="12.75" customHeight="1" x14ac:dyDescent="0.2">
      <c r="A23" s="147">
        <v>15</v>
      </c>
      <c r="B23" s="124"/>
      <c r="C23" s="384" t="s">
        <v>22</v>
      </c>
      <c r="D23" s="231" t="s">
        <v>107</v>
      </c>
      <c r="E23" s="443">
        <v>148.43100000000001</v>
      </c>
      <c r="F23" s="247">
        <v>145.292</v>
      </c>
      <c r="G23" s="247">
        <v>166.90299999999999</v>
      </c>
      <c r="H23" s="247">
        <v>163.38800000000001</v>
      </c>
      <c r="I23" s="247">
        <v>192.447</v>
      </c>
      <c r="J23" s="247">
        <v>218.191</v>
      </c>
      <c r="K23" s="247">
        <v>238.084</v>
      </c>
      <c r="L23" s="250">
        <v>265.29000000000002</v>
      </c>
      <c r="M23" s="250">
        <v>264.90800000000002</v>
      </c>
      <c r="N23" s="250">
        <v>234.34</v>
      </c>
      <c r="O23" s="250">
        <v>291.05829999999997</v>
      </c>
      <c r="P23" s="250">
        <v>303.6635</v>
      </c>
      <c r="Q23" s="250">
        <v>290.27449999999999</v>
      </c>
      <c r="R23" s="250">
        <v>287.733</v>
      </c>
      <c r="S23" s="250">
        <v>309.14620000000002</v>
      </c>
      <c r="T23" s="250">
        <v>336.03899999999999</v>
      </c>
      <c r="U23" s="250">
        <v>353.495</v>
      </c>
      <c r="V23" s="250">
        <v>378.613</v>
      </c>
      <c r="W23" s="250">
        <v>368.13400000000001</v>
      </c>
      <c r="X23" s="250">
        <v>349.9581</v>
      </c>
      <c r="Y23" s="250">
        <v>150.3244</v>
      </c>
      <c r="Z23" s="970">
        <v>173.2424</v>
      </c>
      <c r="AA23" s="833">
        <f t="shared" si="0"/>
        <v>15.245695309610426</v>
      </c>
    </row>
    <row r="24" spans="1:27" s="25" customFormat="1" ht="12.75" customHeight="1" x14ac:dyDescent="0.2">
      <c r="A24" s="147">
        <v>16</v>
      </c>
      <c r="B24" s="182"/>
      <c r="C24" s="67" t="s">
        <v>216</v>
      </c>
      <c r="D24" s="105" t="s">
        <v>110</v>
      </c>
      <c r="E24" s="386">
        <v>35.478000000000002</v>
      </c>
      <c r="F24" s="386">
        <v>31.856999999999999</v>
      </c>
      <c r="G24" s="386">
        <v>9.5860000000000003</v>
      </c>
      <c r="H24" s="386"/>
      <c r="I24" s="386">
        <v>33.871000000000002</v>
      </c>
      <c r="J24" s="386">
        <v>64.113</v>
      </c>
      <c r="K24" s="386">
        <v>107.55800000000001</v>
      </c>
      <c r="L24" s="254">
        <v>111.325</v>
      </c>
      <c r="M24" s="386">
        <v>107.462</v>
      </c>
      <c r="N24" s="386">
        <v>97.347999999999999</v>
      </c>
      <c r="O24" s="386">
        <v>105.3391</v>
      </c>
      <c r="P24" s="249">
        <v>101.193</v>
      </c>
      <c r="Q24" s="386">
        <v>111.0693</v>
      </c>
      <c r="R24" s="386">
        <v>113.4816</v>
      </c>
      <c r="S24" s="249">
        <v>127.44810000000001</v>
      </c>
      <c r="T24" s="249">
        <v>137.2671</v>
      </c>
      <c r="U24" s="249">
        <v>134.20650000000001</v>
      </c>
      <c r="V24" s="249">
        <v>144.91329999999999</v>
      </c>
      <c r="W24" s="249">
        <v>143.71850000000001</v>
      </c>
      <c r="X24" s="249">
        <v>133.22920000000002</v>
      </c>
      <c r="Y24" s="249">
        <v>123.24839999999999</v>
      </c>
      <c r="Z24" s="969">
        <v>144.2637</v>
      </c>
      <c r="AA24" s="773">
        <f t="shared" si="0"/>
        <v>17.051174700848051</v>
      </c>
    </row>
    <row r="25" spans="1:27" s="7" customFormat="1" ht="12.75" customHeight="1" x14ac:dyDescent="0.2">
      <c r="A25" s="146">
        <v>17</v>
      </c>
      <c r="B25" s="182"/>
      <c r="C25" s="183" t="s">
        <v>610</v>
      </c>
      <c r="D25" s="231" t="s">
        <v>108</v>
      </c>
      <c r="E25" s="745">
        <v>3.1709999999999998</v>
      </c>
      <c r="F25" s="385">
        <v>2.2250000000000001</v>
      </c>
      <c r="G25" s="247">
        <v>3.048</v>
      </c>
      <c r="H25" s="247">
        <v>8.24</v>
      </c>
      <c r="I25" s="247">
        <v>9.0440000000000005</v>
      </c>
      <c r="J25" s="247">
        <v>3.7690000000000001</v>
      </c>
      <c r="K25" s="247">
        <v>5.7779999999999996</v>
      </c>
      <c r="L25" s="250">
        <v>19.396999999999998</v>
      </c>
      <c r="M25" s="250">
        <v>21.408000000000001</v>
      </c>
      <c r="N25" s="250">
        <v>36.654000000000003</v>
      </c>
      <c r="O25" s="250">
        <v>42.094000000000001</v>
      </c>
      <c r="P25" s="250">
        <v>48.151000000000003</v>
      </c>
      <c r="Q25" s="250">
        <v>70.903999999999996</v>
      </c>
      <c r="R25" s="250">
        <v>71.557000000000002</v>
      </c>
      <c r="S25" s="250">
        <v>76.096999999999994</v>
      </c>
      <c r="T25" s="250">
        <v>65.113</v>
      </c>
      <c r="U25" s="250">
        <v>76.183999999999997</v>
      </c>
      <c r="V25" s="250">
        <v>104.42449999999999</v>
      </c>
      <c r="W25" s="250">
        <v>116.9358</v>
      </c>
      <c r="X25" s="250">
        <v>111.29039999999999</v>
      </c>
      <c r="Y25" s="250">
        <v>90.124399999999994</v>
      </c>
      <c r="Z25" s="970">
        <v>136.85900000000001</v>
      </c>
      <c r="AA25" s="833">
        <f t="shared" si="0"/>
        <v>51.855657291477144</v>
      </c>
    </row>
    <row r="26" spans="1:27" s="25" customFormat="1" ht="12.75" customHeight="1" x14ac:dyDescent="0.2">
      <c r="A26" s="147">
        <v>18</v>
      </c>
      <c r="B26" s="124"/>
      <c r="C26" s="67" t="s">
        <v>611</v>
      </c>
      <c r="D26" s="105" t="s">
        <v>114</v>
      </c>
      <c r="E26" s="590">
        <v>114.63800000000001</v>
      </c>
      <c r="F26" s="590">
        <v>93.912000000000006</v>
      </c>
      <c r="G26" s="590">
        <v>91.085999999999999</v>
      </c>
      <c r="H26" s="248">
        <v>93.509</v>
      </c>
      <c r="I26" s="248">
        <v>95.290999999999997</v>
      </c>
      <c r="J26" s="248">
        <v>100.023</v>
      </c>
      <c r="K26" s="248">
        <v>98.194000000000003</v>
      </c>
      <c r="L26" s="249">
        <v>94.465999999999994</v>
      </c>
      <c r="M26" s="249">
        <v>101.116</v>
      </c>
      <c r="N26" s="249">
        <v>95.528000000000006</v>
      </c>
      <c r="O26" s="249">
        <v>105.19</v>
      </c>
      <c r="P26" s="249">
        <v>95.311000000000007</v>
      </c>
      <c r="Q26" s="249">
        <v>91</v>
      </c>
      <c r="R26" s="249">
        <v>96.841999999999999</v>
      </c>
      <c r="S26" s="249">
        <v>103.181</v>
      </c>
      <c r="T26" s="249">
        <v>100.765</v>
      </c>
      <c r="U26" s="249">
        <v>101.622</v>
      </c>
      <c r="V26" s="249">
        <v>125.961</v>
      </c>
      <c r="W26" s="249">
        <v>135.154</v>
      </c>
      <c r="X26" s="249">
        <v>154.31870000000001</v>
      </c>
      <c r="Y26" s="249">
        <v>95.958600000000004</v>
      </c>
      <c r="Z26" s="969">
        <v>133.37620000000001</v>
      </c>
      <c r="AA26" s="773">
        <f t="shared" si="0"/>
        <v>38.993482606040516</v>
      </c>
    </row>
    <row r="27" spans="1:27" s="22" customFormat="1" ht="12.75" customHeight="1" x14ac:dyDescent="0.2">
      <c r="A27" s="147">
        <v>19</v>
      </c>
      <c r="B27" s="124"/>
      <c r="C27" s="384" t="s">
        <v>601</v>
      </c>
      <c r="D27" s="231" t="s">
        <v>104</v>
      </c>
      <c r="E27" s="247">
        <v>44.265999999999998</v>
      </c>
      <c r="F27" s="247">
        <v>33.463000000000001</v>
      </c>
      <c r="G27" s="247">
        <v>39.476999999999997</v>
      </c>
      <c r="H27" s="385">
        <v>34.253999999999998</v>
      </c>
      <c r="I27" s="247">
        <v>44.220999999999997</v>
      </c>
      <c r="J27" s="247">
        <v>54.55</v>
      </c>
      <c r="K27" s="247">
        <v>54.14</v>
      </c>
      <c r="L27" s="250">
        <v>57.811</v>
      </c>
      <c r="M27" s="250">
        <v>55.384</v>
      </c>
      <c r="N27" s="250">
        <v>53.350999999999999</v>
      </c>
      <c r="O27" s="250">
        <v>61.9754</v>
      </c>
      <c r="P27" s="250">
        <v>65.402000000000001</v>
      </c>
      <c r="Q27" s="250">
        <v>52.527900000000002</v>
      </c>
      <c r="R27" s="250">
        <v>54.027300000000004</v>
      </c>
      <c r="S27" s="250">
        <v>56.692500000000003</v>
      </c>
      <c r="T27" s="250">
        <v>56.623400000000004</v>
      </c>
      <c r="U27" s="250">
        <v>60.596400000000003</v>
      </c>
      <c r="V27" s="250">
        <v>86.922200000000004</v>
      </c>
      <c r="W27" s="250">
        <v>110.80080000000001</v>
      </c>
      <c r="X27" s="250">
        <v>111.35080000000001</v>
      </c>
      <c r="Y27" s="250">
        <v>135.98479999999998</v>
      </c>
      <c r="Z27" s="970">
        <v>127.9941</v>
      </c>
      <c r="AA27" s="833">
        <f t="shared" si="0"/>
        <v>-5.876171454456653</v>
      </c>
    </row>
    <row r="28" spans="1:27" s="25" customFormat="1" ht="12.75" customHeight="1" x14ac:dyDescent="0.2">
      <c r="A28" s="147">
        <v>20</v>
      </c>
      <c r="B28" s="182"/>
      <c r="C28" s="67" t="s">
        <v>484</v>
      </c>
      <c r="D28" s="156" t="s">
        <v>93</v>
      </c>
      <c r="E28" s="496">
        <v>43.5</v>
      </c>
      <c r="F28" s="590">
        <v>45.2</v>
      </c>
      <c r="G28" s="248">
        <v>46.402000000000001</v>
      </c>
      <c r="H28" s="248">
        <v>50.524999999999999</v>
      </c>
      <c r="I28" s="248">
        <v>60.414000000000001</v>
      </c>
      <c r="J28" s="248">
        <v>55.472999999999999</v>
      </c>
      <c r="K28" s="248">
        <v>64.882000000000005</v>
      </c>
      <c r="L28" s="249">
        <v>67.590999999999994</v>
      </c>
      <c r="M28" s="249">
        <v>62.543999999999997</v>
      </c>
      <c r="N28" s="249">
        <v>54.137999999999998</v>
      </c>
      <c r="O28" s="249">
        <v>65.305000000000007</v>
      </c>
      <c r="P28" s="249">
        <v>68.86</v>
      </c>
      <c r="Q28" s="249">
        <v>61.902000000000001</v>
      </c>
      <c r="R28" s="249">
        <v>64.165999999999997</v>
      </c>
      <c r="S28" s="249">
        <v>61.97</v>
      </c>
      <c r="T28" s="249">
        <v>65.783000000000001</v>
      </c>
      <c r="U28" s="249">
        <v>77.534700000000001</v>
      </c>
      <c r="V28" s="249">
        <v>87.276600000000002</v>
      </c>
      <c r="W28" s="249">
        <v>101.41119999999999</v>
      </c>
      <c r="X28" s="249">
        <v>95.590199999999996</v>
      </c>
      <c r="Y28" s="249">
        <v>88.872399999999999</v>
      </c>
      <c r="Z28" s="969">
        <v>125.82299999999999</v>
      </c>
      <c r="AA28" s="773">
        <f t="shared" si="0"/>
        <v>41.577137559017189</v>
      </c>
    </row>
    <row r="29" spans="1:27" s="24" customFormat="1" ht="12.75" customHeight="1" x14ac:dyDescent="0.2">
      <c r="A29" s="148">
        <v>21</v>
      </c>
      <c r="B29" s="124"/>
      <c r="C29" s="384" t="s">
        <v>602</v>
      </c>
      <c r="D29" s="231" t="s">
        <v>108</v>
      </c>
      <c r="E29" s="500">
        <v>75.512</v>
      </c>
      <c r="F29" s="500">
        <v>77.391999999999996</v>
      </c>
      <c r="G29" s="500">
        <v>73.941000000000003</v>
      </c>
      <c r="H29" s="500">
        <v>61.704999999999998</v>
      </c>
      <c r="I29" s="247">
        <v>83.59</v>
      </c>
      <c r="J29" s="247">
        <v>94.483999999999995</v>
      </c>
      <c r="K29" s="247">
        <v>97.893000000000001</v>
      </c>
      <c r="L29" s="250">
        <v>92.14</v>
      </c>
      <c r="M29" s="250">
        <v>108.46299999999999</v>
      </c>
      <c r="N29" s="250">
        <v>92.254999999999995</v>
      </c>
      <c r="O29" s="250">
        <v>105.899</v>
      </c>
      <c r="P29" s="250">
        <v>98.016000000000005</v>
      </c>
      <c r="Q29" s="250">
        <v>94.948999999999998</v>
      </c>
      <c r="R29" s="250">
        <v>98.174000000000007</v>
      </c>
      <c r="S29" s="250">
        <v>95.284000000000006</v>
      </c>
      <c r="T29" s="250">
        <v>102.202</v>
      </c>
      <c r="U29" s="250">
        <v>114.617</v>
      </c>
      <c r="V29" s="250">
        <v>138.9879</v>
      </c>
      <c r="W29" s="250">
        <v>149.21639999999999</v>
      </c>
      <c r="X29" s="250">
        <v>143.14260000000002</v>
      </c>
      <c r="Y29" s="250">
        <v>93.969100000000012</v>
      </c>
      <c r="Z29" s="970">
        <v>109.258</v>
      </c>
      <c r="AA29" s="833">
        <f t="shared" si="0"/>
        <v>16.270135608407415</v>
      </c>
    </row>
    <row r="30" spans="1:27" s="25" customFormat="1" ht="12.75" customHeight="1" x14ac:dyDescent="0.2">
      <c r="A30" s="146">
        <v>22</v>
      </c>
      <c r="B30" s="182"/>
      <c r="C30" s="161" t="s">
        <v>457</v>
      </c>
      <c r="D30" s="105" t="s">
        <v>103</v>
      </c>
      <c r="E30" s="496">
        <v>123.39100000000001</v>
      </c>
      <c r="F30" s="256">
        <v>83.387</v>
      </c>
      <c r="G30" s="590">
        <v>106.813</v>
      </c>
      <c r="H30" s="590">
        <v>131.345</v>
      </c>
      <c r="I30" s="590">
        <v>105.873</v>
      </c>
      <c r="J30" s="590">
        <v>101.447</v>
      </c>
      <c r="K30" s="590">
        <v>103.779</v>
      </c>
      <c r="L30" s="590">
        <v>100.839</v>
      </c>
      <c r="M30" s="249">
        <v>104.874</v>
      </c>
      <c r="N30" s="249">
        <v>88.763000000000005</v>
      </c>
      <c r="O30" s="249">
        <v>83.959800000000001</v>
      </c>
      <c r="P30" s="249">
        <v>77.257199999999997</v>
      </c>
      <c r="Q30" s="249">
        <v>68.707499999999996</v>
      </c>
      <c r="R30" s="249">
        <v>63.666499999999999</v>
      </c>
      <c r="S30" s="249">
        <v>56.284800000000004</v>
      </c>
      <c r="T30" s="249">
        <v>58.057900000000004</v>
      </c>
      <c r="U30" s="249">
        <v>65.224000000000004</v>
      </c>
      <c r="V30" s="249">
        <v>65.9666</v>
      </c>
      <c r="W30" s="249">
        <v>93.783000000000001</v>
      </c>
      <c r="X30" s="249">
        <v>103.00789999999999</v>
      </c>
      <c r="Y30" s="249">
        <v>71.052300000000002</v>
      </c>
      <c r="Z30" s="969">
        <v>106.94539999999999</v>
      </c>
      <c r="AA30" s="773">
        <f t="shared" si="0"/>
        <v>50.516450558250739</v>
      </c>
    </row>
    <row r="31" spans="1:27" s="7" customFormat="1" ht="12.75" customHeight="1" x14ac:dyDescent="0.2">
      <c r="A31" s="147">
        <v>23</v>
      </c>
      <c r="B31" s="124"/>
      <c r="C31" s="384" t="s">
        <v>485</v>
      </c>
      <c r="D31" s="231" t="s">
        <v>97</v>
      </c>
      <c r="E31" s="255">
        <v>44.6</v>
      </c>
      <c r="F31" s="255">
        <v>38.982999999999997</v>
      </c>
      <c r="G31" s="255">
        <v>45.218000000000004</v>
      </c>
      <c r="H31" s="255">
        <v>46.554000000000002</v>
      </c>
      <c r="I31" s="385">
        <v>31.422999999999998</v>
      </c>
      <c r="J31" s="385">
        <v>31.13</v>
      </c>
      <c r="K31" s="385">
        <v>36.924999999999997</v>
      </c>
      <c r="L31" s="385">
        <v>41.343000000000004</v>
      </c>
      <c r="M31" s="385">
        <v>54.618000000000002</v>
      </c>
      <c r="N31" s="385">
        <v>50.1</v>
      </c>
      <c r="O31" s="385">
        <v>57.066000000000003</v>
      </c>
      <c r="P31" s="385">
        <v>60.576000000000001</v>
      </c>
      <c r="Q31" s="385">
        <v>62.500999999999998</v>
      </c>
      <c r="R31" s="385">
        <v>64.194000000000003</v>
      </c>
      <c r="S31" s="385">
        <v>68.619</v>
      </c>
      <c r="T31" s="385">
        <v>72.308999999999997</v>
      </c>
      <c r="U31" s="385">
        <v>85.775999999999996</v>
      </c>
      <c r="V31" s="385">
        <v>98.159000000000006</v>
      </c>
      <c r="W31" s="385">
        <v>108.3398</v>
      </c>
      <c r="X31" s="385">
        <v>114.0894</v>
      </c>
      <c r="Y31" s="385">
        <v>82.085300000000004</v>
      </c>
      <c r="Z31" s="387">
        <v>105.062</v>
      </c>
      <c r="AA31" s="972">
        <f t="shared" si="0"/>
        <v>27.991248128471227</v>
      </c>
    </row>
    <row r="32" spans="1:27" s="25" customFormat="1" ht="12.75" customHeight="1" x14ac:dyDescent="0.2">
      <c r="A32" s="147">
        <v>24</v>
      </c>
      <c r="B32" s="182"/>
      <c r="C32" s="67" t="s">
        <v>464</v>
      </c>
      <c r="D32" s="105" t="s">
        <v>116</v>
      </c>
      <c r="E32" s="496">
        <v>154</v>
      </c>
      <c r="F32" s="256">
        <v>145</v>
      </c>
      <c r="G32" s="256">
        <v>155</v>
      </c>
      <c r="H32" s="248">
        <v>131</v>
      </c>
      <c r="I32" s="248">
        <v>139</v>
      </c>
      <c r="J32" s="248">
        <v>158</v>
      </c>
      <c r="K32" s="248">
        <v>168.8</v>
      </c>
      <c r="L32" s="590">
        <v>191.8</v>
      </c>
      <c r="M32" s="249">
        <v>121.44799999999999</v>
      </c>
      <c r="N32" s="249">
        <v>84.216999999999999</v>
      </c>
      <c r="O32" s="249">
        <v>99.39</v>
      </c>
      <c r="P32" s="249">
        <v>82.52</v>
      </c>
      <c r="Q32" s="249">
        <v>74.215000000000003</v>
      </c>
      <c r="R32" s="249">
        <v>71.302999999999997</v>
      </c>
      <c r="S32" s="249">
        <v>85.186000000000007</v>
      </c>
      <c r="T32" s="249">
        <v>90.725999999999999</v>
      </c>
      <c r="U32" s="249">
        <v>94.4</v>
      </c>
      <c r="V32" s="249">
        <v>107.42789999999999</v>
      </c>
      <c r="W32" s="249">
        <v>103.25030000000001</v>
      </c>
      <c r="X32" s="249">
        <v>93.536000000000001</v>
      </c>
      <c r="Y32" s="249">
        <v>86.657200000000003</v>
      </c>
      <c r="Z32" s="969">
        <v>101.2235</v>
      </c>
      <c r="AA32" s="773">
        <f t="shared" si="0"/>
        <v>16.809105302271462</v>
      </c>
    </row>
    <row r="33" spans="1:27" s="7" customFormat="1" ht="12.75" customHeight="1" x14ac:dyDescent="0.2">
      <c r="A33" s="147">
        <v>25</v>
      </c>
      <c r="B33" s="124"/>
      <c r="C33" s="384" t="s">
        <v>23</v>
      </c>
      <c r="D33" s="231" t="s">
        <v>111</v>
      </c>
      <c r="E33" s="500">
        <v>153.30000000000001</v>
      </c>
      <c r="F33" s="385">
        <v>169.65199999999999</v>
      </c>
      <c r="G33" s="385">
        <v>117.7</v>
      </c>
      <c r="H33" s="385">
        <v>163.86799999999999</v>
      </c>
      <c r="I33" s="385">
        <v>139.626</v>
      </c>
      <c r="J33" s="385">
        <v>131.935</v>
      </c>
      <c r="K33" s="385">
        <v>140.203</v>
      </c>
      <c r="L33" s="257">
        <v>153.9</v>
      </c>
      <c r="M33" s="385">
        <v>152.999</v>
      </c>
      <c r="N33" s="385">
        <v>139.01400000000001</v>
      </c>
      <c r="O33" s="385">
        <v>164.36799999999999</v>
      </c>
      <c r="P33" s="385">
        <v>151.86699999999999</v>
      </c>
      <c r="Q33" s="385">
        <v>143.244</v>
      </c>
      <c r="R33" s="385">
        <v>141.911</v>
      </c>
      <c r="S33" s="247">
        <v>142.97200000000001</v>
      </c>
      <c r="T33" s="247">
        <v>145.017</v>
      </c>
      <c r="U33" s="247">
        <v>160.904</v>
      </c>
      <c r="V33" s="247">
        <v>185.89699999999999</v>
      </c>
      <c r="W33" s="247">
        <v>205.77199999999999</v>
      </c>
      <c r="X33" s="247">
        <v>194.50800000000001</v>
      </c>
      <c r="Y33" s="247">
        <v>76.037999999999997</v>
      </c>
      <c r="Z33" s="275">
        <v>101.012</v>
      </c>
      <c r="AA33" s="973">
        <f t="shared" si="0"/>
        <v>32.844104263657641</v>
      </c>
    </row>
    <row r="34" spans="1:27" s="7" customFormat="1" ht="12.75" customHeight="1" x14ac:dyDescent="0.2">
      <c r="A34" s="147">
        <v>26</v>
      </c>
      <c r="B34" s="182"/>
      <c r="C34" s="67" t="s">
        <v>27</v>
      </c>
      <c r="D34" s="105" t="s">
        <v>109</v>
      </c>
      <c r="E34" s="496">
        <v>107.34699999999999</v>
      </c>
      <c r="F34" s="590">
        <v>94.031999999999996</v>
      </c>
      <c r="G34" s="248">
        <v>83.891999999999996</v>
      </c>
      <c r="H34" s="248">
        <v>83.043000000000006</v>
      </c>
      <c r="I34" s="248">
        <v>78.103999999999999</v>
      </c>
      <c r="J34" s="248">
        <v>79.965000000000003</v>
      </c>
      <c r="K34" s="248">
        <v>75.984999999999999</v>
      </c>
      <c r="L34" s="249">
        <v>76.692999999999998</v>
      </c>
      <c r="M34" s="249">
        <v>72.102999999999994</v>
      </c>
      <c r="N34" s="249">
        <v>63.353000000000002</v>
      </c>
      <c r="O34" s="249">
        <v>53.772199999999998</v>
      </c>
      <c r="P34" s="249">
        <v>58.81</v>
      </c>
      <c r="Q34" s="249">
        <v>62.853900000000003</v>
      </c>
      <c r="R34" s="249">
        <v>62.8536</v>
      </c>
      <c r="S34" s="249">
        <v>114.91789999999999</v>
      </c>
      <c r="T34" s="249">
        <v>126.29610000000001</v>
      </c>
      <c r="U34" s="249">
        <v>101.91839999999999</v>
      </c>
      <c r="V34" s="249">
        <v>98.484499999999997</v>
      </c>
      <c r="W34" s="249">
        <v>95.131600000000006</v>
      </c>
      <c r="X34" s="249">
        <v>98.461300000000008</v>
      </c>
      <c r="Y34" s="249">
        <v>62.204599999999999</v>
      </c>
      <c r="Z34" s="969">
        <v>81.071300000000008</v>
      </c>
      <c r="AA34" s="967">
        <f t="shared" si="0"/>
        <v>30.330072052549184</v>
      </c>
    </row>
    <row r="35" spans="1:27" s="25" customFormat="1" ht="12.75" customHeight="1" x14ac:dyDescent="0.2">
      <c r="A35" s="147">
        <v>27</v>
      </c>
      <c r="B35" s="182"/>
      <c r="C35" s="384" t="s">
        <v>677</v>
      </c>
      <c r="D35" s="231" t="s">
        <v>106</v>
      </c>
      <c r="E35" s="385"/>
      <c r="F35" s="385"/>
      <c r="G35" s="385"/>
      <c r="H35" s="385"/>
      <c r="I35" s="385"/>
      <c r="J35" s="385"/>
      <c r="K35" s="385"/>
      <c r="L35" s="385">
        <v>104.76300000000001</v>
      </c>
      <c r="M35" s="385">
        <v>74.828000000000003</v>
      </c>
      <c r="N35" s="385">
        <v>69.822999999999993</v>
      </c>
      <c r="O35" s="385">
        <v>60.008000000000003</v>
      </c>
      <c r="P35" s="385">
        <v>53.475000000000001</v>
      </c>
      <c r="Q35" s="385">
        <v>47.624000000000002</v>
      </c>
      <c r="R35" s="385">
        <v>43.823</v>
      </c>
      <c r="S35" s="385">
        <v>24.530999999999999</v>
      </c>
      <c r="T35" s="385">
        <v>16.600999999999999</v>
      </c>
      <c r="U35" s="385">
        <v>21.896000000000001</v>
      </c>
      <c r="V35" s="385">
        <v>23.04</v>
      </c>
      <c r="W35" s="385">
        <v>27.484000000000002</v>
      </c>
      <c r="X35" s="385">
        <v>24.518999999999998</v>
      </c>
      <c r="Y35" s="385">
        <v>45.487000000000002</v>
      </c>
      <c r="Z35" s="387">
        <v>63.451000000000001</v>
      </c>
      <c r="AA35" s="966">
        <f t="shared" si="0"/>
        <v>39.492602281970676</v>
      </c>
    </row>
    <row r="36" spans="1:27" s="7" customFormat="1" ht="12.75" customHeight="1" x14ac:dyDescent="0.2">
      <c r="A36" s="147">
        <v>28</v>
      </c>
      <c r="B36" s="182"/>
      <c r="C36" s="67" t="s">
        <v>486</v>
      </c>
      <c r="D36" s="105" t="s">
        <v>91</v>
      </c>
      <c r="E36" s="442"/>
      <c r="F36" s="248"/>
      <c r="G36" s="248">
        <v>39.430999999999997</v>
      </c>
      <c r="H36" s="248">
        <v>46.244</v>
      </c>
      <c r="I36" s="248">
        <v>51.597999999999999</v>
      </c>
      <c r="J36" s="248">
        <v>51.612000000000002</v>
      </c>
      <c r="K36" s="248">
        <v>54.875</v>
      </c>
      <c r="L36" s="249">
        <v>54.94</v>
      </c>
      <c r="M36" s="249">
        <v>47.838999999999999</v>
      </c>
      <c r="N36" s="249">
        <v>42.460999999999999</v>
      </c>
      <c r="O36" s="249">
        <v>58.237000000000002</v>
      </c>
      <c r="P36" s="249">
        <v>62.643999999999998</v>
      </c>
      <c r="Q36" s="249">
        <v>52.911999999999999</v>
      </c>
      <c r="R36" s="249">
        <v>51.869</v>
      </c>
      <c r="S36" s="249">
        <v>50.86</v>
      </c>
      <c r="T36" s="249">
        <v>50.521000000000001</v>
      </c>
      <c r="U36" s="249">
        <v>71.028999999999996</v>
      </c>
      <c r="V36" s="249">
        <v>81.750399999999999</v>
      </c>
      <c r="W36" s="249">
        <v>82.45989999999999</v>
      </c>
      <c r="X36" s="249">
        <v>85.396899999999988</v>
      </c>
      <c r="Y36" s="249">
        <v>52.640800000000006</v>
      </c>
      <c r="Z36" s="969">
        <v>62.4465</v>
      </c>
      <c r="AA36" s="967">
        <f t="shared" si="0"/>
        <v>18.627566450357875</v>
      </c>
    </row>
    <row r="37" spans="1:27" s="7" customFormat="1" ht="12.75" customHeight="1" x14ac:dyDescent="0.2">
      <c r="A37" s="147">
        <v>29</v>
      </c>
      <c r="B37" s="182"/>
      <c r="C37" s="384" t="s">
        <v>33</v>
      </c>
      <c r="D37" s="231" t="s">
        <v>107</v>
      </c>
      <c r="E37" s="744">
        <v>34.716999999999999</v>
      </c>
      <c r="F37" s="385">
        <v>30.922000000000001</v>
      </c>
      <c r="G37" s="385">
        <v>30.946999999999999</v>
      </c>
      <c r="H37" s="385">
        <v>27.187999999999999</v>
      </c>
      <c r="I37" s="385">
        <v>25.927</v>
      </c>
      <c r="J37" s="385">
        <v>26.045000000000002</v>
      </c>
      <c r="K37" s="385">
        <v>28.523</v>
      </c>
      <c r="L37" s="385">
        <v>27.904</v>
      </c>
      <c r="M37" s="385">
        <v>28.89</v>
      </c>
      <c r="N37" s="385">
        <v>23.463999999999999</v>
      </c>
      <c r="O37" s="385">
        <v>29.531400000000001</v>
      </c>
      <c r="P37" s="385">
        <v>30.359200000000001</v>
      </c>
      <c r="Q37" s="385">
        <v>31.615200000000002</v>
      </c>
      <c r="R37" s="385">
        <v>29.724400000000003</v>
      </c>
      <c r="S37" s="385">
        <v>31.042000000000002</v>
      </c>
      <c r="T37" s="385">
        <v>29.295999999999999</v>
      </c>
      <c r="U37" s="385">
        <v>31.195</v>
      </c>
      <c r="V37" s="385">
        <v>36.143000000000001</v>
      </c>
      <c r="W37" s="385">
        <v>36.055999999999997</v>
      </c>
      <c r="X37" s="385">
        <v>32.4666</v>
      </c>
      <c r="Y37" s="385">
        <v>26.655000000000001</v>
      </c>
      <c r="Z37" s="387">
        <v>48.566600000000001</v>
      </c>
      <c r="AA37" s="966">
        <f t="shared" si="0"/>
        <v>82.204464453198256</v>
      </c>
    </row>
    <row r="38" spans="1:27" s="7" customFormat="1" ht="12.75" customHeight="1" x14ac:dyDescent="0.2">
      <c r="A38" s="147">
        <v>30</v>
      </c>
      <c r="B38" s="182"/>
      <c r="C38" s="161" t="s">
        <v>38</v>
      </c>
      <c r="D38" s="105" t="s">
        <v>109</v>
      </c>
      <c r="E38" s="248">
        <v>36.008000000000003</v>
      </c>
      <c r="F38" s="248">
        <v>60.548999999999999</v>
      </c>
      <c r="G38" s="248">
        <v>59.923000000000002</v>
      </c>
      <c r="H38" s="248">
        <v>53.378999999999998</v>
      </c>
      <c r="I38" s="248">
        <v>51.960999999999999</v>
      </c>
      <c r="J38" s="248">
        <v>51.015000000000001</v>
      </c>
      <c r="K38" s="248">
        <v>49.517000000000003</v>
      </c>
      <c r="L38" s="249">
        <v>51.35</v>
      </c>
      <c r="M38" s="249">
        <v>53.972999999999999</v>
      </c>
      <c r="N38" s="249">
        <v>57.853999999999999</v>
      </c>
      <c r="O38" s="249">
        <v>58.5822</v>
      </c>
      <c r="P38" s="249">
        <v>58.183399999999999</v>
      </c>
      <c r="Q38" s="249">
        <v>57.496199999999995</v>
      </c>
      <c r="R38" s="249">
        <v>55.442900000000002</v>
      </c>
      <c r="S38" s="249">
        <v>56.3643</v>
      </c>
      <c r="T38" s="249">
        <v>55.2485</v>
      </c>
      <c r="U38" s="249">
        <v>58.4358</v>
      </c>
      <c r="V38" s="249">
        <v>57.659300000000002</v>
      </c>
      <c r="W38" s="249">
        <v>58.455300000000001</v>
      </c>
      <c r="X38" s="249">
        <v>61.114199999999997</v>
      </c>
      <c r="Y38" s="249">
        <v>52.278400000000005</v>
      </c>
      <c r="Z38" s="969">
        <v>48.168599999999998</v>
      </c>
      <c r="AA38" s="967">
        <f t="shared" si="0"/>
        <v>-7.8613729570912767</v>
      </c>
    </row>
    <row r="39" spans="1:27" s="7" customFormat="1" ht="12.75" customHeight="1" x14ac:dyDescent="0.2">
      <c r="A39" s="147">
        <v>31</v>
      </c>
      <c r="B39" s="182"/>
      <c r="C39" s="384" t="s">
        <v>39</v>
      </c>
      <c r="D39" s="231" t="s">
        <v>109</v>
      </c>
      <c r="E39" s="745">
        <v>37.752000000000002</v>
      </c>
      <c r="F39" s="385">
        <v>55.298999999999999</v>
      </c>
      <c r="G39" s="385">
        <v>53.3</v>
      </c>
      <c r="H39" s="385">
        <v>54.058</v>
      </c>
      <c r="I39" s="385">
        <v>51.631</v>
      </c>
      <c r="J39" s="385">
        <v>56.231000000000002</v>
      </c>
      <c r="K39" s="385">
        <v>58.521000000000001</v>
      </c>
      <c r="L39" s="385">
        <v>55.066000000000003</v>
      </c>
      <c r="M39" s="385">
        <v>54.62</v>
      </c>
      <c r="N39" s="385">
        <v>54.884999999999998</v>
      </c>
      <c r="O39" s="385">
        <v>52.230800000000002</v>
      </c>
      <c r="P39" s="385">
        <v>55.046800000000005</v>
      </c>
      <c r="Q39" s="385">
        <v>59.27</v>
      </c>
      <c r="R39" s="385">
        <v>60.423999999999999</v>
      </c>
      <c r="S39" s="247">
        <v>61.332800000000006</v>
      </c>
      <c r="T39" s="247">
        <v>61.015999999999998</v>
      </c>
      <c r="U39" s="247">
        <v>66.936499999999995</v>
      </c>
      <c r="V39" s="247">
        <v>72.326999999999998</v>
      </c>
      <c r="W39" s="247">
        <v>67.668800000000005</v>
      </c>
      <c r="X39" s="247">
        <v>65.2607</v>
      </c>
      <c r="Y39" s="247">
        <v>48.926600000000001</v>
      </c>
      <c r="Z39" s="275">
        <v>47.473999999999997</v>
      </c>
      <c r="AA39" s="973">
        <f t="shared" si="0"/>
        <v>-2.9689371425768485</v>
      </c>
    </row>
    <row r="40" spans="1:27" s="7" customFormat="1" ht="12.75" customHeight="1" x14ac:dyDescent="0.2">
      <c r="A40" s="147">
        <v>32</v>
      </c>
      <c r="B40" s="182"/>
      <c r="C40" s="161" t="s">
        <v>34</v>
      </c>
      <c r="D40" s="105" t="s">
        <v>109</v>
      </c>
      <c r="E40" s="418">
        <v>27.436</v>
      </c>
      <c r="F40" s="386">
        <v>38.088999999999999</v>
      </c>
      <c r="G40" s="386">
        <v>35.292999999999999</v>
      </c>
      <c r="H40" s="386">
        <v>35.427999999999997</v>
      </c>
      <c r="I40" s="386">
        <v>34.793999999999997</v>
      </c>
      <c r="J40" s="386">
        <v>38.651000000000003</v>
      </c>
      <c r="K40" s="386">
        <v>40.548000000000002</v>
      </c>
      <c r="L40" s="386">
        <v>36.829000000000001</v>
      </c>
      <c r="M40" s="386">
        <v>32.777999999999999</v>
      </c>
      <c r="N40" s="386">
        <v>32.561</v>
      </c>
      <c r="O40" s="386">
        <v>35.197600000000001</v>
      </c>
      <c r="P40" s="386">
        <v>36.252300000000005</v>
      </c>
      <c r="Q40" s="386">
        <v>36.419400000000003</v>
      </c>
      <c r="R40" s="386">
        <v>43.731000000000002</v>
      </c>
      <c r="S40" s="248">
        <v>49.160400000000003</v>
      </c>
      <c r="T40" s="248">
        <v>51.376100000000001</v>
      </c>
      <c r="U40" s="248">
        <v>55.936099999999996</v>
      </c>
      <c r="V40" s="248">
        <v>54.7943</v>
      </c>
      <c r="W40" s="248">
        <v>57.167099999999998</v>
      </c>
      <c r="X40" s="248">
        <v>56.907899999999998</v>
      </c>
      <c r="Y40" s="248">
        <v>44.8645</v>
      </c>
      <c r="Z40" s="417">
        <v>46.7941</v>
      </c>
      <c r="AA40" s="967">
        <f t="shared" si="0"/>
        <v>4.3009506402612345</v>
      </c>
    </row>
    <row r="41" spans="1:27" s="7" customFormat="1" ht="12.75" customHeight="1" x14ac:dyDescent="0.2">
      <c r="A41" s="147">
        <v>33</v>
      </c>
      <c r="B41" s="182"/>
      <c r="C41" s="384" t="s">
        <v>313</v>
      </c>
      <c r="D41" s="231" t="s">
        <v>111</v>
      </c>
      <c r="E41" s="745"/>
      <c r="F41" s="385"/>
      <c r="G41" s="247">
        <v>16.559999999999999</v>
      </c>
      <c r="H41" s="247">
        <v>16.62</v>
      </c>
      <c r="I41" s="247">
        <v>12.208</v>
      </c>
      <c r="J41" s="247">
        <v>7.7670000000000003</v>
      </c>
      <c r="K41" s="247">
        <v>15.622999999999999</v>
      </c>
      <c r="L41" s="250">
        <v>18.692</v>
      </c>
      <c r="M41" s="250">
        <v>25.87</v>
      </c>
      <c r="N41" s="250">
        <v>27.248999999999999</v>
      </c>
      <c r="O41" s="250">
        <v>28.207000000000001</v>
      </c>
      <c r="P41" s="250">
        <v>32.578000000000003</v>
      </c>
      <c r="Q41" s="250">
        <v>30.51</v>
      </c>
      <c r="R41" s="250">
        <v>33.686999999999998</v>
      </c>
      <c r="S41" s="250">
        <v>32.203000000000003</v>
      </c>
      <c r="T41" s="250">
        <v>30.835999999999999</v>
      </c>
      <c r="U41" s="250">
        <v>37.47</v>
      </c>
      <c r="V41" s="250">
        <v>41.981999999999999</v>
      </c>
      <c r="W41" s="250">
        <v>40.530999999999999</v>
      </c>
      <c r="X41" s="250">
        <v>38.036999999999999</v>
      </c>
      <c r="Y41" s="250">
        <v>34.552999999999997</v>
      </c>
      <c r="Z41" s="970">
        <v>38.805999999999997</v>
      </c>
      <c r="AA41" s="973">
        <f t="shared" si="0"/>
        <v>12.308627326136673</v>
      </c>
    </row>
    <row r="42" spans="1:27" s="7" customFormat="1" ht="12.75" customHeight="1" x14ac:dyDescent="0.2">
      <c r="A42" s="147">
        <v>34</v>
      </c>
      <c r="B42" s="182"/>
      <c r="C42" s="161" t="s">
        <v>42</v>
      </c>
      <c r="D42" s="105" t="s">
        <v>114</v>
      </c>
      <c r="E42" s="386">
        <v>40.927</v>
      </c>
      <c r="F42" s="386">
        <v>36.481999999999999</v>
      </c>
      <c r="G42" s="386">
        <v>34.665999999999997</v>
      </c>
      <c r="H42" s="386">
        <v>26.41</v>
      </c>
      <c r="I42" s="386">
        <v>24.907</v>
      </c>
      <c r="J42" s="386">
        <v>25.623999999999999</v>
      </c>
      <c r="K42" s="386">
        <v>34.423000000000002</v>
      </c>
      <c r="L42" s="386">
        <v>32.569000000000003</v>
      </c>
      <c r="M42" s="386">
        <v>32.200000000000003</v>
      </c>
      <c r="N42" s="386">
        <v>27.356999999999999</v>
      </c>
      <c r="O42" s="386">
        <v>28.776</v>
      </c>
      <c r="P42" s="386">
        <v>24.465</v>
      </c>
      <c r="Q42" s="386">
        <v>25.303999999999998</v>
      </c>
      <c r="R42" s="386">
        <v>27.995999999999999</v>
      </c>
      <c r="S42" s="248">
        <v>30.097000000000001</v>
      </c>
      <c r="T42" s="248">
        <v>29.960999999999999</v>
      </c>
      <c r="U42" s="248">
        <v>32.018000000000001</v>
      </c>
      <c r="V42" s="248">
        <v>36.463000000000001</v>
      </c>
      <c r="W42" s="248">
        <v>36.201000000000001</v>
      </c>
      <c r="X42" s="248">
        <v>37.845199999999998</v>
      </c>
      <c r="Y42" s="248">
        <v>34.252800000000001</v>
      </c>
      <c r="Z42" s="417">
        <v>38.129300000000001</v>
      </c>
      <c r="AA42" s="967">
        <f t="shared" si="0"/>
        <v>11.317322963378174</v>
      </c>
    </row>
    <row r="43" spans="1:27" s="7" customFormat="1" ht="12.75" customHeight="1" x14ac:dyDescent="0.2">
      <c r="A43" s="147">
        <v>35</v>
      </c>
      <c r="B43" s="182"/>
      <c r="C43" s="183" t="s">
        <v>357</v>
      </c>
      <c r="D43" s="231" t="s">
        <v>108</v>
      </c>
      <c r="E43" s="247">
        <v>32.838999999999999</v>
      </c>
      <c r="F43" s="247">
        <v>34.323999999999998</v>
      </c>
      <c r="G43" s="247">
        <v>42.216000000000001</v>
      </c>
      <c r="H43" s="247">
        <v>39.874000000000002</v>
      </c>
      <c r="I43" s="247">
        <v>43.988</v>
      </c>
      <c r="J43" s="247">
        <v>36.384</v>
      </c>
      <c r="K43" s="247">
        <v>19.902999999999999</v>
      </c>
      <c r="L43" s="250">
        <v>19.332000000000001</v>
      </c>
      <c r="M43" s="250">
        <v>17.300999999999998</v>
      </c>
      <c r="N43" s="250">
        <v>13.013</v>
      </c>
      <c r="O43" s="250">
        <v>14.131</v>
      </c>
      <c r="P43" s="250">
        <v>15.007</v>
      </c>
      <c r="Q43" s="250">
        <v>14.733000000000001</v>
      </c>
      <c r="R43" s="250">
        <v>15.531000000000001</v>
      </c>
      <c r="S43" s="250">
        <v>15.698</v>
      </c>
      <c r="T43" s="250">
        <v>17.242000000000001</v>
      </c>
      <c r="U43" s="250">
        <v>19.884</v>
      </c>
      <c r="V43" s="250">
        <v>23.894500000000001</v>
      </c>
      <c r="W43" s="250">
        <v>24.321999999999999</v>
      </c>
      <c r="X43" s="250">
        <v>26.743200000000002</v>
      </c>
      <c r="Y43" s="250">
        <v>29.452400000000001</v>
      </c>
      <c r="Z43" s="970">
        <v>35.672699999999999</v>
      </c>
      <c r="AA43" s="973">
        <f t="shared" si="0"/>
        <v>21.119840827912142</v>
      </c>
    </row>
    <row r="44" spans="1:27" s="7" customFormat="1" ht="12.75" customHeight="1" x14ac:dyDescent="0.2">
      <c r="A44" s="147">
        <v>36</v>
      </c>
      <c r="B44" s="182"/>
      <c r="C44" s="67" t="s">
        <v>614</v>
      </c>
      <c r="D44" s="105" t="s">
        <v>111</v>
      </c>
      <c r="E44" s="386"/>
      <c r="F44" s="386">
        <v>11.638999999999999</v>
      </c>
      <c r="G44" s="386">
        <v>11.291</v>
      </c>
      <c r="H44" s="386">
        <v>11.834</v>
      </c>
      <c r="I44" s="386">
        <v>12.108000000000001</v>
      </c>
      <c r="J44" s="386">
        <v>12.340999999999999</v>
      </c>
      <c r="K44" s="386">
        <v>13.941000000000001</v>
      </c>
      <c r="L44" s="386">
        <v>13.156000000000001</v>
      </c>
      <c r="M44" s="386">
        <v>20.12</v>
      </c>
      <c r="N44" s="386">
        <v>25.702999999999999</v>
      </c>
      <c r="O44" s="386">
        <v>29.388000000000002</v>
      </c>
      <c r="P44" s="386">
        <v>32.695</v>
      </c>
      <c r="Q44" s="386">
        <v>33.112000000000002</v>
      </c>
      <c r="R44" s="386">
        <v>37.728000000000002</v>
      </c>
      <c r="S44" s="248">
        <v>40.268999999999998</v>
      </c>
      <c r="T44" s="248">
        <v>47.969000000000001</v>
      </c>
      <c r="U44" s="248">
        <v>54.951999999999998</v>
      </c>
      <c r="V44" s="248">
        <v>56.476999999999997</v>
      </c>
      <c r="W44" s="248">
        <v>56.552999999999997</v>
      </c>
      <c r="X44" s="248">
        <v>52.012</v>
      </c>
      <c r="Y44" s="248">
        <v>30.529</v>
      </c>
      <c r="Z44" s="417">
        <v>34.901000000000003</v>
      </c>
      <c r="AA44" s="967">
        <f t="shared" si="0"/>
        <v>14.320809721903771</v>
      </c>
    </row>
    <row r="45" spans="1:27" s="7" customFormat="1" ht="12.75" customHeight="1" x14ac:dyDescent="0.2">
      <c r="A45" s="147">
        <v>37</v>
      </c>
      <c r="B45" s="182"/>
      <c r="C45" s="183" t="s">
        <v>487</v>
      </c>
      <c r="D45" s="231" t="s">
        <v>107</v>
      </c>
      <c r="E45" s="745"/>
      <c r="F45" s="385"/>
      <c r="G45" s="385">
        <v>13.06</v>
      </c>
      <c r="H45" s="385">
        <v>15.196</v>
      </c>
      <c r="I45" s="385">
        <v>15.573</v>
      </c>
      <c r="J45" s="385">
        <v>16.295999999999999</v>
      </c>
      <c r="K45" s="385">
        <v>15.702</v>
      </c>
      <c r="L45" s="385">
        <v>16.696999999999999</v>
      </c>
      <c r="M45" s="385">
        <v>18.013000000000002</v>
      </c>
      <c r="N45" s="385">
        <v>11.157</v>
      </c>
      <c r="O45" s="385">
        <v>15.660299999999999</v>
      </c>
      <c r="P45" s="385">
        <v>16.8139</v>
      </c>
      <c r="Q45" s="385">
        <v>15.8751</v>
      </c>
      <c r="R45" s="385">
        <v>14.7035</v>
      </c>
      <c r="S45" s="385">
        <v>15.149100000000001</v>
      </c>
      <c r="T45" s="385">
        <v>17.469000000000001</v>
      </c>
      <c r="U45" s="385">
        <v>18.902000000000001</v>
      </c>
      <c r="V45" s="385">
        <v>16.838000000000001</v>
      </c>
      <c r="W45" s="385">
        <v>16.103000000000002</v>
      </c>
      <c r="X45" s="385">
        <v>17.907299999999999</v>
      </c>
      <c r="Y45" s="385">
        <v>24.766999999999999</v>
      </c>
      <c r="Z45" s="387">
        <v>34.214100000000002</v>
      </c>
      <c r="AA45" s="966">
        <f t="shared" si="0"/>
        <v>38.14390115880002</v>
      </c>
    </row>
    <row r="46" spans="1:27" s="7" customFormat="1" ht="12.75" customHeight="1" x14ac:dyDescent="0.2">
      <c r="A46" s="147">
        <v>38</v>
      </c>
      <c r="B46" s="182"/>
      <c r="C46" s="161" t="s">
        <v>478</v>
      </c>
      <c r="D46" s="105" t="s">
        <v>107</v>
      </c>
      <c r="E46" s="442">
        <v>10.507999999999999</v>
      </c>
      <c r="F46" s="386">
        <v>9.6479999999999997</v>
      </c>
      <c r="G46" s="386">
        <v>11.218999999999999</v>
      </c>
      <c r="H46" s="386">
        <v>12.363</v>
      </c>
      <c r="I46" s="386">
        <v>15.775</v>
      </c>
      <c r="J46" s="386">
        <v>13.135999999999999</v>
      </c>
      <c r="K46" s="386">
        <v>8.0749999999999993</v>
      </c>
      <c r="L46" s="386">
        <v>8.2870000000000008</v>
      </c>
      <c r="M46" s="386">
        <v>8.56</v>
      </c>
      <c r="N46" s="386">
        <v>6.7169999999999996</v>
      </c>
      <c r="O46" s="386">
        <v>9.2138999999999989</v>
      </c>
      <c r="P46" s="386">
        <v>8.5891999999999999</v>
      </c>
      <c r="Q46" s="386">
        <v>5.9136999999999995</v>
      </c>
      <c r="R46" s="386">
        <v>6.3884999999999996</v>
      </c>
      <c r="S46" s="248">
        <v>6.8591000000000006</v>
      </c>
      <c r="T46" s="248">
        <v>7.1849999999999996</v>
      </c>
      <c r="U46" s="248">
        <v>7.8719999999999999</v>
      </c>
      <c r="V46" s="248">
        <v>8.3949999999999996</v>
      </c>
      <c r="W46" s="248">
        <v>11.099</v>
      </c>
      <c r="X46" s="248">
        <v>11.9391</v>
      </c>
      <c r="Y46" s="248">
        <v>14.445399999999999</v>
      </c>
      <c r="Z46" s="417">
        <v>29.2454</v>
      </c>
      <c r="AA46" s="967">
        <f t="shared" si="0"/>
        <v>102.45476068506235</v>
      </c>
    </row>
    <row r="47" spans="1:27" s="7" customFormat="1" ht="12.75" customHeight="1" x14ac:dyDescent="0.2">
      <c r="A47" s="147">
        <v>39</v>
      </c>
      <c r="B47" s="182"/>
      <c r="C47" s="384" t="s">
        <v>488</v>
      </c>
      <c r="D47" s="231" t="s">
        <v>111</v>
      </c>
      <c r="E47" s="385"/>
      <c r="F47" s="385">
        <v>0.309</v>
      </c>
      <c r="G47" s="385">
        <v>0.75900000000000001</v>
      </c>
      <c r="H47" s="385">
        <v>0.36199999999999999</v>
      </c>
      <c r="I47" s="385">
        <v>0.84</v>
      </c>
      <c r="J47" s="385">
        <v>20.247</v>
      </c>
      <c r="K47" s="385">
        <v>18.734999999999999</v>
      </c>
      <c r="L47" s="385">
        <v>43.384999999999998</v>
      </c>
      <c r="M47" s="385">
        <v>29</v>
      </c>
      <c r="N47" s="385">
        <v>36.036999999999999</v>
      </c>
      <c r="O47" s="385">
        <v>34.32</v>
      </c>
      <c r="P47" s="385">
        <v>29.25</v>
      </c>
      <c r="Q47" s="385">
        <v>16.495999999999999</v>
      </c>
      <c r="R47" s="385">
        <v>29.606999999999999</v>
      </c>
      <c r="S47" s="385">
        <v>31.437999999999999</v>
      </c>
      <c r="T47" s="385">
        <v>23.891999999999999</v>
      </c>
      <c r="U47" s="385">
        <v>18.305</v>
      </c>
      <c r="V47" s="385">
        <v>27.998999999999999</v>
      </c>
      <c r="W47" s="385">
        <v>10.925000000000001</v>
      </c>
      <c r="X47" s="385">
        <v>13.205</v>
      </c>
      <c r="Y47" s="385">
        <v>21.814</v>
      </c>
      <c r="Z47" s="387">
        <v>29.12</v>
      </c>
      <c r="AA47" s="972">
        <f t="shared" si="0"/>
        <v>33.492252681764</v>
      </c>
    </row>
    <row r="48" spans="1:27" ht="13.5" customHeight="1" x14ac:dyDescent="0.2">
      <c r="A48" s="147">
        <v>40</v>
      </c>
      <c r="B48" s="444"/>
      <c r="C48" s="107" t="s">
        <v>615</v>
      </c>
      <c r="D48" s="106" t="s">
        <v>109</v>
      </c>
      <c r="E48" s="498">
        <v>25.774999999999999</v>
      </c>
      <c r="F48" s="498">
        <v>28.32</v>
      </c>
      <c r="G48" s="498">
        <v>28.588999999999999</v>
      </c>
      <c r="H48" s="498">
        <v>27.547000000000001</v>
      </c>
      <c r="I48" s="498">
        <v>31.489000000000001</v>
      </c>
      <c r="J48" s="498">
        <v>31.561</v>
      </c>
      <c r="K48" s="498">
        <v>32.151000000000003</v>
      </c>
      <c r="L48" s="498">
        <v>32.942999999999998</v>
      </c>
      <c r="M48" s="498">
        <v>31.63</v>
      </c>
      <c r="N48" s="498">
        <v>32.963999999999999</v>
      </c>
      <c r="O48" s="498">
        <v>33.892199999999995</v>
      </c>
      <c r="P48" s="498">
        <v>34.469900000000003</v>
      </c>
      <c r="Q48" s="498">
        <v>31.410299999999999</v>
      </c>
      <c r="R48" s="498">
        <v>30.345400000000001</v>
      </c>
      <c r="S48" s="498">
        <v>32.465400000000002</v>
      </c>
      <c r="T48" s="498">
        <v>32.0535</v>
      </c>
      <c r="U48" s="498">
        <v>32.331800000000001</v>
      </c>
      <c r="V48" s="498">
        <v>31.474299999999999</v>
      </c>
      <c r="W48" s="498">
        <v>34.084699999999998</v>
      </c>
      <c r="X48" s="498">
        <v>34.195900000000002</v>
      </c>
      <c r="Y48" s="498">
        <v>28.470299999999998</v>
      </c>
      <c r="Z48" s="974">
        <v>28.328200000000002</v>
      </c>
      <c r="AA48" s="976">
        <f t="shared" si="0"/>
        <v>-0.4991166232881028</v>
      </c>
    </row>
    <row r="49" spans="1:27" s="377" customFormat="1" ht="13.5" customHeight="1" x14ac:dyDescent="0.2">
      <c r="A49" s="499">
        <v>41</v>
      </c>
      <c r="B49" s="501"/>
      <c r="C49" s="384" t="s">
        <v>459</v>
      </c>
      <c r="D49" s="231" t="s">
        <v>98</v>
      </c>
      <c r="E49" s="255"/>
      <c r="F49" s="385">
        <v>14.484</v>
      </c>
      <c r="G49" s="385">
        <v>15.002000000000001</v>
      </c>
      <c r="H49" s="385">
        <v>14.16</v>
      </c>
      <c r="I49" s="385">
        <v>16.454999999999998</v>
      </c>
      <c r="J49" s="385">
        <v>17.114000000000001</v>
      </c>
      <c r="K49" s="385">
        <v>18.789000000000001</v>
      </c>
      <c r="L49" s="385">
        <v>17.350000000000001</v>
      </c>
      <c r="M49" s="385">
        <v>22.1</v>
      </c>
      <c r="N49" s="385">
        <v>21.184000000000001</v>
      </c>
      <c r="O49" s="385">
        <v>22.988</v>
      </c>
      <c r="P49" s="385">
        <v>24.134</v>
      </c>
      <c r="Q49" s="385">
        <v>26.242000000000001</v>
      </c>
      <c r="R49" s="385">
        <v>27.777000000000001</v>
      </c>
      <c r="S49" s="385">
        <v>27.86</v>
      </c>
      <c r="T49" s="385">
        <v>29.193000000000001</v>
      </c>
      <c r="U49" s="385">
        <v>31.811</v>
      </c>
      <c r="V49" s="385">
        <v>34.968000000000004</v>
      </c>
      <c r="W49" s="385">
        <v>36.771999999999998</v>
      </c>
      <c r="X49" s="385">
        <v>35.968000000000004</v>
      </c>
      <c r="Y49" s="385">
        <v>30.318000000000001</v>
      </c>
      <c r="Z49" s="387">
        <v>28.27</v>
      </c>
      <c r="AA49" s="972">
        <f t="shared" si="0"/>
        <v>-6.7550629988785573</v>
      </c>
    </row>
    <row r="50" spans="1:27" s="413" customFormat="1" ht="13.5" customHeight="1" x14ac:dyDescent="0.2">
      <c r="A50" s="147">
        <v>42</v>
      </c>
      <c r="B50" s="182"/>
      <c r="C50" s="67" t="s">
        <v>219</v>
      </c>
      <c r="D50" s="105" t="s">
        <v>94</v>
      </c>
      <c r="E50" s="418"/>
      <c r="F50" s="386"/>
      <c r="G50" s="386"/>
      <c r="H50" s="386"/>
      <c r="I50" s="386">
        <v>8.3260000000000005</v>
      </c>
      <c r="J50" s="386">
        <v>15.428000000000001</v>
      </c>
      <c r="K50" s="386">
        <v>11.715</v>
      </c>
      <c r="L50" s="386">
        <v>7.1970000000000001</v>
      </c>
      <c r="M50" s="386">
        <v>6.8840000000000003</v>
      </c>
      <c r="N50" s="386">
        <v>8.6460000000000008</v>
      </c>
      <c r="O50" s="386">
        <v>11.268000000000001</v>
      </c>
      <c r="P50" s="386">
        <v>11.571</v>
      </c>
      <c r="Q50" s="386">
        <v>31.46</v>
      </c>
      <c r="R50" s="386">
        <v>52.472999999999999</v>
      </c>
      <c r="S50" s="386">
        <v>31.439</v>
      </c>
      <c r="T50" s="386">
        <v>16.809000000000001</v>
      </c>
      <c r="U50" s="386">
        <v>17.922000000000001</v>
      </c>
      <c r="V50" s="386">
        <v>21.203599999999998</v>
      </c>
      <c r="W50" s="386">
        <v>24.627700000000001</v>
      </c>
      <c r="X50" s="386">
        <v>25.8657</v>
      </c>
      <c r="Y50" s="386">
        <v>19.2468</v>
      </c>
      <c r="Z50" s="975">
        <v>27.0623</v>
      </c>
      <c r="AA50" s="977">
        <f t="shared" si="0"/>
        <v>40.606750213022423</v>
      </c>
    </row>
    <row r="51" spans="1:27" s="377" customFormat="1" ht="13.5" customHeight="1" x14ac:dyDescent="0.2">
      <c r="A51" s="147">
        <v>43</v>
      </c>
      <c r="B51" s="182"/>
      <c r="C51" s="384" t="s">
        <v>613</v>
      </c>
      <c r="D51" s="231" t="s">
        <v>111</v>
      </c>
      <c r="E51" s="385"/>
      <c r="F51" s="385"/>
      <c r="G51" s="385">
        <v>113.139</v>
      </c>
      <c r="H51" s="385">
        <v>127.94799999999999</v>
      </c>
      <c r="I51" s="385">
        <v>129.624</v>
      </c>
      <c r="J51" s="385">
        <v>135.10400000000001</v>
      </c>
      <c r="K51" s="385">
        <v>139.37799999999999</v>
      </c>
      <c r="L51" s="385">
        <v>133.797</v>
      </c>
      <c r="M51" s="385">
        <v>122.12</v>
      </c>
      <c r="N51" s="385">
        <v>99.572999999999993</v>
      </c>
      <c r="O51" s="385">
        <v>105.78700000000001</v>
      </c>
      <c r="P51" s="385">
        <v>112.25</v>
      </c>
      <c r="Q51" s="385">
        <v>116.732</v>
      </c>
      <c r="R51" s="385">
        <v>115.949</v>
      </c>
      <c r="S51" s="385">
        <v>122.494</v>
      </c>
      <c r="T51" s="385">
        <v>120.952</v>
      </c>
      <c r="U51" s="385">
        <v>117.66</v>
      </c>
      <c r="V51" s="385">
        <v>125.857</v>
      </c>
      <c r="W51" s="385">
        <v>122.026</v>
      </c>
      <c r="X51" s="385">
        <v>119.041</v>
      </c>
      <c r="Y51" s="385">
        <v>51.505000000000003</v>
      </c>
      <c r="Z51" s="387">
        <v>26.024000000000001</v>
      </c>
      <c r="AA51" s="972">
        <f t="shared" si="0"/>
        <v>-49.472866711969708</v>
      </c>
    </row>
    <row r="52" spans="1:27" s="7" customFormat="1" ht="12.75" customHeight="1" x14ac:dyDescent="0.2">
      <c r="A52" s="147">
        <v>44</v>
      </c>
      <c r="B52" s="182"/>
      <c r="C52" s="161" t="s">
        <v>306</v>
      </c>
      <c r="D52" s="105" t="s">
        <v>90</v>
      </c>
      <c r="E52" s="386"/>
      <c r="F52" s="386">
        <v>30.943000000000001</v>
      </c>
      <c r="G52" s="256">
        <f>30.8</f>
        <v>30.8</v>
      </c>
      <c r="H52" s="386">
        <v>30.695</v>
      </c>
      <c r="I52" s="386">
        <v>36.107999999999997</v>
      </c>
      <c r="J52" s="386">
        <v>37.850999999999999</v>
      </c>
      <c r="K52" s="386">
        <v>43.018000000000001</v>
      </c>
      <c r="L52" s="386">
        <v>40.457999999999998</v>
      </c>
      <c r="M52" s="386">
        <v>41.61</v>
      </c>
      <c r="N52" s="386">
        <v>38.238</v>
      </c>
      <c r="O52" s="386">
        <v>36.835999999999999</v>
      </c>
      <c r="P52" s="386">
        <v>29.132999999999999</v>
      </c>
      <c r="Q52" s="386">
        <v>27.244</v>
      </c>
      <c r="R52" s="386">
        <v>28.0502</v>
      </c>
      <c r="S52" s="386">
        <v>27.789400000000001</v>
      </c>
      <c r="T52" s="386">
        <v>27.322800000000001</v>
      </c>
      <c r="U52" s="386">
        <v>28.043500000000002</v>
      </c>
      <c r="V52" s="386">
        <v>30.436700000000002</v>
      </c>
      <c r="W52" s="386">
        <v>31.912200000000002</v>
      </c>
      <c r="X52" s="386">
        <v>32.115299999999998</v>
      </c>
      <c r="Y52" s="386">
        <v>23.920200000000001</v>
      </c>
      <c r="Z52" s="975">
        <v>25.101599999999998</v>
      </c>
      <c r="AA52" s="977">
        <f t="shared" si="0"/>
        <v>4.9389219153685815</v>
      </c>
    </row>
    <row r="53" spans="1:27" s="7" customFormat="1" ht="12.75" customHeight="1" x14ac:dyDescent="0.2">
      <c r="A53" s="147">
        <v>45</v>
      </c>
      <c r="B53" s="182"/>
      <c r="C53" s="384" t="s">
        <v>491</v>
      </c>
      <c r="D53" s="231" t="s">
        <v>102</v>
      </c>
      <c r="E53" s="385"/>
      <c r="F53" s="385"/>
      <c r="G53" s="385"/>
      <c r="H53" s="385"/>
      <c r="I53" s="385">
        <v>5.7519999999999998</v>
      </c>
      <c r="J53" s="385">
        <v>4.6840000000000002</v>
      </c>
      <c r="K53" s="385">
        <v>3.6709999999999998</v>
      </c>
      <c r="L53" s="385">
        <v>3.3319999999999999</v>
      </c>
      <c r="M53" s="385">
        <v>4.9080000000000004</v>
      </c>
      <c r="N53" s="385">
        <v>4.4630000000000001</v>
      </c>
      <c r="O53" s="385">
        <v>9.9746000000000006</v>
      </c>
      <c r="P53" s="385">
        <v>13.748899999999999</v>
      </c>
      <c r="Q53" s="385">
        <v>13.741</v>
      </c>
      <c r="R53" s="385">
        <v>12.1</v>
      </c>
      <c r="S53" s="385">
        <v>8.5399999999999991</v>
      </c>
      <c r="T53" s="385">
        <v>13.939</v>
      </c>
      <c r="U53" s="385">
        <v>14.46</v>
      </c>
      <c r="V53" s="385">
        <v>16.532</v>
      </c>
      <c r="W53" s="385">
        <v>17.440000000000001</v>
      </c>
      <c r="X53" s="385">
        <v>18.834</v>
      </c>
      <c r="Y53" s="385">
        <v>22.094000000000001</v>
      </c>
      <c r="Z53" s="387">
        <v>23.960999999999999</v>
      </c>
      <c r="AA53" s="972">
        <f t="shared" si="0"/>
        <v>8.4502579885941742</v>
      </c>
    </row>
    <row r="54" spans="1:27" s="7" customFormat="1" ht="12.75" customHeight="1" x14ac:dyDescent="0.2">
      <c r="A54" s="147">
        <v>46</v>
      </c>
      <c r="B54" s="182"/>
      <c r="C54" s="67" t="s">
        <v>607</v>
      </c>
      <c r="D54" s="105" t="s">
        <v>97</v>
      </c>
      <c r="E54" s="386"/>
      <c r="F54" s="386"/>
      <c r="G54" s="386"/>
      <c r="H54" s="386"/>
      <c r="I54" s="386"/>
      <c r="J54" s="386"/>
      <c r="K54" s="386"/>
      <c r="L54" s="386"/>
      <c r="M54" s="386">
        <v>0.40500000000000003</v>
      </c>
      <c r="N54" s="386">
        <v>1.345</v>
      </c>
      <c r="O54" s="386">
        <v>0.78500000000000003</v>
      </c>
      <c r="P54" s="386">
        <v>4.2069999999999999</v>
      </c>
      <c r="Q54" s="386">
        <v>10.007</v>
      </c>
      <c r="R54" s="386">
        <v>9.6481000000000012</v>
      </c>
      <c r="S54" s="386">
        <v>10.122999999999999</v>
      </c>
      <c r="T54" s="386">
        <v>10.994999999999999</v>
      </c>
      <c r="U54" s="386">
        <v>12.956299999999999</v>
      </c>
      <c r="V54" s="386">
        <v>14.2478</v>
      </c>
      <c r="W54" s="386">
        <v>15.8245</v>
      </c>
      <c r="X54" s="386">
        <v>18.511599999999998</v>
      </c>
      <c r="Y54" s="386">
        <v>18.5307</v>
      </c>
      <c r="Z54" s="975">
        <v>23.625900000000001</v>
      </c>
      <c r="AA54" s="977">
        <f t="shared" si="0"/>
        <v>27.495993135715338</v>
      </c>
    </row>
    <row r="55" spans="1:27" s="7" customFormat="1" ht="12.75" customHeight="1" x14ac:dyDescent="0.2">
      <c r="A55" s="147">
        <v>32.299999999999997</v>
      </c>
      <c r="B55" s="124"/>
      <c r="C55" s="384" t="s">
        <v>489</v>
      </c>
      <c r="D55" s="231" t="s">
        <v>116</v>
      </c>
      <c r="E55" s="385"/>
      <c r="F55" s="385"/>
      <c r="G55" s="385"/>
      <c r="H55" s="385"/>
      <c r="I55" s="385">
        <v>29.541</v>
      </c>
      <c r="J55" s="385">
        <v>0</v>
      </c>
      <c r="K55" s="385">
        <v>0</v>
      </c>
      <c r="L55" s="385">
        <v>0</v>
      </c>
      <c r="M55" s="385">
        <v>33.345999999999997</v>
      </c>
      <c r="N55" s="385">
        <v>28.407</v>
      </c>
      <c r="O55" s="385">
        <v>32.627000000000002</v>
      </c>
      <c r="P55" s="385">
        <v>33.143000000000001</v>
      </c>
      <c r="Q55" s="385">
        <v>27.692</v>
      </c>
      <c r="R55" s="385">
        <v>24.501000000000001</v>
      </c>
      <c r="S55" s="385">
        <v>27.143000000000001</v>
      </c>
      <c r="T55" s="385">
        <v>31.128</v>
      </c>
      <c r="U55" s="385">
        <v>30.532</v>
      </c>
      <c r="V55" s="385">
        <v>26.148199999999999</v>
      </c>
      <c r="W55" s="385">
        <v>25.224900000000002</v>
      </c>
      <c r="X55" s="385">
        <v>33.222799999999999</v>
      </c>
      <c r="Y55" s="385">
        <v>22.546799999999998</v>
      </c>
      <c r="Z55" s="387">
        <v>23.445400000000003</v>
      </c>
      <c r="AA55" s="972">
        <f t="shared" si="0"/>
        <v>3.9854879628151423</v>
      </c>
    </row>
    <row r="56" spans="1:27" s="7" customFormat="1" ht="12.75" customHeight="1" x14ac:dyDescent="0.2">
      <c r="A56" s="147">
        <v>48</v>
      </c>
      <c r="B56" s="182"/>
      <c r="C56" s="67" t="s">
        <v>490</v>
      </c>
      <c r="D56" s="105" t="s">
        <v>107</v>
      </c>
      <c r="E56" s="386">
        <v>59.420999999999999</v>
      </c>
      <c r="F56" s="386">
        <v>51.545999999999999</v>
      </c>
      <c r="G56" s="386">
        <v>45.543999999999997</v>
      </c>
      <c r="H56" s="386">
        <v>47.723999999999997</v>
      </c>
      <c r="I56" s="386">
        <v>55.966999999999999</v>
      </c>
      <c r="J56" s="386">
        <v>56.470999999999997</v>
      </c>
      <c r="K56" s="386">
        <v>59.328000000000003</v>
      </c>
      <c r="L56" s="386">
        <v>57.668999999999997</v>
      </c>
      <c r="M56" s="386">
        <v>70.167000000000002</v>
      </c>
      <c r="N56" s="386">
        <v>65.105999999999995</v>
      </c>
      <c r="O56" s="386">
        <v>87.061199999999999</v>
      </c>
      <c r="P56" s="386">
        <v>81.236399999999989</v>
      </c>
      <c r="Q56" s="386">
        <v>86.670100000000005</v>
      </c>
      <c r="R56" s="386">
        <v>90.55810000000001</v>
      </c>
      <c r="S56" s="386">
        <v>97.007300000000001</v>
      </c>
      <c r="T56" s="386">
        <v>90.238</v>
      </c>
      <c r="U56" s="386">
        <v>93.533000000000001</v>
      </c>
      <c r="V56" s="386">
        <v>101.724</v>
      </c>
      <c r="W56" s="386">
        <v>74.777000000000001</v>
      </c>
      <c r="X56" s="386">
        <v>65.911699999999996</v>
      </c>
      <c r="Y56" s="386">
        <v>20.855700000000002</v>
      </c>
      <c r="Z56" s="975">
        <v>22.501900000000003</v>
      </c>
      <c r="AA56" s="977">
        <f t="shared" si="0"/>
        <v>7.8932857683990534</v>
      </c>
    </row>
    <row r="57" spans="1:27" s="7" customFormat="1" ht="12.75" customHeight="1" x14ac:dyDescent="0.2">
      <c r="A57" s="147">
        <v>49</v>
      </c>
      <c r="B57" s="182"/>
      <c r="C57" s="384" t="s">
        <v>218</v>
      </c>
      <c r="D57" s="231" t="s">
        <v>107</v>
      </c>
      <c r="E57" s="385">
        <v>48.682000000000002</v>
      </c>
      <c r="F57" s="385">
        <v>43.27</v>
      </c>
      <c r="G57" s="385">
        <v>41.168999999999997</v>
      </c>
      <c r="H57" s="385">
        <v>36.353000000000002</v>
      </c>
      <c r="I57" s="385">
        <v>37.89</v>
      </c>
      <c r="J57" s="385">
        <v>33.115000000000002</v>
      </c>
      <c r="K57" s="385">
        <v>37.901000000000003</v>
      </c>
      <c r="L57" s="385">
        <v>39.86</v>
      </c>
      <c r="M57" s="385">
        <v>36.386000000000003</v>
      </c>
      <c r="N57" s="385">
        <v>31.474</v>
      </c>
      <c r="O57" s="385">
        <v>27.2212</v>
      </c>
      <c r="P57" s="385">
        <v>27.4284</v>
      </c>
      <c r="Q57" s="385">
        <v>28.170999999999999</v>
      </c>
      <c r="R57" s="385">
        <v>28.284500000000001</v>
      </c>
      <c r="S57" s="385">
        <v>28.9343</v>
      </c>
      <c r="T57" s="385">
        <v>31.262</v>
      </c>
      <c r="U57" s="385">
        <v>35.26</v>
      </c>
      <c r="V57" s="385">
        <v>36.834000000000003</v>
      </c>
      <c r="W57" s="385">
        <v>33.466000000000001</v>
      </c>
      <c r="X57" s="385">
        <v>27.380599999999998</v>
      </c>
      <c r="Y57" s="385">
        <v>9.9931999999999999</v>
      </c>
      <c r="Z57" s="387">
        <v>21.931799999999999</v>
      </c>
      <c r="AA57" s="972">
        <f t="shared" si="0"/>
        <v>119.46723772165072</v>
      </c>
    </row>
    <row r="58" spans="1:27" s="7" customFormat="1" ht="12.75" customHeight="1" x14ac:dyDescent="0.2">
      <c r="A58" s="147">
        <v>50</v>
      </c>
      <c r="B58" s="444"/>
      <c r="C58" s="107" t="s">
        <v>358</v>
      </c>
      <c r="D58" s="106" t="s">
        <v>89</v>
      </c>
      <c r="E58" s="498"/>
      <c r="F58" s="498"/>
      <c r="G58" s="498"/>
      <c r="H58" s="498"/>
      <c r="I58" s="498"/>
      <c r="J58" s="498"/>
      <c r="K58" s="498"/>
      <c r="L58" s="498">
        <v>17.38</v>
      </c>
      <c r="M58" s="498">
        <v>18.567</v>
      </c>
      <c r="N58" s="498">
        <v>15.083</v>
      </c>
      <c r="O58" s="498">
        <v>15.2927</v>
      </c>
      <c r="P58" s="498">
        <v>15.879700000000001</v>
      </c>
      <c r="Q58" s="498">
        <v>16.238900000000001</v>
      </c>
      <c r="R58" s="498">
        <v>17.0291</v>
      </c>
      <c r="S58" s="498">
        <v>17.729200000000002</v>
      </c>
      <c r="T58" s="498">
        <v>18.626200000000001</v>
      </c>
      <c r="U58" s="498">
        <v>21.155200000000001</v>
      </c>
      <c r="V58" s="498">
        <v>20.863700000000001</v>
      </c>
      <c r="W58" s="498">
        <v>22.158999999999999</v>
      </c>
      <c r="X58" s="498">
        <v>23.9312</v>
      </c>
      <c r="Y58" s="498">
        <v>21.933499999999999</v>
      </c>
      <c r="Z58" s="974">
        <v>21.085699999999999</v>
      </c>
      <c r="AA58" s="976">
        <f t="shared" si="0"/>
        <v>-3.8653201723391106</v>
      </c>
    </row>
    <row r="59" spans="1:27" s="7" customFormat="1" ht="15" customHeight="1" x14ac:dyDescent="0.2">
      <c r="C59" s="1107" t="s">
        <v>596</v>
      </c>
      <c r="D59" s="1107"/>
      <c r="E59" s="1107"/>
      <c r="F59" s="1107"/>
      <c r="G59" s="1107"/>
      <c r="H59" s="1107"/>
      <c r="I59" s="1107"/>
      <c r="J59" s="1107"/>
      <c r="K59" s="1107"/>
      <c r="L59" s="1107"/>
      <c r="M59" s="284"/>
      <c r="N59" s="284"/>
      <c r="O59" s="284"/>
      <c r="P59" s="284"/>
      <c r="Q59" s="284"/>
      <c r="R59" s="284"/>
      <c r="S59" s="344"/>
      <c r="T59" s="413"/>
      <c r="U59" s="436"/>
      <c r="AA59" s="594"/>
    </row>
    <row r="60" spans="1:27" s="7" customFormat="1" ht="52.5" customHeight="1" x14ac:dyDescent="0.2">
      <c r="A60" s="147"/>
      <c r="B60" s="203"/>
      <c r="C60" s="1109" t="s">
        <v>422</v>
      </c>
      <c r="D60" s="1109"/>
      <c r="E60" s="1109"/>
      <c r="F60" s="1109"/>
      <c r="G60" s="1109"/>
      <c r="H60" s="1109"/>
      <c r="I60" s="1109"/>
      <c r="J60" s="1109"/>
      <c r="K60" s="1109"/>
      <c r="L60" s="1109"/>
      <c r="M60" s="485"/>
      <c r="N60" s="485"/>
      <c r="O60" s="485"/>
      <c r="P60" s="485"/>
      <c r="Q60" s="485"/>
      <c r="R60" s="485"/>
      <c r="S60" s="485"/>
      <c r="T60" s="485"/>
      <c r="U60" s="485"/>
      <c r="V60" s="487"/>
      <c r="W60" s="585"/>
      <c r="X60" s="730"/>
      <c r="Y60" s="789"/>
      <c r="Z60" s="891"/>
      <c r="AA60" s="547"/>
    </row>
    <row r="61" spans="1:27" s="7" customFormat="1" ht="12.75" customHeight="1" x14ac:dyDescent="0.2">
      <c r="A61" s="147"/>
      <c r="B61" s="203"/>
      <c r="V61" s="487"/>
      <c r="W61" s="585"/>
      <c r="X61" s="730"/>
      <c r="Y61" s="789"/>
      <c r="Z61" s="891"/>
      <c r="AA61" s="547"/>
    </row>
    <row r="62" spans="1:27" s="7" customFormat="1" ht="8.25" customHeight="1" x14ac:dyDescent="0.2">
      <c r="A62" s="147"/>
      <c r="B62" s="203"/>
      <c r="C62" s="4"/>
      <c r="D62"/>
      <c r="E62"/>
      <c r="F62"/>
      <c r="G62"/>
      <c r="H62"/>
      <c r="I62"/>
      <c r="J62"/>
      <c r="K62"/>
      <c r="L62"/>
      <c r="M62"/>
      <c r="N62"/>
      <c r="O62" s="180"/>
      <c r="P62"/>
      <c r="Q62" s="203"/>
      <c r="R62" s="284"/>
      <c r="S62" s="344"/>
      <c r="T62" s="413"/>
      <c r="U62" s="436"/>
      <c r="V62" s="487"/>
      <c r="W62" s="585"/>
      <c r="X62" s="730"/>
      <c r="Y62" s="789"/>
      <c r="Z62" s="891"/>
      <c r="AA62" s="547"/>
    </row>
    <row r="63" spans="1:27" s="7" customFormat="1" ht="12.75" customHeight="1" x14ac:dyDescent="0.2">
      <c r="A63" s="6"/>
      <c r="B63"/>
      <c r="C63" s="485"/>
      <c r="D63" s="485"/>
      <c r="E63" s="485"/>
      <c r="F63" s="485"/>
      <c r="G63" s="485"/>
      <c r="H63" s="485"/>
      <c r="I63" s="485"/>
      <c r="J63" s="485"/>
      <c r="K63" s="485"/>
      <c r="L63" s="485"/>
      <c r="M63" s="485"/>
      <c r="N63" s="485"/>
      <c r="O63" s="485"/>
      <c r="P63" s="485"/>
      <c r="Q63" s="485"/>
      <c r="R63" s="485"/>
      <c r="S63" s="485"/>
      <c r="T63" s="485"/>
      <c r="U63" s="485"/>
      <c r="V63" s="487"/>
      <c r="W63" s="585"/>
      <c r="X63" s="730"/>
      <c r="Y63" s="789"/>
      <c r="Z63" s="891"/>
      <c r="AA63" s="547"/>
    </row>
    <row r="64" spans="1:27" s="7" customFormat="1" ht="48" customHeight="1" x14ac:dyDescent="0.2">
      <c r="A64" s="6"/>
      <c r="B64"/>
      <c r="C64" s="203"/>
      <c r="D64" s="203"/>
      <c r="E64" s="203"/>
      <c r="F64" s="203"/>
      <c r="G64" s="203"/>
      <c r="H64" s="203"/>
      <c r="I64" s="203"/>
      <c r="J64" s="203"/>
      <c r="K64" s="203"/>
      <c r="L64" s="203"/>
      <c r="M64" s="203"/>
      <c r="N64" s="203"/>
      <c r="O64" s="203"/>
      <c r="P64" s="203"/>
      <c r="Q64" s="203"/>
      <c r="R64" s="284"/>
      <c r="S64" s="344"/>
      <c r="T64" s="413"/>
      <c r="U64" s="436"/>
      <c r="V64" s="487"/>
      <c r="W64" s="585"/>
      <c r="X64" s="730"/>
      <c r="Y64" s="789"/>
      <c r="Z64" s="891"/>
      <c r="AA64" s="547"/>
    </row>
    <row r="65" spans="1:27" s="7" customFormat="1" ht="12.75" customHeight="1" x14ac:dyDescent="0.2">
      <c r="A65" s="6"/>
      <c r="B65"/>
      <c r="C65"/>
      <c r="D65"/>
      <c r="E65"/>
      <c r="F65"/>
      <c r="G65"/>
      <c r="H65"/>
      <c r="I65"/>
      <c r="J65"/>
      <c r="K65"/>
      <c r="L65"/>
      <c r="M65"/>
      <c r="N65"/>
      <c r="O65" s="180"/>
      <c r="P65"/>
      <c r="Q65" s="203"/>
      <c r="R65" s="284"/>
      <c r="S65" s="344"/>
      <c r="T65" s="413"/>
      <c r="U65" s="436"/>
      <c r="V65" s="487"/>
      <c r="W65" s="585"/>
      <c r="X65" s="730"/>
      <c r="Y65" s="789"/>
      <c r="Z65" s="891"/>
      <c r="AA65" s="547"/>
    </row>
    <row r="66" spans="1:27" ht="39.75" customHeight="1" x14ac:dyDescent="0.2">
      <c r="C66" s="413"/>
      <c r="O66"/>
      <c r="Q66"/>
      <c r="R66"/>
      <c r="S66"/>
      <c r="T66"/>
    </row>
    <row r="67" spans="1:27" x14ac:dyDescent="0.2">
      <c r="C67" s="413"/>
      <c r="O67"/>
      <c r="Q67"/>
      <c r="R67"/>
      <c r="S67"/>
      <c r="T67"/>
    </row>
    <row r="68" spans="1:27" x14ac:dyDescent="0.2">
      <c r="C68" s="413"/>
      <c r="O68"/>
      <c r="Q68"/>
      <c r="R68"/>
      <c r="S68"/>
      <c r="T68"/>
    </row>
    <row r="69" spans="1:27" x14ac:dyDescent="0.2">
      <c r="C69" s="413"/>
      <c r="O69"/>
      <c r="Q69"/>
      <c r="R69"/>
      <c r="S69"/>
      <c r="T69"/>
    </row>
    <row r="70" spans="1:27" x14ac:dyDescent="0.2">
      <c r="C70" s="413"/>
      <c r="O70"/>
      <c r="Q70"/>
      <c r="R70"/>
      <c r="S70"/>
      <c r="T70"/>
    </row>
    <row r="71" spans="1:27" x14ac:dyDescent="0.2">
      <c r="C71" s="413"/>
      <c r="O71"/>
      <c r="Q71"/>
      <c r="R71"/>
      <c r="S71"/>
      <c r="T71"/>
    </row>
    <row r="72" spans="1:27" x14ac:dyDescent="0.2">
      <c r="C72" s="413"/>
      <c r="O72"/>
      <c r="Q72"/>
      <c r="R72"/>
      <c r="S72"/>
      <c r="T72"/>
    </row>
    <row r="73" spans="1:27" x14ac:dyDescent="0.2">
      <c r="C73" s="413"/>
      <c r="O73"/>
      <c r="Q73"/>
      <c r="R73"/>
      <c r="S73"/>
      <c r="T73"/>
    </row>
    <row r="74" spans="1:27" x14ac:dyDescent="0.2">
      <c r="C74" s="413"/>
      <c r="O74"/>
      <c r="Q74"/>
      <c r="R74"/>
      <c r="S74"/>
      <c r="T74"/>
    </row>
    <row r="75" spans="1:27" x14ac:dyDescent="0.2">
      <c r="C75" s="413"/>
      <c r="O75"/>
      <c r="Q75"/>
      <c r="R75"/>
      <c r="S75"/>
      <c r="T75"/>
    </row>
    <row r="76" spans="1:27" x14ac:dyDescent="0.2">
      <c r="C76" s="413"/>
      <c r="O76"/>
      <c r="Q76"/>
      <c r="R76"/>
      <c r="S76"/>
      <c r="T76"/>
    </row>
    <row r="77" spans="1:27" x14ac:dyDescent="0.2">
      <c r="C77" s="413"/>
      <c r="O77"/>
      <c r="Q77"/>
      <c r="R77"/>
      <c r="S77"/>
      <c r="T77"/>
    </row>
    <row r="78" spans="1:27" x14ac:dyDescent="0.2">
      <c r="C78" s="413"/>
      <c r="O78"/>
      <c r="Q78"/>
      <c r="R78"/>
      <c r="S78"/>
      <c r="T78"/>
    </row>
    <row r="79" spans="1:27" x14ac:dyDescent="0.2">
      <c r="C79" s="413"/>
      <c r="O79"/>
      <c r="Q79"/>
      <c r="R79"/>
      <c r="S79"/>
      <c r="T79"/>
    </row>
    <row r="80" spans="1:27" x14ac:dyDescent="0.2">
      <c r="C80" s="413"/>
      <c r="O80"/>
      <c r="Q80"/>
      <c r="R80"/>
      <c r="S80"/>
      <c r="T80"/>
    </row>
    <row r="81" spans="3:20" x14ac:dyDescent="0.2">
      <c r="C81" s="413"/>
      <c r="O81"/>
      <c r="Q81"/>
      <c r="R81"/>
      <c r="S81"/>
      <c r="T81"/>
    </row>
    <row r="82" spans="3:20" x14ac:dyDescent="0.2">
      <c r="C82" s="413"/>
      <c r="O82"/>
      <c r="Q82"/>
      <c r="R82"/>
      <c r="S82"/>
      <c r="T82"/>
    </row>
    <row r="83" spans="3:20" x14ac:dyDescent="0.2">
      <c r="C83" s="413"/>
      <c r="O83"/>
      <c r="Q83"/>
      <c r="R83"/>
      <c r="S83"/>
      <c r="T83"/>
    </row>
    <row r="84" spans="3:20" x14ac:dyDescent="0.2">
      <c r="C84" s="413"/>
      <c r="O84"/>
      <c r="Q84"/>
      <c r="R84"/>
      <c r="S84"/>
      <c r="T84"/>
    </row>
    <row r="85" spans="3:20" x14ac:dyDescent="0.2">
      <c r="C85" s="413"/>
      <c r="O85"/>
      <c r="Q85"/>
      <c r="R85"/>
      <c r="S85"/>
      <c r="T85"/>
    </row>
    <row r="86" spans="3:20" x14ac:dyDescent="0.2">
      <c r="C86" s="413"/>
      <c r="O86"/>
      <c r="Q86"/>
      <c r="R86"/>
      <c r="S86"/>
      <c r="T86"/>
    </row>
    <row r="87" spans="3:20" x14ac:dyDescent="0.2">
      <c r="C87" s="284"/>
      <c r="D87" s="284"/>
      <c r="E87" s="284"/>
      <c r="F87" s="284"/>
      <c r="G87" s="284"/>
      <c r="H87" s="284"/>
      <c r="I87" s="284"/>
      <c r="J87" s="284"/>
      <c r="K87" s="284"/>
      <c r="L87" s="284"/>
      <c r="M87" s="284"/>
      <c r="N87" s="284"/>
      <c r="O87" s="284"/>
      <c r="P87" s="284"/>
      <c r="Q87" s="284"/>
    </row>
    <row r="88" spans="3:20" x14ac:dyDescent="0.2">
      <c r="C88" s="284"/>
      <c r="D88" s="284"/>
      <c r="E88" s="284"/>
      <c r="F88" s="284"/>
      <c r="G88" s="284"/>
      <c r="H88" s="284"/>
      <c r="I88" s="284"/>
      <c r="J88" s="284"/>
      <c r="K88" s="284"/>
      <c r="L88" s="284"/>
      <c r="M88" s="284"/>
      <c r="N88" s="284"/>
      <c r="O88" s="284"/>
      <c r="P88" s="284"/>
      <c r="Q88" s="284"/>
    </row>
    <row r="89" spans="3:20" x14ac:dyDescent="0.2">
      <c r="C89" s="284"/>
      <c r="D89" s="284"/>
      <c r="E89" s="284"/>
      <c r="F89" s="284"/>
      <c r="G89" s="284"/>
      <c r="H89" s="284"/>
      <c r="I89" s="284"/>
      <c r="J89" s="284"/>
      <c r="K89" s="284"/>
      <c r="L89" s="284"/>
      <c r="M89" s="284"/>
      <c r="N89" s="284"/>
      <c r="O89" s="284"/>
      <c r="P89" s="284"/>
      <c r="Q89" s="284"/>
    </row>
  </sheetData>
  <mergeCells count="6">
    <mergeCell ref="A6:A8"/>
    <mergeCell ref="B2:V2"/>
    <mergeCell ref="C59:L59"/>
    <mergeCell ref="B5:Z5"/>
    <mergeCell ref="C60:L60"/>
    <mergeCell ref="B3:V3"/>
  </mergeCells>
  <phoneticPr fontId="6" type="noConversion"/>
  <printOptions horizontalCentered="1"/>
  <pageMargins left="0.6692913385826772" right="0.6692913385826772" top="0.51181102362204722" bottom="0.27559055118110237" header="0" footer="0"/>
  <pageSetup paperSize="9" scale="95"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49"/>
  <dimension ref="A1:Z85"/>
  <sheetViews>
    <sheetView zoomScaleNormal="100" workbookViewId="0">
      <selection activeCell="Y10" sqref="Y10"/>
    </sheetView>
  </sheetViews>
  <sheetFormatPr defaultRowHeight="12.75" x14ac:dyDescent="0.2"/>
  <cols>
    <col min="1" max="1" width="3.7109375" customWidth="1"/>
    <col min="2" max="2" width="3.7109375" style="6" customWidth="1"/>
    <col min="3" max="3" width="1.140625" customWidth="1"/>
    <col min="4" max="4" width="22.140625" customWidth="1"/>
    <col min="5" max="5" width="4.140625" style="6" customWidth="1"/>
    <col min="6" max="8" width="6.7109375" customWidth="1"/>
    <col min="9" max="9" width="6.85546875" customWidth="1"/>
    <col min="10" max="10" width="6.5703125" style="487" customWidth="1"/>
    <col min="11" max="12" width="6.7109375" customWidth="1"/>
    <col min="13" max="13" width="6.7109375" style="181" customWidth="1"/>
    <col min="14" max="14" width="6.7109375" customWidth="1"/>
    <col min="15" max="15" width="6.85546875" style="203" customWidth="1"/>
    <col min="16" max="16" width="6.7109375" style="284" customWidth="1"/>
    <col min="17" max="17" width="6.7109375" style="344" customWidth="1"/>
    <col min="18" max="18" width="6.7109375" style="416" customWidth="1"/>
    <col min="19" max="19" width="6.7109375" style="436" customWidth="1"/>
    <col min="20" max="20" width="6.7109375" style="487" customWidth="1"/>
    <col min="21" max="21" width="6.7109375" style="585" customWidth="1"/>
    <col min="22" max="22" width="6.7109375" style="730" customWidth="1"/>
    <col min="23" max="23" width="6.7109375" style="789" customWidth="1"/>
    <col min="24" max="24" width="6.7109375" style="891" customWidth="1"/>
    <col min="25" max="25" width="6.140625" style="547" customWidth="1"/>
    <col min="26" max="26" width="6.140625" style="487" customWidth="1"/>
    <col min="27" max="28" width="9.140625" customWidth="1"/>
  </cols>
  <sheetData>
    <row r="1" spans="1:26" ht="14.25" customHeight="1" x14ac:dyDescent="0.2">
      <c r="C1" s="17"/>
      <c r="D1" s="17"/>
      <c r="E1" s="23"/>
      <c r="F1" s="17"/>
      <c r="G1" s="17"/>
      <c r="H1" s="17"/>
      <c r="I1" s="17"/>
      <c r="J1" s="17"/>
      <c r="K1" s="17"/>
      <c r="L1" s="17"/>
      <c r="M1" s="17"/>
      <c r="N1" s="17"/>
      <c r="O1" s="17"/>
      <c r="P1" s="17"/>
      <c r="Q1" s="17"/>
      <c r="R1" s="17"/>
      <c r="S1" s="17"/>
      <c r="T1" s="17"/>
      <c r="U1" s="17"/>
      <c r="V1" s="17"/>
      <c r="W1" s="17"/>
      <c r="X1" s="17"/>
      <c r="Y1" s="551" t="s">
        <v>254</v>
      </c>
    </row>
    <row r="2" spans="1:26" ht="20.100000000000001" customHeight="1" x14ac:dyDescent="0.2">
      <c r="C2" s="1071" t="s">
        <v>390</v>
      </c>
      <c r="D2" s="1071"/>
      <c r="E2" s="1071"/>
      <c r="F2" s="1071"/>
      <c r="G2" s="1071"/>
      <c r="H2" s="1071"/>
      <c r="I2" s="1071"/>
      <c r="J2" s="1071"/>
      <c r="K2" s="1071"/>
      <c r="L2" s="1071"/>
      <c r="M2" s="1071"/>
      <c r="N2" s="1071"/>
      <c r="O2" s="1071"/>
      <c r="P2" s="1071"/>
      <c r="Q2" s="1071"/>
      <c r="R2" s="1071"/>
      <c r="S2" s="1071"/>
      <c r="T2" s="1071"/>
      <c r="U2" s="1071"/>
      <c r="V2" s="1071"/>
      <c r="W2" s="1071"/>
      <c r="X2" s="1071"/>
    </row>
    <row r="3" spans="1:26" s="12" customFormat="1" ht="20.100000000000001" customHeight="1" x14ac:dyDescent="0.2">
      <c r="C3" s="1112" t="s">
        <v>320</v>
      </c>
      <c r="D3" s="1112"/>
      <c r="E3" s="1112"/>
      <c r="F3" s="1112"/>
      <c r="G3" s="1112"/>
      <c r="H3" s="1112"/>
      <c r="I3" s="1112"/>
      <c r="J3" s="1112"/>
      <c r="K3" s="1112"/>
      <c r="L3" s="1112"/>
      <c r="M3" s="1112"/>
      <c r="N3" s="1112"/>
      <c r="O3" s="1112"/>
      <c r="P3" s="1112"/>
      <c r="Q3" s="1112"/>
      <c r="R3" s="1112"/>
      <c r="S3" s="1112"/>
      <c r="T3" s="1112"/>
      <c r="U3" s="1112"/>
      <c r="V3" s="1112"/>
      <c r="W3" s="1112"/>
      <c r="X3" s="1112"/>
      <c r="Y3" s="549"/>
      <c r="Z3" s="487"/>
    </row>
    <row r="4" spans="1:26" s="12" customFormat="1" ht="14.25" customHeight="1" x14ac:dyDescent="0.2">
      <c r="C4" s="1113" t="s">
        <v>327</v>
      </c>
      <c r="D4" s="1113"/>
      <c r="E4" s="1113"/>
      <c r="F4" s="1113"/>
      <c r="G4" s="1113"/>
      <c r="H4" s="1113"/>
      <c r="I4" s="1113"/>
      <c r="J4" s="1113"/>
      <c r="K4" s="1113"/>
      <c r="L4" s="1113"/>
      <c r="M4" s="1113"/>
      <c r="N4" s="1113"/>
      <c r="O4" s="1113"/>
      <c r="P4" s="1113"/>
      <c r="Q4" s="1113"/>
      <c r="R4" s="1113"/>
      <c r="S4" s="1113"/>
      <c r="T4" s="1113"/>
      <c r="U4" s="1113"/>
      <c r="V4" s="1113"/>
      <c r="W4" s="1113"/>
      <c r="X4" s="1113"/>
      <c r="Y4" s="549"/>
      <c r="Z4" s="487"/>
    </row>
    <row r="5" spans="1:26" s="12" customFormat="1" ht="9.75" customHeight="1" x14ac:dyDescent="0.2">
      <c r="B5" s="1104" t="s">
        <v>173</v>
      </c>
      <c r="C5" s="66"/>
      <c r="D5" s="36"/>
      <c r="E5" s="37"/>
      <c r="F5" s="36"/>
      <c r="G5" s="36"/>
      <c r="H5" s="36"/>
      <c r="I5" s="36"/>
      <c r="J5" s="36"/>
      <c r="K5" s="36"/>
      <c r="L5" s="36"/>
      <c r="M5" s="36"/>
      <c r="N5" s="36"/>
      <c r="O5" s="36"/>
      <c r="P5" s="36"/>
      <c r="Q5" s="36"/>
      <c r="R5" s="36"/>
      <c r="S5" s="36"/>
      <c r="T5" s="36"/>
      <c r="U5" s="36"/>
      <c r="V5" s="36"/>
      <c r="W5" s="36"/>
      <c r="X5" s="38"/>
      <c r="Y5" s="60" t="s">
        <v>213</v>
      </c>
      <c r="Z5" s="487"/>
    </row>
    <row r="6" spans="1:26" s="12" customFormat="1" ht="10.5" customHeight="1" x14ac:dyDescent="0.2">
      <c r="B6" s="1104"/>
      <c r="C6" s="97"/>
      <c r="D6" s="39" t="s">
        <v>221</v>
      </c>
      <c r="E6" s="40"/>
      <c r="F6" s="41">
        <v>2003</v>
      </c>
      <c r="G6" s="41">
        <v>2004</v>
      </c>
      <c r="H6" s="41">
        <v>2005</v>
      </c>
      <c r="I6" s="41">
        <v>2006</v>
      </c>
      <c r="J6" s="41">
        <v>2007</v>
      </c>
      <c r="K6" s="41">
        <v>2008</v>
      </c>
      <c r="L6" s="41">
        <v>2009</v>
      </c>
      <c r="M6" s="41">
        <v>2010</v>
      </c>
      <c r="N6" s="41">
        <v>2011</v>
      </c>
      <c r="O6" s="41">
        <v>2012</v>
      </c>
      <c r="P6" s="41">
        <v>2013</v>
      </c>
      <c r="Q6" s="41">
        <v>2014</v>
      </c>
      <c r="R6" s="41">
        <v>2015</v>
      </c>
      <c r="S6" s="41">
        <v>2016</v>
      </c>
      <c r="T6" s="41">
        <v>2017</v>
      </c>
      <c r="U6" s="41">
        <v>2018</v>
      </c>
      <c r="V6" s="41">
        <v>2019</v>
      </c>
      <c r="W6" s="41">
        <v>2020</v>
      </c>
      <c r="X6" s="40">
        <v>2021</v>
      </c>
      <c r="Y6" s="100" t="s">
        <v>623</v>
      </c>
      <c r="Z6" s="487"/>
    </row>
    <row r="7" spans="1:26" s="12" customFormat="1" ht="9" customHeight="1" x14ac:dyDescent="0.2">
      <c r="B7" s="1104"/>
      <c r="C7" s="98"/>
      <c r="D7" s="42"/>
      <c r="E7" s="43"/>
      <c r="F7" s="44"/>
      <c r="G7" s="44"/>
      <c r="H7" s="44"/>
      <c r="I7" s="44"/>
      <c r="J7" s="44"/>
      <c r="K7" s="44"/>
      <c r="L7" s="44"/>
      <c r="M7" s="44"/>
      <c r="N7" s="44"/>
      <c r="O7" s="44"/>
      <c r="P7" s="44"/>
      <c r="Q7" s="44"/>
      <c r="R7" s="44"/>
      <c r="S7" s="44"/>
      <c r="T7" s="44"/>
      <c r="U7" s="44"/>
      <c r="V7" s="44"/>
      <c r="W7" s="44"/>
      <c r="X7" s="43"/>
      <c r="Y7" s="550" t="s">
        <v>120</v>
      </c>
      <c r="Z7" s="487"/>
    </row>
    <row r="8" spans="1:26" s="13" customFormat="1" ht="12.75" customHeight="1" x14ac:dyDescent="0.2">
      <c r="A8" s="33"/>
      <c r="B8" s="150">
        <v>1</v>
      </c>
      <c r="C8" s="445"/>
      <c r="D8" s="446" t="s">
        <v>21</v>
      </c>
      <c r="E8" s="1035" t="s">
        <v>104</v>
      </c>
      <c r="F8" s="448">
        <v>394.88499999999999</v>
      </c>
      <c r="G8" s="448">
        <v>404.90600000000001</v>
      </c>
      <c r="H8" s="448">
        <v>408.20299999999997</v>
      </c>
      <c r="I8" s="448">
        <v>429.505</v>
      </c>
      <c r="J8" s="448">
        <v>443.67700000000002</v>
      </c>
      <c r="K8" s="448">
        <v>435.85199999999998</v>
      </c>
      <c r="L8" s="448">
        <v>396.14299999999997</v>
      </c>
      <c r="M8" s="448">
        <v>390.37799999999999</v>
      </c>
      <c r="N8" s="448">
        <v>425.18900000000002</v>
      </c>
      <c r="O8" s="448">
        <v>427.452</v>
      </c>
      <c r="P8" s="448">
        <v>430.13</v>
      </c>
      <c r="Q8" s="448">
        <v>442.73599999999999</v>
      </c>
      <c r="R8" s="448">
        <v>455.21499999999997</v>
      </c>
      <c r="S8" s="448">
        <v>483.38600000000002</v>
      </c>
      <c r="T8" s="448">
        <v>498.54500000000002</v>
      </c>
      <c r="U8" s="448">
        <v>501.47300000000001</v>
      </c>
      <c r="V8" s="448">
        <v>496.01100000000002</v>
      </c>
      <c r="W8" s="448">
        <v>222.84200000000001</v>
      </c>
      <c r="X8" s="447">
        <v>262.24200000000002</v>
      </c>
      <c r="Y8" s="1035">
        <f>X8/W8*100-100</f>
        <v>17.680688559607248</v>
      </c>
      <c r="Z8" s="487"/>
    </row>
    <row r="9" spans="1:26" s="13" customFormat="1" ht="12.75" customHeight="1" x14ac:dyDescent="0.2">
      <c r="A9" s="18"/>
      <c r="B9" s="150">
        <v>2</v>
      </c>
      <c r="C9" s="395"/>
      <c r="D9" s="755" t="s">
        <v>480</v>
      </c>
      <c r="E9" s="1036" t="s">
        <v>107</v>
      </c>
      <c r="F9" s="378">
        <v>444.46800000000002</v>
      </c>
      <c r="G9" s="378">
        <v>462.291</v>
      </c>
      <c r="H9" s="378">
        <v>475.62700000000001</v>
      </c>
      <c r="I9" s="378">
        <v>480.51</v>
      </c>
      <c r="J9" s="378">
        <v>484.59</v>
      </c>
      <c r="K9" s="378">
        <v>477.39299999999997</v>
      </c>
      <c r="L9" s="378">
        <v>455.09399999999999</v>
      </c>
      <c r="M9" s="378">
        <v>455.99299999999999</v>
      </c>
      <c r="N9" s="378">
        <v>480.87099999999998</v>
      </c>
      <c r="O9" s="378">
        <v>475.45800000000003</v>
      </c>
      <c r="P9" s="378">
        <v>465.69799999999998</v>
      </c>
      <c r="Q9" s="378">
        <v>461.96300000000002</v>
      </c>
      <c r="R9" s="378">
        <v>460.54899999999998</v>
      </c>
      <c r="S9" s="378">
        <v>456.29700000000003</v>
      </c>
      <c r="T9" s="378">
        <v>468.77499999999998</v>
      </c>
      <c r="U9" s="378">
        <v>504.952</v>
      </c>
      <c r="V9" s="378">
        <v>506.892</v>
      </c>
      <c r="W9" s="378">
        <v>206.197</v>
      </c>
      <c r="X9" s="381">
        <v>255.417</v>
      </c>
      <c r="Y9" s="1036">
        <f t="shared" ref="Y9:Y57" si="0">X9/W9*100-100</f>
        <v>23.870376387629307</v>
      </c>
      <c r="Z9" s="487"/>
    </row>
    <row r="10" spans="1:26" s="13" customFormat="1" ht="12.75" customHeight="1" x14ac:dyDescent="0.2">
      <c r="A10" s="18"/>
      <c r="B10" s="150">
        <v>3</v>
      </c>
      <c r="C10" s="394"/>
      <c r="D10" s="596" t="s">
        <v>481</v>
      </c>
      <c r="E10" s="1037" t="s">
        <v>109</v>
      </c>
      <c r="F10" s="379">
        <v>545.93899999999996</v>
      </c>
      <c r="G10" s="379">
        <v>550.18299999999999</v>
      </c>
      <c r="H10" s="379">
        <v>543.76700000000005</v>
      </c>
      <c r="I10" s="379">
        <v>559.98599999999999</v>
      </c>
      <c r="J10" s="379">
        <v>569.44600000000003</v>
      </c>
      <c r="K10" s="379">
        <v>576.39700000000005</v>
      </c>
      <c r="L10" s="379">
        <v>541.77599999999995</v>
      </c>
      <c r="M10" s="379">
        <v>477.91800000000001</v>
      </c>
      <c r="N10" s="379">
        <v>504.75099999999998</v>
      </c>
      <c r="O10" s="379">
        <v>489.85300000000001</v>
      </c>
      <c r="P10" s="379">
        <v>470.96899999999999</v>
      </c>
      <c r="Q10" s="379">
        <v>463.858</v>
      </c>
      <c r="R10" s="379">
        <v>468.5</v>
      </c>
      <c r="S10" s="379">
        <v>470.30500000000001</v>
      </c>
      <c r="T10" s="379">
        <v>472.95</v>
      </c>
      <c r="U10" s="379">
        <v>477.83</v>
      </c>
      <c r="V10" s="379">
        <v>494.82799999999997</v>
      </c>
      <c r="W10" s="379">
        <v>205.92400000000001</v>
      </c>
      <c r="X10" s="380">
        <v>240.89500000000001</v>
      </c>
      <c r="Y10" s="1037">
        <f t="shared" si="0"/>
        <v>16.982478972824921</v>
      </c>
      <c r="Z10" s="487"/>
    </row>
    <row r="11" spans="1:26" s="19" customFormat="1" ht="12.75" customHeight="1" x14ac:dyDescent="0.2">
      <c r="A11" s="18"/>
      <c r="B11" s="150">
        <v>4</v>
      </c>
      <c r="C11" s="395"/>
      <c r="D11" s="755" t="s">
        <v>20</v>
      </c>
      <c r="E11" s="1036" t="s">
        <v>108</v>
      </c>
      <c r="F11" s="378">
        <v>363.18200000000002</v>
      </c>
      <c r="G11" s="378">
        <v>391.14</v>
      </c>
      <c r="H11" s="378">
        <v>406.32299999999998</v>
      </c>
      <c r="I11" s="378">
        <v>422.23399999999998</v>
      </c>
      <c r="J11" s="378">
        <v>470.315</v>
      </c>
      <c r="K11" s="378">
        <v>459.65</v>
      </c>
      <c r="L11" s="378">
        <v>427.16800000000001</v>
      </c>
      <c r="M11" s="378">
        <v>426.94099999999997</v>
      </c>
      <c r="N11" s="378">
        <v>422.84199999999998</v>
      </c>
      <c r="O11" s="378">
        <v>368.60399999999998</v>
      </c>
      <c r="P11" s="378">
        <v>325.98099999999999</v>
      </c>
      <c r="Q11" s="378">
        <v>335.048</v>
      </c>
      <c r="R11" s="378">
        <v>357.685</v>
      </c>
      <c r="S11" s="378">
        <v>359.726</v>
      </c>
      <c r="T11" s="378">
        <v>367.92200000000003</v>
      </c>
      <c r="U11" s="378">
        <v>391.21699999999998</v>
      </c>
      <c r="V11" s="378">
        <v>408.44499999999999</v>
      </c>
      <c r="W11" s="378">
        <v>153.98500000000001</v>
      </c>
      <c r="X11" s="381">
        <v>202.88900000000001</v>
      </c>
      <c r="Y11" s="1036">
        <f t="shared" si="0"/>
        <v>31.75893755885312</v>
      </c>
      <c r="Z11" s="487"/>
    </row>
    <row r="12" spans="1:26" s="13" customFormat="1" ht="12.75" customHeight="1" x14ac:dyDescent="0.2">
      <c r="A12" s="18"/>
      <c r="B12" s="150">
        <v>5</v>
      </c>
      <c r="C12" s="394"/>
      <c r="D12" s="382" t="s">
        <v>457</v>
      </c>
      <c r="E12" s="1037" t="s">
        <v>103</v>
      </c>
      <c r="F12" s="379">
        <v>159.12299999999999</v>
      </c>
      <c r="G12" s="379">
        <v>179.988</v>
      </c>
      <c r="H12" s="379">
        <v>170.35</v>
      </c>
      <c r="I12" s="379">
        <v>179.96100000000001</v>
      </c>
      <c r="J12" s="379">
        <v>196.71</v>
      </c>
      <c r="K12" s="379">
        <v>188.95500000000001</v>
      </c>
      <c r="L12" s="379">
        <v>200.45699999999999</v>
      </c>
      <c r="M12" s="379">
        <v>181.56899999999999</v>
      </c>
      <c r="N12" s="379">
        <v>161.827</v>
      </c>
      <c r="O12" s="379">
        <v>144.56399999999999</v>
      </c>
      <c r="P12" s="379">
        <v>131.64099999999999</v>
      </c>
      <c r="Q12" s="379">
        <v>146.71899999999999</v>
      </c>
      <c r="R12" s="379">
        <v>167.94499999999999</v>
      </c>
      <c r="S12" s="379">
        <v>181.422</v>
      </c>
      <c r="T12" s="379">
        <v>190.227</v>
      </c>
      <c r="U12" s="379">
        <v>209.53299999999999</v>
      </c>
      <c r="V12" s="379">
        <v>220.19300000000001</v>
      </c>
      <c r="W12" s="379">
        <v>109.996</v>
      </c>
      <c r="X12" s="380">
        <v>153.93199999999999</v>
      </c>
      <c r="Y12" s="1037">
        <f t="shared" si="0"/>
        <v>39.943270664387796</v>
      </c>
      <c r="Z12" s="487"/>
    </row>
    <row r="13" spans="1:26" ht="12.75" customHeight="1" x14ac:dyDescent="0.2">
      <c r="A13" s="18"/>
      <c r="B13" s="150">
        <v>6</v>
      </c>
      <c r="C13" s="395"/>
      <c r="D13" s="755" t="s">
        <v>602</v>
      </c>
      <c r="E13" s="1036" t="s">
        <v>108</v>
      </c>
      <c r="F13" s="378">
        <v>257.12900000000002</v>
      </c>
      <c r="G13" s="378">
        <v>277.31400000000002</v>
      </c>
      <c r="H13" s="378">
        <v>294.346</v>
      </c>
      <c r="I13" s="378">
        <v>312.36500000000001</v>
      </c>
      <c r="J13" s="378">
        <v>339.02</v>
      </c>
      <c r="K13" s="378">
        <v>313.08800000000002</v>
      </c>
      <c r="L13" s="378">
        <v>269.47500000000002</v>
      </c>
      <c r="M13" s="378">
        <v>268.53699999999998</v>
      </c>
      <c r="N13" s="378">
        <v>293.57799999999997</v>
      </c>
      <c r="O13" s="378">
        <v>281.56099999999998</v>
      </c>
      <c r="P13" s="378">
        <v>267.74400000000003</v>
      </c>
      <c r="Q13" s="378">
        <v>274.99099999999999</v>
      </c>
      <c r="R13" s="378">
        <v>278.96600000000001</v>
      </c>
      <c r="S13" s="378">
        <v>294.65300000000002</v>
      </c>
      <c r="T13" s="378">
        <v>310.17099999999999</v>
      </c>
      <c r="U13" s="378">
        <v>322.14999999999998</v>
      </c>
      <c r="V13" s="378">
        <v>331.07799999999997</v>
      </c>
      <c r="W13" s="378">
        <v>114.13500000000001</v>
      </c>
      <c r="X13" s="381">
        <v>152.572</v>
      </c>
      <c r="Y13" s="1036">
        <f t="shared" si="0"/>
        <v>33.676786261882853</v>
      </c>
      <c r="Z13" s="1"/>
    </row>
    <row r="14" spans="1:26" s="19" customFormat="1" ht="12.75" customHeight="1" x14ac:dyDescent="0.2">
      <c r="A14" s="18"/>
      <c r="B14" s="150">
        <v>8</v>
      </c>
      <c r="C14" s="395"/>
      <c r="D14" s="596" t="s">
        <v>22</v>
      </c>
      <c r="E14" s="1037" t="s">
        <v>107</v>
      </c>
      <c r="F14" s="379">
        <v>338.92399999999998</v>
      </c>
      <c r="G14" s="379">
        <v>365.976</v>
      </c>
      <c r="H14" s="379">
        <v>382.32299999999998</v>
      </c>
      <c r="I14" s="379">
        <v>387.80700000000002</v>
      </c>
      <c r="J14" s="379">
        <v>407.59100000000001</v>
      </c>
      <c r="K14" s="379">
        <v>409.00099999999998</v>
      </c>
      <c r="L14" s="379">
        <v>377.20299999999997</v>
      </c>
      <c r="M14" s="379">
        <v>368.21899999999999</v>
      </c>
      <c r="N14" s="379">
        <v>399.43900000000002</v>
      </c>
      <c r="O14" s="379">
        <v>387.90199999999999</v>
      </c>
      <c r="P14" s="379">
        <v>368.44299999999998</v>
      </c>
      <c r="Q14" s="379">
        <v>360.88900000000001</v>
      </c>
      <c r="R14" s="379">
        <v>365.73899999999998</v>
      </c>
      <c r="S14" s="379">
        <v>379.95699999999999</v>
      </c>
      <c r="T14" s="379">
        <v>389.79</v>
      </c>
      <c r="U14" s="379">
        <v>398.178</v>
      </c>
      <c r="V14" s="379">
        <v>402.17599999999999</v>
      </c>
      <c r="W14" s="379">
        <v>135.66399999999999</v>
      </c>
      <c r="X14" s="380">
        <v>140.672</v>
      </c>
      <c r="Y14" s="1037">
        <f t="shared" si="0"/>
        <v>3.6914730510673337</v>
      </c>
      <c r="Z14" s="487"/>
    </row>
    <row r="15" spans="1:26" s="14" customFormat="1" ht="12.75" customHeight="1" x14ac:dyDescent="0.2">
      <c r="A15" s="18"/>
      <c r="B15" s="150">
        <v>7</v>
      </c>
      <c r="C15" s="394"/>
      <c r="D15" s="755" t="s">
        <v>353</v>
      </c>
      <c r="E15" s="1036" t="s">
        <v>108</v>
      </c>
      <c r="F15" s="378">
        <v>146.59</v>
      </c>
      <c r="G15" s="378">
        <v>166.06200000000001</v>
      </c>
      <c r="H15" s="378">
        <v>170.45699999999999</v>
      </c>
      <c r="I15" s="378">
        <v>175.58600000000001</v>
      </c>
      <c r="J15" s="378">
        <v>184.60499999999999</v>
      </c>
      <c r="K15" s="378">
        <v>182.86600000000001</v>
      </c>
      <c r="L15" s="378">
        <v>168.28299999999999</v>
      </c>
      <c r="M15" s="378">
        <v>165.15600000000001</v>
      </c>
      <c r="N15" s="378">
        <v>172.08500000000001</v>
      </c>
      <c r="O15" s="378">
        <v>166.072</v>
      </c>
      <c r="P15" s="378">
        <v>161.72900000000001</v>
      </c>
      <c r="Q15" s="378">
        <v>164.643</v>
      </c>
      <c r="R15" s="378">
        <v>169.99</v>
      </c>
      <c r="S15" s="378">
        <v>185.41900000000001</v>
      </c>
      <c r="T15" s="378">
        <v>195.89599999999999</v>
      </c>
      <c r="U15" s="378">
        <v>208.90700000000001</v>
      </c>
      <c r="V15" s="378">
        <v>207.20500000000001</v>
      </c>
      <c r="W15" s="378">
        <v>69.47</v>
      </c>
      <c r="X15" s="381">
        <v>130.792</v>
      </c>
      <c r="Y15" s="1036">
        <f t="shared" si="0"/>
        <v>88.271196199798482</v>
      </c>
      <c r="Z15" s="487"/>
    </row>
    <row r="16" spans="1:26" s="13" customFormat="1" ht="12.75" customHeight="1" x14ac:dyDescent="0.2">
      <c r="A16" s="18"/>
      <c r="B16" s="145">
        <v>9</v>
      </c>
      <c r="C16" s="394"/>
      <c r="D16" s="382" t="s">
        <v>603</v>
      </c>
      <c r="E16" s="1037" t="s">
        <v>109</v>
      </c>
      <c r="F16" s="379">
        <v>211.744</v>
      </c>
      <c r="G16" s="379">
        <v>228.114</v>
      </c>
      <c r="H16" s="379">
        <v>230.98500000000001</v>
      </c>
      <c r="I16" s="379">
        <v>234.96899999999999</v>
      </c>
      <c r="J16" s="379">
        <v>238.46700000000001</v>
      </c>
      <c r="K16" s="379">
        <v>234.16200000000001</v>
      </c>
      <c r="L16" s="379">
        <v>223.40899999999999</v>
      </c>
      <c r="M16" s="379">
        <v>215.483</v>
      </c>
      <c r="N16" s="379">
        <v>228.32400000000001</v>
      </c>
      <c r="O16" s="379">
        <v>230.364</v>
      </c>
      <c r="P16" s="379">
        <v>229.691</v>
      </c>
      <c r="Q16" s="379">
        <v>228.03800000000001</v>
      </c>
      <c r="R16" s="379">
        <v>231.33600000000001</v>
      </c>
      <c r="S16" s="379">
        <v>234.44399999999999</v>
      </c>
      <c r="T16" s="379">
        <v>229.01599999999999</v>
      </c>
      <c r="U16" s="379">
        <v>229.03899999999999</v>
      </c>
      <c r="V16" s="379">
        <v>218.36099999999999</v>
      </c>
      <c r="W16" s="379">
        <v>82.864999999999995</v>
      </c>
      <c r="X16" s="380">
        <v>118.611</v>
      </c>
      <c r="Y16" s="1037">
        <f t="shared" si="0"/>
        <v>43.137633500271534</v>
      </c>
      <c r="Z16" s="487"/>
    </row>
    <row r="17" spans="1:26" s="13" customFormat="1" ht="12.75" customHeight="1" x14ac:dyDescent="0.2">
      <c r="A17" s="18"/>
      <c r="B17" s="150">
        <v>10</v>
      </c>
      <c r="C17" s="395"/>
      <c r="D17" s="755" t="s">
        <v>24</v>
      </c>
      <c r="E17" s="1036" t="s">
        <v>111</v>
      </c>
      <c r="F17" s="378">
        <v>222.666</v>
      </c>
      <c r="G17" s="378">
        <v>209.501</v>
      </c>
      <c r="H17" s="378">
        <v>222.178</v>
      </c>
      <c r="I17" s="378">
        <v>241.47399999999999</v>
      </c>
      <c r="J17" s="378">
        <v>257.81</v>
      </c>
      <c r="K17" s="378">
        <v>208.17099999999999</v>
      </c>
      <c r="L17" s="378">
        <v>180.51300000000001</v>
      </c>
      <c r="M17" s="378">
        <v>187.76400000000001</v>
      </c>
      <c r="N17" s="378">
        <v>183.26599999999999</v>
      </c>
      <c r="O17" s="378">
        <v>167.62</v>
      </c>
      <c r="P17" s="378">
        <v>157.91900000000001</v>
      </c>
      <c r="Q17" s="378">
        <v>160.02699999999999</v>
      </c>
      <c r="R17" s="378">
        <v>154.566</v>
      </c>
      <c r="S17" s="378">
        <v>160.53100000000001</v>
      </c>
      <c r="T17" s="378">
        <v>174.50700000000001</v>
      </c>
      <c r="U17" s="378">
        <v>190.56299999999999</v>
      </c>
      <c r="V17" s="378">
        <v>229.126</v>
      </c>
      <c r="W17" s="378">
        <v>90.552000000000007</v>
      </c>
      <c r="X17" s="381">
        <v>115.65</v>
      </c>
      <c r="Y17" s="1036">
        <f t="shared" si="0"/>
        <v>27.716671084018031</v>
      </c>
      <c r="Z17" s="487"/>
    </row>
    <row r="18" spans="1:26" s="13" customFormat="1" ht="12.75" customHeight="1" x14ac:dyDescent="0.2">
      <c r="A18" s="18"/>
      <c r="B18" s="150">
        <v>11</v>
      </c>
      <c r="C18" s="395"/>
      <c r="D18" s="596" t="s">
        <v>23</v>
      </c>
      <c r="E18" s="1037" t="s">
        <v>111</v>
      </c>
      <c r="F18" s="379">
        <v>286.649</v>
      </c>
      <c r="G18" s="379">
        <v>300.262</v>
      </c>
      <c r="H18" s="379">
        <v>299.55200000000002</v>
      </c>
      <c r="I18" s="379">
        <v>308.57799999999997</v>
      </c>
      <c r="J18" s="379">
        <v>332.93299999999999</v>
      </c>
      <c r="K18" s="379">
        <v>340.79</v>
      </c>
      <c r="L18" s="379">
        <v>321.25299999999999</v>
      </c>
      <c r="M18" s="379">
        <v>327.34399999999999</v>
      </c>
      <c r="N18" s="379">
        <v>323.56400000000002</v>
      </c>
      <c r="O18" s="379">
        <v>309.279</v>
      </c>
      <c r="P18" s="379">
        <v>298.00099999999998</v>
      </c>
      <c r="Q18" s="379">
        <v>305.60199999999998</v>
      </c>
      <c r="R18" s="379">
        <v>311.82400000000001</v>
      </c>
      <c r="S18" s="379">
        <v>310.84500000000003</v>
      </c>
      <c r="T18" s="379">
        <v>295.95</v>
      </c>
      <c r="U18" s="379">
        <v>308.79000000000002</v>
      </c>
      <c r="V18" s="379">
        <v>310.50400000000002</v>
      </c>
      <c r="W18" s="379">
        <v>102.49299999999999</v>
      </c>
      <c r="X18" s="380">
        <v>113.837</v>
      </c>
      <c r="Y18" s="1037">
        <f t="shared" si="0"/>
        <v>11.068072941566754</v>
      </c>
      <c r="Z18" s="487"/>
    </row>
    <row r="19" spans="1:26" s="19" customFormat="1" ht="12.75" customHeight="1" x14ac:dyDescent="0.2">
      <c r="A19" s="18"/>
      <c r="B19" s="150">
        <v>12</v>
      </c>
      <c r="C19" s="394"/>
      <c r="D19" s="755" t="s">
        <v>611</v>
      </c>
      <c r="E19" s="1036" t="s">
        <v>114</v>
      </c>
      <c r="F19" s="378">
        <v>112.675</v>
      </c>
      <c r="G19" s="378">
        <v>121.71</v>
      </c>
      <c r="H19" s="378">
        <v>125.873</v>
      </c>
      <c r="I19" s="378">
        <v>131.893</v>
      </c>
      <c r="J19" s="378">
        <v>141.905</v>
      </c>
      <c r="K19" s="378">
        <v>138.94499999999999</v>
      </c>
      <c r="L19" s="378">
        <v>131.61000000000001</v>
      </c>
      <c r="M19" s="378">
        <v>136.92400000000001</v>
      </c>
      <c r="N19" s="378">
        <v>139.18600000000001</v>
      </c>
      <c r="O19" s="378">
        <v>140.70400000000001</v>
      </c>
      <c r="P19" s="378">
        <v>142.62100000000001</v>
      </c>
      <c r="Q19" s="378">
        <v>152.97</v>
      </c>
      <c r="R19" s="378">
        <v>162.83000000000001</v>
      </c>
      <c r="S19" s="378">
        <v>179.142</v>
      </c>
      <c r="T19" s="378">
        <v>199.916</v>
      </c>
      <c r="U19" s="378">
        <v>218.67</v>
      </c>
      <c r="V19" s="378">
        <v>219.13300000000001</v>
      </c>
      <c r="W19" s="378">
        <v>87.331000000000003</v>
      </c>
      <c r="X19" s="381">
        <v>112.48399999999999</v>
      </c>
      <c r="Y19" s="1036">
        <f t="shared" si="0"/>
        <v>28.801914554969017</v>
      </c>
      <c r="Z19" s="487"/>
    </row>
    <row r="20" spans="1:26" s="19" customFormat="1" ht="12.75" customHeight="1" x14ac:dyDescent="0.2">
      <c r="A20" s="18"/>
      <c r="B20" s="150">
        <v>13</v>
      </c>
      <c r="C20" s="394"/>
      <c r="D20" s="596" t="s">
        <v>599</v>
      </c>
      <c r="E20" s="1037" t="s">
        <v>113</v>
      </c>
      <c r="F20" s="379">
        <v>193.99299999999999</v>
      </c>
      <c r="G20" s="379">
        <v>221.41499999999999</v>
      </c>
      <c r="H20" s="379">
        <v>227.50200000000001</v>
      </c>
      <c r="I20" s="379">
        <v>234.14500000000001</v>
      </c>
      <c r="J20" s="379">
        <v>251.77500000000001</v>
      </c>
      <c r="K20" s="379">
        <v>263.24099999999999</v>
      </c>
      <c r="L20" s="379">
        <v>240.465</v>
      </c>
      <c r="M20" s="379">
        <v>243.012</v>
      </c>
      <c r="N20" s="379">
        <v>243.75</v>
      </c>
      <c r="O20" s="379">
        <v>242.61799999999999</v>
      </c>
      <c r="P20" s="379">
        <v>229.22300000000001</v>
      </c>
      <c r="Q20" s="379">
        <v>228.98400000000001</v>
      </c>
      <c r="R20" s="379">
        <v>224.79599999999999</v>
      </c>
      <c r="S20" s="379">
        <v>224.39699999999999</v>
      </c>
      <c r="T20" s="379">
        <v>222.346</v>
      </c>
      <c r="U20" s="379">
        <v>238.74600000000001</v>
      </c>
      <c r="V20" s="379">
        <v>264.05200000000002</v>
      </c>
      <c r="W20" s="379">
        <v>94.105000000000004</v>
      </c>
      <c r="X20" s="380">
        <v>110.295</v>
      </c>
      <c r="Y20" s="1037">
        <f t="shared" si="0"/>
        <v>17.204186812602941</v>
      </c>
      <c r="Z20" s="487"/>
    </row>
    <row r="21" spans="1:26" s="13" customFormat="1" ht="12.75" customHeight="1" x14ac:dyDescent="0.2">
      <c r="A21" s="18"/>
      <c r="B21" s="150">
        <v>14</v>
      </c>
      <c r="C21" s="395"/>
      <c r="D21" s="755" t="s">
        <v>612</v>
      </c>
      <c r="E21" s="1036" t="s">
        <v>106</v>
      </c>
      <c r="F21" s="378">
        <v>231.21299999999999</v>
      </c>
      <c r="G21" s="378">
        <v>229.84299999999999</v>
      </c>
      <c r="H21" s="378">
        <v>228.74</v>
      </c>
      <c r="I21" s="378">
        <v>231.71899999999999</v>
      </c>
      <c r="J21" s="378">
        <v>240.34100000000001</v>
      </c>
      <c r="K21" s="378">
        <v>235.64699999999999</v>
      </c>
      <c r="L21" s="378">
        <v>211.785</v>
      </c>
      <c r="M21" s="378">
        <v>205.227</v>
      </c>
      <c r="N21" s="378">
        <v>214.22</v>
      </c>
      <c r="O21" s="378">
        <v>205.601</v>
      </c>
      <c r="P21" s="378">
        <v>198.673</v>
      </c>
      <c r="Q21" s="378">
        <v>213.404</v>
      </c>
      <c r="R21" s="378">
        <v>221.05500000000001</v>
      </c>
      <c r="S21" s="378">
        <v>205.774</v>
      </c>
      <c r="T21" s="378">
        <v>224.76499999999999</v>
      </c>
      <c r="U21" s="378">
        <v>222.511</v>
      </c>
      <c r="V21" s="378">
        <v>222.30199999999999</v>
      </c>
      <c r="W21" s="378">
        <v>85.736000000000004</v>
      </c>
      <c r="X21" s="381">
        <v>107.35299999999999</v>
      </c>
      <c r="Y21" s="1036">
        <f t="shared" si="0"/>
        <v>25.213445927031813</v>
      </c>
      <c r="Z21" s="487"/>
    </row>
    <row r="22" spans="1:26" s="13" customFormat="1" ht="12.75" customHeight="1" x14ac:dyDescent="0.2">
      <c r="A22" s="18"/>
      <c r="B22" s="150">
        <v>15</v>
      </c>
      <c r="C22" s="394"/>
      <c r="D22" s="596" t="s">
        <v>600</v>
      </c>
      <c r="E22" s="1037" t="s">
        <v>102</v>
      </c>
      <c r="F22" s="379">
        <v>243.404</v>
      </c>
      <c r="G22" s="379">
        <v>266.76799999999997</v>
      </c>
      <c r="H22" s="379">
        <v>262.053</v>
      </c>
      <c r="I22" s="379">
        <v>251.38399999999999</v>
      </c>
      <c r="J22" s="379">
        <v>250.17</v>
      </c>
      <c r="K22" s="379">
        <v>261.61399999999998</v>
      </c>
      <c r="L22" s="379">
        <v>230.87700000000001</v>
      </c>
      <c r="M22" s="379">
        <v>240.553</v>
      </c>
      <c r="N22" s="379">
        <v>248.63200000000001</v>
      </c>
      <c r="O22" s="379">
        <v>238.316</v>
      </c>
      <c r="P22" s="379">
        <v>240.459</v>
      </c>
      <c r="Q22" s="379">
        <v>247.19300000000001</v>
      </c>
      <c r="R22" s="379">
        <v>250.21</v>
      </c>
      <c r="S22" s="379">
        <v>259.22500000000002</v>
      </c>
      <c r="T22" s="379">
        <v>252.96700000000001</v>
      </c>
      <c r="U22" s="379">
        <v>259.59899999999999</v>
      </c>
      <c r="V22" s="379">
        <v>257.47199999999998</v>
      </c>
      <c r="W22" s="379">
        <v>95.08</v>
      </c>
      <c r="X22" s="380">
        <v>106.557</v>
      </c>
      <c r="Y22" s="1037">
        <f t="shared" si="0"/>
        <v>12.070887673538081</v>
      </c>
      <c r="Z22" s="487"/>
    </row>
    <row r="23" spans="1:26" s="13" customFormat="1" ht="12.75" customHeight="1" x14ac:dyDescent="0.2">
      <c r="A23" s="18"/>
      <c r="B23" s="150">
        <v>16</v>
      </c>
      <c r="C23" s="395"/>
      <c r="D23" s="755" t="s">
        <v>605</v>
      </c>
      <c r="E23" s="1036" t="s">
        <v>107</v>
      </c>
      <c r="F23" s="378">
        <v>19.795000000000002</v>
      </c>
      <c r="G23" s="378">
        <v>34.298999999999999</v>
      </c>
      <c r="H23" s="378">
        <v>46.545000000000002</v>
      </c>
      <c r="I23" s="378">
        <v>53.09</v>
      </c>
      <c r="J23" s="378">
        <v>55.113999999999997</v>
      </c>
      <c r="K23" s="378">
        <v>57.615000000000002</v>
      </c>
      <c r="L23" s="378">
        <v>61.953000000000003</v>
      </c>
      <c r="M23" s="378">
        <v>65.468999999999994</v>
      </c>
      <c r="N23" s="378">
        <v>65.876000000000005</v>
      </c>
      <c r="O23" s="378">
        <v>65.81</v>
      </c>
      <c r="P23" s="378">
        <v>57.892000000000003</v>
      </c>
      <c r="Q23" s="378">
        <v>60.040999999999997</v>
      </c>
      <c r="R23" s="378">
        <v>67.543999999999997</v>
      </c>
      <c r="S23" s="378">
        <v>88.108000000000004</v>
      </c>
      <c r="T23" s="378">
        <v>93.188000000000002</v>
      </c>
      <c r="U23" s="378">
        <v>93.68</v>
      </c>
      <c r="V23" s="378">
        <v>83.224999999999994</v>
      </c>
      <c r="W23" s="378">
        <v>36.588000000000001</v>
      </c>
      <c r="X23" s="381">
        <v>95</v>
      </c>
      <c r="Y23" s="1036">
        <f t="shared" si="0"/>
        <v>159.64797201268175</v>
      </c>
      <c r="Z23" s="487"/>
    </row>
    <row r="24" spans="1:26" ht="12.75" customHeight="1" x14ac:dyDescent="0.2">
      <c r="A24" s="33"/>
      <c r="B24" s="150">
        <v>17</v>
      </c>
      <c r="C24" s="394"/>
      <c r="D24" s="596" t="s">
        <v>29</v>
      </c>
      <c r="E24" s="1037" t="s">
        <v>116</v>
      </c>
      <c r="F24" s="379">
        <v>220.79900000000001</v>
      </c>
      <c r="G24" s="379">
        <v>234.31800000000001</v>
      </c>
      <c r="H24" s="379">
        <v>222.191</v>
      </c>
      <c r="I24" s="379">
        <v>214.48500000000001</v>
      </c>
      <c r="J24" s="379">
        <v>205.251</v>
      </c>
      <c r="K24" s="379">
        <v>213.68899999999999</v>
      </c>
      <c r="L24" s="379">
        <v>186.53200000000001</v>
      </c>
      <c r="M24" s="379">
        <v>185.429</v>
      </c>
      <c r="N24" s="379">
        <v>204.273</v>
      </c>
      <c r="O24" s="379">
        <v>201.65299999999999</v>
      </c>
      <c r="P24" s="379">
        <v>210.749</v>
      </c>
      <c r="Q24" s="379">
        <v>219.21100000000001</v>
      </c>
      <c r="R24" s="379">
        <v>216.947</v>
      </c>
      <c r="S24" s="379">
        <v>224.857</v>
      </c>
      <c r="T24" s="379">
        <v>238.99299999999999</v>
      </c>
      <c r="U24" s="379">
        <v>234.011</v>
      </c>
      <c r="V24" s="379">
        <v>225.60900000000001</v>
      </c>
      <c r="W24" s="379">
        <v>80.673000000000002</v>
      </c>
      <c r="X24" s="380">
        <v>85.554000000000002</v>
      </c>
      <c r="Y24" s="1037">
        <f t="shared" si="0"/>
        <v>6.0503514186902549</v>
      </c>
    </row>
    <row r="25" spans="1:26" ht="12.75" customHeight="1" x14ac:dyDescent="0.2">
      <c r="A25" s="18"/>
      <c r="B25" s="150">
        <v>18</v>
      </c>
      <c r="C25" s="395"/>
      <c r="D25" s="755" t="s">
        <v>319</v>
      </c>
      <c r="E25" s="1036" t="s">
        <v>97</v>
      </c>
      <c r="F25" s="378"/>
      <c r="G25" s="378">
        <v>122.236</v>
      </c>
      <c r="H25" s="378">
        <v>131.119</v>
      </c>
      <c r="I25" s="378">
        <v>142.916</v>
      </c>
      <c r="J25" s="378">
        <v>147.98500000000001</v>
      </c>
      <c r="K25" s="378">
        <v>145.88300000000001</v>
      </c>
      <c r="L25" s="378">
        <v>130.52600000000001</v>
      </c>
      <c r="M25" s="378">
        <v>133.042</v>
      </c>
      <c r="N25" s="378">
        <v>136.458</v>
      </c>
      <c r="O25" s="378">
        <v>134.61799999999999</v>
      </c>
      <c r="P25" s="378">
        <v>138.411</v>
      </c>
      <c r="Q25" s="378">
        <v>134.751</v>
      </c>
      <c r="R25" s="378">
        <v>136.38999999999999</v>
      </c>
      <c r="S25" s="378">
        <v>146.65899999999999</v>
      </c>
      <c r="T25" s="378">
        <v>164.68899999999999</v>
      </c>
      <c r="U25" s="378">
        <v>176.24799999999999</v>
      </c>
      <c r="V25" s="378">
        <v>184.16399999999999</v>
      </c>
      <c r="W25" s="378">
        <v>71.494</v>
      </c>
      <c r="X25" s="381">
        <v>84.540999999999997</v>
      </c>
      <c r="Y25" s="1036">
        <f t="shared" si="0"/>
        <v>18.249083839203294</v>
      </c>
    </row>
    <row r="26" spans="1:26" s="14" customFormat="1" ht="12.75" customHeight="1" x14ac:dyDescent="0.2">
      <c r="A26" s="18"/>
      <c r="B26" s="150">
        <v>19</v>
      </c>
      <c r="C26" s="394"/>
      <c r="D26" s="596" t="s">
        <v>494</v>
      </c>
      <c r="E26" s="1037" t="s">
        <v>109</v>
      </c>
      <c r="F26" s="379">
        <v>169.441</v>
      </c>
      <c r="G26" s="379">
        <v>155.02799999999999</v>
      </c>
      <c r="H26" s="379">
        <v>158.07</v>
      </c>
      <c r="I26" s="379">
        <v>165.41800000000001</v>
      </c>
      <c r="J26" s="379">
        <v>173.691</v>
      </c>
      <c r="K26" s="379">
        <v>166.923</v>
      </c>
      <c r="L26" s="379">
        <v>151.142</v>
      </c>
      <c r="M26" s="379">
        <v>132.05699999999999</v>
      </c>
      <c r="N26" s="379">
        <v>140.726</v>
      </c>
      <c r="O26" s="379">
        <v>146.35499999999999</v>
      </c>
      <c r="P26" s="379">
        <v>143.00899999999999</v>
      </c>
      <c r="Q26" s="379">
        <v>140.56100000000001</v>
      </c>
      <c r="R26" s="379">
        <v>139.76599999999999</v>
      </c>
      <c r="S26" s="379">
        <v>143.79900000000001</v>
      </c>
      <c r="T26" s="379">
        <v>145.036</v>
      </c>
      <c r="U26" s="379">
        <v>145.12</v>
      </c>
      <c r="V26" s="379">
        <v>148.21799999999999</v>
      </c>
      <c r="W26" s="379">
        <v>58.725000000000001</v>
      </c>
      <c r="X26" s="380">
        <v>82.843999999999994</v>
      </c>
      <c r="Y26" s="1037">
        <f t="shared" si="0"/>
        <v>41.071094082588331</v>
      </c>
      <c r="Z26" s="487"/>
    </row>
    <row r="27" spans="1:26" s="13" customFormat="1" ht="12.75" customHeight="1" x14ac:dyDescent="0.2">
      <c r="A27" s="18"/>
      <c r="B27" s="150">
        <v>20</v>
      </c>
      <c r="C27" s="395"/>
      <c r="D27" s="755" t="s">
        <v>216</v>
      </c>
      <c r="E27" s="1036" t="s">
        <v>110</v>
      </c>
      <c r="F27" s="378">
        <v>163.268</v>
      </c>
      <c r="G27" s="378">
        <v>164.011</v>
      </c>
      <c r="H27" s="378">
        <v>169.565</v>
      </c>
      <c r="I27" s="378">
        <v>183.375</v>
      </c>
      <c r="J27" s="378">
        <v>200.89099999999999</v>
      </c>
      <c r="K27" s="378">
        <v>202.43</v>
      </c>
      <c r="L27" s="378">
        <v>169.91399999999999</v>
      </c>
      <c r="M27" s="378">
        <v>156.41499999999999</v>
      </c>
      <c r="N27" s="378">
        <v>159.97499999999999</v>
      </c>
      <c r="O27" s="378">
        <v>158.636</v>
      </c>
      <c r="P27" s="378">
        <v>161.976</v>
      </c>
      <c r="Q27" s="378">
        <v>172.55600000000001</v>
      </c>
      <c r="R27" s="378">
        <v>188.77099999999999</v>
      </c>
      <c r="S27" s="378">
        <v>204.499</v>
      </c>
      <c r="T27" s="378">
        <v>212.24799999999999</v>
      </c>
      <c r="U27" s="378">
        <v>222.69200000000001</v>
      </c>
      <c r="V27" s="378">
        <v>229.143</v>
      </c>
      <c r="W27" s="378">
        <v>80.540000000000006</v>
      </c>
      <c r="X27" s="381">
        <v>82.513999999999996</v>
      </c>
      <c r="Y27" s="1036">
        <f t="shared" si="0"/>
        <v>2.4509560466848654</v>
      </c>
      <c r="Z27" s="487"/>
    </row>
    <row r="28" spans="1:26" ht="12.75" customHeight="1" x14ac:dyDescent="0.2">
      <c r="A28" s="18"/>
      <c r="B28" s="150">
        <v>21</v>
      </c>
      <c r="C28" s="394"/>
      <c r="D28" s="596" t="s">
        <v>616</v>
      </c>
      <c r="E28" s="1037" t="s">
        <v>108</v>
      </c>
      <c r="F28" s="735">
        <v>91.125</v>
      </c>
      <c r="G28" s="379">
        <v>102.733</v>
      </c>
      <c r="H28" s="379">
        <v>111.111</v>
      </c>
      <c r="I28" s="379">
        <v>113.169</v>
      </c>
      <c r="J28" s="379">
        <v>115.498</v>
      </c>
      <c r="K28" s="379">
        <v>108.164</v>
      </c>
      <c r="L28" s="379">
        <v>94.724999999999994</v>
      </c>
      <c r="M28" s="379">
        <v>97.307000000000002</v>
      </c>
      <c r="N28" s="379">
        <v>99.17</v>
      </c>
      <c r="O28" s="379">
        <v>94.197999999999993</v>
      </c>
      <c r="P28" s="379">
        <v>94.090999999999994</v>
      </c>
      <c r="Q28" s="379">
        <v>98.968000000000004</v>
      </c>
      <c r="R28" s="379">
        <v>101.018</v>
      </c>
      <c r="S28" s="379">
        <v>113.072</v>
      </c>
      <c r="T28" s="379">
        <v>125.524</v>
      </c>
      <c r="U28" s="379">
        <v>130.458</v>
      </c>
      <c r="V28" s="379">
        <v>134.554</v>
      </c>
      <c r="W28" s="379">
        <v>51.088999999999999</v>
      </c>
      <c r="X28" s="380">
        <v>79.403999999999996</v>
      </c>
      <c r="Y28" s="1037">
        <f t="shared" si="0"/>
        <v>55.422889467400012</v>
      </c>
    </row>
    <row r="29" spans="1:26" s="13" customFormat="1" ht="12.75" customHeight="1" x14ac:dyDescent="0.2">
      <c r="A29" s="18"/>
      <c r="B29" s="150">
        <v>22</v>
      </c>
      <c r="C29" s="395"/>
      <c r="D29" s="755" t="s">
        <v>678</v>
      </c>
      <c r="E29" s="1036" t="s">
        <v>107</v>
      </c>
      <c r="F29" s="378">
        <v>131.297</v>
      </c>
      <c r="G29" s="378">
        <v>133.32499999999999</v>
      </c>
      <c r="H29" s="378">
        <v>139.93799999999999</v>
      </c>
      <c r="I29" s="378">
        <v>138.51599999999999</v>
      </c>
      <c r="J29" s="378">
        <v>138.28899999999999</v>
      </c>
      <c r="K29" s="378">
        <v>128.24100000000001</v>
      </c>
      <c r="L29" s="378">
        <v>120.127</v>
      </c>
      <c r="M29" s="378">
        <v>120.634</v>
      </c>
      <c r="N29" s="378">
        <v>117.575</v>
      </c>
      <c r="O29" s="378">
        <v>112.58199999999999</v>
      </c>
      <c r="P29" s="378">
        <v>107</v>
      </c>
      <c r="Q29" s="378">
        <v>109.895</v>
      </c>
      <c r="R29" s="378">
        <v>114.754</v>
      </c>
      <c r="S29" s="378">
        <v>123.589</v>
      </c>
      <c r="T29" s="378">
        <v>128.447</v>
      </c>
      <c r="U29" s="378">
        <v>131.93600000000001</v>
      </c>
      <c r="V29" s="378">
        <v>130.779</v>
      </c>
      <c r="W29" s="378">
        <v>68.97</v>
      </c>
      <c r="X29" s="381">
        <v>79.116</v>
      </c>
      <c r="Y29" s="1036">
        <f t="shared" si="0"/>
        <v>14.710743801652896</v>
      </c>
      <c r="Z29" s="487"/>
    </row>
    <row r="30" spans="1:26" s="13" customFormat="1" ht="12.75" customHeight="1" x14ac:dyDescent="0.2">
      <c r="A30" s="18"/>
      <c r="B30" s="150">
        <v>23</v>
      </c>
      <c r="C30" s="394"/>
      <c r="D30" s="596" t="s">
        <v>458</v>
      </c>
      <c r="E30" s="1037" t="s">
        <v>108</v>
      </c>
      <c r="F30" s="379">
        <v>83.512</v>
      </c>
      <c r="G30" s="379">
        <v>92.622</v>
      </c>
      <c r="H30" s="379">
        <v>98.408000000000001</v>
      </c>
      <c r="I30" s="379">
        <v>100.52800000000001</v>
      </c>
      <c r="J30" s="379">
        <v>99.385000000000005</v>
      </c>
      <c r="K30" s="379">
        <v>104.30500000000001</v>
      </c>
      <c r="L30" s="379">
        <v>91.734999999999999</v>
      </c>
      <c r="M30" s="379">
        <v>93.171999999999997</v>
      </c>
      <c r="N30" s="379">
        <v>101.61199999999999</v>
      </c>
      <c r="O30" s="379">
        <v>90.775999999999996</v>
      </c>
      <c r="P30" s="379">
        <v>86.058999999999997</v>
      </c>
      <c r="Q30" s="379">
        <v>92.38</v>
      </c>
      <c r="R30" s="379">
        <v>89.9</v>
      </c>
      <c r="S30" s="379">
        <v>101.116</v>
      </c>
      <c r="T30" s="379">
        <v>108.139</v>
      </c>
      <c r="U30" s="379">
        <v>119.965</v>
      </c>
      <c r="V30" s="379">
        <v>117.236</v>
      </c>
      <c r="W30" s="379">
        <v>59.494999999999997</v>
      </c>
      <c r="X30" s="380">
        <v>76.537999999999997</v>
      </c>
      <c r="Y30" s="1037">
        <f t="shared" si="0"/>
        <v>28.646104714681883</v>
      </c>
      <c r="Z30" s="487"/>
    </row>
    <row r="31" spans="1:26" s="13" customFormat="1" ht="12.75" customHeight="1" x14ac:dyDescent="0.2">
      <c r="A31" s="18"/>
      <c r="B31" s="150">
        <v>24</v>
      </c>
      <c r="C31" s="395"/>
      <c r="D31" s="755" t="s">
        <v>28</v>
      </c>
      <c r="E31" s="1036" t="s">
        <v>107</v>
      </c>
      <c r="F31" s="378">
        <v>173.31899999999999</v>
      </c>
      <c r="G31" s="378">
        <v>187.74299999999999</v>
      </c>
      <c r="H31" s="378">
        <v>189.04900000000001</v>
      </c>
      <c r="I31" s="378">
        <v>208.065</v>
      </c>
      <c r="J31" s="378">
        <v>223.39699999999999</v>
      </c>
      <c r="K31" s="378">
        <v>224.35499999999999</v>
      </c>
      <c r="L31" s="378">
        <v>210.02500000000001</v>
      </c>
      <c r="M31" s="378">
        <v>211.35900000000001</v>
      </c>
      <c r="N31" s="378">
        <v>216.626</v>
      </c>
      <c r="O31" s="378">
        <v>212.23099999999999</v>
      </c>
      <c r="P31" s="378">
        <v>205.78100000000001</v>
      </c>
      <c r="Q31" s="378">
        <v>204.04300000000001</v>
      </c>
      <c r="R31" s="378">
        <v>202.833</v>
      </c>
      <c r="S31" s="378">
        <v>209.351</v>
      </c>
      <c r="T31" s="378">
        <v>212.55600000000001</v>
      </c>
      <c r="U31" s="378">
        <v>209.50899999999999</v>
      </c>
      <c r="V31" s="378">
        <v>216.93</v>
      </c>
      <c r="W31" s="378">
        <v>71.808000000000007</v>
      </c>
      <c r="X31" s="381">
        <v>74.802999999999997</v>
      </c>
      <c r="Y31" s="1036">
        <f t="shared" si="0"/>
        <v>4.1708444741532844</v>
      </c>
      <c r="Z31" s="487"/>
    </row>
    <row r="32" spans="1:26" s="13" customFormat="1" ht="12.75" customHeight="1" x14ac:dyDescent="0.2">
      <c r="A32" s="18"/>
      <c r="B32" s="150">
        <v>25</v>
      </c>
      <c r="C32" s="394"/>
      <c r="D32" s="596" t="s">
        <v>359</v>
      </c>
      <c r="E32" s="1037" t="s">
        <v>107</v>
      </c>
      <c r="F32" s="379">
        <v>31.280999999999999</v>
      </c>
      <c r="G32" s="379">
        <v>30.803000000000001</v>
      </c>
      <c r="H32" s="379">
        <v>30.228000000000002</v>
      </c>
      <c r="I32" s="379">
        <v>33.514000000000003</v>
      </c>
      <c r="J32" s="379">
        <v>41.368000000000002</v>
      </c>
      <c r="K32" s="379">
        <v>54.337000000000003</v>
      </c>
      <c r="L32" s="379">
        <v>55.478000000000002</v>
      </c>
      <c r="M32" s="379">
        <v>57.179000000000002</v>
      </c>
      <c r="N32" s="379">
        <v>58.771999999999998</v>
      </c>
      <c r="O32" s="379">
        <v>59.151000000000003</v>
      </c>
      <c r="P32" s="379">
        <v>57.396999999999998</v>
      </c>
      <c r="Q32" s="379">
        <v>57.39</v>
      </c>
      <c r="R32" s="379">
        <v>58.518000000000001</v>
      </c>
      <c r="S32" s="379">
        <v>57.915999999999997</v>
      </c>
      <c r="T32" s="379">
        <v>62.02</v>
      </c>
      <c r="U32" s="379">
        <v>69.918999999999997</v>
      </c>
      <c r="V32" s="379">
        <v>70.245999999999995</v>
      </c>
      <c r="W32" s="379">
        <v>56.423999999999999</v>
      </c>
      <c r="X32" s="380">
        <v>67.881</v>
      </c>
      <c r="Y32" s="1037">
        <f t="shared" si="0"/>
        <v>20.30518928115697</v>
      </c>
      <c r="Z32" s="487"/>
    </row>
    <row r="33" spans="1:26" s="12" customFormat="1" ht="12.75" customHeight="1" x14ac:dyDescent="0.2">
      <c r="A33" s="18"/>
      <c r="B33" s="150">
        <v>26</v>
      </c>
      <c r="C33" s="395"/>
      <c r="D33" s="755" t="s">
        <v>620</v>
      </c>
      <c r="E33" s="1036" t="s">
        <v>98</v>
      </c>
      <c r="F33" s="378"/>
      <c r="G33" s="378">
        <v>74.953000000000003</v>
      </c>
      <c r="H33" s="378">
        <v>90.156999999999996</v>
      </c>
      <c r="I33" s="378">
        <v>101.968</v>
      </c>
      <c r="J33" s="378">
        <v>118.14100000000001</v>
      </c>
      <c r="K33" s="378">
        <v>124.44799999999999</v>
      </c>
      <c r="L33" s="378">
        <v>124.81399999999999</v>
      </c>
      <c r="M33" s="378">
        <v>128.149</v>
      </c>
      <c r="N33" s="378">
        <v>99.51</v>
      </c>
      <c r="O33" s="378">
        <v>84.043999999999997</v>
      </c>
      <c r="P33" s="378">
        <v>83.200999999999993</v>
      </c>
      <c r="Q33" s="378">
        <v>86.638999999999996</v>
      </c>
      <c r="R33" s="378">
        <v>90.814999999999998</v>
      </c>
      <c r="S33" s="378">
        <v>101.887</v>
      </c>
      <c r="T33" s="378">
        <v>110.76</v>
      </c>
      <c r="U33" s="378">
        <v>116.66800000000001</v>
      </c>
      <c r="V33" s="378">
        <v>117.203</v>
      </c>
      <c r="W33" s="378">
        <v>46.212000000000003</v>
      </c>
      <c r="X33" s="381">
        <v>65.034999999999997</v>
      </c>
      <c r="Y33" s="1036">
        <f t="shared" si="0"/>
        <v>40.73184454254303</v>
      </c>
      <c r="Z33" s="487"/>
    </row>
    <row r="34" spans="1:26" ht="12.75" customHeight="1" x14ac:dyDescent="0.2">
      <c r="A34" s="18"/>
      <c r="B34" s="150">
        <v>27</v>
      </c>
      <c r="C34" s="394"/>
      <c r="D34" s="596" t="s">
        <v>598</v>
      </c>
      <c r="E34" s="1037" t="s">
        <v>115</v>
      </c>
      <c r="F34" s="379">
        <v>152.84700000000001</v>
      </c>
      <c r="G34" s="379">
        <v>163.15100000000001</v>
      </c>
      <c r="H34" s="379">
        <v>163.136</v>
      </c>
      <c r="I34" s="379">
        <v>171.13499999999999</v>
      </c>
      <c r="J34" s="379">
        <v>174.751</v>
      </c>
      <c r="K34" s="379">
        <v>179.14400000000001</v>
      </c>
      <c r="L34" s="379">
        <v>167.66399999999999</v>
      </c>
      <c r="M34" s="379">
        <v>169.934</v>
      </c>
      <c r="N34" s="379">
        <v>191.821</v>
      </c>
      <c r="O34" s="379">
        <v>169.78</v>
      </c>
      <c r="P34" s="379">
        <v>165.83099999999999</v>
      </c>
      <c r="Q34" s="379">
        <v>164.69499999999999</v>
      </c>
      <c r="R34" s="379">
        <v>165.333</v>
      </c>
      <c r="S34" s="379">
        <v>158.06200000000001</v>
      </c>
      <c r="T34" s="379">
        <v>167.54300000000001</v>
      </c>
      <c r="U34" s="379">
        <v>183.673</v>
      </c>
      <c r="V34" s="379">
        <v>187.04499999999999</v>
      </c>
      <c r="W34" s="379">
        <v>66.959999999999994</v>
      </c>
      <c r="X34" s="380">
        <v>64.924000000000007</v>
      </c>
      <c r="Y34" s="1037">
        <f t="shared" si="0"/>
        <v>-3.0406212664277064</v>
      </c>
    </row>
    <row r="35" spans="1:26" s="13" customFormat="1" ht="12.75" customHeight="1" x14ac:dyDescent="0.2">
      <c r="A35" s="18"/>
      <c r="B35" s="150">
        <v>28</v>
      </c>
      <c r="C35" s="395"/>
      <c r="D35" s="755" t="s">
        <v>37</v>
      </c>
      <c r="E35" s="1036" t="s">
        <v>111</v>
      </c>
      <c r="F35" s="378">
        <v>92.756</v>
      </c>
      <c r="G35" s="378">
        <v>93.683000000000007</v>
      </c>
      <c r="H35" s="378">
        <v>93.066000000000003</v>
      </c>
      <c r="I35" s="378">
        <v>97.828999999999994</v>
      </c>
      <c r="J35" s="378">
        <v>99.147000000000006</v>
      </c>
      <c r="K35" s="378">
        <v>95.620999999999995</v>
      </c>
      <c r="L35" s="378">
        <v>92.93</v>
      </c>
      <c r="M35" s="378">
        <v>91.453000000000003</v>
      </c>
      <c r="N35" s="378">
        <v>94.055999999999997</v>
      </c>
      <c r="O35" s="378">
        <v>95.504999999999995</v>
      </c>
      <c r="P35" s="378">
        <v>90.644999999999996</v>
      </c>
      <c r="Q35" s="378">
        <v>90.531000000000006</v>
      </c>
      <c r="R35" s="378">
        <v>95.891000000000005</v>
      </c>
      <c r="S35" s="378">
        <v>97.686999999999998</v>
      </c>
      <c r="T35" s="378">
        <v>96.391999999999996</v>
      </c>
      <c r="U35" s="378">
        <v>94.486000000000004</v>
      </c>
      <c r="V35" s="378">
        <v>69.614000000000004</v>
      </c>
      <c r="W35" s="378">
        <v>33.920999999999999</v>
      </c>
      <c r="X35" s="381">
        <v>55.457999999999998</v>
      </c>
      <c r="Y35" s="1036">
        <f t="shared" si="0"/>
        <v>63.491642345449719</v>
      </c>
      <c r="Z35" s="487"/>
    </row>
    <row r="36" spans="1:26" s="13" customFormat="1" ht="12.75" customHeight="1" x14ac:dyDescent="0.2">
      <c r="A36" s="18"/>
      <c r="B36" s="150">
        <v>29</v>
      </c>
      <c r="C36" s="394"/>
      <c r="D36" s="596" t="s">
        <v>621</v>
      </c>
      <c r="E36" s="1037" t="s">
        <v>107</v>
      </c>
      <c r="F36" s="735">
        <v>127.13500000000001</v>
      </c>
      <c r="G36" s="379">
        <v>130.04499999999999</v>
      </c>
      <c r="H36" s="379">
        <v>134.19900000000001</v>
      </c>
      <c r="I36" s="379">
        <v>145.86799999999999</v>
      </c>
      <c r="J36" s="379">
        <v>151.75200000000001</v>
      </c>
      <c r="K36" s="379">
        <v>150.65600000000001</v>
      </c>
      <c r="L36" s="379">
        <v>137.77500000000001</v>
      </c>
      <c r="M36" s="379">
        <v>138.44499999999999</v>
      </c>
      <c r="N36" s="379">
        <v>141.143</v>
      </c>
      <c r="O36" s="379">
        <v>137.70500000000001</v>
      </c>
      <c r="P36" s="379">
        <v>129.38999999999999</v>
      </c>
      <c r="Q36" s="379">
        <v>139.14099999999999</v>
      </c>
      <c r="R36" s="379">
        <v>142.07499999999999</v>
      </c>
      <c r="S36" s="379">
        <v>144.30099999999999</v>
      </c>
      <c r="T36" s="379">
        <v>145.18799999999999</v>
      </c>
      <c r="U36" s="379">
        <v>139.90700000000001</v>
      </c>
      <c r="V36" s="379">
        <v>140.33199999999999</v>
      </c>
      <c r="W36" s="379">
        <v>51.530999999999999</v>
      </c>
      <c r="X36" s="380">
        <v>52.975999999999999</v>
      </c>
      <c r="Y36" s="1037">
        <f t="shared" si="0"/>
        <v>2.8041373154023859</v>
      </c>
      <c r="Z36" s="487"/>
    </row>
    <row r="37" spans="1:26" s="13" customFormat="1" ht="12.75" customHeight="1" x14ac:dyDescent="0.2">
      <c r="A37" s="18"/>
      <c r="B37" s="150">
        <v>30</v>
      </c>
      <c r="C37" s="395"/>
      <c r="D37" s="755" t="s">
        <v>38</v>
      </c>
      <c r="E37" s="1036" t="s">
        <v>109</v>
      </c>
      <c r="F37" s="378">
        <v>84.066999999999993</v>
      </c>
      <c r="G37" s="378">
        <v>88.626000000000005</v>
      </c>
      <c r="H37" s="378">
        <v>90.337000000000003</v>
      </c>
      <c r="I37" s="378">
        <v>92.07</v>
      </c>
      <c r="J37" s="378">
        <v>98.481999999999999</v>
      </c>
      <c r="K37" s="378">
        <v>97.953000000000003</v>
      </c>
      <c r="L37" s="378">
        <v>97.897999999999996</v>
      </c>
      <c r="M37" s="378">
        <v>95.924000000000007</v>
      </c>
      <c r="N37" s="378">
        <v>94.808999999999997</v>
      </c>
      <c r="O37" s="378">
        <v>100.05200000000001</v>
      </c>
      <c r="P37" s="378">
        <v>96.742999999999995</v>
      </c>
      <c r="Q37" s="378">
        <v>90.884</v>
      </c>
      <c r="R37" s="378">
        <v>89.777000000000001</v>
      </c>
      <c r="S37" s="378">
        <v>89.616</v>
      </c>
      <c r="T37" s="378">
        <v>91.27</v>
      </c>
      <c r="U37" s="378">
        <v>92.052999999999997</v>
      </c>
      <c r="V37" s="378">
        <v>96.233000000000004</v>
      </c>
      <c r="W37" s="378">
        <v>41.991999999999997</v>
      </c>
      <c r="X37" s="381">
        <v>52.445</v>
      </c>
      <c r="Y37" s="1036">
        <f t="shared" si="0"/>
        <v>24.892836730805868</v>
      </c>
      <c r="Z37" s="487"/>
    </row>
    <row r="38" spans="1:26" s="13" customFormat="1" ht="12.75" customHeight="1" x14ac:dyDescent="0.2">
      <c r="A38" s="18"/>
      <c r="B38" s="150">
        <v>31</v>
      </c>
      <c r="C38" s="394"/>
      <c r="D38" s="596" t="s">
        <v>42</v>
      </c>
      <c r="E38" s="1037" t="s">
        <v>114</v>
      </c>
      <c r="F38" s="379">
        <v>40.656999999999996</v>
      </c>
      <c r="G38" s="379">
        <v>42.789000000000001</v>
      </c>
      <c r="H38" s="379">
        <v>45.27</v>
      </c>
      <c r="I38" s="379">
        <v>46.201000000000001</v>
      </c>
      <c r="J38" s="379">
        <v>51.179000000000002</v>
      </c>
      <c r="K38" s="379">
        <v>55.011000000000003</v>
      </c>
      <c r="L38" s="379">
        <v>51.593000000000004</v>
      </c>
      <c r="M38" s="379">
        <v>54.594999999999999</v>
      </c>
      <c r="N38" s="379">
        <v>59.527999999999999</v>
      </c>
      <c r="O38" s="379">
        <v>57.012999999999998</v>
      </c>
      <c r="P38" s="379">
        <v>57.668999999999997</v>
      </c>
      <c r="Q38" s="379">
        <v>61.566000000000003</v>
      </c>
      <c r="R38" s="379">
        <v>68.626999999999995</v>
      </c>
      <c r="S38" s="379">
        <v>76.647000000000006</v>
      </c>
      <c r="T38" s="379">
        <v>84.563000000000002</v>
      </c>
      <c r="U38" s="379">
        <v>94.341999999999999</v>
      </c>
      <c r="V38" s="379">
        <v>96.891000000000005</v>
      </c>
      <c r="W38" s="379">
        <v>42.276000000000003</v>
      </c>
      <c r="X38" s="380">
        <v>52.063000000000002</v>
      </c>
      <c r="Y38" s="1037">
        <f t="shared" si="0"/>
        <v>23.150250733276565</v>
      </c>
      <c r="Z38" s="487"/>
    </row>
    <row r="39" spans="1:26" s="13" customFormat="1" ht="12.75" customHeight="1" x14ac:dyDescent="0.2">
      <c r="A39" s="18"/>
      <c r="B39" s="150">
        <v>32</v>
      </c>
      <c r="C39" s="395"/>
      <c r="D39" s="755" t="s">
        <v>266</v>
      </c>
      <c r="E39" s="1036" t="s">
        <v>108</v>
      </c>
      <c r="F39" s="378">
        <v>35.508000000000003</v>
      </c>
      <c r="G39" s="378">
        <v>38.645000000000003</v>
      </c>
      <c r="H39" s="378">
        <v>39.795999999999999</v>
      </c>
      <c r="I39" s="378">
        <v>44.357999999999997</v>
      </c>
      <c r="J39" s="378">
        <v>48.158999999999999</v>
      </c>
      <c r="K39" s="378">
        <v>48.512</v>
      </c>
      <c r="L39" s="378">
        <v>45.698999999999998</v>
      </c>
      <c r="M39" s="378">
        <v>49.134999999999998</v>
      </c>
      <c r="N39" s="378">
        <v>53.631999999999998</v>
      </c>
      <c r="O39" s="378">
        <v>50.448999999999998</v>
      </c>
      <c r="P39" s="378">
        <v>48.694000000000003</v>
      </c>
      <c r="Q39" s="378">
        <v>52.12</v>
      </c>
      <c r="R39" s="378">
        <v>55.905000000000001</v>
      </c>
      <c r="S39" s="378">
        <v>60.795000000000002</v>
      </c>
      <c r="T39" s="378">
        <v>63.863999999999997</v>
      </c>
      <c r="U39" s="378">
        <v>66.400999999999996</v>
      </c>
      <c r="V39" s="378">
        <v>66.807000000000002</v>
      </c>
      <c r="W39" s="378">
        <v>27.283000000000001</v>
      </c>
      <c r="X39" s="381">
        <v>51.640999999999998</v>
      </c>
      <c r="Y39" s="1036">
        <f t="shared" si="0"/>
        <v>89.279038228933757</v>
      </c>
      <c r="Z39" s="487"/>
    </row>
    <row r="40" spans="1:26" s="13" customFormat="1" ht="12.75" customHeight="1" x14ac:dyDescent="0.2">
      <c r="A40" s="33"/>
      <c r="B40" s="150">
        <v>33</v>
      </c>
      <c r="C40" s="394"/>
      <c r="D40" s="596" t="s">
        <v>460</v>
      </c>
      <c r="E40" s="1037" t="s">
        <v>109</v>
      </c>
      <c r="F40" s="379">
        <v>118.88500000000001</v>
      </c>
      <c r="G40" s="379">
        <v>125.032</v>
      </c>
      <c r="H40" s="379">
        <v>130.137</v>
      </c>
      <c r="I40" s="379">
        <v>130.87</v>
      </c>
      <c r="J40" s="379">
        <v>132.12</v>
      </c>
      <c r="K40" s="379">
        <v>133.75</v>
      </c>
      <c r="L40" s="379">
        <v>125.60599999999999</v>
      </c>
      <c r="M40" s="379">
        <v>115.354</v>
      </c>
      <c r="N40" s="379">
        <v>117.375</v>
      </c>
      <c r="O40" s="379">
        <v>115.973</v>
      </c>
      <c r="P40" s="379">
        <v>112.755</v>
      </c>
      <c r="Q40" s="379">
        <v>104.55</v>
      </c>
      <c r="R40" s="379">
        <v>104.95099999999999</v>
      </c>
      <c r="S40" s="379">
        <v>106.875</v>
      </c>
      <c r="T40" s="379">
        <v>108.58799999999999</v>
      </c>
      <c r="U40" s="379">
        <v>109.79300000000001</v>
      </c>
      <c r="V40" s="379">
        <v>113.002</v>
      </c>
      <c r="W40" s="379">
        <v>42.545999999999999</v>
      </c>
      <c r="X40" s="380">
        <v>51.587000000000003</v>
      </c>
      <c r="Y40" s="1037">
        <f t="shared" si="0"/>
        <v>21.249941240069575</v>
      </c>
      <c r="Z40" s="487"/>
    </row>
    <row r="41" spans="1:26" s="13" customFormat="1" ht="12.75" customHeight="1" x14ac:dyDescent="0.2">
      <c r="A41" s="18"/>
      <c r="B41" s="150">
        <v>34</v>
      </c>
      <c r="C41" s="395"/>
      <c r="D41" s="755" t="s">
        <v>356</v>
      </c>
      <c r="E41" s="1036" t="s">
        <v>108</v>
      </c>
      <c r="F41" s="378">
        <v>40.902999999999999</v>
      </c>
      <c r="G41" s="378">
        <v>48.667999999999999</v>
      </c>
      <c r="H41" s="378">
        <v>53.226999999999997</v>
      </c>
      <c r="I41" s="378">
        <v>57.075000000000003</v>
      </c>
      <c r="J41" s="378">
        <v>57.908000000000001</v>
      </c>
      <c r="K41" s="378">
        <v>61.444000000000003</v>
      </c>
      <c r="L41" s="378">
        <v>57.25</v>
      </c>
      <c r="M41" s="378">
        <v>56.137999999999998</v>
      </c>
      <c r="N41" s="378">
        <v>57.524000000000001</v>
      </c>
      <c r="O41" s="378">
        <v>50.563000000000002</v>
      </c>
      <c r="P41" s="378">
        <v>44.951999999999998</v>
      </c>
      <c r="Q41" s="378">
        <v>48.03</v>
      </c>
      <c r="R41" s="378">
        <v>46.207999999999998</v>
      </c>
      <c r="S41" s="378">
        <v>48.908000000000001</v>
      </c>
      <c r="T41" s="378">
        <v>54.02</v>
      </c>
      <c r="U41" s="378">
        <v>66.570999999999998</v>
      </c>
      <c r="V41" s="378">
        <v>71.150000000000006</v>
      </c>
      <c r="W41" s="378">
        <v>42.484999999999999</v>
      </c>
      <c r="X41" s="381">
        <v>51.122999999999998</v>
      </c>
      <c r="Y41" s="1036">
        <f t="shared" si="0"/>
        <v>20.331881840649643</v>
      </c>
      <c r="Z41" s="487"/>
    </row>
    <row r="42" spans="1:26" s="13" customFormat="1" ht="12.75" customHeight="1" x14ac:dyDescent="0.2">
      <c r="A42" s="18"/>
      <c r="B42" s="150">
        <v>35</v>
      </c>
      <c r="C42" s="394"/>
      <c r="D42" s="596" t="s">
        <v>606</v>
      </c>
      <c r="E42" s="1037" t="s">
        <v>111</v>
      </c>
      <c r="F42" s="379">
        <v>44.018999999999998</v>
      </c>
      <c r="G42" s="379">
        <v>41.698999999999998</v>
      </c>
      <c r="H42" s="379">
        <v>47.805999999999997</v>
      </c>
      <c r="I42" s="379">
        <v>51.905999999999999</v>
      </c>
      <c r="J42" s="379">
        <v>56.911999999999999</v>
      </c>
      <c r="K42" s="379">
        <v>60.000999999999998</v>
      </c>
      <c r="L42" s="379">
        <v>62.305</v>
      </c>
      <c r="M42" s="379">
        <v>65.325999999999993</v>
      </c>
      <c r="N42" s="379">
        <v>69.290999999999997</v>
      </c>
      <c r="O42" s="379">
        <v>72.423000000000002</v>
      </c>
      <c r="P42" s="379">
        <v>69.974000000000004</v>
      </c>
      <c r="Q42" s="379">
        <v>66.388999999999996</v>
      </c>
      <c r="R42" s="379">
        <v>74.302999999999997</v>
      </c>
      <c r="S42" s="379">
        <v>78.341999999999999</v>
      </c>
      <c r="T42" s="379">
        <v>84.548000000000002</v>
      </c>
      <c r="U42" s="379">
        <v>86.808000000000007</v>
      </c>
      <c r="V42" s="379">
        <v>91.662999999999997</v>
      </c>
      <c r="W42" s="379">
        <v>36.137999999999998</v>
      </c>
      <c r="X42" s="380">
        <v>49.293999999999997</v>
      </c>
      <c r="Y42" s="1037">
        <f t="shared" si="0"/>
        <v>36.404892357075653</v>
      </c>
      <c r="Z42" s="487"/>
    </row>
    <row r="43" spans="1:26" s="25" customFormat="1" ht="12.75" customHeight="1" x14ac:dyDescent="0.2">
      <c r="A43" s="18"/>
      <c r="B43" s="150">
        <v>36</v>
      </c>
      <c r="C43" s="395"/>
      <c r="D43" s="755" t="s">
        <v>186</v>
      </c>
      <c r="E43" s="1036" t="s">
        <v>108</v>
      </c>
      <c r="F43" s="378">
        <v>59.417000000000002</v>
      </c>
      <c r="G43" s="378">
        <v>65.171999999999997</v>
      </c>
      <c r="H43" s="378">
        <v>70.203000000000003</v>
      </c>
      <c r="I43" s="378">
        <v>71.13</v>
      </c>
      <c r="J43" s="378">
        <v>74.408000000000001</v>
      </c>
      <c r="K43" s="378">
        <v>76.95</v>
      </c>
      <c r="L43" s="378">
        <v>70.897000000000006</v>
      </c>
      <c r="M43" s="378">
        <v>71.984999999999999</v>
      </c>
      <c r="N43" s="378">
        <v>73.22</v>
      </c>
      <c r="O43" s="378">
        <v>60.587000000000003</v>
      </c>
      <c r="P43" s="378">
        <v>66.301000000000002</v>
      </c>
      <c r="Q43" s="378">
        <v>69.475999999999999</v>
      </c>
      <c r="R43" s="378">
        <v>72.203000000000003</v>
      </c>
      <c r="S43" s="378">
        <v>84.281000000000006</v>
      </c>
      <c r="T43" s="378">
        <v>92.334999999999994</v>
      </c>
      <c r="U43" s="378">
        <v>93.745000000000005</v>
      </c>
      <c r="V43" s="378">
        <v>99.075000000000003</v>
      </c>
      <c r="W43" s="378">
        <v>35.223999999999997</v>
      </c>
      <c r="X43" s="381">
        <v>49.192999999999998</v>
      </c>
      <c r="Y43" s="1036">
        <f t="shared" si="0"/>
        <v>39.657619804678632</v>
      </c>
      <c r="Z43" s="487"/>
    </row>
    <row r="44" spans="1:26" s="25" customFormat="1" ht="12.75" customHeight="1" x14ac:dyDescent="0.2">
      <c r="A44" s="18"/>
      <c r="B44" s="150">
        <v>37</v>
      </c>
      <c r="C44" s="394"/>
      <c r="D44" s="596" t="s">
        <v>462</v>
      </c>
      <c r="E44" s="1037" t="s">
        <v>111</v>
      </c>
      <c r="F44" s="379">
        <v>52.268000000000001</v>
      </c>
      <c r="G44" s="379">
        <v>50.948</v>
      </c>
      <c r="H44" s="379">
        <v>51.421999999999997</v>
      </c>
      <c r="I44" s="379">
        <v>51.145000000000003</v>
      </c>
      <c r="J44" s="379">
        <v>58.082999999999998</v>
      </c>
      <c r="K44" s="379">
        <v>54.735999999999997</v>
      </c>
      <c r="L44" s="379">
        <v>53.73</v>
      </c>
      <c r="M44" s="379">
        <v>55.555</v>
      </c>
      <c r="N44" s="379">
        <v>57.459000000000003</v>
      </c>
      <c r="O44" s="379">
        <v>52.052999999999997</v>
      </c>
      <c r="P44" s="379">
        <v>52.21</v>
      </c>
      <c r="Q44" s="379">
        <v>53.212000000000003</v>
      </c>
      <c r="R44" s="379">
        <v>52.6</v>
      </c>
      <c r="S44" s="379">
        <v>58.664000000000001</v>
      </c>
      <c r="T44" s="379">
        <v>65.736999999999995</v>
      </c>
      <c r="U44" s="379">
        <v>71.855999999999995</v>
      </c>
      <c r="V44" s="379">
        <v>73.164000000000001</v>
      </c>
      <c r="W44" s="379">
        <v>32.402999999999999</v>
      </c>
      <c r="X44" s="380">
        <v>47.777999999999999</v>
      </c>
      <c r="Y44" s="1037">
        <f t="shared" si="0"/>
        <v>47.449310249051024</v>
      </c>
      <c r="Z44" s="487"/>
    </row>
    <row r="45" spans="1:26" s="25" customFormat="1" ht="12.75" customHeight="1" x14ac:dyDescent="0.2">
      <c r="A45" s="18"/>
      <c r="B45" s="150">
        <v>38</v>
      </c>
      <c r="C45" s="395"/>
      <c r="D45" s="755" t="s">
        <v>32</v>
      </c>
      <c r="E45" s="1036" t="s">
        <v>91</v>
      </c>
      <c r="F45" s="378">
        <v>105.188</v>
      </c>
      <c r="G45" s="378">
        <v>134.24600000000001</v>
      </c>
      <c r="H45" s="378">
        <v>150.21</v>
      </c>
      <c r="I45" s="378">
        <v>155.48099999999999</v>
      </c>
      <c r="J45" s="378">
        <v>164.05500000000001</v>
      </c>
      <c r="K45" s="378">
        <v>168.83</v>
      </c>
      <c r="L45" s="378">
        <v>155.30699999999999</v>
      </c>
      <c r="M45" s="378">
        <v>147.89400000000001</v>
      </c>
      <c r="N45" s="378">
        <v>142.6</v>
      </c>
      <c r="O45" s="378">
        <v>124.544</v>
      </c>
      <c r="P45" s="378">
        <v>121.54600000000001</v>
      </c>
      <c r="Q45" s="378">
        <v>118.21299999999999</v>
      </c>
      <c r="R45" s="378">
        <v>120.07299999999999</v>
      </c>
      <c r="S45" s="378">
        <v>128.32499999999999</v>
      </c>
      <c r="T45" s="378">
        <v>133.87299999999999</v>
      </c>
      <c r="U45" s="378">
        <v>141.173</v>
      </c>
      <c r="V45" s="378">
        <v>141.16999999999999</v>
      </c>
      <c r="W45" s="378">
        <v>41.87</v>
      </c>
      <c r="X45" s="381">
        <v>46.014000000000003</v>
      </c>
      <c r="Y45" s="1036">
        <f t="shared" si="0"/>
        <v>9.8973011702889977</v>
      </c>
      <c r="Z45" s="487"/>
    </row>
    <row r="46" spans="1:26" s="25" customFormat="1" ht="12.75" customHeight="1" x14ac:dyDescent="0.2">
      <c r="A46" s="18"/>
      <c r="B46" s="150">
        <v>39</v>
      </c>
      <c r="C46" s="394"/>
      <c r="D46" s="596" t="s">
        <v>622</v>
      </c>
      <c r="E46" s="1037" t="s">
        <v>93</v>
      </c>
      <c r="F46" s="379">
        <v>81.281999999999996</v>
      </c>
      <c r="G46" s="379">
        <v>103.431</v>
      </c>
      <c r="H46" s="379">
        <v>116.69499999999999</v>
      </c>
      <c r="I46" s="379">
        <v>117.325</v>
      </c>
      <c r="J46" s="379">
        <v>114.64700000000001</v>
      </c>
      <c r="K46" s="379">
        <v>110.01900000000001</v>
      </c>
      <c r="L46" s="379">
        <v>103.51300000000001</v>
      </c>
      <c r="M46" s="379">
        <v>99.632000000000005</v>
      </c>
      <c r="N46" s="379">
        <v>104.04900000000001</v>
      </c>
      <c r="O46" s="379">
        <v>81.786000000000001</v>
      </c>
      <c r="P46" s="379">
        <v>77.756</v>
      </c>
      <c r="Q46" s="379">
        <v>80.552000000000007</v>
      </c>
      <c r="R46" s="379">
        <v>85.980999999999995</v>
      </c>
      <c r="S46" s="379">
        <v>89.322000000000003</v>
      </c>
      <c r="T46" s="379">
        <v>95.388999999999996</v>
      </c>
      <c r="U46" s="379">
        <v>107.044</v>
      </c>
      <c r="V46" s="379">
        <v>113.848</v>
      </c>
      <c r="W46" s="379">
        <v>41.241999999999997</v>
      </c>
      <c r="X46" s="380">
        <v>43.735999999999997</v>
      </c>
      <c r="Y46" s="1037">
        <f t="shared" si="0"/>
        <v>6.0472334028417691</v>
      </c>
      <c r="Z46" s="487"/>
    </row>
    <row r="47" spans="1:26" s="13" customFormat="1" ht="12.75" customHeight="1" x14ac:dyDescent="0.2">
      <c r="A47" s="18"/>
      <c r="B47" s="150">
        <v>40</v>
      </c>
      <c r="C47" s="449"/>
      <c r="D47" s="600" t="s">
        <v>39</v>
      </c>
      <c r="E47" s="1038" t="s">
        <v>109</v>
      </c>
      <c r="F47" s="451">
        <v>79.518000000000001</v>
      </c>
      <c r="G47" s="451">
        <v>78.239000000000004</v>
      </c>
      <c r="H47" s="451">
        <v>80.200999999999993</v>
      </c>
      <c r="I47" s="451">
        <v>81.382000000000005</v>
      </c>
      <c r="J47" s="451">
        <v>84.51</v>
      </c>
      <c r="K47" s="451">
        <v>84.313999999999993</v>
      </c>
      <c r="L47" s="451">
        <v>84.712999999999994</v>
      </c>
      <c r="M47" s="451">
        <v>80.417000000000002</v>
      </c>
      <c r="N47" s="451">
        <v>85.26</v>
      </c>
      <c r="O47" s="451">
        <v>88.953999999999994</v>
      </c>
      <c r="P47" s="451">
        <v>84.316999999999993</v>
      </c>
      <c r="Q47" s="451">
        <v>81.591999999999999</v>
      </c>
      <c r="R47" s="451">
        <v>81.099000000000004</v>
      </c>
      <c r="S47" s="451">
        <v>83.537000000000006</v>
      </c>
      <c r="T47" s="451">
        <v>90.903999999999996</v>
      </c>
      <c r="U47" s="451">
        <v>89.491</v>
      </c>
      <c r="V47" s="451">
        <v>88.58</v>
      </c>
      <c r="W47" s="451">
        <v>35.271000000000001</v>
      </c>
      <c r="X47" s="450">
        <v>41.381999999999998</v>
      </c>
      <c r="Y47" s="1038">
        <f t="shared" si="0"/>
        <v>17.325848430722118</v>
      </c>
      <c r="Z47" s="487"/>
    </row>
    <row r="48" spans="1:26" s="25" customFormat="1" ht="12.75" customHeight="1" x14ac:dyDescent="0.2">
      <c r="A48" s="18"/>
      <c r="B48" s="150">
        <v>41</v>
      </c>
      <c r="C48" s="394"/>
      <c r="D48" s="596" t="s">
        <v>33</v>
      </c>
      <c r="E48" s="1037" t="s">
        <v>107</v>
      </c>
      <c r="F48" s="379">
        <v>118.524</v>
      </c>
      <c r="G48" s="379">
        <v>131.94499999999999</v>
      </c>
      <c r="H48" s="379">
        <v>135.04499999999999</v>
      </c>
      <c r="I48" s="379">
        <v>138.477</v>
      </c>
      <c r="J48" s="379">
        <v>139.72300000000001</v>
      </c>
      <c r="K48" s="379">
        <v>134.89699999999999</v>
      </c>
      <c r="L48" s="379">
        <v>117.104</v>
      </c>
      <c r="M48" s="379">
        <v>111.74</v>
      </c>
      <c r="N48" s="379">
        <v>123.968</v>
      </c>
      <c r="O48" s="379">
        <v>121.63200000000001</v>
      </c>
      <c r="P48" s="379">
        <v>117.54</v>
      </c>
      <c r="Q48" s="379">
        <v>100.25</v>
      </c>
      <c r="R48" s="379">
        <v>104.958</v>
      </c>
      <c r="S48" s="379">
        <v>105.092</v>
      </c>
      <c r="T48" s="379">
        <v>104.898</v>
      </c>
      <c r="U48" s="379">
        <v>115.66800000000001</v>
      </c>
      <c r="V48" s="379">
        <v>120.752</v>
      </c>
      <c r="W48" s="379">
        <v>40.396000000000001</v>
      </c>
      <c r="X48" s="380">
        <v>39.966999999999999</v>
      </c>
      <c r="Y48" s="1037">
        <f t="shared" si="0"/>
        <v>-1.0619863352807357</v>
      </c>
      <c r="Z48" s="487"/>
    </row>
    <row r="49" spans="1:26" s="25" customFormat="1" ht="12.75" customHeight="1" x14ac:dyDescent="0.2">
      <c r="A49" s="18"/>
      <c r="B49" s="150">
        <v>42</v>
      </c>
      <c r="C49" s="395"/>
      <c r="D49" s="755" t="s">
        <v>159</v>
      </c>
      <c r="E49" s="1036" t="s">
        <v>112</v>
      </c>
      <c r="F49" s="378">
        <v>49.026000000000003</v>
      </c>
      <c r="G49" s="378">
        <v>50.899000000000001</v>
      </c>
      <c r="H49" s="378">
        <v>51.381999999999998</v>
      </c>
      <c r="I49" s="378">
        <v>51.37</v>
      </c>
      <c r="J49" s="378">
        <v>51.345999999999997</v>
      </c>
      <c r="K49" s="378">
        <v>51.682000000000002</v>
      </c>
      <c r="L49" s="378">
        <v>46.557000000000002</v>
      </c>
      <c r="M49" s="378">
        <v>45.563000000000002</v>
      </c>
      <c r="N49" s="378">
        <v>49.537999999999997</v>
      </c>
      <c r="O49" s="378">
        <v>49.661999999999999</v>
      </c>
      <c r="P49" s="378">
        <v>50.624000000000002</v>
      </c>
      <c r="Q49" s="378">
        <v>51.893999999999998</v>
      </c>
      <c r="R49" s="378">
        <v>52.622</v>
      </c>
      <c r="S49" s="378">
        <v>56.103000000000002</v>
      </c>
      <c r="T49" s="378">
        <v>60.465000000000003</v>
      </c>
      <c r="U49" s="378">
        <v>65.111000000000004</v>
      </c>
      <c r="V49" s="378">
        <v>67.013000000000005</v>
      </c>
      <c r="W49" s="378">
        <v>34.048000000000002</v>
      </c>
      <c r="X49" s="381">
        <v>39.945999999999998</v>
      </c>
      <c r="Y49" s="1036">
        <f t="shared" si="0"/>
        <v>17.322603383458642</v>
      </c>
      <c r="Z49" s="487"/>
    </row>
    <row r="50" spans="1:26" s="25" customFormat="1" ht="12.75" customHeight="1" x14ac:dyDescent="0.2">
      <c r="A50" s="18"/>
      <c r="B50" s="150">
        <v>43</v>
      </c>
      <c r="C50" s="394"/>
      <c r="D50" s="596" t="s">
        <v>617</v>
      </c>
      <c r="E50" s="1037" t="s">
        <v>111</v>
      </c>
      <c r="F50" s="379">
        <v>42.015000000000001</v>
      </c>
      <c r="G50" s="379">
        <v>42.165999999999997</v>
      </c>
      <c r="H50" s="379">
        <v>42.91</v>
      </c>
      <c r="I50" s="379">
        <v>46.058999999999997</v>
      </c>
      <c r="J50" s="379">
        <v>49.484000000000002</v>
      </c>
      <c r="K50" s="379">
        <v>47.735999999999997</v>
      </c>
      <c r="L50" s="379">
        <v>48.566000000000003</v>
      </c>
      <c r="M50" s="379">
        <v>44.865000000000002</v>
      </c>
      <c r="N50" s="379">
        <v>46.28</v>
      </c>
      <c r="O50" s="379">
        <v>40.725000000000001</v>
      </c>
      <c r="P50" s="379">
        <v>38.499000000000002</v>
      </c>
      <c r="Q50" s="379">
        <v>33.033000000000001</v>
      </c>
      <c r="R50" s="379">
        <v>39.619999999999997</v>
      </c>
      <c r="S50" s="379">
        <v>41.604999999999997</v>
      </c>
      <c r="T50" s="379">
        <v>43.942999999999998</v>
      </c>
      <c r="U50" s="379">
        <v>49.237000000000002</v>
      </c>
      <c r="V50" s="379">
        <v>52.148000000000003</v>
      </c>
      <c r="W50" s="379">
        <v>26.893999999999998</v>
      </c>
      <c r="X50" s="380">
        <v>39.57</v>
      </c>
      <c r="Y50" s="1037">
        <f t="shared" si="0"/>
        <v>47.133189559009452</v>
      </c>
      <c r="Z50" s="487"/>
    </row>
    <row r="51" spans="1:26" s="25" customFormat="1" ht="12.75" customHeight="1" x14ac:dyDescent="0.2">
      <c r="A51" s="18"/>
      <c r="B51" s="150">
        <v>44</v>
      </c>
      <c r="C51" s="395"/>
      <c r="D51" s="755" t="s">
        <v>618</v>
      </c>
      <c r="E51" s="1036" t="s">
        <v>103</v>
      </c>
      <c r="F51" s="378">
        <v>39.563000000000002</v>
      </c>
      <c r="G51" s="378">
        <v>38.21</v>
      </c>
      <c r="H51" s="378">
        <v>38.270000000000003</v>
      </c>
      <c r="I51" s="378">
        <v>43.749000000000002</v>
      </c>
      <c r="J51" s="378">
        <v>45.106000000000002</v>
      </c>
      <c r="K51" s="378">
        <v>44.110999999999997</v>
      </c>
      <c r="L51" s="378">
        <v>43.706000000000003</v>
      </c>
      <c r="M51" s="378">
        <v>41.317</v>
      </c>
      <c r="N51" s="378">
        <v>43.475000000000001</v>
      </c>
      <c r="O51" s="378">
        <v>39.965000000000003</v>
      </c>
      <c r="P51" s="378">
        <v>42.314999999999998</v>
      </c>
      <c r="Q51" s="378">
        <v>42.618000000000002</v>
      </c>
      <c r="R51" s="378">
        <v>42.834000000000003</v>
      </c>
      <c r="S51" s="378">
        <v>46.722999999999999</v>
      </c>
      <c r="T51" s="378">
        <v>51.113999999999997</v>
      </c>
      <c r="U51" s="378">
        <v>56.616</v>
      </c>
      <c r="V51" s="378">
        <v>53.002000000000002</v>
      </c>
      <c r="W51" s="378">
        <v>21.42</v>
      </c>
      <c r="X51" s="381">
        <v>39.566000000000003</v>
      </c>
      <c r="Y51" s="1036">
        <f t="shared" si="0"/>
        <v>84.71521942110175</v>
      </c>
      <c r="Z51" s="487"/>
    </row>
    <row r="52" spans="1:26" s="25" customFormat="1" ht="12.75" customHeight="1" x14ac:dyDescent="0.2">
      <c r="A52" s="18"/>
      <c r="B52" s="150">
        <v>45</v>
      </c>
      <c r="C52" s="394"/>
      <c r="D52" s="596" t="s">
        <v>604</v>
      </c>
      <c r="E52" s="1037" t="s">
        <v>111</v>
      </c>
      <c r="F52" s="379">
        <v>55.311999999999998</v>
      </c>
      <c r="G52" s="379">
        <v>43.546999999999997</v>
      </c>
      <c r="H52" s="379">
        <v>51.545000000000002</v>
      </c>
      <c r="I52" s="379">
        <v>55.624000000000002</v>
      </c>
      <c r="J52" s="379">
        <v>59.500999999999998</v>
      </c>
      <c r="K52" s="379">
        <v>55.197000000000003</v>
      </c>
      <c r="L52" s="379">
        <v>59.081000000000003</v>
      </c>
      <c r="M52" s="379">
        <v>63.527999999999999</v>
      </c>
      <c r="N52" s="379">
        <v>62.597000000000001</v>
      </c>
      <c r="O52" s="379">
        <v>61.942</v>
      </c>
      <c r="P52" s="379">
        <v>60.116999999999997</v>
      </c>
      <c r="Q52" s="379">
        <v>57.034999999999997</v>
      </c>
      <c r="R52" s="379">
        <v>59.457999999999998</v>
      </c>
      <c r="S52" s="379">
        <v>64.421000000000006</v>
      </c>
      <c r="T52" s="379">
        <v>66.298000000000002</v>
      </c>
      <c r="U52" s="379">
        <v>67.632000000000005</v>
      </c>
      <c r="V52" s="379">
        <v>72.988</v>
      </c>
      <c r="W52" s="379">
        <v>27.927</v>
      </c>
      <c r="X52" s="380">
        <v>39.502000000000002</v>
      </c>
      <c r="Y52" s="1037">
        <f t="shared" si="0"/>
        <v>41.447344863393852</v>
      </c>
      <c r="Z52" s="487"/>
    </row>
    <row r="53" spans="1:26" s="25" customFormat="1" ht="12.75" customHeight="1" x14ac:dyDescent="0.2">
      <c r="A53" s="18"/>
      <c r="B53" s="150">
        <v>46</v>
      </c>
      <c r="C53" s="395"/>
      <c r="D53" s="755" t="s">
        <v>63</v>
      </c>
      <c r="E53" s="1036" t="s">
        <v>108</v>
      </c>
      <c r="F53" s="378">
        <v>38.104999999999997</v>
      </c>
      <c r="G53" s="378">
        <v>49.732999999999997</v>
      </c>
      <c r="H53" s="378">
        <v>66.128</v>
      </c>
      <c r="I53" s="378">
        <v>67.73</v>
      </c>
      <c r="J53" s="378">
        <v>77.022999999999996</v>
      </c>
      <c r="K53" s="378">
        <v>76.405000000000001</v>
      </c>
      <c r="L53" s="378">
        <v>62.496000000000002</v>
      </c>
      <c r="M53" s="378">
        <v>61.311</v>
      </c>
      <c r="N53" s="378">
        <v>57.308999999999997</v>
      </c>
      <c r="O53" s="378">
        <v>48.478000000000002</v>
      </c>
      <c r="P53" s="378">
        <v>44.912999999999997</v>
      </c>
      <c r="Q53" s="378">
        <v>43.795000000000002</v>
      </c>
      <c r="R53" s="378">
        <v>46.631999999999998</v>
      </c>
      <c r="S53" s="378">
        <v>50.326999999999998</v>
      </c>
      <c r="T53" s="378">
        <v>55.860999999999997</v>
      </c>
      <c r="U53" s="378">
        <v>62.793999999999997</v>
      </c>
      <c r="V53" s="378">
        <v>66.061000000000007</v>
      </c>
      <c r="W53" s="378">
        <v>26.98</v>
      </c>
      <c r="X53" s="381">
        <v>38.658999999999999</v>
      </c>
      <c r="Y53" s="1036">
        <f t="shared" si="0"/>
        <v>43.287620459599708</v>
      </c>
      <c r="Z53" s="487"/>
    </row>
    <row r="54" spans="1:26" s="25" customFormat="1" ht="12.75" customHeight="1" x14ac:dyDescent="0.2">
      <c r="A54" s="18"/>
      <c r="B54" s="150">
        <v>47</v>
      </c>
      <c r="C54" s="394"/>
      <c r="D54" s="596" t="s">
        <v>608</v>
      </c>
      <c r="E54" s="1037" t="s">
        <v>111</v>
      </c>
      <c r="F54" s="379">
        <v>57.832000000000001</v>
      </c>
      <c r="G54" s="379">
        <v>51.414999999999999</v>
      </c>
      <c r="H54" s="379">
        <v>48.987000000000002</v>
      </c>
      <c r="I54" s="379">
        <v>52.281999999999996</v>
      </c>
      <c r="J54" s="379">
        <v>64.061000000000007</v>
      </c>
      <c r="K54" s="379">
        <v>59.944000000000003</v>
      </c>
      <c r="L54" s="379">
        <v>56.061999999999998</v>
      </c>
      <c r="M54" s="379">
        <v>55.865000000000002</v>
      </c>
      <c r="N54" s="379">
        <v>55.021999999999998</v>
      </c>
      <c r="O54" s="379">
        <v>54.155000000000001</v>
      </c>
      <c r="P54" s="379">
        <v>48.704000000000001</v>
      </c>
      <c r="Q54" s="379">
        <v>51.21</v>
      </c>
      <c r="R54" s="379">
        <v>52.857999999999997</v>
      </c>
      <c r="S54" s="379">
        <v>55.994</v>
      </c>
      <c r="T54" s="379">
        <v>67.786000000000001</v>
      </c>
      <c r="U54" s="379">
        <v>72.962999999999994</v>
      </c>
      <c r="V54" s="379">
        <v>78.376999999999995</v>
      </c>
      <c r="W54" s="379">
        <v>25.571000000000002</v>
      </c>
      <c r="X54" s="380">
        <v>37.005000000000003</v>
      </c>
      <c r="Y54" s="1037">
        <f t="shared" si="0"/>
        <v>44.7147158890931</v>
      </c>
      <c r="Z54" s="487"/>
    </row>
    <row r="55" spans="1:26" s="25" customFormat="1" ht="12.75" customHeight="1" x14ac:dyDescent="0.2">
      <c r="A55" s="18"/>
      <c r="B55" s="150">
        <v>48</v>
      </c>
      <c r="C55" s="395"/>
      <c r="D55" s="755" t="s">
        <v>492</v>
      </c>
      <c r="E55" s="1036" t="s">
        <v>106</v>
      </c>
      <c r="F55" s="378"/>
      <c r="G55" s="378"/>
      <c r="H55" s="378"/>
      <c r="I55" s="378">
        <v>24.658000000000001</v>
      </c>
      <c r="J55" s="378">
        <v>26.815000000000001</v>
      </c>
      <c r="K55" s="378">
        <v>26.867999999999999</v>
      </c>
      <c r="L55" s="378">
        <v>25.649000000000001</v>
      </c>
      <c r="M55" s="378">
        <v>27.523</v>
      </c>
      <c r="N55" s="378">
        <v>27.292999999999999</v>
      </c>
      <c r="O55" s="378">
        <v>24.673999999999999</v>
      </c>
      <c r="P55" s="378">
        <v>24.763999999999999</v>
      </c>
      <c r="Q55" s="378">
        <v>26.472000000000001</v>
      </c>
      <c r="R55" s="378">
        <v>29.02</v>
      </c>
      <c r="S55" s="378">
        <v>29.306000000000001</v>
      </c>
      <c r="T55" s="378">
        <v>28.329000000000001</v>
      </c>
      <c r="U55" s="378">
        <v>29.364999999999998</v>
      </c>
      <c r="V55" s="378">
        <v>30.048999999999999</v>
      </c>
      <c r="W55" s="378">
        <v>32.447000000000003</v>
      </c>
      <c r="X55" s="381">
        <v>36.819000000000003</v>
      </c>
      <c r="Y55" s="1036">
        <f t="shared" si="0"/>
        <v>13.474281135390015</v>
      </c>
      <c r="Z55" s="487"/>
    </row>
    <row r="56" spans="1:26" s="25" customFormat="1" ht="12.75" customHeight="1" x14ac:dyDescent="0.2">
      <c r="A56" s="33"/>
      <c r="B56" s="149">
        <v>49</v>
      </c>
      <c r="C56" s="595"/>
      <c r="D56" s="596" t="s">
        <v>493</v>
      </c>
      <c r="E56" s="1037" t="s">
        <v>108</v>
      </c>
      <c r="F56" s="597">
        <v>40.671999999999997</v>
      </c>
      <c r="G56" s="597">
        <v>41.186999999999998</v>
      </c>
      <c r="H56" s="597">
        <v>42.006999999999998</v>
      </c>
      <c r="I56" s="597">
        <v>43.34</v>
      </c>
      <c r="J56" s="597">
        <v>46.752000000000002</v>
      </c>
      <c r="K56" s="597">
        <v>48.43</v>
      </c>
      <c r="L56" s="597">
        <v>39.573999999999998</v>
      </c>
      <c r="M56" s="597">
        <v>43.075000000000003</v>
      </c>
      <c r="N56" s="597">
        <v>46.561999999999998</v>
      </c>
      <c r="O56" s="597">
        <v>41.947000000000003</v>
      </c>
      <c r="P56" s="597">
        <v>41.253999999999998</v>
      </c>
      <c r="Q56" s="597">
        <v>46.741999999999997</v>
      </c>
      <c r="R56" s="597">
        <v>47.472000000000001</v>
      </c>
      <c r="S56" s="597">
        <v>51.576000000000001</v>
      </c>
      <c r="T56" s="597">
        <v>55.835999999999999</v>
      </c>
      <c r="U56" s="379">
        <v>57.649000000000001</v>
      </c>
      <c r="V56" s="379">
        <v>57.468000000000004</v>
      </c>
      <c r="W56" s="379">
        <v>27.648</v>
      </c>
      <c r="X56" s="380">
        <v>36.061</v>
      </c>
      <c r="Y56" s="1037">
        <f t="shared" si="0"/>
        <v>30.428964120370381</v>
      </c>
      <c r="Z56" s="487"/>
    </row>
    <row r="57" spans="1:26" s="25" customFormat="1" ht="9.75" customHeight="1" x14ac:dyDescent="0.2">
      <c r="A57" s="18"/>
      <c r="B57" s="598">
        <v>50</v>
      </c>
      <c r="C57" s="599"/>
      <c r="D57" s="600" t="s">
        <v>619</v>
      </c>
      <c r="E57" s="1038" t="s">
        <v>103</v>
      </c>
      <c r="F57" s="601">
        <v>43.511000000000003</v>
      </c>
      <c r="G57" s="601">
        <v>50.67</v>
      </c>
      <c r="H57" s="601">
        <v>47.28</v>
      </c>
      <c r="I57" s="601">
        <v>47.46</v>
      </c>
      <c r="J57" s="601">
        <v>49.398000000000003</v>
      </c>
      <c r="K57" s="601">
        <v>46.951999999999998</v>
      </c>
      <c r="L57" s="601">
        <v>49.314</v>
      </c>
      <c r="M57" s="601">
        <v>43.972999999999999</v>
      </c>
      <c r="N57" s="601">
        <v>42.76</v>
      </c>
      <c r="O57" s="601">
        <v>42.448999999999998</v>
      </c>
      <c r="P57" s="601">
        <v>39.015000000000001</v>
      </c>
      <c r="Q57" s="601">
        <v>45.109000000000002</v>
      </c>
      <c r="R57" s="601">
        <v>46.548999999999999</v>
      </c>
      <c r="S57" s="601">
        <v>47.680999999999997</v>
      </c>
      <c r="T57" s="601">
        <v>52.35</v>
      </c>
      <c r="U57" s="451">
        <v>50.207999999999998</v>
      </c>
      <c r="V57" s="451">
        <v>50.722000000000001</v>
      </c>
      <c r="W57" s="451">
        <v>24.024999999999999</v>
      </c>
      <c r="X57" s="450">
        <v>35.991</v>
      </c>
      <c r="Y57" s="1038">
        <f t="shared" si="0"/>
        <v>49.806451612903231</v>
      </c>
      <c r="Z57" s="487"/>
    </row>
    <row r="58" spans="1:26" ht="12.6" customHeight="1" x14ac:dyDescent="0.2">
      <c r="A58" s="18"/>
      <c r="B58" s="284"/>
      <c r="C58" s="284"/>
      <c r="D58" s="1111" t="s">
        <v>424</v>
      </c>
      <c r="E58" s="1111"/>
      <c r="F58" s="1111"/>
      <c r="G58" s="1111"/>
      <c r="H58" s="1111"/>
      <c r="I58" s="1111"/>
      <c r="J58" s="1111"/>
      <c r="K58" s="1111"/>
      <c r="L58" s="1111"/>
      <c r="M58" s="1111"/>
      <c r="N58" s="1111"/>
      <c r="O58" s="1111"/>
      <c r="P58" s="1111"/>
      <c r="Q58" s="1111"/>
      <c r="R58" s="1111"/>
      <c r="S58" s="1111"/>
      <c r="T58" s="1111"/>
      <c r="U58" s="584"/>
      <c r="V58" s="729"/>
      <c r="W58" s="790"/>
      <c r="X58" s="790"/>
    </row>
    <row r="59" spans="1:26" s="25" customFormat="1" ht="12.75" customHeight="1" x14ac:dyDescent="0.2">
      <c r="A59" s="18"/>
      <c r="B59" s="284"/>
      <c r="C59" s="284"/>
      <c r="D59" s="108"/>
      <c r="E59" s="6"/>
      <c r="F59"/>
      <c r="G59"/>
      <c r="H59"/>
      <c r="I59"/>
      <c r="J59" s="487"/>
      <c r="K59"/>
      <c r="L59"/>
      <c r="M59" s="181"/>
      <c r="N59"/>
      <c r="O59" s="203"/>
      <c r="P59" s="284"/>
      <c r="Q59" s="344"/>
      <c r="R59" s="416"/>
      <c r="S59" s="436"/>
      <c r="T59" s="487"/>
      <c r="U59" s="585"/>
      <c r="V59" s="730"/>
      <c r="W59" s="789"/>
      <c r="X59" s="891"/>
      <c r="Y59" s="547"/>
      <c r="Z59" s="487"/>
    </row>
    <row r="60" spans="1:26" ht="12.6" customHeight="1" x14ac:dyDescent="0.2">
      <c r="A60" s="18"/>
      <c r="B60" s="284"/>
      <c r="C60" s="284"/>
      <c r="D60" s="717"/>
      <c r="E60" s="284"/>
      <c r="F60" s="284"/>
      <c r="G60" s="284"/>
      <c r="H60" s="284"/>
      <c r="I60" s="284"/>
      <c r="K60" s="284"/>
      <c r="L60" s="284"/>
      <c r="M60" s="284"/>
      <c r="N60" s="284"/>
      <c r="O60" s="284"/>
    </row>
    <row r="61" spans="1:26" s="25" customFormat="1" ht="12.75" customHeight="1" x14ac:dyDescent="0.2">
      <c r="A61" s="18"/>
      <c r="B61" s="284"/>
      <c r="C61" s="284"/>
      <c r="D61" s="284"/>
      <c r="E61" s="284"/>
      <c r="F61" s="284"/>
      <c r="G61" s="284"/>
      <c r="H61" s="284"/>
      <c r="I61" s="284"/>
      <c r="J61" s="487"/>
      <c r="K61" s="284"/>
      <c r="L61" s="284"/>
      <c r="M61" s="284"/>
      <c r="N61" s="1"/>
      <c r="O61" s="284"/>
      <c r="P61" s="284"/>
      <c r="Q61" s="344"/>
      <c r="R61" s="416"/>
      <c r="S61" s="436"/>
      <c r="T61" s="487"/>
      <c r="U61" s="585"/>
      <c r="V61" s="730"/>
      <c r="W61" s="789"/>
      <c r="X61" s="891"/>
      <c r="Y61" s="547"/>
      <c r="Z61" s="487"/>
    </row>
    <row r="62" spans="1:26" ht="12.6" customHeight="1" x14ac:dyDescent="0.2">
      <c r="A62" s="18"/>
      <c r="B62" s="284"/>
      <c r="C62" s="284"/>
      <c r="D62" s="284"/>
      <c r="E62" s="284"/>
      <c r="F62" s="284"/>
      <c r="G62" s="284"/>
      <c r="H62" s="284"/>
      <c r="I62" s="284"/>
      <c r="K62" s="284"/>
      <c r="L62" s="284"/>
      <c r="M62" s="284"/>
      <c r="N62" s="1"/>
      <c r="O62" s="284"/>
    </row>
    <row r="63" spans="1:26" s="25" customFormat="1" ht="12.75" customHeight="1" x14ac:dyDescent="0.2">
      <c r="A63" s="18"/>
      <c r="B63" s="284"/>
      <c r="C63" s="284"/>
      <c r="D63" s="284"/>
      <c r="E63" s="284"/>
      <c r="F63" s="284"/>
      <c r="G63" s="284"/>
      <c r="H63" s="284"/>
      <c r="I63" s="284"/>
      <c r="J63" s="487"/>
      <c r="K63" s="284"/>
      <c r="L63" s="284"/>
      <c r="M63" s="284"/>
      <c r="N63" s="284"/>
      <c r="O63" s="284"/>
      <c r="P63" s="284"/>
      <c r="Q63" s="344"/>
      <c r="R63" s="416"/>
      <c r="S63" s="436"/>
      <c r="T63" s="487"/>
      <c r="U63" s="585"/>
      <c r="V63" s="730"/>
      <c r="W63" s="789"/>
      <c r="X63" s="891"/>
      <c r="Y63" s="547"/>
      <c r="Z63" s="487"/>
    </row>
    <row r="64" spans="1:26" ht="12.6" customHeight="1" x14ac:dyDescent="0.2">
      <c r="A64" s="18"/>
      <c r="B64" s="284"/>
      <c r="C64" s="284"/>
      <c r="D64" s="284"/>
      <c r="E64" s="284"/>
      <c r="F64" s="284"/>
      <c r="G64" s="284"/>
      <c r="H64" s="284"/>
      <c r="I64" s="284"/>
      <c r="K64" s="284"/>
      <c r="L64" s="284"/>
      <c r="M64" s="284"/>
      <c r="N64" s="284"/>
      <c r="O64" s="284"/>
    </row>
    <row r="65" spans="1:26" s="25" customFormat="1" ht="12.75" customHeight="1" x14ac:dyDescent="0.2">
      <c r="A65" s="18"/>
      <c r="B65" s="203"/>
      <c r="C65" s="203"/>
      <c r="D65" s="203"/>
      <c r="E65" s="203"/>
      <c r="F65" s="203"/>
      <c r="G65" s="203"/>
      <c r="H65" s="203"/>
      <c r="I65" s="203"/>
      <c r="J65" s="487"/>
      <c r="K65" s="203"/>
      <c r="L65" s="203"/>
      <c r="M65" s="203"/>
      <c r="N65" s="203"/>
      <c r="O65" s="203"/>
      <c r="P65" s="284"/>
      <c r="Q65" s="344"/>
      <c r="R65" s="416"/>
      <c r="S65" s="436"/>
      <c r="T65" s="487"/>
      <c r="U65" s="585"/>
      <c r="V65" s="730"/>
      <c r="W65" s="789"/>
      <c r="X65" s="891"/>
      <c r="Y65" s="547"/>
      <c r="Z65" s="487"/>
    </row>
    <row r="66" spans="1:26" s="25" customFormat="1" ht="12.75" customHeight="1" x14ac:dyDescent="0.2">
      <c r="A66" s="18"/>
      <c r="B66" s="203"/>
      <c r="C66" s="203"/>
      <c r="D66"/>
      <c r="E66" s="6"/>
      <c r="F66"/>
      <c r="G66"/>
      <c r="H66"/>
      <c r="I66"/>
      <c r="J66" s="487"/>
      <c r="K66"/>
      <c r="L66"/>
      <c r="M66" s="181"/>
      <c r="N66"/>
      <c r="O66" s="203"/>
      <c r="P66" s="284"/>
      <c r="Q66" s="344"/>
      <c r="R66" s="416"/>
      <c r="S66" s="436"/>
      <c r="T66" s="487"/>
      <c r="U66" s="585"/>
      <c r="V66" s="730"/>
      <c r="W66" s="789"/>
      <c r="X66" s="891"/>
      <c r="Y66" s="547"/>
      <c r="Z66" s="487"/>
    </row>
    <row r="67" spans="1:26" ht="12.6" customHeight="1" x14ac:dyDescent="0.2">
      <c r="A67" s="18"/>
      <c r="B67" s="203"/>
      <c r="C67" s="203"/>
    </row>
    <row r="68" spans="1:26" ht="12.75" customHeight="1" x14ac:dyDescent="0.2">
      <c r="A68" s="18"/>
      <c r="B68" s="203"/>
      <c r="C68" s="203"/>
      <c r="D68" s="203"/>
      <c r="E68" s="203"/>
      <c r="F68" s="203"/>
      <c r="G68" s="203"/>
      <c r="H68" s="203"/>
      <c r="I68" s="203"/>
      <c r="K68" s="203"/>
      <c r="L68" s="203"/>
      <c r="M68" s="203"/>
      <c r="N68" s="203"/>
    </row>
    <row r="69" spans="1:26" ht="12.75" customHeight="1" x14ac:dyDescent="0.2">
      <c r="A69" s="18"/>
      <c r="B69" s="203"/>
      <c r="C69" s="203"/>
      <c r="D69" s="203"/>
      <c r="E69" s="203"/>
      <c r="F69" s="203"/>
      <c r="G69" s="203"/>
      <c r="H69" s="203"/>
      <c r="I69" s="203"/>
      <c r="K69" s="203"/>
      <c r="L69" s="203"/>
      <c r="M69" s="203"/>
      <c r="N69" s="203"/>
    </row>
    <row r="70" spans="1:26" s="25" customFormat="1" ht="12.6" customHeight="1" x14ac:dyDescent="0.2">
      <c r="A70" s="18"/>
      <c r="B70" s="203"/>
      <c r="C70" s="203"/>
      <c r="D70" s="203"/>
      <c r="E70" s="203"/>
      <c r="F70" s="203"/>
      <c r="G70" s="203"/>
      <c r="H70" s="203"/>
      <c r="I70" s="203"/>
      <c r="J70" s="487"/>
      <c r="K70" s="203"/>
      <c r="L70" s="203"/>
      <c r="M70" s="203"/>
      <c r="N70" s="203"/>
      <c r="O70" s="203"/>
      <c r="P70" s="284"/>
      <c r="Q70" s="344"/>
      <c r="R70" s="416"/>
      <c r="S70" s="436"/>
      <c r="T70" s="487"/>
      <c r="U70" s="585"/>
      <c r="V70" s="730"/>
      <c r="W70" s="789"/>
      <c r="X70" s="891"/>
      <c r="Y70" s="547"/>
      <c r="Z70" s="487"/>
    </row>
    <row r="71" spans="1:26" ht="12.6" customHeight="1" x14ac:dyDescent="0.2">
      <c r="A71" s="8"/>
      <c r="B71" s="203"/>
      <c r="C71" s="203"/>
      <c r="D71" s="203"/>
      <c r="E71" s="203"/>
      <c r="F71" s="203"/>
      <c r="G71" s="203"/>
      <c r="H71" s="203"/>
      <c r="I71" s="203"/>
      <c r="K71" s="203"/>
      <c r="L71" s="203"/>
      <c r="M71" s="203"/>
      <c r="N71" s="203"/>
    </row>
    <row r="72" spans="1:26" ht="12.6" customHeight="1" x14ac:dyDescent="0.2">
      <c r="A72" s="8"/>
      <c r="B72" s="203"/>
      <c r="C72" s="203"/>
      <c r="D72" s="203"/>
      <c r="E72" s="203"/>
      <c r="F72" s="203"/>
      <c r="G72" s="203"/>
      <c r="H72" s="203"/>
      <c r="I72" s="203"/>
      <c r="K72" s="203"/>
      <c r="L72" s="203"/>
      <c r="M72" s="203"/>
      <c r="N72" s="203"/>
    </row>
    <row r="73" spans="1:26" ht="12.75" customHeight="1" x14ac:dyDescent="0.2">
      <c r="A73" s="18"/>
    </row>
    <row r="74" spans="1:26" ht="12.75" customHeight="1" x14ac:dyDescent="0.2">
      <c r="A74" s="18"/>
    </row>
    <row r="75" spans="1:26" ht="12.75" customHeight="1" x14ac:dyDescent="0.2">
      <c r="A75" s="18"/>
    </row>
    <row r="76" spans="1:26" ht="12.75" customHeight="1" x14ac:dyDescent="0.2">
      <c r="A76" s="18"/>
    </row>
    <row r="77" spans="1:26" ht="12.75" customHeight="1" x14ac:dyDescent="0.2">
      <c r="A77" s="18"/>
    </row>
    <row r="78" spans="1:26" ht="12.75" customHeight="1" x14ac:dyDescent="0.2">
      <c r="A78" s="18"/>
    </row>
    <row r="79" spans="1:26" ht="12.75" customHeight="1" x14ac:dyDescent="0.2">
      <c r="A79" s="18"/>
    </row>
    <row r="80" spans="1:26" ht="12.75" customHeight="1" x14ac:dyDescent="0.2">
      <c r="A80" s="18"/>
    </row>
    <row r="81" spans="1:1" ht="12.75" customHeight="1" x14ac:dyDescent="0.2">
      <c r="A81" s="18"/>
    </row>
    <row r="82" spans="1:1" ht="12.75" customHeight="1" x14ac:dyDescent="0.2">
      <c r="A82" s="18"/>
    </row>
    <row r="83" spans="1:1" ht="12.75" customHeight="1" x14ac:dyDescent="0.2"/>
    <row r="84" spans="1:1" ht="15" customHeight="1" x14ac:dyDescent="0.2"/>
    <row r="85" spans="1:1" ht="12.75" customHeight="1" x14ac:dyDescent="0.2"/>
  </sheetData>
  <mergeCells count="5">
    <mergeCell ref="D58:T58"/>
    <mergeCell ref="B5:B7"/>
    <mergeCell ref="C2:X2"/>
    <mergeCell ref="C3:X3"/>
    <mergeCell ref="C4:X4"/>
  </mergeCells>
  <phoneticPr fontId="6" type="noConversion"/>
  <hyperlinks>
    <hyperlink ref="D58:T58" r:id="rId1" display="Source: Eurostat [avia_tf_aca]" xr:uid="{00000000-0004-0000-0700-000000000000}"/>
  </hyperlinks>
  <printOptions horizontalCentered="1"/>
  <pageMargins left="0.6692913385826772" right="0.6692913385826772" top="0.17" bottom="0.27559055118110237" header="0" footer="0"/>
  <pageSetup paperSize="9" scale="80"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2">
    <pageSetUpPr fitToPage="1"/>
  </sheetPr>
  <dimension ref="A1:CU42"/>
  <sheetViews>
    <sheetView zoomScaleNormal="100" workbookViewId="0">
      <pane xSplit="2" topLeftCell="C1" activePane="topRight" state="frozen"/>
      <selection pane="topRight" activeCell="DA43" sqref="DA43"/>
    </sheetView>
  </sheetViews>
  <sheetFormatPr defaultRowHeight="12.75" x14ac:dyDescent="0.2"/>
  <cols>
    <col min="1" max="1" width="9.140625" style="529"/>
    <col min="2" max="2" width="12.28515625" customWidth="1"/>
    <col min="3" max="3" width="11.140625" customWidth="1"/>
    <col min="4" max="4" width="6.7109375" customWidth="1"/>
    <col min="5" max="5" width="7.5703125" customWidth="1"/>
    <col min="6" max="6" width="9.85546875" customWidth="1"/>
    <col min="7" max="7" width="10" customWidth="1"/>
    <col min="8" max="8" width="7.85546875" customWidth="1"/>
    <col min="9" max="9" width="8.42578125" style="191" customWidth="1"/>
    <col min="10" max="10" width="8.42578125" style="203" customWidth="1"/>
    <col min="11" max="11" width="9.5703125" customWidth="1"/>
    <col min="12" max="12" width="7.85546875" style="344" customWidth="1"/>
    <col min="13" max="13" width="7.85546875" style="416" customWidth="1"/>
    <col min="14" max="14" width="8.85546875" style="284" customWidth="1"/>
    <col min="15" max="15" width="9.140625" style="487" customWidth="1"/>
    <col min="16" max="16" width="8.140625" style="661" customWidth="1"/>
    <col min="17" max="17" width="7.85546875" style="436" customWidth="1"/>
    <col min="18" max="18" width="8.85546875" style="750" customWidth="1"/>
    <col min="19" max="19" width="7.85546875" style="789" customWidth="1"/>
    <col min="20" max="20" width="7.140625" style="891" customWidth="1"/>
    <col min="21" max="24" width="6.7109375" customWidth="1"/>
    <col min="25" max="25" width="9.28515625" customWidth="1"/>
    <col min="26" max="26" width="6.7109375" customWidth="1"/>
    <col min="27" max="27" width="6.7109375" style="191" customWidth="1"/>
    <col min="28" max="28" width="9.7109375" customWidth="1"/>
    <col min="29" max="29" width="9.85546875" style="203" customWidth="1"/>
    <col min="30" max="30" width="9.85546875" style="284" customWidth="1"/>
    <col min="31" max="31" width="9.85546875" style="416" customWidth="1"/>
    <col min="32" max="32" width="9.85546875" style="344" customWidth="1"/>
    <col min="33" max="33" width="9.85546875" style="487" customWidth="1"/>
    <col min="34" max="34" width="9.85546875" style="661" customWidth="1"/>
    <col min="35" max="35" width="9.85546875" style="436" customWidth="1"/>
    <col min="36" max="36" width="9.85546875" style="750" customWidth="1"/>
    <col min="37" max="37" width="9.85546875" style="789" customWidth="1"/>
    <col min="38" max="38" width="8.5703125" style="891" customWidth="1"/>
    <col min="39" max="40" width="5.7109375" customWidth="1"/>
    <col min="41" max="42" width="6.7109375" customWidth="1"/>
    <col min="43" max="43" width="7.85546875" customWidth="1"/>
    <col min="44" max="44" width="6.7109375" customWidth="1"/>
    <col min="45" max="45" width="6.7109375" style="191" customWidth="1"/>
    <col min="46" max="46" width="6.7109375" style="203" customWidth="1"/>
    <col min="47" max="47" width="6.7109375" customWidth="1"/>
    <col min="48" max="48" width="6.7109375" style="344" customWidth="1"/>
    <col min="49" max="49" width="6.7109375" style="416" customWidth="1"/>
    <col min="50" max="50" width="6.7109375" style="284" customWidth="1"/>
    <col min="51" max="51" width="6.7109375" style="487" customWidth="1"/>
    <col min="52" max="52" width="6.7109375" style="661" customWidth="1"/>
    <col min="53" max="53" width="6.7109375" style="436" customWidth="1"/>
    <col min="54" max="54" width="6.7109375" style="750" customWidth="1"/>
    <col min="55" max="55" width="6.7109375" style="789" customWidth="1"/>
    <col min="56" max="56" width="6.7109375" style="891" customWidth="1"/>
    <col min="57" max="58" width="5.7109375" customWidth="1"/>
    <col min="59" max="60" width="6.7109375" customWidth="1"/>
    <col min="61" max="61" width="8.7109375" customWidth="1"/>
    <col min="62" max="62" width="6.7109375" customWidth="1"/>
    <col min="63" max="63" width="6.7109375" style="191" customWidth="1"/>
    <col min="64" max="64" width="6.7109375" customWidth="1"/>
    <col min="65" max="65" width="6.7109375" style="203" customWidth="1"/>
    <col min="66" max="66" width="6.7109375" style="284" customWidth="1"/>
    <col min="67" max="67" width="6.7109375" style="416" customWidth="1"/>
    <col min="68" max="68" width="6.7109375" style="344" customWidth="1"/>
    <col min="69" max="69" width="6.7109375" style="487" customWidth="1"/>
    <col min="70" max="70" width="6.7109375" style="661" customWidth="1"/>
    <col min="71" max="71" width="6.7109375" style="436" customWidth="1"/>
    <col min="72" max="72" width="6.7109375" style="750" customWidth="1"/>
    <col min="73" max="73" width="6.7109375" style="789" customWidth="1"/>
    <col min="74" max="74" width="6.7109375" style="891" customWidth="1"/>
    <col min="75" max="76" width="5.7109375" customWidth="1"/>
    <col min="77" max="80" width="6.7109375" customWidth="1"/>
    <col min="81" max="81" width="6.7109375" style="191" customWidth="1"/>
    <col min="82" max="82" width="6.7109375" style="203" customWidth="1"/>
    <col min="83" max="83" width="6.7109375" customWidth="1"/>
    <col min="84" max="84" width="6.7109375" style="344" customWidth="1"/>
    <col min="85" max="85" width="6.7109375" style="416" customWidth="1"/>
    <col min="86" max="86" width="6.7109375" style="284" customWidth="1"/>
    <col min="87" max="87" width="6.7109375" style="487" customWidth="1"/>
    <col min="88" max="88" width="6.7109375" style="661" customWidth="1"/>
    <col min="89" max="89" width="6.7109375" style="436" customWidth="1"/>
    <col min="90" max="90" width="6.7109375" style="750" customWidth="1"/>
    <col min="91" max="91" width="5.42578125" style="789" customWidth="1"/>
    <col min="92" max="92" width="5.42578125" style="891" customWidth="1"/>
    <col min="93" max="93" width="4.7109375" customWidth="1"/>
    <col min="94" max="94" width="4" customWidth="1"/>
  </cols>
  <sheetData>
    <row r="1" spans="2:95" ht="14.25" customHeight="1" x14ac:dyDescent="0.2">
      <c r="B1" s="27"/>
      <c r="C1" s="15"/>
      <c r="D1" s="15"/>
      <c r="E1" s="15"/>
      <c r="F1" s="162"/>
      <c r="G1" s="162"/>
      <c r="H1" s="162"/>
      <c r="I1" s="162"/>
      <c r="J1" s="162"/>
      <c r="K1" s="162"/>
      <c r="L1" s="162"/>
      <c r="M1" s="162"/>
      <c r="N1" s="162"/>
      <c r="O1" s="162"/>
      <c r="P1" s="162"/>
      <c r="Q1" s="162"/>
      <c r="R1" s="162"/>
      <c r="S1" s="162"/>
      <c r="T1" s="162"/>
      <c r="U1" s="15"/>
      <c r="V1" s="15"/>
      <c r="W1" s="15"/>
      <c r="X1" s="15"/>
      <c r="Y1" s="259"/>
      <c r="Z1" s="259"/>
      <c r="AA1" s="259"/>
      <c r="AB1" s="259"/>
      <c r="AC1" s="259"/>
      <c r="AD1" s="259"/>
      <c r="AE1" s="259"/>
      <c r="AF1" s="259"/>
      <c r="AG1" s="259"/>
      <c r="AH1" s="15"/>
      <c r="AI1" s="15"/>
      <c r="AJ1" s="15"/>
      <c r="AK1" s="15"/>
      <c r="AL1" s="15"/>
      <c r="CO1" s="28" t="s">
        <v>255</v>
      </c>
    </row>
    <row r="2" spans="2:95" ht="30" customHeight="1" x14ac:dyDescent="0.2">
      <c r="B2" s="1117" t="s">
        <v>408</v>
      </c>
      <c r="C2" s="1117"/>
      <c r="D2" s="1117"/>
      <c r="E2" s="1117"/>
      <c r="F2" s="1117"/>
      <c r="G2" s="1117"/>
      <c r="H2" s="1117"/>
      <c r="I2" s="1117"/>
      <c r="J2" s="1117"/>
      <c r="K2" s="1117"/>
      <c r="L2" s="1117"/>
      <c r="M2" s="1117"/>
      <c r="N2" s="1117"/>
      <c r="O2" s="1117"/>
      <c r="P2" s="1117"/>
      <c r="Q2" s="1117"/>
      <c r="R2" s="1117"/>
      <c r="S2" s="1117"/>
      <c r="T2" s="1117"/>
      <c r="U2" s="1117"/>
      <c r="V2" s="1117"/>
      <c r="W2" s="1117"/>
      <c r="X2" s="1117"/>
      <c r="Y2" s="1117"/>
      <c r="Z2" s="1117"/>
      <c r="AA2" s="1117"/>
      <c r="AB2" s="1117"/>
      <c r="AC2" s="1117"/>
      <c r="AD2" s="1117"/>
      <c r="AE2" s="1117"/>
      <c r="AF2" s="1117"/>
      <c r="AG2" s="1117"/>
      <c r="AH2" s="1117"/>
      <c r="AI2" s="1117"/>
      <c r="AJ2" s="1117"/>
      <c r="AK2" s="1117"/>
      <c r="AL2" s="1117"/>
      <c r="AM2" s="1117"/>
      <c r="AN2" s="1117"/>
      <c r="AO2" s="1117"/>
      <c r="AP2" s="1117"/>
      <c r="AQ2" s="1117"/>
      <c r="AR2" s="1117"/>
      <c r="AS2" s="1117"/>
      <c r="AT2" s="1117"/>
      <c r="AU2" s="1117"/>
      <c r="AV2" s="1117"/>
      <c r="AW2" s="1117"/>
      <c r="AX2" s="1117"/>
      <c r="AY2" s="1117"/>
      <c r="AZ2" s="1117"/>
      <c r="BA2" s="1117"/>
      <c r="BB2" s="1117"/>
      <c r="BC2" s="1117"/>
      <c r="BD2" s="1117"/>
      <c r="BE2" s="1117"/>
      <c r="BF2" s="1117"/>
      <c r="BG2" s="1117"/>
      <c r="BH2" s="1117"/>
      <c r="BI2" s="1117"/>
      <c r="BJ2" s="1117"/>
      <c r="BK2" s="1117"/>
      <c r="BL2" s="1117"/>
      <c r="BM2" s="1117"/>
      <c r="BN2" s="1117"/>
      <c r="BO2" s="1117"/>
      <c r="BP2" s="1117"/>
      <c r="BQ2" s="1117"/>
      <c r="BR2" s="1117"/>
      <c r="BS2" s="1117"/>
      <c r="BT2" s="1117"/>
      <c r="BU2" s="1117"/>
      <c r="BV2" s="1117"/>
      <c r="BW2" s="1117"/>
      <c r="BX2" s="1117"/>
      <c r="BY2" s="1117"/>
      <c r="BZ2" s="1117"/>
      <c r="CA2" s="1117"/>
      <c r="CB2" s="1117"/>
      <c r="CC2" s="1117"/>
      <c r="CD2" s="1117"/>
      <c r="CE2" s="1117"/>
      <c r="CF2" s="1117"/>
      <c r="CG2" s="1117"/>
      <c r="CH2" s="1117"/>
      <c r="CI2" s="1117"/>
      <c r="CJ2" s="1117"/>
      <c r="CK2" s="1117"/>
      <c r="CL2" s="1117"/>
      <c r="CM2" s="1117"/>
      <c r="CN2" s="1118"/>
      <c r="CO2" s="1118"/>
    </row>
    <row r="3" spans="2:95" ht="12.75" customHeight="1" x14ac:dyDescent="0.2">
      <c r="B3" s="105"/>
      <c r="C3" s="1125" t="s">
        <v>205</v>
      </c>
      <c r="D3" s="1126"/>
      <c r="E3" s="1126"/>
      <c r="F3" s="1126"/>
      <c r="G3" s="1126"/>
      <c r="H3" s="1126"/>
      <c r="I3" s="1126"/>
      <c r="J3" s="1126"/>
      <c r="K3" s="1126"/>
      <c r="L3" s="1126"/>
      <c r="M3" s="1126"/>
      <c r="N3" s="1126"/>
      <c r="O3" s="1126"/>
      <c r="P3" s="1126"/>
      <c r="Q3" s="1126"/>
      <c r="R3" s="1126"/>
      <c r="S3" s="1126"/>
      <c r="T3" s="1126"/>
      <c r="U3" s="1126"/>
      <c r="V3" s="1126"/>
      <c r="W3" s="1126"/>
      <c r="X3" s="1126"/>
      <c r="Y3" s="1126"/>
      <c r="Z3" s="1126"/>
      <c r="AA3" s="1126"/>
      <c r="AB3" s="1126"/>
      <c r="AC3" s="1126"/>
      <c r="AD3" s="1126"/>
      <c r="AE3" s="1126"/>
      <c r="AF3" s="1126"/>
      <c r="AG3" s="1126"/>
      <c r="AH3" s="1126"/>
      <c r="AI3" s="1126"/>
      <c r="AJ3" s="1126"/>
      <c r="AK3" s="1126"/>
      <c r="AL3" s="1127"/>
      <c r="AM3" s="1125" t="s">
        <v>206</v>
      </c>
      <c r="AN3" s="1126"/>
      <c r="AO3" s="1126"/>
      <c r="AP3" s="1126"/>
      <c r="AQ3" s="1126"/>
      <c r="AR3" s="1126"/>
      <c r="AS3" s="1126"/>
      <c r="AT3" s="1126"/>
      <c r="AU3" s="1126"/>
      <c r="AV3" s="1126"/>
      <c r="AW3" s="1126"/>
      <c r="AX3" s="1126"/>
      <c r="AY3" s="1126"/>
      <c r="AZ3" s="1126"/>
      <c r="BA3" s="1126"/>
      <c r="BB3" s="1126"/>
      <c r="BC3" s="1126"/>
      <c r="BD3" s="1126"/>
      <c r="BE3" s="1126"/>
      <c r="BF3" s="1126"/>
      <c r="BG3" s="1126"/>
      <c r="BH3" s="1126"/>
      <c r="BI3" s="1126"/>
      <c r="BJ3" s="1126"/>
      <c r="BK3" s="1126"/>
      <c r="BL3" s="1126"/>
      <c r="BM3" s="1126"/>
      <c r="BN3" s="1126"/>
      <c r="BO3" s="1126"/>
      <c r="BP3" s="1126"/>
      <c r="BQ3" s="1126"/>
      <c r="BR3" s="1126"/>
      <c r="BS3" s="1126"/>
      <c r="BT3" s="1126"/>
      <c r="BU3" s="1126"/>
      <c r="BV3" s="1127"/>
      <c r="BW3" s="1119" t="s">
        <v>535</v>
      </c>
      <c r="BX3" s="1120"/>
      <c r="BY3" s="1120"/>
      <c r="BZ3" s="1120"/>
      <c r="CA3" s="1120"/>
      <c r="CB3" s="1120"/>
      <c r="CC3" s="1120"/>
      <c r="CD3" s="1120"/>
      <c r="CE3" s="1120"/>
      <c r="CF3" s="1120"/>
      <c r="CG3" s="1120"/>
      <c r="CH3" s="1120"/>
      <c r="CI3" s="1120"/>
      <c r="CJ3" s="1120"/>
      <c r="CK3" s="1120"/>
      <c r="CL3" s="1120"/>
      <c r="CM3" s="1120"/>
      <c r="CN3" s="1121"/>
      <c r="CO3" s="67"/>
    </row>
    <row r="4" spans="2:95" ht="20.25" customHeight="1" x14ac:dyDescent="0.2">
      <c r="B4" s="105"/>
      <c r="C4" s="1128" t="s">
        <v>207</v>
      </c>
      <c r="D4" s="1129"/>
      <c r="E4" s="1129"/>
      <c r="F4" s="1129"/>
      <c r="G4" s="1129"/>
      <c r="H4" s="1129"/>
      <c r="I4" s="1129"/>
      <c r="J4" s="1129"/>
      <c r="K4" s="1129"/>
      <c r="L4" s="1129"/>
      <c r="M4" s="1129"/>
      <c r="N4" s="1129"/>
      <c r="O4" s="1129"/>
      <c r="P4" s="1129"/>
      <c r="Q4" s="1129"/>
      <c r="R4" s="1129"/>
      <c r="S4" s="1129"/>
      <c r="T4" s="1129"/>
      <c r="U4" s="1129"/>
      <c r="V4" s="1129"/>
      <c r="W4" s="1129"/>
      <c r="X4" s="1129"/>
      <c r="Y4" s="1129"/>
      <c r="Z4" s="1129"/>
      <c r="AA4" s="1129"/>
      <c r="AB4" s="1129"/>
      <c r="AC4" s="1129"/>
      <c r="AD4" s="1129"/>
      <c r="AE4" s="1129"/>
      <c r="AF4" s="1129"/>
      <c r="AG4" s="1129"/>
      <c r="AH4" s="1129"/>
      <c r="AI4" s="1129"/>
      <c r="AJ4" s="1129"/>
      <c r="AK4" s="1129"/>
      <c r="AL4" s="1130"/>
      <c r="AM4" s="1128" t="s">
        <v>208</v>
      </c>
      <c r="AN4" s="1129"/>
      <c r="AO4" s="1129"/>
      <c r="AP4" s="1129"/>
      <c r="AQ4" s="1129"/>
      <c r="AR4" s="1129"/>
      <c r="AS4" s="1129"/>
      <c r="AT4" s="1129"/>
      <c r="AU4" s="1129"/>
      <c r="AV4" s="1129"/>
      <c r="AW4" s="1129"/>
      <c r="AX4" s="1129"/>
      <c r="AY4" s="1129"/>
      <c r="AZ4" s="1129"/>
      <c r="BA4" s="1129"/>
      <c r="BB4" s="1129"/>
      <c r="BC4" s="1129"/>
      <c r="BD4" s="1129"/>
      <c r="BE4" s="1129"/>
      <c r="BF4" s="1129"/>
      <c r="BG4" s="1129"/>
      <c r="BH4" s="1129"/>
      <c r="BI4" s="1129"/>
      <c r="BJ4" s="1129"/>
      <c r="BK4" s="1129"/>
      <c r="BL4" s="1129"/>
      <c r="BM4" s="1129"/>
      <c r="BN4" s="1129"/>
      <c r="BO4" s="1129"/>
      <c r="BP4" s="1129"/>
      <c r="BQ4" s="1129"/>
      <c r="BR4" s="1129"/>
      <c r="BS4" s="1129"/>
      <c r="BT4" s="1129"/>
      <c r="BU4" s="1129"/>
      <c r="BV4" s="1130"/>
      <c r="BW4" s="1122"/>
      <c r="BX4" s="1123"/>
      <c r="BY4" s="1123"/>
      <c r="BZ4" s="1123"/>
      <c r="CA4" s="1123"/>
      <c r="CB4" s="1123"/>
      <c r="CC4" s="1123"/>
      <c r="CD4" s="1123"/>
      <c r="CE4" s="1123"/>
      <c r="CF4" s="1123"/>
      <c r="CG4" s="1123"/>
      <c r="CH4" s="1123"/>
      <c r="CI4" s="1123"/>
      <c r="CJ4" s="1123"/>
      <c r="CK4" s="1123"/>
      <c r="CL4" s="1123"/>
      <c r="CM4" s="1123"/>
      <c r="CN4" s="1124"/>
      <c r="CO4" s="67"/>
    </row>
    <row r="5" spans="2:95" ht="12.75" customHeight="1" x14ac:dyDescent="0.2">
      <c r="B5" s="105"/>
      <c r="C5" s="1114" t="s">
        <v>209</v>
      </c>
      <c r="D5" s="1115"/>
      <c r="E5" s="1115"/>
      <c r="F5" s="1115"/>
      <c r="G5" s="1115"/>
      <c r="H5" s="1115"/>
      <c r="I5" s="1115"/>
      <c r="J5" s="1115"/>
      <c r="K5" s="1115"/>
      <c r="L5" s="1115"/>
      <c r="M5" s="1115"/>
      <c r="N5" s="1115"/>
      <c r="O5" s="1115"/>
      <c r="P5" s="1115"/>
      <c r="Q5" s="1115"/>
      <c r="R5" s="1115"/>
      <c r="S5" s="1115"/>
      <c r="T5" s="1116"/>
      <c r="U5" s="1114" t="s">
        <v>210</v>
      </c>
      <c r="V5" s="1115"/>
      <c r="W5" s="1115"/>
      <c r="X5" s="1115"/>
      <c r="Y5" s="1115"/>
      <c r="Z5" s="1115"/>
      <c r="AA5" s="1115"/>
      <c r="AB5" s="1115"/>
      <c r="AC5" s="1115"/>
      <c r="AD5" s="1115"/>
      <c r="AE5" s="1115"/>
      <c r="AF5" s="1115"/>
      <c r="AG5" s="1115"/>
      <c r="AH5" s="1115"/>
      <c r="AI5" s="1115"/>
      <c r="AJ5" s="1115"/>
      <c r="AK5" s="1115"/>
      <c r="AL5" s="1116"/>
      <c r="AM5" s="1114" t="s">
        <v>209</v>
      </c>
      <c r="AN5" s="1115"/>
      <c r="AO5" s="1115"/>
      <c r="AP5" s="1115"/>
      <c r="AQ5" s="1115"/>
      <c r="AR5" s="1115"/>
      <c r="AS5" s="1115"/>
      <c r="AT5" s="1115"/>
      <c r="AU5" s="1115"/>
      <c r="AV5" s="1115"/>
      <c r="AW5" s="1115"/>
      <c r="AX5" s="1115"/>
      <c r="AY5" s="1115"/>
      <c r="AZ5" s="1115"/>
      <c r="BA5" s="1115"/>
      <c r="BB5" s="1115"/>
      <c r="BC5" s="1115"/>
      <c r="BD5" s="1115"/>
      <c r="BE5" s="1115" t="s">
        <v>210</v>
      </c>
      <c r="BF5" s="1115"/>
      <c r="BG5" s="1115"/>
      <c r="BH5" s="1115"/>
      <c r="BI5" s="1115"/>
      <c r="BJ5" s="1115"/>
      <c r="BK5" s="1115"/>
      <c r="BL5" s="1115"/>
      <c r="BM5" s="1115"/>
      <c r="BN5" s="1115"/>
      <c r="BO5" s="1115"/>
      <c r="BP5" s="1115"/>
      <c r="BQ5" s="1115"/>
      <c r="BR5" s="1115"/>
      <c r="BS5" s="1115"/>
      <c r="BT5" s="1115"/>
      <c r="BU5" s="1115"/>
      <c r="BV5" s="1116"/>
      <c r="BW5" s="1114" t="s">
        <v>209</v>
      </c>
      <c r="BX5" s="1115"/>
      <c r="BY5" s="1115"/>
      <c r="BZ5" s="1115"/>
      <c r="CA5" s="1115"/>
      <c r="CB5" s="1115"/>
      <c r="CC5" s="1115"/>
      <c r="CD5" s="1115"/>
      <c r="CE5" s="1115"/>
      <c r="CF5" s="1115"/>
      <c r="CG5" s="1115"/>
      <c r="CH5" s="1115"/>
      <c r="CI5" s="1115"/>
      <c r="CJ5" s="1115"/>
      <c r="CK5" s="1115"/>
      <c r="CL5" s="1115"/>
      <c r="CM5" s="1115"/>
      <c r="CN5" s="1116"/>
      <c r="CO5" s="67"/>
    </row>
    <row r="6" spans="2:95" x14ac:dyDescent="0.2">
      <c r="B6" s="106"/>
      <c r="C6" s="45">
        <v>2004</v>
      </c>
      <c r="D6" s="58">
        <v>2005</v>
      </c>
      <c r="E6" s="58">
        <v>2006</v>
      </c>
      <c r="F6" s="58">
        <v>2007</v>
      </c>
      <c r="G6" s="58">
        <v>2008</v>
      </c>
      <c r="H6" s="58">
        <v>2009</v>
      </c>
      <c r="I6" s="58">
        <v>2010</v>
      </c>
      <c r="J6" s="58">
        <v>2011</v>
      </c>
      <c r="K6" s="58">
        <v>2012</v>
      </c>
      <c r="L6" s="58">
        <v>2013</v>
      </c>
      <c r="M6" s="58">
        <v>2014</v>
      </c>
      <c r="N6" s="58">
        <v>2015</v>
      </c>
      <c r="O6" s="58">
        <v>2016</v>
      </c>
      <c r="P6" s="58" t="s">
        <v>342</v>
      </c>
      <c r="Q6" s="58" t="s">
        <v>352</v>
      </c>
      <c r="R6" s="58">
        <v>2019</v>
      </c>
      <c r="S6" s="58">
        <v>2020</v>
      </c>
      <c r="T6" s="59">
        <v>2021</v>
      </c>
      <c r="U6" s="58">
        <v>2004</v>
      </c>
      <c r="V6" s="58">
        <v>2005</v>
      </c>
      <c r="W6" s="58">
        <v>2006</v>
      </c>
      <c r="X6" s="58">
        <v>2007</v>
      </c>
      <c r="Y6" s="58">
        <v>2008</v>
      </c>
      <c r="Z6" s="58">
        <v>2009</v>
      </c>
      <c r="AA6" s="58">
        <v>2010</v>
      </c>
      <c r="AB6" s="58">
        <v>2011</v>
      </c>
      <c r="AC6" s="58">
        <v>2012</v>
      </c>
      <c r="AD6" s="58">
        <v>2013</v>
      </c>
      <c r="AE6" s="58">
        <v>2014</v>
      </c>
      <c r="AF6" s="58">
        <v>2015</v>
      </c>
      <c r="AG6" s="58">
        <v>2016</v>
      </c>
      <c r="AH6" s="58">
        <v>2017</v>
      </c>
      <c r="AI6" s="58">
        <v>2018</v>
      </c>
      <c r="AJ6" s="58">
        <v>2019</v>
      </c>
      <c r="AK6" s="58">
        <v>2020</v>
      </c>
      <c r="AL6" s="59">
        <v>2021</v>
      </c>
      <c r="AM6" s="58">
        <v>2004</v>
      </c>
      <c r="AN6" s="58">
        <v>2005</v>
      </c>
      <c r="AO6" s="58">
        <v>2006</v>
      </c>
      <c r="AP6" s="58">
        <v>2007</v>
      </c>
      <c r="AQ6" s="58">
        <v>2008</v>
      </c>
      <c r="AR6" s="58">
        <v>2009</v>
      </c>
      <c r="AS6" s="58">
        <v>2010</v>
      </c>
      <c r="AT6" s="58">
        <v>2011</v>
      </c>
      <c r="AU6" s="58">
        <v>2012</v>
      </c>
      <c r="AV6" s="58">
        <v>2013</v>
      </c>
      <c r="AW6" s="58">
        <v>2014</v>
      </c>
      <c r="AX6" s="58" t="s">
        <v>318</v>
      </c>
      <c r="AY6" s="58">
        <v>2016</v>
      </c>
      <c r="AZ6" s="58">
        <v>2017</v>
      </c>
      <c r="BA6" s="58">
        <v>2018</v>
      </c>
      <c r="BB6" s="58">
        <v>2019</v>
      </c>
      <c r="BC6" s="58">
        <v>2020</v>
      </c>
      <c r="BD6" s="59">
        <v>2021</v>
      </c>
      <c r="BE6" s="58">
        <v>2004</v>
      </c>
      <c r="BF6" s="58">
        <v>2005</v>
      </c>
      <c r="BG6" s="58">
        <v>2006</v>
      </c>
      <c r="BH6" s="58">
        <v>2007</v>
      </c>
      <c r="BI6" s="58">
        <v>2008</v>
      </c>
      <c r="BJ6" s="58">
        <v>2009</v>
      </c>
      <c r="BK6" s="58">
        <v>2010</v>
      </c>
      <c r="BL6" s="58">
        <v>2011</v>
      </c>
      <c r="BM6" s="58">
        <v>2012</v>
      </c>
      <c r="BN6" s="58">
        <v>2013</v>
      </c>
      <c r="BO6" s="58">
        <v>2014</v>
      </c>
      <c r="BP6" s="58">
        <v>2015</v>
      </c>
      <c r="BQ6" s="58">
        <v>2016</v>
      </c>
      <c r="BR6" s="58">
        <v>2017</v>
      </c>
      <c r="BS6" s="58">
        <v>2018</v>
      </c>
      <c r="BT6" s="58">
        <v>2019</v>
      </c>
      <c r="BU6" s="58">
        <v>2020</v>
      </c>
      <c r="BV6" s="58">
        <v>2021</v>
      </c>
      <c r="BW6" s="45">
        <v>2004</v>
      </c>
      <c r="BX6" s="58">
        <v>2005</v>
      </c>
      <c r="BY6" s="58">
        <v>2006</v>
      </c>
      <c r="BZ6" s="58">
        <v>2007</v>
      </c>
      <c r="CA6" s="58">
        <v>2008</v>
      </c>
      <c r="CB6" s="58">
        <v>2009</v>
      </c>
      <c r="CC6" s="58">
        <v>2010</v>
      </c>
      <c r="CD6" s="58">
        <v>2011</v>
      </c>
      <c r="CE6" s="58">
        <v>2012</v>
      </c>
      <c r="CF6" s="58">
        <v>2013</v>
      </c>
      <c r="CG6" s="58">
        <v>2014</v>
      </c>
      <c r="CH6" s="58">
        <v>2015</v>
      </c>
      <c r="CI6" s="58">
        <v>2016</v>
      </c>
      <c r="CJ6" s="58">
        <v>2017</v>
      </c>
      <c r="CK6" s="58">
        <v>2018</v>
      </c>
      <c r="CL6" s="58">
        <v>2019</v>
      </c>
      <c r="CM6" s="58">
        <v>2020</v>
      </c>
      <c r="CN6" s="58">
        <v>2021</v>
      </c>
      <c r="CO6" s="107"/>
      <c r="CQ6" s="1"/>
    </row>
    <row r="7" spans="2:95" s="661" customFormat="1" ht="12" customHeight="1" x14ac:dyDescent="0.2">
      <c r="B7" s="668" t="s">
        <v>370</v>
      </c>
      <c r="C7" s="452"/>
      <c r="D7" s="666"/>
      <c r="E7" s="666"/>
      <c r="F7" s="666"/>
      <c r="G7" s="666">
        <v>202494</v>
      </c>
      <c r="H7" s="666">
        <v>197825</v>
      </c>
      <c r="I7" s="666">
        <v>193236</v>
      </c>
      <c r="J7" s="666">
        <v>187361</v>
      </c>
      <c r="K7" s="666">
        <v>180285</v>
      </c>
      <c r="L7" s="666">
        <v>180713</v>
      </c>
      <c r="M7" s="666">
        <v>177818</v>
      </c>
      <c r="N7" s="666">
        <v>179126</v>
      </c>
      <c r="O7" s="666">
        <v>179804</v>
      </c>
      <c r="P7" s="666">
        <v>188721</v>
      </c>
      <c r="Q7" s="757">
        <v>198570</v>
      </c>
      <c r="R7" s="666">
        <v>201545</v>
      </c>
      <c r="S7" s="757">
        <v>114466</v>
      </c>
      <c r="T7" s="667">
        <v>132411</v>
      </c>
      <c r="U7" s="666"/>
      <c r="V7" s="666"/>
      <c r="W7" s="666"/>
      <c r="X7" s="666"/>
      <c r="Y7" s="666">
        <v>200552</v>
      </c>
      <c r="Z7" s="666">
        <v>194567</v>
      </c>
      <c r="AA7" s="666">
        <v>192797</v>
      </c>
      <c r="AB7" s="666">
        <v>187136</v>
      </c>
      <c r="AC7" s="666">
        <v>179563</v>
      </c>
      <c r="AD7" s="666">
        <v>180182</v>
      </c>
      <c r="AE7" s="666">
        <v>177303</v>
      </c>
      <c r="AF7" s="666">
        <v>177897</v>
      </c>
      <c r="AG7" s="666">
        <v>178702</v>
      </c>
      <c r="AH7" s="666">
        <v>187345</v>
      </c>
      <c r="AI7" s="666">
        <v>197388</v>
      </c>
      <c r="AJ7" s="757">
        <v>200872</v>
      </c>
      <c r="AK7" s="666">
        <v>114070</v>
      </c>
      <c r="AL7" s="667">
        <v>132132</v>
      </c>
      <c r="AM7" s="666" t="s">
        <v>118</v>
      </c>
      <c r="AN7" s="666" t="s">
        <v>118</v>
      </c>
      <c r="AO7" s="666" t="s">
        <v>118</v>
      </c>
      <c r="AP7" s="666" t="s">
        <v>118</v>
      </c>
      <c r="AQ7" s="666" t="s">
        <v>118</v>
      </c>
      <c r="AR7" s="666" t="s">
        <v>118</v>
      </c>
      <c r="AS7" s="666" t="s">
        <v>118</v>
      </c>
      <c r="AT7" s="666">
        <v>5105</v>
      </c>
      <c r="AU7" s="666">
        <v>5935</v>
      </c>
      <c r="AV7" s="666">
        <v>5537</v>
      </c>
      <c r="AW7" s="666">
        <v>4799</v>
      </c>
      <c r="AX7" s="666">
        <v>5142</v>
      </c>
      <c r="AY7" s="666">
        <v>5470</v>
      </c>
      <c r="AZ7" s="666">
        <v>6058</v>
      </c>
      <c r="BA7" s="757">
        <v>6881</v>
      </c>
      <c r="BB7" s="666">
        <v>7194</v>
      </c>
      <c r="BC7" s="1039"/>
      <c r="BD7" s="1040"/>
      <c r="BE7" s="666" t="s">
        <v>118</v>
      </c>
      <c r="BF7" s="666" t="s">
        <v>118</v>
      </c>
      <c r="BG7" s="666" t="s">
        <v>118</v>
      </c>
      <c r="BH7" s="666" t="s">
        <v>118</v>
      </c>
      <c r="BI7" s="666" t="s">
        <v>118</v>
      </c>
      <c r="BJ7" s="666" t="s">
        <v>118</v>
      </c>
      <c r="BK7" s="666" t="s">
        <v>118</v>
      </c>
      <c r="BL7" s="666">
        <v>5198</v>
      </c>
      <c r="BM7" s="666">
        <v>5907</v>
      </c>
      <c r="BN7" s="666">
        <v>5847</v>
      </c>
      <c r="BO7" s="666">
        <v>4783</v>
      </c>
      <c r="BP7" s="666">
        <v>5213</v>
      </c>
      <c r="BQ7" s="666">
        <v>5403</v>
      </c>
      <c r="BR7" s="666">
        <v>6045</v>
      </c>
      <c r="BS7" s="757">
        <v>6659</v>
      </c>
      <c r="BT7" s="757"/>
      <c r="BU7" s="757"/>
      <c r="BV7" s="693"/>
      <c r="BW7" s="666"/>
      <c r="BX7" s="666"/>
      <c r="BY7" s="666"/>
      <c r="BZ7" s="666"/>
      <c r="CA7" s="666"/>
      <c r="CB7" s="666"/>
      <c r="CC7" s="666"/>
      <c r="CD7" s="666"/>
      <c r="CE7" s="666"/>
      <c r="CF7" s="666"/>
      <c r="CG7" s="666"/>
      <c r="CH7" s="666"/>
      <c r="CI7" s="666"/>
      <c r="CJ7" s="666"/>
      <c r="CK7" s="757"/>
      <c r="CL7" s="757"/>
      <c r="CM7" s="757"/>
      <c r="CN7" s="667"/>
      <c r="CO7" s="669" t="s">
        <v>370</v>
      </c>
      <c r="CQ7" s="1"/>
    </row>
    <row r="8" spans="2:95" x14ac:dyDescent="0.2">
      <c r="B8" s="72" t="s">
        <v>106</v>
      </c>
      <c r="C8" s="258">
        <v>366</v>
      </c>
      <c r="D8" s="259">
        <v>391</v>
      </c>
      <c r="E8" s="259">
        <v>375</v>
      </c>
      <c r="F8" s="259">
        <v>378</v>
      </c>
      <c r="G8" s="259">
        <v>333</v>
      </c>
      <c r="H8" s="259">
        <v>276</v>
      </c>
      <c r="I8" s="259">
        <v>300</v>
      </c>
      <c r="J8" s="259">
        <v>243</v>
      </c>
      <c r="K8" s="259">
        <v>229</v>
      </c>
      <c r="L8" s="259">
        <v>194</v>
      </c>
      <c r="M8" s="259">
        <v>219</v>
      </c>
      <c r="N8" s="259">
        <v>177</v>
      </c>
      <c r="O8" s="259">
        <v>167</v>
      </c>
      <c r="P8" s="259">
        <v>159</v>
      </c>
      <c r="Q8" s="259">
        <v>166</v>
      </c>
      <c r="R8" s="259">
        <v>155</v>
      </c>
      <c r="S8" s="259">
        <v>19</v>
      </c>
      <c r="T8" s="265">
        <v>2</v>
      </c>
      <c r="U8" s="259">
        <v>378</v>
      </c>
      <c r="V8" s="259">
        <v>391</v>
      </c>
      <c r="W8" s="259">
        <v>374</v>
      </c>
      <c r="X8" s="259">
        <v>381</v>
      </c>
      <c r="Y8" s="259">
        <v>339</v>
      </c>
      <c r="Z8" s="259">
        <v>290</v>
      </c>
      <c r="AA8" s="259">
        <v>310</v>
      </c>
      <c r="AB8" s="259">
        <v>254</v>
      </c>
      <c r="AC8" s="259">
        <v>237</v>
      </c>
      <c r="AD8" s="259">
        <v>197</v>
      </c>
      <c r="AE8" s="259">
        <v>218</v>
      </c>
      <c r="AF8" s="259">
        <v>176</v>
      </c>
      <c r="AG8" s="259">
        <v>169</v>
      </c>
      <c r="AH8" s="259">
        <v>161</v>
      </c>
      <c r="AI8" s="259">
        <v>169</v>
      </c>
      <c r="AJ8" s="259">
        <v>156</v>
      </c>
      <c r="AK8" s="259">
        <v>21</v>
      </c>
      <c r="AL8" s="265">
        <v>2</v>
      </c>
      <c r="AM8" s="758">
        <v>21</v>
      </c>
      <c r="AN8" s="758">
        <v>70</v>
      </c>
      <c r="AO8" s="758">
        <v>70</v>
      </c>
      <c r="AP8" s="758">
        <v>75</v>
      </c>
      <c r="AQ8" s="758">
        <v>63</v>
      </c>
      <c r="AR8" s="758">
        <v>94</v>
      </c>
      <c r="AS8" s="758">
        <v>109</v>
      </c>
      <c r="AT8" s="758">
        <v>164</v>
      </c>
      <c r="AU8" s="758">
        <v>191</v>
      </c>
      <c r="AV8" s="758">
        <v>236</v>
      </c>
      <c r="AW8" s="758">
        <v>190</v>
      </c>
      <c r="AX8" s="758">
        <v>245</v>
      </c>
      <c r="AY8" s="758">
        <v>391</v>
      </c>
      <c r="AZ8" s="758">
        <v>475</v>
      </c>
      <c r="BA8" s="758">
        <v>396</v>
      </c>
      <c r="BB8" s="758">
        <v>397</v>
      </c>
      <c r="BC8" s="758">
        <v>15</v>
      </c>
      <c r="BD8" s="759">
        <v>42</v>
      </c>
      <c r="BE8" s="758">
        <v>22</v>
      </c>
      <c r="BF8" s="758">
        <v>71</v>
      </c>
      <c r="BG8" s="758">
        <v>71</v>
      </c>
      <c r="BH8" s="758">
        <v>76</v>
      </c>
      <c r="BI8" s="758">
        <v>64</v>
      </c>
      <c r="BJ8" s="758">
        <v>91</v>
      </c>
      <c r="BK8" s="758">
        <v>109</v>
      </c>
      <c r="BL8" s="758">
        <v>164</v>
      </c>
      <c r="BM8" s="758">
        <v>193</v>
      </c>
      <c r="BN8" s="758">
        <v>232</v>
      </c>
      <c r="BO8" s="758">
        <v>194</v>
      </c>
      <c r="BP8" s="758">
        <v>245</v>
      </c>
      <c r="BQ8" s="259">
        <v>391</v>
      </c>
      <c r="BR8" s="259">
        <v>475</v>
      </c>
      <c r="BS8" s="259">
        <v>396</v>
      </c>
      <c r="BT8" s="259">
        <v>384</v>
      </c>
      <c r="BU8" s="259">
        <v>15</v>
      </c>
      <c r="BV8" s="265">
        <v>42</v>
      </c>
      <c r="BW8" s="260" t="s">
        <v>118</v>
      </c>
      <c r="BX8" s="260" t="s">
        <v>118</v>
      </c>
      <c r="BY8" s="260" t="s">
        <v>118</v>
      </c>
      <c r="BZ8" s="260" t="s">
        <v>118</v>
      </c>
      <c r="CA8" s="260" t="s">
        <v>118</v>
      </c>
      <c r="CB8" s="260" t="s">
        <v>118</v>
      </c>
      <c r="CC8" s="260" t="s">
        <v>118</v>
      </c>
      <c r="CD8" s="260" t="s">
        <v>118</v>
      </c>
      <c r="CE8" s="260" t="s">
        <v>118</v>
      </c>
      <c r="CF8" s="260" t="s">
        <v>118</v>
      </c>
      <c r="CG8" s="260" t="s">
        <v>118</v>
      </c>
      <c r="CH8" s="260" t="s">
        <v>118</v>
      </c>
      <c r="CI8" s="260" t="s">
        <v>118</v>
      </c>
      <c r="CJ8" s="260" t="s">
        <v>118</v>
      </c>
      <c r="CK8" s="260" t="s">
        <v>118</v>
      </c>
      <c r="CL8" s="260" t="s">
        <v>118</v>
      </c>
      <c r="CM8" s="260"/>
      <c r="CN8" s="694"/>
      <c r="CO8" s="692" t="s">
        <v>106</v>
      </c>
    </row>
    <row r="9" spans="2:95" ht="12.75" customHeight="1" x14ac:dyDescent="0.2">
      <c r="B9" s="71" t="s">
        <v>89</v>
      </c>
      <c r="C9" s="261" t="s">
        <v>118</v>
      </c>
      <c r="D9" s="262" t="s">
        <v>118</v>
      </c>
      <c r="E9" s="262" t="s">
        <v>118</v>
      </c>
      <c r="F9" s="262">
        <v>5</v>
      </c>
      <c r="G9" s="262">
        <v>4</v>
      </c>
      <c r="H9" s="262">
        <v>0</v>
      </c>
      <c r="I9" s="262">
        <v>0</v>
      </c>
      <c r="J9" s="262">
        <v>0</v>
      </c>
      <c r="K9" s="262">
        <v>0</v>
      </c>
      <c r="L9" s="262">
        <v>0</v>
      </c>
      <c r="M9" s="262">
        <v>0</v>
      </c>
      <c r="N9" s="262">
        <v>0</v>
      </c>
      <c r="O9" s="262">
        <v>0</v>
      </c>
      <c r="P9" s="262">
        <v>0</v>
      </c>
      <c r="Q9" s="262">
        <v>0</v>
      </c>
      <c r="R9" s="262">
        <v>1</v>
      </c>
      <c r="S9" s="262">
        <v>1</v>
      </c>
      <c r="T9" s="264">
        <v>1</v>
      </c>
      <c r="U9" s="262" t="s">
        <v>118</v>
      </c>
      <c r="V9" s="262" t="s">
        <v>118</v>
      </c>
      <c r="W9" s="262" t="s">
        <v>118</v>
      </c>
      <c r="X9" s="262">
        <v>5</v>
      </c>
      <c r="Y9" s="262">
        <v>4</v>
      </c>
      <c r="Z9" s="262">
        <v>0</v>
      </c>
      <c r="AA9" s="262">
        <v>0</v>
      </c>
      <c r="AB9" s="262">
        <v>0</v>
      </c>
      <c r="AC9" s="262">
        <v>1</v>
      </c>
      <c r="AD9" s="262">
        <v>1</v>
      </c>
      <c r="AE9" s="262">
        <v>1</v>
      </c>
      <c r="AF9" s="262">
        <v>2</v>
      </c>
      <c r="AG9" s="262">
        <v>3</v>
      </c>
      <c r="AH9" s="262">
        <v>2</v>
      </c>
      <c r="AI9" s="262">
        <v>3</v>
      </c>
      <c r="AJ9" s="262">
        <v>4</v>
      </c>
      <c r="AK9" s="262">
        <v>2</v>
      </c>
      <c r="AL9" s="264">
        <v>3</v>
      </c>
      <c r="AM9" s="262" t="s">
        <v>118</v>
      </c>
      <c r="AN9" s="262" t="s">
        <v>118</v>
      </c>
      <c r="AO9" s="262" t="s">
        <v>118</v>
      </c>
      <c r="AP9" s="262">
        <v>0</v>
      </c>
      <c r="AQ9" s="262" t="s">
        <v>118</v>
      </c>
      <c r="AR9" s="262">
        <v>0</v>
      </c>
      <c r="AS9" s="262">
        <v>1</v>
      </c>
      <c r="AT9" s="262" t="s">
        <v>118</v>
      </c>
      <c r="AU9" s="262" t="s">
        <v>118</v>
      </c>
      <c r="AV9" s="262">
        <v>1</v>
      </c>
      <c r="AW9" s="262">
        <v>0</v>
      </c>
      <c r="AX9" s="262">
        <v>0</v>
      </c>
      <c r="AY9" s="262">
        <v>0</v>
      </c>
      <c r="AZ9" s="262"/>
      <c r="BA9" s="262"/>
      <c r="BB9" s="262"/>
      <c r="BC9" s="262"/>
      <c r="BD9" s="264"/>
      <c r="BE9" s="262" t="s">
        <v>118</v>
      </c>
      <c r="BF9" s="262" t="s">
        <v>118</v>
      </c>
      <c r="BG9" s="262" t="s">
        <v>118</v>
      </c>
      <c r="BH9" s="262" t="s">
        <v>118</v>
      </c>
      <c r="BI9" s="262" t="s">
        <v>118</v>
      </c>
      <c r="BJ9" s="262" t="s">
        <v>118</v>
      </c>
      <c r="BK9" s="262" t="s">
        <v>118</v>
      </c>
      <c r="BL9" s="262" t="s">
        <v>118</v>
      </c>
      <c r="BM9" s="262" t="s">
        <v>118</v>
      </c>
      <c r="BN9" s="262">
        <v>1</v>
      </c>
      <c r="BO9" s="262">
        <v>0</v>
      </c>
      <c r="BP9" s="262">
        <v>0</v>
      </c>
      <c r="BQ9" s="262"/>
      <c r="BR9" s="262"/>
      <c r="BS9" s="262"/>
      <c r="BT9" s="262">
        <v>0</v>
      </c>
      <c r="BU9" s="262"/>
      <c r="BV9" s="264"/>
      <c r="BW9" s="263" t="s">
        <v>118</v>
      </c>
      <c r="BX9" s="263" t="s">
        <v>118</v>
      </c>
      <c r="BY9" s="263" t="s">
        <v>118</v>
      </c>
      <c r="BZ9" s="262">
        <v>19</v>
      </c>
      <c r="CA9" s="262">
        <v>21</v>
      </c>
      <c r="CB9" s="262">
        <v>21</v>
      </c>
      <c r="CC9" s="262">
        <v>11</v>
      </c>
      <c r="CD9" s="263">
        <v>17</v>
      </c>
      <c r="CE9" s="263">
        <v>23</v>
      </c>
      <c r="CF9" s="263">
        <v>29</v>
      </c>
      <c r="CG9" s="263">
        <v>77</v>
      </c>
      <c r="CH9" s="263">
        <v>18</v>
      </c>
      <c r="CI9" s="263">
        <v>8</v>
      </c>
      <c r="CJ9" s="263">
        <v>3</v>
      </c>
      <c r="CK9" s="263">
        <v>0</v>
      </c>
      <c r="CL9" s="263">
        <v>1</v>
      </c>
      <c r="CM9" s="263"/>
      <c r="CN9" s="263">
        <v>0</v>
      </c>
      <c r="CO9" s="71" t="s">
        <v>89</v>
      </c>
    </row>
    <row r="10" spans="2:95" x14ac:dyDescent="0.2">
      <c r="B10" s="72" t="s">
        <v>91</v>
      </c>
      <c r="C10" s="760" t="s">
        <v>121</v>
      </c>
      <c r="D10" s="761" t="s">
        <v>121</v>
      </c>
      <c r="E10" s="761" t="s">
        <v>121</v>
      </c>
      <c r="F10" s="761" t="s">
        <v>121</v>
      </c>
      <c r="G10" s="761" t="s">
        <v>121</v>
      </c>
      <c r="H10" s="761" t="s">
        <v>121</v>
      </c>
      <c r="I10" s="761" t="s">
        <v>121</v>
      </c>
      <c r="J10" s="761" t="s">
        <v>121</v>
      </c>
      <c r="K10" s="761" t="s">
        <v>121</v>
      </c>
      <c r="L10" s="761" t="s">
        <v>121</v>
      </c>
      <c r="M10" s="761" t="s">
        <v>121</v>
      </c>
      <c r="N10" s="761" t="s">
        <v>121</v>
      </c>
      <c r="O10" s="761" t="s">
        <v>121</v>
      </c>
      <c r="P10" s="761" t="s">
        <v>121</v>
      </c>
      <c r="Q10" s="761" t="s">
        <v>121</v>
      </c>
      <c r="R10" s="761" t="s">
        <v>121</v>
      </c>
      <c r="S10" s="761" t="s">
        <v>121</v>
      </c>
      <c r="T10" s="838" t="s">
        <v>121</v>
      </c>
      <c r="U10" s="761" t="s">
        <v>121</v>
      </c>
      <c r="V10" s="761" t="s">
        <v>121</v>
      </c>
      <c r="W10" s="761" t="s">
        <v>121</v>
      </c>
      <c r="X10" s="761" t="s">
        <v>121</v>
      </c>
      <c r="Y10" s="761" t="s">
        <v>121</v>
      </c>
      <c r="Z10" s="761" t="s">
        <v>121</v>
      </c>
      <c r="AA10" s="761" t="s">
        <v>121</v>
      </c>
      <c r="AB10" s="761" t="s">
        <v>121</v>
      </c>
      <c r="AC10" s="761" t="s">
        <v>121</v>
      </c>
      <c r="AD10" s="761" t="s">
        <v>121</v>
      </c>
      <c r="AE10" s="761" t="s">
        <v>121</v>
      </c>
      <c r="AF10" s="761" t="s">
        <v>121</v>
      </c>
      <c r="AG10" s="761" t="s">
        <v>121</v>
      </c>
      <c r="AH10" s="761" t="s">
        <v>121</v>
      </c>
      <c r="AI10" s="761" t="s">
        <v>121</v>
      </c>
      <c r="AJ10" s="761" t="s">
        <v>121</v>
      </c>
      <c r="AK10" s="761" t="s">
        <v>121</v>
      </c>
      <c r="AL10" s="838"/>
      <c r="AM10" s="761" t="s">
        <v>121</v>
      </c>
      <c r="AN10" s="761" t="s">
        <v>121</v>
      </c>
      <c r="AO10" s="761" t="s">
        <v>121</v>
      </c>
      <c r="AP10" s="761" t="s">
        <v>121</v>
      </c>
      <c r="AQ10" s="761" t="s">
        <v>121</v>
      </c>
      <c r="AR10" s="761" t="s">
        <v>121</v>
      </c>
      <c r="AS10" s="761" t="s">
        <v>121</v>
      </c>
      <c r="AT10" s="761" t="s">
        <v>121</v>
      </c>
      <c r="AU10" s="761" t="s">
        <v>121</v>
      </c>
      <c r="AV10" s="761" t="s">
        <v>121</v>
      </c>
      <c r="AW10" s="761" t="s">
        <v>121</v>
      </c>
      <c r="AX10" s="761" t="s">
        <v>121</v>
      </c>
      <c r="AY10" s="761" t="s">
        <v>121</v>
      </c>
      <c r="AZ10" s="761" t="s">
        <v>121</v>
      </c>
      <c r="BA10" s="761" t="s">
        <v>121</v>
      </c>
      <c r="BB10" s="761" t="s">
        <v>121</v>
      </c>
      <c r="BC10" s="761" t="s">
        <v>121</v>
      </c>
      <c r="BD10" s="838" t="s">
        <v>121</v>
      </c>
      <c r="BE10" s="761" t="s">
        <v>121</v>
      </c>
      <c r="BF10" s="761" t="s">
        <v>121</v>
      </c>
      <c r="BG10" s="761" t="s">
        <v>121</v>
      </c>
      <c r="BH10" s="761" t="s">
        <v>121</v>
      </c>
      <c r="BI10" s="761" t="s">
        <v>121</v>
      </c>
      <c r="BJ10" s="761" t="s">
        <v>121</v>
      </c>
      <c r="BK10" s="761" t="s">
        <v>121</v>
      </c>
      <c r="BL10" s="761" t="s">
        <v>121</v>
      </c>
      <c r="BM10" s="761" t="s">
        <v>121</v>
      </c>
      <c r="BN10" s="761" t="s">
        <v>121</v>
      </c>
      <c r="BO10" s="761" t="s">
        <v>121</v>
      </c>
      <c r="BP10" s="762" t="s">
        <v>121</v>
      </c>
      <c r="BQ10" s="762" t="s">
        <v>121</v>
      </c>
      <c r="BR10" s="762" t="s">
        <v>121</v>
      </c>
      <c r="BS10" s="762" t="s">
        <v>121</v>
      </c>
      <c r="BT10" s="762" t="s">
        <v>121</v>
      </c>
      <c r="BU10" s="762" t="s">
        <v>121</v>
      </c>
      <c r="BV10" s="839" t="s">
        <v>121</v>
      </c>
      <c r="BW10" s="761" t="s">
        <v>121</v>
      </c>
      <c r="BX10" s="761" t="s">
        <v>121</v>
      </c>
      <c r="BY10" s="761" t="s">
        <v>121</v>
      </c>
      <c r="BZ10" s="761" t="s">
        <v>121</v>
      </c>
      <c r="CA10" s="761" t="s">
        <v>121</v>
      </c>
      <c r="CB10" s="761" t="s">
        <v>121</v>
      </c>
      <c r="CC10" s="761" t="s">
        <v>121</v>
      </c>
      <c r="CD10" s="761" t="s">
        <v>121</v>
      </c>
      <c r="CE10" s="761" t="s">
        <v>121</v>
      </c>
      <c r="CF10" s="761" t="s">
        <v>121</v>
      </c>
      <c r="CG10" s="761" t="s">
        <v>121</v>
      </c>
      <c r="CH10" s="761" t="s">
        <v>121</v>
      </c>
      <c r="CI10" s="761" t="s">
        <v>121</v>
      </c>
      <c r="CJ10" s="761" t="s">
        <v>121</v>
      </c>
      <c r="CK10" s="761" t="s">
        <v>121</v>
      </c>
      <c r="CL10" s="761" t="s">
        <v>121</v>
      </c>
      <c r="CM10" s="761" t="s">
        <v>121</v>
      </c>
      <c r="CN10" s="761" t="s">
        <v>121</v>
      </c>
      <c r="CO10" s="72" t="s">
        <v>91</v>
      </c>
    </row>
    <row r="11" spans="2:95" x14ac:dyDescent="0.2">
      <c r="B11" s="71" t="s">
        <v>102</v>
      </c>
      <c r="C11" s="261">
        <v>24194</v>
      </c>
      <c r="D11" s="262">
        <v>23841</v>
      </c>
      <c r="E11" s="262">
        <v>23937</v>
      </c>
      <c r="F11" s="262">
        <v>24057</v>
      </c>
      <c r="G11" s="262">
        <v>23172</v>
      </c>
      <c r="H11" s="262">
        <v>21604</v>
      </c>
      <c r="I11" s="262">
        <v>20851</v>
      </c>
      <c r="J11" s="262">
        <v>20562</v>
      </c>
      <c r="K11" s="262">
        <v>20302</v>
      </c>
      <c r="L11" s="262">
        <v>20459</v>
      </c>
      <c r="M11" s="262">
        <v>20524</v>
      </c>
      <c r="N11" s="262">
        <v>20671</v>
      </c>
      <c r="O11" s="262">
        <v>20629</v>
      </c>
      <c r="P11" s="262">
        <v>21279</v>
      </c>
      <c r="Q11" s="262">
        <v>21743</v>
      </c>
      <c r="R11" s="262">
        <v>21924</v>
      </c>
      <c r="S11" s="262">
        <v>15470</v>
      </c>
      <c r="T11" s="264">
        <v>16801</v>
      </c>
      <c r="U11" s="262">
        <v>24156</v>
      </c>
      <c r="V11" s="262">
        <v>23837</v>
      </c>
      <c r="W11" s="262">
        <v>23945</v>
      </c>
      <c r="X11" s="262">
        <v>24063</v>
      </c>
      <c r="Y11" s="262">
        <v>23170</v>
      </c>
      <c r="Z11" s="262">
        <v>21548</v>
      </c>
      <c r="AA11" s="262">
        <v>20803</v>
      </c>
      <c r="AB11" s="262">
        <v>20530</v>
      </c>
      <c r="AC11" s="262">
        <v>20228</v>
      </c>
      <c r="AD11" s="262">
        <v>20387</v>
      </c>
      <c r="AE11" s="262">
        <v>20411</v>
      </c>
      <c r="AF11" s="262">
        <v>20609</v>
      </c>
      <c r="AG11" s="262">
        <v>20613</v>
      </c>
      <c r="AH11" s="262">
        <v>21147</v>
      </c>
      <c r="AI11" s="262">
        <v>21621</v>
      </c>
      <c r="AJ11" s="262">
        <v>21880</v>
      </c>
      <c r="AK11" s="262">
        <v>15389</v>
      </c>
      <c r="AL11" s="264">
        <v>16711</v>
      </c>
      <c r="AM11" s="262">
        <v>104</v>
      </c>
      <c r="AN11" s="262">
        <v>122</v>
      </c>
      <c r="AO11" s="262">
        <v>131</v>
      </c>
      <c r="AP11" s="262">
        <v>144</v>
      </c>
      <c r="AQ11" s="262">
        <v>157</v>
      </c>
      <c r="AR11" s="262">
        <v>209</v>
      </c>
      <c r="AS11" s="262">
        <v>338</v>
      </c>
      <c r="AT11" s="262">
        <v>216</v>
      </c>
      <c r="AU11" s="262">
        <v>216</v>
      </c>
      <c r="AV11" s="262">
        <v>209</v>
      </c>
      <c r="AW11" s="262">
        <v>209</v>
      </c>
      <c r="AX11" s="262">
        <v>183</v>
      </c>
      <c r="AY11" s="262">
        <v>170</v>
      </c>
      <c r="AZ11" s="262">
        <v>211</v>
      </c>
      <c r="BA11" s="262">
        <v>204</v>
      </c>
      <c r="BB11" s="262">
        <v>209</v>
      </c>
      <c r="BC11" s="262"/>
      <c r="BD11" s="264">
        <v>1</v>
      </c>
      <c r="BE11" s="262">
        <v>102</v>
      </c>
      <c r="BF11" s="262">
        <v>124</v>
      </c>
      <c r="BG11" s="262">
        <v>132</v>
      </c>
      <c r="BH11" s="262">
        <v>145</v>
      </c>
      <c r="BI11" s="262">
        <v>158</v>
      </c>
      <c r="BJ11" s="262">
        <v>199</v>
      </c>
      <c r="BK11" s="262" t="s">
        <v>118</v>
      </c>
      <c r="BL11" s="262">
        <v>219</v>
      </c>
      <c r="BM11" s="262">
        <v>219</v>
      </c>
      <c r="BN11" s="262">
        <v>211</v>
      </c>
      <c r="BO11" s="262">
        <v>209</v>
      </c>
      <c r="BP11" s="262">
        <v>184</v>
      </c>
      <c r="BQ11" s="262">
        <v>172</v>
      </c>
      <c r="BR11" s="262">
        <v>214</v>
      </c>
      <c r="BS11" s="262">
        <v>206</v>
      </c>
      <c r="BT11" s="262">
        <v>213</v>
      </c>
      <c r="BU11" s="262"/>
      <c r="BV11" s="264">
        <v>1</v>
      </c>
      <c r="BW11" s="262">
        <v>188</v>
      </c>
      <c r="BX11" s="262">
        <v>228</v>
      </c>
      <c r="BY11" s="262">
        <v>232</v>
      </c>
      <c r="BZ11" s="262">
        <v>258</v>
      </c>
      <c r="CA11" s="262">
        <v>294</v>
      </c>
      <c r="CB11" s="262">
        <v>309</v>
      </c>
      <c r="CC11" s="262" t="s">
        <v>118</v>
      </c>
      <c r="CD11" s="262">
        <v>438</v>
      </c>
      <c r="CE11" s="262">
        <v>438</v>
      </c>
      <c r="CF11" s="262">
        <v>562</v>
      </c>
      <c r="CG11" s="262">
        <v>385</v>
      </c>
      <c r="CH11" s="262">
        <v>399</v>
      </c>
      <c r="CI11" s="262">
        <v>500</v>
      </c>
      <c r="CJ11" s="262">
        <v>601</v>
      </c>
      <c r="CK11" s="262">
        <v>681</v>
      </c>
      <c r="CL11" s="262">
        <v>672</v>
      </c>
      <c r="CM11" s="262">
        <v>0</v>
      </c>
      <c r="CN11" s="262">
        <v>39</v>
      </c>
      <c r="CO11" s="71" t="s">
        <v>102</v>
      </c>
    </row>
    <row r="12" spans="2:95" x14ac:dyDescent="0.2">
      <c r="B12" s="72" t="s">
        <v>107</v>
      </c>
      <c r="C12" s="258">
        <v>14640</v>
      </c>
      <c r="D12" s="259">
        <v>14483</v>
      </c>
      <c r="E12" s="259">
        <v>14309</v>
      </c>
      <c r="F12" s="259">
        <v>14766</v>
      </c>
      <c r="G12" s="259">
        <v>14113</v>
      </c>
      <c r="H12" s="259">
        <v>14296</v>
      </c>
      <c r="I12" s="259">
        <v>13960</v>
      </c>
      <c r="J12" s="259">
        <v>14187</v>
      </c>
      <c r="K12" s="259">
        <v>14250</v>
      </c>
      <c r="L12" s="259">
        <v>14085</v>
      </c>
      <c r="M12" s="259">
        <v>14576</v>
      </c>
      <c r="N12" s="259">
        <v>14321</v>
      </c>
      <c r="O12" s="259">
        <v>14609</v>
      </c>
      <c r="P12" s="259">
        <v>14200</v>
      </c>
      <c r="Q12" s="259">
        <v>14118</v>
      </c>
      <c r="R12" s="259">
        <v>14138</v>
      </c>
      <c r="S12" s="259">
        <v>8106</v>
      </c>
      <c r="T12" s="265">
        <v>9477</v>
      </c>
      <c r="U12" s="259">
        <v>14815</v>
      </c>
      <c r="V12" s="259">
        <v>14622</v>
      </c>
      <c r="W12" s="259">
        <v>14514</v>
      </c>
      <c r="X12" s="259">
        <v>14951</v>
      </c>
      <c r="Y12" s="259">
        <v>14111</v>
      </c>
      <c r="Z12" s="259">
        <v>14417</v>
      </c>
      <c r="AA12" s="259">
        <v>14095</v>
      </c>
      <c r="AB12" s="259">
        <v>14186</v>
      </c>
      <c r="AC12" s="259">
        <v>14114</v>
      </c>
      <c r="AD12" s="259">
        <v>14497</v>
      </c>
      <c r="AE12" s="259">
        <v>15099</v>
      </c>
      <c r="AF12" s="259">
        <v>14540</v>
      </c>
      <c r="AG12" s="259">
        <v>14638</v>
      </c>
      <c r="AH12" s="259">
        <v>14326</v>
      </c>
      <c r="AI12" s="259">
        <v>14229</v>
      </c>
      <c r="AJ12" s="259">
        <v>14627</v>
      </c>
      <c r="AK12" s="259">
        <v>8157</v>
      </c>
      <c r="AL12" s="265">
        <v>9439</v>
      </c>
      <c r="AM12" s="259">
        <v>178</v>
      </c>
      <c r="AN12" s="259">
        <v>194</v>
      </c>
      <c r="AO12" s="259">
        <v>219</v>
      </c>
      <c r="AP12" s="259">
        <v>264</v>
      </c>
      <c r="AQ12" s="259">
        <v>372</v>
      </c>
      <c r="AR12" s="259">
        <v>454</v>
      </c>
      <c r="AS12" s="259">
        <v>364</v>
      </c>
      <c r="AT12" s="259">
        <v>430</v>
      </c>
      <c r="AU12" s="259">
        <v>559</v>
      </c>
      <c r="AV12" s="259">
        <v>645</v>
      </c>
      <c r="AW12" s="259">
        <v>558</v>
      </c>
      <c r="AX12" s="259">
        <v>622</v>
      </c>
      <c r="AY12" s="259">
        <v>813</v>
      </c>
      <c r="AZ12" s="259">
        <v>1121</v>
      </c>
      <c r="BA12" s="259">
        <v>1186</v>
      </c>
      <c r="BB12" s="259">
        <v>1318</v>
      </c>
      <c r="BC12" s="259">
        <v>56</v>
      </c>
      <c r="BD12" s="265">
        <v>284</v>
      </c>
      <c r="BE12" s="259">
        <v>182</v>
      </c>
      <c r="BF12" s="259">
        <v>191</v>
      </c>
      <c r="BG12" s="259">
        <v>213</v>
      </c>
      <c r="BH12" s="259">
        <v>219</v>
      </c>
      <c r="BI12" s="259">
        <v>349</v>
      </c>
      <c r="BJ12" s="259">
        <v>407</v>
      </c>
      <c r="BK12" s="259">
        <v>361</v>
      </c>
      <c r="BL12" s="259">
        <v>430</v>
      </c>
      <c r="BM12" s="259">
        <v>558</v>
      </c>
      <c r="BN12" s="259">
        <v>622</v>
      </c>
      <c r="BO12" s="259">
        <v>546</v>
      </c>
      <c r="BP12" s="259">
        <v>603</v>
      </c>
      <c r="BQ12" s="259">
        <v>788</v>
      </c>
      <c r="BR12" s="259">
        <v>1126</v>
      </c>
      <c r="BS12" s="259">
        <v>1154</v>
      </c>
      <c r="BT12" s="259">
        <v>1329</v>
      </c>
      <c r="BU12" s="259">
        <v>54</v>
      </c>
      <c r="BV12" s="265">
        <v>297</v>
      </c>
      <c r="BW12" t="s">
        <v>118</v>
      </c>
      <c r="BX12" s="260" t="s">
        <v>118</v>
      </c>
      <c r="BY12" s="260" t="s">
        <v>118</v>
      </c>
      <c r="BZ12" s="260" t="s">
        <v>118</v>
      </c>
      <c r="CA12" s="260" t="s">
        <v>118</v>
      </c>
      <c r="CB12" s="260" t="s">
        <v>118</v>
      </c>
      <c r="CC12" s="260" t="s">
        <v>118</v>
      </c>
      <c r="CD12" s="260" t="s">
        <v>118</v>
      </c>
      <c r="CE12" s="260" t="s">
        <v>118</v>
      </c>
      <c r="CF12" s="260" t="s">
        <v>118</v>
      </c>
      <c r="CG12" s="260" t="s">
        <v>118</v>
      </c>
      <c r="CH12" s="260" t="s">
        <v>118</v>
      </c>
      <c r="CI12" s="260" t="s">
        <v>118</v>
      </c>
      <c r="CJ12" s="260" t="s">
        <v>118</v>
      </c>
      <c r="CK12" s="260" t="s">
        <v>118</v>
      </c>
      <c r="CL12" s="260" t="s">
        <v>118</v>
      </c>
      <c r="CM12" s="260"/>
      <c r="CN12" s="260"/>
      <c r="CO12" s="72" t="s">
        <v>107</v>
      </c>
    </row>
    <row r="13" spans="2:95" x14ac:dyDescent="0.2">
      <c r="B13" s="71" t="s">
        <v>92</v>
      </c>
      <c r="C13" s="261">
        <v>3231</v>
      </c>
      <c r="D13" s="262">
        <v>4330</v>
      </c>
      <c r="E13" s="262">
        <v>4287</v>
      </c>
      <c r="F13" s="262">
        <v>4323</v>
      </c>
      <c r="G13" s="262">
        <v>4585</v>
      </c>
      <c r="H13" s="262">
        <v>4556</v>
      </c>
      <c r="I13" s="262">
        <v>5569</v>
      </c>
      <c r="J13" s="262">
        <v>5905</v>
      </c>
      <c r="K13" s="262">
        <v>6285</v>
      </c>
      <c r="L13" s="262">
        <v>6541</v>
      </c>
      <c r="M13" s="262">
        <v>6791</v>
      </c>
      <c r="N13" s="262">
        <v>7056</v>
      </c>
      <c r="O13" s="262">
        <v>7129</v>
      </c>
      <c r="P13" s="262">
        <v>7395</v>
      </c>
      <c r="Q13" s="262">
        <v>7384</v>
      </c>
      <c r="R13" s="262">
        <v>7498</v>
      </c>
      <c r="S13" s="262">
        <v>4310</v>
      </c>
      <c r="T13" s="264">
        <v>4144</v>
      </c>
      <c r="U13" s="262">
        <v>3221</v>
      </c>
      <c r="V13" s="262">
        <v>4308</v>
      </c>
      <c r="W13" s="262">
        <v>4259</v>
      </c>
      <c r="X13" s="262">
        <v>4342</v>
      </c>
      <c r="Y13" s="262">
        <v>4605</v>
      </c>
      <c r="Z13" s="262">
        <v>4584</v>
      </c>
      <c r="AA13" s="262">
        <v>5616</v>
      </c>
      <c r="AB13" s="262">
        <v>5935</v>
      </c>
      <c r="AC13" s="262">
        <v>6352</v>
      </c>
      <c r="AD13" s="262">
        <v>6588</v>
      </c>
      <c r="AE13" s="262">
        <v>6847</v>
      </c>
      <c r="AF13" s="262">
        <v>7097</v>
      </c>
      <c r="AG13" s="262">
        <v>7192</v>
      </c>
      <c r="AH13" s="262">
        <v>7441</v>
      </c>
      <c r="AI13" s="262">
        <v>7440</v>
      </c>
      <c r="AJ13" s="262">
        <v>7535</v>
      </c>
      <c r="AK13" s="262">
        <v>4313</v>
      </c>
      <c r="AL13" s="264">
        <v>4070</v>
      </c>
      <c r="AM13" s="262" t="s">
        <v>118</v>
      </c>
      <c r="AN13" s="262" t="s">
        <v>118</v>
      </c>
      <c r="AO13" s="262" t="s">
        <v>118</v>
      </c>
      <c r="AP13" s="262" t="s">
        <v>118</v>
      </c>
      <c r="AQ13" s="262" t="s">
        <v>118</v>
      </c>
      <c r="AR13" s="262" t="s">
        <v>118</v>
      </c>
      <c r="AS13" s="262" t="s">
        <v>118</v>
      </c>
      <c r="AT13" s="262">
        <v>3</v>
      </c>
      <c r="AU13" s="262">
        <v>8</v>
      </c>
      <c r="AV13" s="262">
        <v>8</v>
      </c>
      <c r="AW13" s="262">
        <v>8</v>
      </c>
      <c r="AX13" s="262">
        <v>6</v>
      </c>
      <c r="AY13" s="262">
        <v>6</v>
      </c>
      <c r="AZ13" s="262">
        <v>7</v>
      </c>
      <c r="BA13" s="262">
        <v>6</v>
      </c>
      <c r="BB13" s="262">
        <v>13</v>
      </c>
      <c r="BC13" s="262"/>
      <c r="BD13" s="264">
        <v>0</v>
      </c>
      <c r="BE13" s="262" t="s">
        <v>118</v>
      </c>
      <c r="BF13" s="262" t="s">
        <v>118</v>
      </c>
      <c r="BG13" s="262" t="s">
        <v>118</v>
      </c>
      <c r="BH13" s="262" t="s">
        <v>118</v>
      </c>
      <c r="BI13" s="262" t="s">
        <v>118</v>
      </c>
      <c r="BJ13" s="262" t="s">
        <v>118</v>
      </c>
      <c r="BK13" s="262" t="s">
        <v>118</v>
      </c>
      <c r="BL13" s="262">
        <v>4</v>
      </c>
      <c r="BM13" s="262">
        <v>8</v>
      </c>
      <c r="BN13" s="262">
        <v>8</v>
      </c>
      <c r="BO13" s="262">
        <v>8</v>
      </c>
      <c r="BP13" s="262">
        <v>6</v>
      </c>
      <c r="BQ13" s="262">
        <v>6</v>
      </c>
      <c r="BR13" s="262">
        <v>7</v>
      </c>
      <c r="BS13" s="262">
        <v>6</v>
      </c>
      <c r="BT13" s="262">
        <v>13</v>
      </c>
      <c r="BU13" s="262"/>
      <c r="BV13" s="264">
        <v>0</v>
      </c>
      <c r="BW13" s="262">
        <v>284</v>
      </c>
      <c r="BX13" s="262">
        <v>307</v>
      </c>
      <c r="BY13" s="262">
        <v>313</v>
      </c>
      <c r="BZ13" s="262">
        <v>294</v>
      </c>
      <c r="CA13" s="262">
        <v>378</v>
      </c>
      <c r="CB13" s="262">
        <v>417</v>
      </c>
      <c r="CC13" s="262">
        <v>392</v>
      </c>
      <c r="CD13" s="262">
        <v>436</v>
      </c>
      <c r="CE13" s="262">
        <v>425</v>
      </c>
      <c r="CF13" s="262">
        <v>509</v>
      </c>
      <c r="CG13" s="262">
        <v>470</v>
      </c>
      <c r="CH13" s="262">
        <v>493</v>
      </c>
      <c r="CI13" s="262">
        <v>497</v>
      </c>
      <c r="CJ13" s="262">
        <v>591</v>
      </c>
      <c r="CK13" s="262">
        <v>652</v>
      </c>
      <c r="CL13" s="262">
        <v>676</v>
      </c>
      <c r="CM13" s="262">
        <v>1</v>
      </c>
      <c r="CN13" s="262">
        <v>63</v>
      </c>
      <c r="CO13" s="71" t="s">
        <v>92</v>
      </c>
    </row>
    <row r="14" spans="2:95" x14ac:dyDescent="0.2">
      <c r="B14" s="72" t="s">
        <v>110</v>
      </c>
      <c r="C14" s="258">
        <v>1776</v>
      </c>
      <c r="D14" s="259">
        <v>1637</v>
      </c>
      <c r="E14" s="259">
        <v>1572</v>
      </c>
      <c r="F14" s="259">
        <v>1578</v>
      </c>
      <c r="G14" s="259">
        <v>1492</v>
      </c>
      <c r="H14" s="259">
        <v>1439</v>
      </c>
      <c r="I14" s="259">
        <v>1544</v>
      </c>
      <c r="J14" s="259">
        <v>1443</v>
      </c>
      <c r="K14" s="259">
        <v>1383</v>
      </c>
      <c r="L14" s="259">
        <v>1361</v>
      </c>
      <c r="M14" s="259">
        <v>1372</v>
      </c>
      <c r="N14" s="259">
        <v>1358</v>
      </c>
      <c r="O14" s="259">
        <v>1360</v>
      </c>
      <c r="P14" s="259">
        <v>1392</v>
      </c>
      <c r="Q14" s="259">
        <v>1366</v>
      </c>
      <c r="R14" s="259">
        <v>1328</v>
      </c>
      <c r="S14" s="259">
        <v>404</v>
      </c>
      <c r="T14" s="265">
        <v>493</v>
      </c>
      <c r="U14" s="259">
        <v>1774</v>
      </c>
      <c r="V14" s="259">
        <v>1609</v>
      </c>
      <c r="W14" s="259">
        <v>1542</v>
      </c>
      <c r="X14" s="259">
        <v>1542</v>
      </c>
      <c r="Y14" s="259">
        <v>1470</v>
      </c>
      <c r="Z14" s="259">
        <v>1436</v>
      </c>
      <c r="AA14" s="259">
        <v>1535</v>
      </c>
      <c r="AB14" s="259">
        <v>1458</v>
      </c>
      <c r="AC14" s="259">
        <v>1374</v>
      </c>
      <c r="AD14" s="259">
        <v>1383</v>
      </c>
      <c r="AE14" s="259">
        <v>1381</v>
      </c>
      <c r="AF14" s="259">
        <v>1392</v>
      </c>
      <c r="AG14" s="259">
        <v>1352</v>
      </c>
      <c r="AH14" s="259">
        <v>1378</v>
      </c>
      <c r="AI14" s="259">
        <v>1344</v>
      </c>
      <c r="AJ14" s="259">
        <v>1316</v>
      </c>
      <c r="AK14" s="259">
        <v>410</v>
      </c>
      <c r="AL14" s="265">
        <v>526</v>
      </c>
      <c r="AM14" s="259">
        <v>0</v>
      </c>
      <c r="AN14" s="259">
        <v>30</v>
      </c>
      <c r="AO14" s="259">
        <v>93</v>
      </c>
      <c r="AP14" s="259">
        <v>104</v>
      </c>
      <c r="AQ14" s="259">
        <v>146</v>
      </c>
      <c r="AR14" s="259">
        <v>2</v>
      </c>
      <c r="AS14" s="259">
        <v>5</v>
      </c>
      <c r="AT14" s="259">
        <v>3</v>
      </c>
      <c r="AU14" s="259">
        <v>0</v>
      </c>
      <c r="AV14" s="259">
        <v>1</v>
      </c>
      <c r="AW14" s="259">
        <v>1</v>
      </c>
      <c r="AX14" s="259">
        <v>1</v>
      </c>
      <c r="AY14" s="259">
        <v>3</v>
      </c>
      <c r="AZ14" s="259">
        <v>2</v>
      </c>
      <c r="BA14" s="259">
        <v>20</v>
      </c>
      <c r="BB14" s="259">
        <v>22</v>
      </c>
      <c r="BC14" s="259"/>
      <c r="BD14" s="265"/>
      <c r="BE14" s="259">
        <v>0</v>
      </c>
      <c r="BF14" s="259" t="s">
        <v>118</v>
      </c>
      <c r="BG14" s="259" t="s">
        <v>118</v>
      </c>
      <c r="BH14" s="259" t="s">
        <v>118</v>
      </c>
      <c r="BI14" s="259" t="s">
        <v>118</v>
      </c>
      <c r="BJ14" s="259">
        <v>1</v>
      </c>
      <c r="BK14" s="259">
        <v>4</v>
      </c>
      <c r="BL14" s="259">
        <v>2</v>
      </c>
      <c r="BM14" s="259">
        <v>0</v>
      </c>
      <c r="BN14" s="259">
        <v>1</v>
      </c>
      <c r="BO14" s="259">
        <v>1</v>
      </c>
      <c r="BP14" s="259">
        <v>1</v>
      </c>
      <c r="BQ14" s="259">
        <v>3</v>
      </c>
      <c r="BR14" s="259">
        <v>2</v>
      </c>
      <c r="BS14" s="259">
        <v>21</v>
      </c>
      <c r="BT14" s="259">
        <v>22</v>
      </c>
      <c r="BU14" s="259"/>
      <c r="BV14" s="265"/>
      <c r="BW14" s="259">
        <v>46</v>
      </c>
      <c r="BX14" s="259">
        <v>52</v>
      </c>
      <c r="BY14" s="259" t="s">
        <v>118</v>
      </c>
      <c r="BZ14" s="259">
        <v>37</v>
      </c>
      <c r="CA14" s="259" t="s">
        <v>118</v>
      </c>
      <c r="CB14" s="259">
        <v>106</v>
      </c>
      <c r="CC14" s="259">
        <v>172</v>
      </c>
      <c r="CD14" s="259">
        <v>203</v>
      </c>
      <c r="CE14" s="259">
        <v>162</v>
      </c>
      <c r="CF14" s="259">
        <v>208</v>
      </c>
      <c r="CG14" s="259">
        <v>203</v>
      </c>
      <c r="CH14" s="259">
        <v>242</v>
      </c>
      <c r="CI14" s="259">
        <v>220</v>
      </c>
      <c r="CJ14" s="259">
        <v>262</v>
      </c>
      <c r="CK14" s="259">
        <v>378</v>
      </c>
      <c r="CL14" s="259">
        <v>388</v>
      </c>
      <c r="CM14" s="259">
        <v>2</v>
      </c>
      <c r="CN14" s="259"/>
      <c r="CO14" s="72" t="s">
        <v>110</v>
      </c>
    </row>
    <row r="15" spans="2:95" x14ac:dyDescent="0.2">
      <c r="B15" s="71" t="s">
        <v>103</v>
      </c>
      <c r="C15" s="261">
        <v>48270</v>
      </c>
      <c r="D15" s="262">
        <v>42758</v>
      </c>
      <c r="E15" s="262">
        <v>45075</v>
      </c>
      <c r="F15" s="262">
        <v>45987</v>
      </c>
      <c r="G15" s="262">
        <v>45255</v>
      </c>
      <c r="H15" s="262">
        <v>43907</v>
      </c>
      <c r="I15" s="262">
        <v>42021</v>
      </c>
      <c r="J15" s="262">
        <v>39307</v>
      </c>
      <c r="K15" s="262">
        <v>36250</v>
      </c>
      <c r="L15" s="262">
        <v>36254</v>
      </c>
      <c r="M15" s="262">
        <v>33100</v>
      </c>
      <c r="N15" s="262">
        <v>32654</v>
      </c>
      <c r="O15" s="262">
        <v>32394</v>
      </c>
      <c r="P15" s="262">
        <v>34802</v>
      </c>
      <c r="Q15" s="262">
        <v>36041</v>
      </c>
      <c r="R15" s="262">
        <v>36715</v>
      </c>
      <c r="S15" s="262">
        <v>20452</v>
      </c>
      <c r="T15" s="264">
        <v>26004</v>
      </c>
      <c r="U15" s="262">
        <v>48146</v>
      </c>
      <c r="V15" s="262">
        <v>42634</v>
      </c>
      <c r="W15" s="262">
        <v>44897</v>
      </c>
      <c r="X15" s="262">
        <v>45908</v>
      </c>
      <c r="Y15" s="262">
        <v>45186</v>
      </c>
      <c r="Z15" s="262">
        <v>43832</v>
      </c>
      <c r="AA15" s="262">
        <v>41972</v>
      </c>
      <c r="AB15" s="262">
        <v>39269</v>
      </c>
      <c r="AC15" s="262">
        <v>36218</v>
      </c>
      <c r="AD15" s="262">
        <v>36218</v>
      </c>
      <c r="AE15" s="262">
        <v>33057</v>
      </c>
      <c r="AF15" s="262">
        <v>32640</v>
      </c>
      <c r="AG15" s="262">
        <v>32392</v>
      </c>
      <c r="AH15" s="262">
        <v>34782</v>
      </c>
      <c r="AI15" s="262">
        <v>36003</v>
      </c>
      <c r="AJ15" s="262">
        <v>36685</v>
      </c>
      <c r="AK15" s="262">
        <v>20427</v>
      </c>
      <c r="AL15" s="264">
        <v>25987</v>
      </c>
      <c r="AM15" s="262">
        <v>215</v>
      </c>
      <c r="AN15" s="262">
        <v>157</v>
      </c>
      <c r="AO15" s="262">
        <v>216</v>
      </c>
      <c r="AP15" s="262">
        <v>263</v>
      </c>
      <c r="AQ15" s="262">
        <v>334</v>
      </c>
      <c r="AR15" s="262">
        <v>303</v>
      </c>
      <c r="AS15" s="262">
        <v>1393</v>
      </c>
      <c r="AT15" s="262">
        <v>258</v>
      </c>
      <c r="AU15" s="262">
        <v>211</v>
      </c>
      <c r="AV15" s="262">
        <v>234</v>
      </c>
      <c r="AW15" s="262">
        <v>195</v>
      </c>
      <c r="AX15" s="262">
        <v>197</v>
      </c>
      <c r="AY15" s="262">
        <v>236</v>
      </c>
      <c r="AZ15" s="262">
        <v>219</v>
      </c>
      <c r="BA15" s="262">
        <v>236</v>
      </c>
      <c r="BB15" s="262">
        <v>265</v>
      </c>
      <c r="BC15" s="262">
        <v>8</v>
      </c>
      <c r="BD15" s="264">
        <v>132</v>
      </c>
      <c r="BE15" s="262">
        <v>113</v>
      </c>
      <c r="BF15" s="262">
        <v>518</v>
      </c>
      <c r="BG15" s="262">
        <v>214</v>
      </c>
      <c r="BH15" s="262">
        <v>265</v>
      </c>
      <c r="BI15" s="262">
        <v>326</v>
      </c>
      <c r="BJ15" s="262">
        <v>308</v>
      </c>
      <c r="BK15" s="262">
        <v>803</v>
      </c>
      <c r="BL15" s="262">
        <v>349</v>
      </c>
      <c r="BM15" s="262">
        <v>220</v>
      </c>
      <c r="BN15" s="262">
        <v>212</v>
      </c>
      <c r="BO15" s="262">
        <v>182</v>
      </c>
      <c r="BP15" s="262">
        <v>188</v>
      </c>
      <c r="BQ15" s="262">
        <v>227</v>
      </c>
      <c r="BR15" s="262">
        <v>220</v>
      </c>
      <c r="BS15" s="262">
        <v>240</v>
      </c>
      <c r="BT15" s="262">
        <v>266</v>
      </c>
      <c r="BU15" s="262">
        <v>8</v>
      </c>
      <c r="BV15" s="264">
        <v>138</v>
      </c>
      <c r="BW15" s="263" t="s">
        <v>118</v>
      </c>
      <c r="BX15" s="263" t="s">
        <v>118</v>
      </c>
      <c r="BY15" s="263" t="s">
        <v>118</v>
      </c>
      <c r="BZ15" s="263" t="s">
        <v>118</v>
      </c>
      <c r="CA15" s="263" t="s">
        <v>118</v>
      </c>
      <c r="CB15" s="263" t="s">
        <v>118</v>
      </c>
      <c r="CC15" s="263" t="s">
        <v>118</v>
      </c>
      <c r="CD15" s="263" t="s">
        <v>118</v>
      </c>
      <c r="CE15" s="263" t="s">
        <v>118</v>
      </c>
      <c r="CF15" s="263" t="s">
        <v>118</v>
      </c>
      <c r="CG15" s="263" t="s">
        <v>118</v>
      </c>
      <c r="CH15" s="263" t="s">
        <v>118</v>
      </c>
      <c r="CI15" s="263" t="s">
        <v>118</v>
      </c>
      <c r="CJ15" s="263" t="s">
        <v>118</v>
      </c>
      <c r="CK15" s="263" t="s">
        <v>118</v>
      </c>
      <c r="CL15" s="263" t="s">
        <v>118</v>
      </c>
      <c r="CM15" s="263"/>
      <c r="CN15" s="263"/>
      <c r="CO15" s="71" t="s">
        <v>103</v>
      </c>
    </row>
    <row r="16" spans="2:95" x14ac:dyDescent="0.2">
      <c r="B16" s="72" t="s">
        <v>108</v>
      </c>
      <c r="C16" s="258">
        <v>10681</v>
      </c>
      <c r="D16" s="259">
        <v>9621</v>
      </c>
      <c r="E16" s="259">
        <v>10190</v>
      </c>
      <c r="F16" s="259">
        <v>10669</v>
      </c>
      <c r="G16" s="259">
        <v>10265</v>
      </c>
      <c r="H16" s="259">
        <v>9706</v>
      </c>
      <c r="I16" s="259">
        <v>9561</v>
      </c>
      <c r="J16" s="259">
        <v>9571</v>
      </c>
      <c r="K16" s="259">
        <v>9547</v>
      </c>
      <c r="L16" s="259">
        <v>10315</v>
      </c>
      <c r="M16" s="259">
        <v>10623</v>
      </c>
      <c r="N16" s="259">
        <v>11141</v>
      </c>
      <c r="O16" s="259">
        <v>11748</v>
      </c>
      <c r="P16" s="259">
        <v>12462</v>
      </c>
      <c r="Q16" s="259">
        <v>14441</v>
      </c>
      <c r="R16" s="259">
        <v>15406</v>
      </c>
      <c r="S16" s="259">
        <v>6945</v>
      </c>
      <c r="T16" s="265">
        <v>9143</v>
      </c>
      <c r="U16" s="259">
        <v>10017</v>
      </c>
      <c r="V16" s="259">
        <v>9715</v>
      </c>
      <c r="W16" s="259">
        <v>10227</v>
      </c>
      <c r="X16" s="259">
        <v>10654</v>
      </c>
      <c r="Y16" s="259">
        <v>10173</v>
      </c>
      <c r="Z16" s="259">
        <v>9642</v>
      </c>
      <c r="AA16" s="259">
        <v>9550</v>
      </c>
      <c r="AB16" s="259">
        <v>9616</v>
      </c>
      <c r="AC16" s="259">
        <v>9618</v>
      </c>
      <c r="AD16" s="259">
        <v>10214</v>
      </c>
      <c r="AE16" s="259">
        <v>10591</v>
      </c>
      <c r="AF16" s="259">
        <v>11068</v>
      </c>
      <c r="AG16" s="259">
        <v>11786</v>
      </c>
      <c r="AH16" s="259">
        <v>12455</v>
      </c>
      <c r="AI16" s="259">
        <v>14388</v>
      </c>
      <c r="AJ16" s="259">
        <v>15334</v>
      </c>
      <c r="AK16" s="259">
        <v>6862</v>
      </c>
      <c r="AL16" s="265">
        <v>9180</v>
      </c>
      <c r="AM16" s="259">
        <v>615</v>
      </c>
      <c r="AN16" s="259">
        <v>1227</v>
      </c>
      <c r="AO16" s="259">
        <v>1228</v>
      </c>
      <c r="AP16" s="259">
        <v>907</v>
      </c>
      <c r="AQ16" s="259">
        <v>1027</v>
      </c>
      <c r="AR16" s="259">
        <v>1088</v>
      </c>
      <c r="AS16" s="259">
        <v>1204</v>
      </c>
      <c r="AT16" s="259">
        <v>1348</v>
      </c>
      <c r="AU16" s="259">
        <v>1252</v>
      </c>
      <c r="AV16" s="259">
        <v>1174</v>
      </c>
      <c r="AW16" s="259">
        <v>1161</v>
      </c>
      <c r="AX16" s="259">
        <v>1186</v>
      </c>
      <c r="AY16" s="259">
        <v>1417</v>
      </c>
      <c r="AZ16" s="259">
        <v>1502</v>
      </c>
      <c r="BA16" s="259">
        <v>1677</v>
      </c>
      <c r="BB16" s="259">
        <v>1788</v>
      </c>
      <c r="BC16" s="259">
        <v>253</v>
      </c>
      <c r="BD16" s="265">
        <v>272</v>
      </c>
      <c r="BE16" s="259">
        <v>52</v>
      </c>
      <c r="BF16" s="259">
        <v>412</v>
      </c>
      <c r="BG16" s="259">
        <v>521</v>
      </c>
      <c r="BH16" s="259">
        <v>903</v>
      </c>
      <c r="BI16" s="259">
        <v>1014</v>
      </c>
      <c r="BJ16" s="259">
        <v>1022</v>
      </c>
      <c r="BK16" s="259">
        <v>1203</v>
      </c>
      <c r="BL16" s="259">
        <v>1333</v>
      </c>
      <c r="BM16" s="259">
        <v>1211</v>
      </c>
      <c r="BN16" s="259">
        <v>1167</v>
      </c>
      <c r="BO16" s="259">
        <v>1111</v>
      </c>
      <c r="BP16" s="259">
        <v>1170</v>
      </c>
      <c r="BQ16" s="259">
        <v>1409</v>
      </c>
      <c r="BR16" s="259">
        <v>1503</v>
      </c>
      <c r="BS16" s="259">
        <v>1667</v>
      </c>
      <c r="BT16" s="259">
        <v>1796</v>
      </c>
      <c r="BU16" s="259">
        <v>222</v>
      </c>
      <c r="BV16" s="265">
        <v>286</v>
      </c>
      <c r="BW16" s="259">
        <v>598</v>
      </c>
      <c r="BX16" s="259">
        <v>1867</v>
      </c>
      <c r="BY16" s="259">
        <v>1761</v>
      </c>
      <c r="BZ16" s="259">
        <v>2910</v>
      </c>
      <c r="CA16" s="259">
        <v>3369</v>
      </c>
      <c r="CB16" s="259">
        <v>3597</v>
      </c>
      <c r="CC16" s="259">
        <v>4214</v>
      </c>
      <c r="CD16" s="259">
        <v>4760</v>
      </c>
      <c r="CE16" s="259">
        <v>4424</v>
      </c>
      <c r="CF16" s="259">
        <v>4540</v>
      </c>
      <c r="CG16" s="259">
        <v>4655</v>
      </c>
      <c r="CH16" s="259">
        <v>5985</v>
      </c>
      <c r="CI16" s="259">
        <v>5774</v>
      </c>
      <c r="CJ16" s="259">
        <v>6193</v>
      </c>
      <c r="CK16" s="259">
        <v>7848</v>
      </c>
      <c r="CL16" s="259">
        <v>9428</v>
      </c>
      <c r="CM16" s="259">
        <v>894</v>
      </c>
      <c r="CN16" s="259">
        <v>1658</v>
      </c>
      <c r="CO16" s="72" t="s">
        <v>108</v>
      </c>
    </row>
    <row r="17" spans="2:96" x14ac:dyDescent="0.2">
      <c r="B17" s="71" t="s">
        <v>109</v>
      </c>
      <c r="C17" s="261">
        <v>13376</v>
      </c>
      <c r="D17" s="262">
        <v>12722</v>
      </c>
      <c r="E17" s="262">
        <v>13094</v>
      </c>
      <c r="F17" s="262">
        <v>13306</v>
      </c>
      <c r="G17" s="262">
        <v>13323</v>
      </c>
      <c r="H17" s="262">
        <v>12413</v>
      </c>
      <c r="I17" s="262">
        <v>13362</v>
      </c>
      <c r="J17" s="262">
        <v>12539</v>
      </c>
      <c r="K17" s="262">
        <v>11991</v>
      </c>
      <c r="L17" s="262">
        <v>12493</v>
      </c>
      <c r="M17" s="262">
        <v>12934</v>
      </c>
      <c r="N17" s="262">
        <v>12646</v>
      </c>
      <c r="O17" s="262">
        <v>11953</v>
      </c>
      <c r="P17" s="262">
        <v>12283</v>
      </c>
      <c r="Q17" s="262">
        <v>12524</v>
      </c>
      <c r="R17" s="262">
        <v>12029</v>
      </c>
      <c r="S17" s="262">
        <v>5160</v>
      </c>
      <c r="T17" s="264">
        <v>5427</v>
      </c>
      <c r="U17" s="262">
        <v>13460</v>
      </c>
      <c r="V17" s="262">
        <v>12829</v>
      </c>
      <c r="W17" s="262">
        <v>12999</v>
      </c>
      <c r="X17" s="262">
        <v>13280</v>
      </c>
      <c r="Y17" s="262">
        <v>13187</v>
      </c>
      <c r="Z17" s="262">
        <v>12321</v>
      </c>
      <c r="AA17" s="262">
        <v>13381</v>
      </c>
      <c r="AB17" s="262">
        <v>12535</v>
      </c>
      <c r="AC17" s="262">
        <v>12022</v>
      </c>
      <c r="AD17" s="262">
        <v>12357</v>
      </c>
      <c r="AE17" s="262">
        <v>12816</v>
      </c>
      <c r="AF17" s="262">
        <v>12557</v>
      </c>
      <c r="AG17" s="262">
        <v>11823</v>
      </c>
      <c r="AH17" s="262">
        <v>12093</v>
      </c>
      <c r="AI17" s="262">
        <v>12359</v>
      </c>
      <c r="AJ17" s="262">
        <v>11798</v>
      </c>
      <c r="AK17" s="262">
        <v>5076</v>
      </c>
      <c r="AL17" s="264">
        <v>5336</v>
      </c>
      <c r="AM17" s="262">
        <v>118</v>
      </c>
      <c r="AN17" s="262">
        <v>127</v>
      </c>
      <c r="AO17" s="262">
        <v>154</v>
      </c>
      <c r="AP17" s="262">
        <v>231</v>
      </c>
      <c r="AQ17" s="262">
        <v>156</v>
      </c>
      <c r="AR17" s="262">
        <v>172</v>
      </c>
      <c r="AS17" s="262">
        <v>246</v>
      </c>
      <c r="AT17" s="262">
        <v>240</v>
      </c>
      <c r="AU17" s="262">
        <v>390</v>
      </c>
      <c r="AV17" s="262">
        <v>390</v>
      </c>
      <c r="AW17" s="262">
        <v>444</v>
      </c>
      <c r="AX17" s="262">
        <v>467</v>
      </c>
      <c r="AY17" s="262">
        <v>372</v>
      </c>
      <c r="AZ17" s="262">
        <v>358</v>
      </c>
      <c r="BA17" s="262">
        <v>423</v>
      </c>
      <c r="BB17" s="262">
        <v>421</v>
      </c>
      <c r="BC17" s="262">
        <v>111</v>
      </c>
      <c r="BD17" s="264">
        <v>147</v>
      </c>
      <c r="BE17" s="262">
        <v>114</v>
      </c>
      <c r="BF17" s="262">
        <v>125</v>
      </c>
      <c r="BG17" s="262">
        <v>155</v>
      </c>
      <c r="BH17" s="262">
        <v>231</v>
      </c>
      <c r="BI17" s="262">
        <v>147</v>
      </c>
      <c r="BJ17" s="262">
        <v>160</v>
      </c>
      <c r="BK17" s="262">
        <v>228</v>
      </c>
      <c r="BL17" s="262">
        <v>238</v>
      </c>
      <c r="BM17" s="262">
        <v>413</v>
      </c>
      <c r="BN17" s="262">
        <v>393</v>
      </c>
      <c r="BO17" s="262">
        <v>444</v>
      </c>
      <c r="BP17" s="262">
        <v>463</v>
      </c>
      <c r="BQ17" s="262">
        <v>367</v>
      </c>
      <c r="BR17" s="262">
        <v>359</v>
      </c>
      <c r="BS17" s="262">
        <v>426</v>
      </c>
      <c r="BT17" s="262">
        <v>418</v>
      </c>
      <c r="BU17" s="262">
        <v>98</v>
      </c>
      <c r="BV17" s="264">
        <v>94</v>
      </c>
      <c r="BW17" s="262">
        <v>1063</v>
      </c>
      <c r="BX17" s="262">
        <v>1080</v>
      </c>
      <c r="BY17" s="262">
        <v>1190</v>
      </c>
      <c r="BZ17" s="262">
        <v>1246</v>
      </c>
      <c r="CA17" s="262">
        <v>1064</v>
      </c>
      <c r="CB17" s="262">
        <v>1398</v>
      </c>
      <c r="CC17" s="262">
        <v>1766</v>
      </c>
      <c r="CD17" s="262">
        <v>1630</v>
      </c>
      <c r="CE17" s="262">
        <v>2031</v>
      </c>
      <c r="CF17" s="262">
        <v>2263</v>
      </c>
      <c r="CG17" s="262">
        <v>2561</v>
      </c>
      <c r="CH17" s="262">
        <v>2780</v>
      </c>
      <c r="CI17" s="262">
        <v>3319</v>
      </c>
      <c r="CJ17" s="262">
        <v>3655</v>
      </c>
      <c r="CK17" s="262">
        <v>3798</v>
      </c>
      <c r="CL17" s="262">
        <v>3981</v>
      </c>
      <c r="CM17" s="262">
        <v>420</v>
      </c>
      <c r="CN17" s="262">
        <v>363</v>
      </c>
      <c r="CO17" s="71" t="s">
        <v>109</v>
      </c>
    </row>
    <row r="18" spans="2:96" x14ac:dyDescent="0.2">
      <c r="B18" s="72" t="s">
        <v>126</v>
      </c>
      <c r="C18" s="266">
        <v>10706</v>
      </c>
      <c r="D18" s="267">
        <v>11023</v>
      </c>
      <c r="E18" s="267">
        <v>11490</v>
      </c>
      <c r="F18" s="267">
        <v>12265</v>
      </c>
      <c r="G18" s="267">
        <v>12983</v>
      </c>
      <c r="H18" s="267">
        <v>13019</v>
      </c>
      <c r="I18" s="267">
        <v>12554</v>
      </c>
      <c r="J18" s="267">
        <v>13395</v>
      </c>
      <c r="K18" s="267">
        <v>13358</v>
      </c>
      <c r="L18" s="267">
        <v>13659</v>
      </c>
      <c r="M18" s="267">
        <v>11903</v>
      </c>
      <c r="N18" s="267">
        <v>13948</v>
      </c>
      <c r="O18" s="267">
        <v>15041</v>
      </c>
      <c r="P18" s="267">
        <v>15937</v>
      </c>
      <c r="Q18" s="267">
        <v>16523</v>
      </c>
      <c r="R18" s="267">
        <v>17063</v>
      </c>
      <c r="S18" s="267">
        <v>9388</v>
      </c>
      <c r="T18" s="268">
        <v>13541</v>
      </c>
      <c r="U18" s="267">
        <v>10654</v>
      </c>
      <c r="V18" s="267">
        <v>11035</v>
      </c>
      <c r="W18" s="267">
        <v>11523</v>
      </c>
      <c r="X18" s="267">
        <v>12272</v>
      </c>
      <c r="Y18" s="267">
        <v>13037</v>
      </c>
      <c r="Z18" s="267">
        <v>13001</v>
      </c>
      <c r="AA18" s="267">
        <v>12554</v>
      </c>
      <c r="AB18" s="267">
        <v>13540</v>
      </c>
      <c r="AC18" s="267">
        <v>13333</v>
      </c>
      <c r="AD18" s="267">
        <v>13681</v>
      </c>
      <c r="AE18" s="267">
        <v>11611</v>
      </c>
      <c r="AF18" s="267">
        <v>13271</v>
      </c>
      <c r="AG18" s="267">
        <v>14549</v>
      </c>
      <c r="AH18" s="267">
        <v>15314</v>
      </c>
      <c r="AI18" s="259">
        <v>16068</v>
      </c>
      <c r="AJ18" s="259">
        <v>17000</v>
      </c>
      <c r="AK18" s="259">
        <v>9390</v>
      </c>
      <c r="AL18" s="265">
        <v>13533</v>
      </c>
      <c r="AM18" s="267">
        <v>78</v>
      </c>
      <c r="AN18" s="267">
        <v>60</v>
      </c>
      <c r="AO18" s="267">
        <v>26</v>
      </c>
      <c r="AP18" s="267">
        <v>33</v>
      </c>
      <c r="AQ18" s="267">
        <v>11</v>
      </c>
      <c r="AR18" s="267">
        <v>7</v>
      </c>
      <c r="AS18" s="267">
        <v>7</v>
      </c>
      <c r="AT18" s="267">
        <v>6</v>
      </c>
      <c r="AU18" s="267">
        <v>6</v>
      </c>
      <c r="AV18" s="267">
        <v>7</v>
      </c>
      <c r="AW18" s="267">
        <v>4</v>
      </c>
      <c r="AX18" s="267">
        <v>26</v>
      </c>
      <c r="AY18" s="267">
        <v>35</v>
      </c>
      <c r="AZ18" s="267">
        <v>38</v>
      </c>
      <c r="BA18" s="267">
        <v>34</v>
      </c>
      <c r="BB18" s="267">
        <v>40</v>
      </c>
      <c r="BC18" s="267">
        <v>1</v>
      </c>
      <c r="BD18" s="268">
        <v>2</v>
      </c>
      <c r="BE18" s="267">
        <v>82</v>
      </c>
      <c r="BF18" s="267">
        <v>64</v>
      </c>
      <c r="BG18" s="267">
        <v>22</v>
      </c>
      <c r="BH18" s="267">
        <v>41</v>
      </c>
      <c r="BI18" s="267">
        <v>12</v>
      </c>
      <c r="BJ18" s="267">
        <v>10</v>
      </c>
      <c r="BK18" s="267">
        <v>7</v>
      </c>
      <c r="BL18" s="267">
        <v>6</v>
      </c>
      <c r="BM18" s="267">
        <v>8</v>
      </c>
      <c r="BN18" s="267">
        <v>8</v>
      </c>
      <c r="BO18" s="267">
        <v>5</v>
      </c>
      <c r="BP18" s="267">
        <v>26</v>
      </c>
      <c r="BQ18" s="267">
        <v>35</v>
      </c>
      <c r="BR18" s="267">
        <v>37</v>
      </c>
      <c r="BS18" s="267">
        <v>33</v>
      </c>
      <c r="BT18" s="267">
        <v>39</v>
      </c>
      <c r="BU18" s="267">
        <v>1</v>
      </c>
      <c r="BV18" s="268">
        <v>3</v>
      </c>
      <c r="BW18" s="267">
        <v>546</v>
      </c>
      <c r="BX18" s="267">
        <v>628</v>
      </c>
      <c r="BY18" s="267">
        <v>734</v>
      </c>
      <c r="BZ18" s="267">
        <v>872</v>
      </c>
      <c r="CA18" s="267">
        <v>1122</v>
      </c>
      <c r="CB18" s="267">
        <v>1142</v>
      </c>
      <c r="CC18" s="267">
        <v>1231</v>
      </c>
      <c r="CD18" s="267">
        <v>1345</v>
      </c>
      <c r="CE18" s="267">
        <v>1390</v>
      </c>
      <c r="CF18" s="267">
        <v>1436</v>
      </c>
      <c r="CG18" s="267">
        <v>1188</v>
      </c>
      <c r="CH18" s="267">
        <v>1242</v>
      </c>
      <c r="CI18" s="267">
        <v>1323</v>
      </c>
      <c r="CJ18" s="267">
        <v>1196</v>
      </c>
      <c r="CK18" s="267">
        <v>1316</v>
      </c>
      <c r="CL18" s="267">
        <v>1434</v>
      </c>
      <c r="CM18" s="267">
        <v>7</v>
      </c>
      <c r="CN18" s="267">
        <v>244</v>
      </c>
      <c r="CO18" s="72" t="s">
        <v>126</v>
      </c>
    </row>
    <row r="19" spans="2:96" x14ac:dyDescent="0.2">
      <c r="B19" s="208" t="s">
        <v>111</v>
      </c>
      <c r="C19" s="269">
        <v>40923</v>
      </c>
      <c r="D19" s="270">
        <v>38537</v>
      </c>
      <c r="E19" s="270">
        <v>42875</v>
      </c>
      <c r="F19" s="270">
        <v>42285</v>
      </c>
      <c r="G19" s="270">
        <v>44761</v>
      </c>
      <c r="H19" s="270">
        <v>45496</v>
      </c>
      <c r="I19" s="270">
        <v>41960</v>
      </c>
      <c r="J19" s="270">
        <v>38566</v>
      </c>
      <c r="K19" s="270">
        <v>35485</v>
      </c>
      <c r="L19" s="270">
        <v>34107</v>
      </c>
      <c r="M19" s="270">
        <v>34227</v>
      </c>
      <c r="N19" s="270">
        <v>33159</v>
      </c>
      <c r="O19" s="270">
        <v>31828</v>
      </c>
      <c r="P19" s="270">
        <v>35060</v>
      </c>
      <c r="Q19" s="270">
        <v>40278</v>
      </c>
      <c r="R19" s="270">
        <v>40761</v>
      </c>
      <c r="S19" s="270">
        <v>27457</v>
      </c>
      <c r="T19" s="271">
        <v>28452</v>
      </c>
      <c r="U19" s="270">
        <v>40820</v>
      </c>
      <c r="V19" s="270">
        <v>38393</v>
      </c>
      <c r="W19" s="270">
        <v>42934</v>
      </c>
      <c r="X19" s="270">
        <v>42317</v>
      </c>
      <c r="Y19" s="270">
        <v>43643</v>
      </c>
      <c r="Z19" s="270">
        <v>42834</v>
      </c>
      <c r="AA19" s="270">
        <v>42016</v>
      </c>
      <c r="AB19" s="270">
        <v>38808</v>
      </c>
      <c r="AC19" s="270">
        <v>35413</v>
      </c>
      <c r="AD19" s="270">
        <v>33830</v>
      </c>
      <c r="AE19" s="270">
        <v>34176</v>
      </c>
      <c r="AF19" s="270">
        <v>32971</v>
      </c>
      <c r="AG19" s="270">
        <v>31754</v>
      </c>
      <c r="AH19" s="270">
        <v>35069</v>
      </c>
      <c r="AI19" s="262">
        <v>40278</v>
      </c>
      <c r="AJ19" s="262">
        <v>40751</v>
      </c>
      <c r="AK19" s="262">
        <v>27383</v>
      </c>
      <c r="AL19" s="264">
        <v>28495</v>
      </c>
      <c r="AM19" s="270">
        <v>793</v>
      </c>
      <c r="AN19" s="270">
        <v>939</v>
      </c>
      <c r="AO19" s="270">
        <v>93</v>
      </c>
      <c r="AP19" s="270">
        <v>1189</v>
      </c>
      <c r="AQ19" s="270">
        <v>882</v>
      </c>
      <c r="AR19" s="270">
        <v>2130</v>
      </c>
      <c r="AS19" s="270">
        <v>1903</v>
      </c>
      <c r="AT19" s="270">
        <v>2239</v>
      </c>
      <c r="AU19" s="270">
        <v>2934</v>
      </c>
      <c r="AV19" s="270">
        <v>2458</v>
      </c>
      <c r="AW19" s="270">
        <v>1879</v>
      </c>
      <c r="AX19" s="270">
        <v>1986</v>
      </c>
      <c r="AY19" s="270">
        <v>1849</v>
      </c>
      <c r="AZ19" s="270">
        <v>1875</v>
      </c>
      <c r="BA19" s="270">
        <v>2495</v>
      </c>
      <c r="BB19" s="270">
        <v>2403</v>
      </c>
      <c r="BC19" s="270">
        <v>182</v>
      </c>
      <c r="BD19" s="271">
        <v>487</v>
      </c>
      <c r="BE19" s="270">
        <v>780</v>
      </c>
      <c r="BF19" s="270">
        <v>884</v>
      </c>
      <c r="BG19" s="270">
        <v>81</v>
      </c>
      <c r="BH19" s="270">
        <v>1179</v>
      </c>
      <c r="BI19" s="270">
        <v>871</v>
      </c>
      <c r="BJ19" s="270">
        <v>2248</v>
      </c>
      <c r="BK19" s="270">
        <v>1779</v>
      </c>
      <c r="BL19" s="270">
        <v>2282</v>
      </c>
      <c r="BM19" s="270">
        <v>2903</v>
      </c>
      <c r="BN19" s="270">
        <v>2842</v>
      </c>
      <c r="BO19" s="270">
        <v>1943</v>
      </c>
      <c r="BP19" s="270">
        <v>2152</v>
      </c>
      <c r="BQ19" s="270">
        <v>1841</v>
      </c>
      <c r="BR19" s="270">
        <v>1872</v>
      </c>
      <c r="BS19" s="270">
        <v>2331</v>
      </c>
      <c r="BT19" s="270">
        <v>2615</v>
      </c>
      <c r="BU19" s="270">
        <v>125</v>
      </c>
      <c r="BV19" s="271">
        <v>482</v>
      </c>
      <c r="BW19" s="270">
        <v>2200</v>
      </c>
      <c r="BX19" s="270">
        <v>2178</v>
      </c>
      <c r="BY19" s="270">
        <v>3112</v>
      </c>
      <c r="BZ19" s="270">
        <v>3181</v>
      </c>
      <c r="CA19" s="270">
        <v>1870</v>
      </c>
      <c r="CB19" s="270">
        <v>1444</v>
      </c>
      <c r="CC19" s="270">
        <v>1890</v>
      </c>
      <c r="CD19" s="270">
        <v>2509</v>
      </c>
      <c r="CE19" s="270">
        <v>3993</v>
      </c>
      <c r="CF19" s="270">
        <v>4869</v>
      </c>
      <c r="CG19" s="270">
        <v>3960</v>
      </c>
      <c r="CH19" s="270">
        <v>4649</v>
      </c>
      <c r="CI19" s="270">
        <v>3598</v>
      </c>
      <c r="CJ19" s="270">
        <v>3132</v>
      </c>
      <c r="CK19" s="270">
        <v>4150</v>
      </c>
      <c r="CL19" s="270">
        <v>3838</v>
      </c>
      <c r="CM19" s="270">
        <v>229</v>
      </c>
      <c r="CN19" s="270">
        <v>595</v>
      </c>
      <c r="CO19" s="208" t="s">
        <v>111</v>
      </c>
    </row>
    <row r="20" spans="2:96" x14ac:dyDescent="0.2">
      <c r="B20" s="72" t="s">
        <v>90</v>
      </c>
      <c r="C20" s="266"/>
      <c r="D20" s="267"/>
      <c r="E20" s="267">
        <v>24</v>
      </c>
      <c r="F20" s="267">
        <v>1</v>
      </c>
      <c r="G20" s="267">
        <v>1</v>
      </c>
      <c r="H20" s="267">
        <v>1</v>
      </c>
      <c r="I20" s="267">
        <v>1</v>
      </c>
      <c r="J20" s="267">
        <v>0</v>
      </c>
      <c r="K20" s="267">
        <v>1</v>
      </c>
      <c r="L20" s="267">
        <v>2</v>
      </c>
      <c r="M20" s="267">
        <v>1</v>
      </c>
      <c r="N20" s="267">
        <v>1</v>
      </c>
      <c r="O20" s="267">
        <v>1</v>
      </c>
      <c r="P20" s="267">
        <v>25</v>
      </c>
      <c r="Q20" s="267">
        <v>13</v>
      </c>
      <c r="R20" s="267">
        <v>15</v>
      </c>
      <c r="S20" s="267"/>
      <c r="T20" s="268">
        <v>4</v>
      </c>
      <c r="U20" s="267" t="s">
        <v>118</v>
      </c>
      <c r="V20" s="267" t="s">
        <v>118</v>
      </c>
      <c r="W20" s="267" t="s">
        <v>118</v>
      </c>
      <c r="X20" s="267" t="s">
        <v>118</v>
      </c>
      <c r="Y20" s="267">
        <v>1</v>
      </c>
      <c r="Z20" s="267" t="s">
        <v>118</v>
      </c>
      <c r="AA20" s="267" t="s">
        <v>118</v>
      </c>
      <c r="AB20" s="267" t="s">
        <v>118</v>
      </c>
      <c r="AC20" s="267" t="s">
        <v>118</v>
      </c>
      <c r="AD20" s="267" t="s">
        <v>118</v>
      </c>
      <c r="AE20" s="267" t="s">
        <v>118</v>
      </c>
      <c r="AF20" s="267"/>
      <c r="AG20" s="267"/>
      <c r="AH20" s="267">
        <v>26</v>
      </c>
      <c r="AI20" s="259">
        <v>13</v>
      </c>
      <c r="AJ20" s="259">
        <v>15</v>
      </c>
      <c r="AK20" s="259"/>
      <c r="AL20" s="265">
        <v>4</v>
      </c>
      <c r="AM20" s="267">
        <v>124</v>
      </c>
      <c r="AN20" s="267">
        <v>97</v>
      </c>
      <c r="AO20" s="267">
        <v>118</v>
      </c>
      <c r="AP20" s="267">
        <v>86</v>
      </c>
      <c r="AQ20" s="267">
        <v>73</v>
      </c>
      <c r="AR20" s="267">
        <v>48</v>
      </c>
      <c r="AS20" s="267">
        <v>53</v>
      </c>
      <c r="AT20" s="267">
        <v>46</v>
      </c>
      <c r="AU20" s="267">
        <v>44</v>
      </c>
      <c r="AV20" s="267">
        <v>49</v>
      </c>
      <c r="AW20" s="267">
        <v>36</v>
      </c>
      <c r="AX20" s="267">
        <v>34</v>
      </c>
      <c r="AY20" s="267">
        <v>28</v>
      </c>
      <c r="AZ20" s="267">
        <v>21</v>
      </c>
      <c r="BA20" s="267">
        <v>1</v>
      </c>
      <c r="BB20" s="267">
        <v>13</v>
      </c>
      <c r="BC20" s="267">
        <v>3</v>
      </c>
      <c r="BD20" s="268">
        <v>11</v>
      </c>
      <c r="BE20" s="267">
        <v>123</v>
      </c>
      <c r="BF20" s="267">
        <v>97</v>
      </c>
      <c r="BG20" s="267">
        <v>86</v>
      </c>
      <c r="BH20" s="267">
        <v>87</v>
      </c>
      <c r="BI20" s="267">
        <v>74</v>
      </c>
      <c r="BJ20" s="267">
        <v>48</v>
      </c>
      <c r="BK20" s="267">
        <v>54</v>
      </c>
      <c r="BL20" s="267">
        <v>46</v>
      </c>
      <c r="BM20" s="267">
        <v>46</v>
      </c>
      <c r="BN20" s="267">
        <v>49</v>
      </c>
      <c r="BO20" s="267">
        <v>39</v>
      </c>
      <c r="BP20" s="267">
        <v>33</v>
      </c>
      <c r="BQ20" s="267">
        <v>30</v>
      </c>
      <c r="BR20" s="267">
        <v>0</v>
      </c>
      <c r="BS20" s="267">
        <v>1</v>
      </c>
      <c r="BT20" s="267">
        <v>11</v>
      </c>
      <c r="BU20" s="267">
        <v>2</v>
      </c>
      <c r="BV20" s="268">
        <v>11</v>
      </c>
      <c r="BW20" s="267">
        <v>130</v>
      </c>
      <c r="BX20" s="267">
        <v>2</v>
      </c>
      <c r="BY20" s="267">
        <v>223</v>
      </c>
      <c r="BZ20" s="267">
        <v>253</v>
      </c>
      <c r="CA20" s="267">
        <v>227</v>
      </c>
      <c r="CB20" s="267">
        <v>225</v>
      </c>
      <c r="CC20" s="267">
        <v>272</v>
      </c>
      <c r="CD20" s="267">
        <v>211</v>
      </c>
      <c r="CE20" s="267">
        <v>157</v>
      </c>
      <c r="CF20" s="267">
        <v>169</v>
      </c>
      <c r="CG20" s="267">
        <v>103</v>
      </c>
      <c r="CH20" s="267">
        <v>103</v>
      </c>
      <c r="CI20" s="267">
        <v>80</v>
      </c>
      <c r="CJ20" s="552" t="s">
        <v>118</v>
      </c>
      <c r="CK20" s="509" t="s">
        <v>118</v>
      </c>
      <c r="CL20" s="509" t="s">
        <v>118</v>
      </c>
      <c r="CM20" s="509"/>
      <c r="CN20" s="509"/>
      <c r="CO20" s="72" t="s">
        <v>90</v>
      </c>
    </row>
    <row r="21" spans="2:96" x14ac:dyDescent="0.2">
      <c r="B21" s="208" t="s">
        <v>94</v>
      </c>
      <c r="C21" s="269">
        <v>72</v>
      </c>
      <c r="D21" s="270">
        <v>79</v>
      </c>
      <c r="E21" s="270">
        <v>131</v>
      </c>
      <c r="F21" s="270">
        <v>203</v>
      </c>
      <c r="G21" s="270">
        <v>232</v>
      </c>
      <c r="H21" s="270">
        <v>303</v>
      </c>
      <c r="I21" s="270">
        <v>352</v>
      </c>
      <c r="J21" s="270">
        <v>414</v>
      </c>
      <c r="K21" s="270">
        <v>434</v>
      </c>
      <c r="L21" s="270">
        <v>458</v>
      </c>
      <c r="M21" s="270">
        <v>420</v>
      </c>
      <c r="N21" s="270">
        <v>317</v>
      </c>
      <c r="O21" s="270">
        <v>346</v>
      </c>
      <c r="P21" s="270">
        <v>487</v>
      </c>
      <c r="Q21" s="270">
        <v>521</v>
      </c>
      <c r="R21" s="270">
        <v>522</v>
      </c>
      <c r="S21" s="270">
        <v>224</v>
      </c>
      <c r="T21" s="271">
        <v>118</v>
      </c>
      <c r="U21" s="270">
        <v>76</v>
      </c>
      <c r="V21" s="270">
        <v>89</v>
      </c>
      <c r="W21" s="270">
        <v>147</v>
      </c>
      <c r="X21" s="270">
        <v>212</v>
      </c>
      <c r="Y21" s="270">
        <v>247</v>
      </c>
      <c r="Z21" s="270">
        <v>318</v>
      </c>
      <c r="AA21" s="270">
        <v>368</v>
      </c>
      <c r="AB21" s="270">
        <v>430</v>
      </c>
      <c r="AC21" s="270">
        <v>451</v>
      </c>
      <c r="AD21" s="270">
        <v>474</v>
      </c>
      <c r="AE21" s="270">
        <v>442</v>
      </c>
      <c r="AF21" s="270">
        <v>344</v>
      </c>
      <c r="AG21" s="270">
        <v>377</v>
      </c>
      <c r="AH21" s="270">
        <v>507</v>
      </c>
      <c r="AI21" s="262">
        <v>542</v>
      </c>
      <c r="AJ21" s="262">
        <v>550</v>
      </c>
      <c r="AK21" s="262">
        <v>242</v>
      </c>
      <c r="AL21" s="264">
        <v>131</v>
      </c>
      <c r="AM21" s="270" t="s">
        <v>118</v>
      </c>
      <c r="AN21" s="270" t="s">
        <v>118</v>
      </c>
      <c r="AO21" s="270" t="s">
        <v>118</v>
      </c>
      <c r="AP21" s="270" t="s">
        <v>118</v>
      </c>
      <c r="AQ21" s="270" t="s">
        <v>118</v>
      </c>
      <c r="AR21" s="270" t="s">
        <v>118</v>
      </c>
      <c r="AS21" s="270" t="s">
        <v>118</v>
      </c>
      <c r="AT21" s="270" t="s">
        <v>118</v>
      </c>
      <c r="AU21" s="270" t="s">
        <v>118</v>
      </c>
      <c r="AV21" s="270" t="s">
        <v>118</v>
      </c>
      <c r="AW21" s="270" t="s">
        <v>118</v>
      </c>
      <c r="AX21" s="270"/>
      <c r="AY21" s="270"/>
      <c r="AZ21" s="270"/>
      <c r="BA21" s="262"/>
      <c r="BB21" s="262"/>
      <c r="BC21" s="262"/>
      <c r="BD21" s="264"/>
      <c r="BE21" s="262" t="s">
        <v>118</v>
      </c>
      <c r="BF21" s="270" t="s">
        <v>118</v>
      </c>
      <c r="BG21" s="270" t="s">
        <v>118</v>
      </c>
      <c r="BH21" s="270" t="s">
        <v>118</v>
      </c>
      <c r="BI21" s="270" t="s">
        <v>118</v>
      </c>
      <c r="BJ21" s="270" t="s">
        <v>118</v>
      </c>
      <c r="BK21" s="270" t="s">
        <v>118</v>
      </c>
      <c r="BL21" s="270" t="s">
        <v>118</v>
      </c>
      <c r="BM21" s="270" t="s">
        <v>118</v>
      </c>
      <c r="BN21" s="270" t="s">
        <v>118</v>
      </c>
      <c r="BO21" s="270" t="s">
        <v>118</v>
      </c>
      <c r="BP21" s="270"/>
      <c r="BQ21" s="270"/>
      <c r="BR21" s="270"/>
      <c r="BS21" s="262"/>
      <c r="BT21" s="262"/>
      <c r="BU21" s="262"/>
      <c r="BV21" s="264"/>
      <c r="BW21" s="270">
        <v>63</v>
      </c>
      <c r="BX21" s="270">
        <v>49</v>
      </c>
      <c r="BY21" s="270">
        <v>41</v>
      </c>
      <c r="BZ21" s="270">
        <v>65</v>
      </c>
      <c r="CA21" s="270">
        <v>51</v>
      </c>
      <c r="CB21" s="270">
        <v>69</v>
      </c>
      <c r="CC21" s="270">
        <v>59</v>
      </c>
      <c r="CD21" s="270">
        <v>64</v>
      </c>
      <c r="CE21" s="270">
        <v>84</v>
      </c>
      <c r="CF21" s="270">
        <v>68</v>
      </c>
      <c r="CG21" s="270">
        <v>62</v>
      </c>
      <c r="CH21" s="270">
        <v>69</v>
      </c>
      <c r="CI21" s="270">
        <v>72</v>
      </c>
      <c r="CJ21" s="270">
        <v>88</v>
      </c>
      <c r="CK21" s="270">
        <v>77</v>
      </c>
      <c r="CL21" s="270">
        <v>70</v>
      </c>
      <c r="CM21" s="270"/>
      <c r="CN21" s="270">
        <v>2</v>
      </c>
      <c r="CO21" s="208" t="s">
        <v>94</v>
      </c>
    </row>
    <row r="22" spans="2:96" x14ac:dyDescent="0.2">
      <c r="B22" s="72" t="s">
        <v>95</v>
      </c>
      <c r="C22" s="266">
        <v>73</v>
      </c>
      <c r="D22" s="267">
        <v>82</v>
      </c>
      <c r="E22" s="267">
        <v>92</v>
      </c>
      <c r="F22" s="267">
        <v>104</v>
      </c>
      <c r="G22" s="267">
        <v>103</v>
      </c>
      <c r="H22" s="267">
        <v>99</v>
      </c>
      <c r="I22" s="267">
        <v>121</v>
      </c>
      <c r="J22" s="267">
        <v>137</v>
      </c>
      <c r="K22" s="267">
        <v>142</v>
      </c>
      <c r="L22" s="267">
        <v>138</v>
      </c>
      <c r="M22" s="267">
        <v>136</v>
      </c>
      <c r="N22" s="267">
        <v>136</v>
      </c>
      <c r="O22" s="267">
        <v>144</v>
      </c>
      <c r="P22" s="267">
        <v>141</v>
      </c>
      <c r="Q22" s="267">
        <v>154</v>
      </c>
      <c r="R22" s="267">
        <v>165</v>
      </c>
      <c r="S22" s="267">
        <v>143</v>
      </c>
      <c r="T22" s="268">
        <v>145</v>
      </c>
      <c r="U22" s="267">
        <v>74</v>
      </c>
      <c r="V22" s="267">
        <v>85</v>
      </c>
      <c r="W22" s="267">
        <v>98</v>
      </c>
      <c r="X22" s="267">
        <v>108</v>
      </c>
      <c r="Y22" s="267">
        <v>109</v>
      </c>
      <c r="Z22" s="267">
        <v>106</v>
      </c>
      <c r="AA22" s="267">
        <v>130</v>
      </c>
      <c r="AB22" s="267">
        <v>144</v>
      </c>
      <c r="AC22" s="267">
        <v>145</v>
      </c>
      <c r="AD22" s="267">
        <v>142</v>
      </c>
      <c r="AE22" s="267">
        <v>144</v>
      </c>
      <c r="AF22" s="267">
        <v>150</v>
      </c>
      <c r="AG22" s="267">
        <v>159</v>
      </c>
      <c r="AH22" s="267">
        <v>156</v>
      </c>
      <c r="AI22" s="259">
        <v>169</v>
      </c>
      <c r="AJ22" s="259">
        <v>178</v>
      </c>
      <c r="AK22" s="259">
        <v>166</v>
      </c>
      <c r="AL22" s="265">
        <v>167</v>
      </c>
      <c r="AM22" s="267" t="s">
        <v>118</v>
      </c>
      <c r="AN22" s="267" t="s">
        <v>118</v>
      </c>
      <c r="AO22" s="267" t="s">
        <v>118</v>
      </c>
      <c r="AP22" s="267" t="s">
        <v>118</v>
      </c>
      <c r="AQ22" s="267" t="s">
        <v>118</v>
      </c>
      <c r="AR22" s="267" t="s">
        <v>118</v>
      </c>
      <c r="AS22" s="267" t="s">
        <v>118</v>
      </c>
      <c r="AT22" s="267" t="s">
        <v>118</v>
      </c>
      <c r="AU22" s="267" t="s">
        <v>118</v>
      </c>
      <c r="AV22" s="267" t="s">
        <v>118</v>
      </c>
      <c r="AW22" s="267" t="s">
        <v>118</v>
      </c>
      <c r="AX22" s="267"/>
      <c r="AY22" s="267"/>
      <c r="AZ22" s="267"/>
      <c r="BA22" s="267"/>
      <c r="BB22" s="267"/>
      <c r="BC22" s="267"/>
      <c r="BD22" s="268"/>
      <c r="BE22" s="267" t="s">
        <v>118</v>
      </c>
      <c r="BF22" s="267" t="s">
        <v>118</v>
      </c>
      <c r="BG22" s="267" t="s">
        <v>118</v>
      </c>
      <c r="BH22" s="267" t="s">
        <v>118</v>
      </c>
      <c r="BI22" s="267" t="s">
        <v>118</v>
      </c>
      <c r="BJ22" s="267" t="s">
        <v>118</v>
      </c>
      <c r="BK22" s="267" t="s">
        <v>118</v>
      </c>
      <c r="BL22" s="267" t="s">
        <v>118</v>
      </c>
      <c r="BM22" s="267" t="s">
        <v>118</v>
      </c>
      <c r="BN22" s="267" t="s">
        <v>118</v>
      </c>
      <c r="BO22" s="267" t="s">
        <v>118</v>
      </c>
      <c r="BP22" s="267"/>
      <c r="BQ22" s="267"/>
      <c r="BR22" s="267"/>
      <c r="BS22" s="267"/>
      <c r="BT22" s="267"/>
      <c r="BU22" s="267"/>
      <c r="BV22" s="268"/>
      <c r="BW22" s="267">
        <v>14</v>
      </c>
      <c r="BX22" s="267">
        <v>24</v>
      </c>
      <c r="BY22" s="267">
        <v>25</v>
      </c>
      <c r="BZ22" s="267">
        <v>37</v>
      </c>
      <c r="CA22" s="267">
        <v>32</v>
      </c>
      <c r="CB22" s="267">
        <v>34</v>
      </c>
      <c r="CC22" s="267">
        <v>35</v>
      </c>
      <c r="CD22" s="267">
        <v>21</v>
      </c>
      <c r="CE22" s="267">
        <v>27</v>
      </c>
      <c r="CF22" s="267">
        <v>33</v>
      </c>
      <c r="CG22" s="267">
        <v>58</v>
      </c>
      <c r="CH22" s="267">
        <v>60</v>
      </c>
      <c r="CI22" s="267">
        <v>64</v>
      </c>
      <c r="CJ22" s="267">
        <v>75</v>
      </c>
      <c r="CK22" s="267">
        <v>70</v>
      </c>
      <c r="CL22" s="267">
        <v>68</v>
      </c>
      <c r="CM22" s="267"/>
      <c r="CN22" s="267">
        <v>1</v>
      </c>
      <c r="CO22" s="72" t="s">
        <v>95</v>
      </c>
      <c r="CR22" s="1"/>
    </row>
    <row r="23" spans="2:96" x14ac:dyDescent="0.2">
      <c r="B23" s="208" t="s">
        <v>112</v>
      </c>
      <c r="C23" s="763" t="s">
        <v>121</v>
      </c>
      <c r="D23" s="764" t="s">
        <v>121</v>
      </c>
      <c r="E23" s="764" t="s">
        <v>121</v>
      </c>
      <c r="F23" s="764" t="s">
        <v>121</v>
      </c>
      <c r="G23" s="764" t="s">
        <v>121</v>
      </c>
      <c r="H23" s="764" t="s">
        <v>121</v>
      </c>
      <c r="I23" s="764" t="s">
        <v>121</v>
      </c>
      <c r="J23" s="764" t="s">
        <v>121</v>
      </c>
      <c r="K23" s="764" t="s">
        <v>121</v>
      </c>
      <c r="L23" s="764" t="s">
        <v>121</v>
      </c>
      <c r="M23" s="764" t="s">
        <v>121</v>
      </c>
      <c r="N23" s="764" t="s">
        <v>121</v>
      </c>
      <c r="O23" s="764" t="s">
        <v>121</v>
      </c>
      <c r="P23" s="764" t="s">
        <v>121</v>
      </c>
      <c r="Q23" s="764" t="s">
        <v>121</v>
      </c>
      <c r="R23" s="764" t="s">
        <v>121</v>
      </c>
      <c r="S23" s="764" t="s">
        <v>121</v>
      </c>
      <c r="T23" s="837" t="s">
        <v>121</v>
      </c>
      <c r="U23" s="764" t="s">
        <v>121</v>
      </c>
      <c r="V23" s="764" t="s">
        <v>121</v>
      </c>
      <c r="W23" s="764" t="s">
        <v>121</v>
      </c>
      <c r="X23" s="764" t="s">
        <v>121</v>
      </c>
      <c r="Y23" s="764" t="s">
        <v>121</v>
      </c>
      <c r="Z23" s="764" t="s">
        <v>121</v>
      </c>
      <c r="AA23" s="764" t="s">
        <v>121</v>
      </c>
      <c r="AB23" s="764" t="s">
        <v>121</v>
      </c>
      <c r="AC23" s="764" t="s">
        <v>121</v>
      </c>
      <c r="AD23" s="764" t="s">
        <v>121</v>
      </c>
      <c r="AE23" s="764" t="s">
        <v>121</v>
      </c>
      <c r="AF23" s="764" t="s">
        <v>121</v>
      </c>
      <c r="AG23" s="764" t="s">
        <v>121</v>
      </c>
      <c r="AH23" s="764" t="s">
        <v>121</v>
      </c>
      <c r="AI23" s="764" t="s">
        <v>121</v>
      </c>
      <c r="AJ23" s="764" t="s">
        <v>121</v>
      </c>
      <c r="AK23" s="764" t="s">
        <v>121</v>
      </c>
      <c r="AL23" s="837" t="s">
        <v>121</v>
      </c>
      <c r="AM23" s="764" t="s">
        <v>121</v>
      </c>
      <c r="AN23" s="764" t="s">
        <v>121</v>
      </c>
      <c r="AO23" s="764" t="s">
        <v>121</v>
      </c>
      <c r="AP23" s="764" t="s">
        <v>121</v>
      </c>
      <c r="AQ23" s="764" t="s">
        <v>121</v>
      </c>
      <c r="AR23" s="764" t="s">
        <v>121</v>
      </c>
      <c r="AS23" s="764" t="s">
        <v>121</v>
      </c>
      <c r="AT23" s="764" t="s">
        <v>121</v>
      </c>
      <c r="AU23" s="764" t="s">
        <v>121</v>
      </c>
      <c r="AV23" s="764" t="s">
        <v>121</v>
      </c>
      <c r="AW23" s="764" t="s">
        <v>121</v>
      </c>
      <c r="AX23" s="764" t="s">
        <v>121</v>
      </c>
      <c r="AY23" s="764" t="s">
        <v>121</v>
      </c>
      <c r="AZ23" s="764" t="s">
        <v>121</v>
      </c>
      <c r="BA23" s="764" t="s">
        <v>121</v>
      </c>
      <c r="BB23" s="764" t="s">
        <v>121</v>
      </c>
      <c r="BC23" s="764" t="s">
        <v>121</v>
      </c>
      <c r="BD23" s="837" t="s">
        <v>121</v>
      </c>
      <c r="BE23" s="764" t="s">
        <v>121</v>
      </c>
      <c r="BF23" s="764" t="s">
        <v>121</v>
      </c>
      <c r="BG23" s="764" t="s">
        <v>121</v>
      </c>
      <c r="BH23" s="764" t="s">
        <v>121</v>
      </c>
      <c r="BI23" s="764" t="s">
        <v>121</v>
      </c>
      <c r="BJ23" s="764" t="s">
        <v>121</v>
      </c>
      <c r="BK23" s="764" t="s">
        <v>121</v>
      </c>
      <c r="BL23" s="764" t="s">
        <v>121</v>
      </c>
      <c r="BM23" s="764" t="s">
        <v>121</v>
      </c>
      <c r="BN23" s="764" t="s">
        <v>121</v>
      </c>
      <c r="BO23" s="764" t="s">
        <v>121</v>
      </c>
      <c r="BP23" s="764" t="s">
        <v>121</v>
      </c>
      <c r="BQ23" s="764" t="s">
        <v>121</v>
      </c>
      <c r="BR23" s="764" t="s">
        <v>121</v>
      </c>
      <c r="BS23" s="764" t="s">
        <v>121</v>
      </c>
      <c r="BT23" s="764" t="s">
        <v>121</v>
      </c>
      <c r="BU23" s="764" t="s">
        <v>121</v>
      </c>
      <c r="BV23" s="837" t="s">
        <v>121</v>
      </c>
      <c r="BW23" s="764" t="s">
        <v>121</v>
      </c>
      <c r="BX23" s="764" t="s">
        <v>121</v>
      </c>
      <c r="BY23" s="764" t="s">
        <v>121</v>
      </c>
      <c r="BZ23" s="764" t="s">
        <v>121</v>
      </c>
      <c r="CA23" s="764" t="s">
        <v>121</v>
      </c>
      <c r="CB23" s="764" t="s">
        <v>121</v>
      </c>
      <c r="CC23" s="764" t="s">
        <v>121</v>
      </c>
      <c r="CD23" s="764" t="s">
        <v>121</v>
      </c>
      <c r="CE23" s="764" t="s">
        <v>121</v>
      </c>
      <c r="CF23" s="764" t="s">
        <v>121</v>
      </c>
      <c r="CG23" s="764" t="s">
        <v>121</v>
      </c>
      <c r="CH23" s="764" t="s">
        <v>121</v>
      </c>
      <c r="CI23" s="764" t="s">
        <v>121</v>
      </c>
      <c r="CJ23" s="764" t="s">
        <v>121</v>
      </c>
      <c r="CK23" s="764" t="s">
        <v>121</v>
      </c>
      <c r="CL23" s="764" t="s">
        <v>121</v>
      </c>
      <c r="CM23" s="764" t="s">
        <v>121</v>
      </c>
      <c r="CN23" s="764" t="s">
        <v>121</v>
      </c>
      <c r="CO23" s="208" t="s">
        <v>112</v>
      </c>
    </row>
    <row r="24" spans="2:96" x14ac:dyDescent="0.2">
      <c r="B24" s="72" t="s">
        <v>93</v>
      </c>
      <c r="C24" s="762" t="s">
        <v>121</v>
      </c>
      <c r="D24" s="762" t="s">
        <v>121</v>
      </c>
      <c r="E24" s="762" t="s">
        <v>121</v>
      </c>
      <c r="F24" s="762" t="s">
        <v>121</v>
      </c>
      <c r="G24" s="762" t="s">
        <v>121</v>
      </c>
      <c r="H24" s="762" t="s">
        <v>121</v>
      </c>
      <c r="I24" s="762" t="s">
        <v>121</v>
      </c>
      <c r="J24" s="762" t="s">
        <v>121</v>
      </c>
      <c r="K24" s="762" t="s">
        <v>121</v>
      </c>
      <c r="L24" s="762" t="s">
        <v>121</v>
      </c>
      <c r="M24" s="762" t="s">
        <v>121</v>
      </c>
      <c r="N24" s="762" t="s">
        <v>121</v>
      </c>
      <c r="O24" s="762" t="s">
        <v>121</v>
      </c>
      <c r="P24" s="762" t="s">
        <v>121</v>
      </c>
      <c r="Q24" s="762" t="s">
        <v>121</v>
      </c>
      <c r="R24" s="762" t="s">
        <v>121</v>
      </c>
      <c r="S24" s="762" t="s">
        <v>121</v>
      </c>
      <c r="T24" s="839" t="s">
        <v>121</v>
      </c>
      <c r="U24" s="762" t="s">
        <v>121</v>
      </c>
      <c r="V24" s="762" t="s">
        <v>121</v>
      </c>
      <c r="W24" s="762" t="s">
        <v>121</v>
      </c>
      <c r="X24" s="762" t="s">
        <v>121</v>
      </c>
      <c r="Y24" s="762" t="s">
        <v>121</v>
      </c>
      <c r="Z24" s="762" t="s">
        <v>121</v>
      </c>
      <c r="AA24" s="762" t="s">
        <v>121</v>
      </c>
      <c r="AB24" s="762" t="s">
        <v>121</v>
      </c>
      <c r="AC24" s="762" t="s">
        <v>121</v>
      </c>
      <c r="AD24" s="762" t="s">
        <v>121</v>
      </c>
      <c r="AE24" s="762" t="s">
        <v>121</v>
      </c>
      <c r="AF24" s="762" t="s">
        <v>121</v>
      </c>
      <c r="AG24" s="762" t="s">
        <v>121</v>
      </c>
      <c r="AH24" s="762" t="s">
        <v>121</v>
      </c>
      <c r="AI24" s="762" t="s">
        <v>121</v>
      </c>
      <c r="AJ24" s="762" t="s">
        <v>121</v>
      </c>
      <c r="AK24" s="762" t="s">
        <v>121</v>
      </c>
      <c r="AL24" s="839" t="s">
        <v>121</v>
      </c>
      <c r="AM24" s="762" t="s">
        <v>121</v>
      </c>
      <c r="AN24" s="762" t="s">
        <v>121</v>
      </c>
      <c r="AO24" s="762" t="s">
        <v>121</v>
      </c>
      <c r="AP24" s="762" t="s">
        <v>121</v>
      </c>
      <c r="AQ24" s="762" t="s">
        <v>121</v>
      </c>
      <c r="AR24" s="762" t="s">
        <v>121</v>
      </c>
      <c r="AS24" s="762" t="s">
        <v>121</v>
      </c>
      <c r="AT24" s="762" t="s">
        <v>121</v>
      </c>
      <c r="AU24" s="762" t="s">
        <v>121</v>
      </c>
      <c r="AV24" s="762" t="s">
        <v>121</v>
      </c>
      <c r="AW24" s="762" t="s">
        <v>121</v>
      </c>
      <c r="AX24" s="761" t="s">
        <v>121</v>
      </c>
      <c r="AY24" s="761" t="s">
        <v>121</v>
      </c>
      <c r="AZ24" s="761" t="s">
        <v>121</v>
      </c>
      <c r="BA24" s="761" t="s">
        <v>121</v>
      </c>
      <c r="BB24" s="761" t="s">
        <v>121</v>
      </c>
      <c r="BC24" s="761" t="s">
        <v>121</v>
      </c>
      <c r="BD24" s="838" t="s">
        <v>121</v>
      </c>
      <c r="BE24" s="762" t="s">
        <v>121</v>
      </c>
      <c r="BF24" s="762" t="s">
        <v>121</v>
      </c>
      <c r="BG24" s="762" t="s">
        <v>121</v>
      </c>
      <c r="BH24" s="762" t="s">
        <v>121</v>
      </c>
      <c r="BI24" s="762" t="s">
        <v>121</v>
      </c>
      <c r="BJ24" s="762" t="s">
        <v>121</v>
      </c>
      <c r="BK24" s="762" t="s">
        <v>121</v>
      </c>
      <c r="BL24" s="762" t="s">
        <v>121</v>
      </c>
      <c r="BM24" s="762" t="s">
        <v>121</v>
      </c>
      <c r="BN24" s="762" t="s">
        <v>121</v>
      </c>
      <c r="BO24" s="762" t="s">
        <v>121</v>
      </c>
      <c r="BP24" s="762" t="s">
        <v>121</v>
      </c>
      <c r="BQ24" s="762" t="s">
        <v>121</v>
      </c>
      <c r="BR24" s="762" t="s">
        <v>121</v>
      </c>
      <c r="BS24" s="762" t="s">
        <v>121</v>
      </c>
      <c r="BT24" s="762" t="s">
        <v>121</v>
      </c>
      <c r="BU24" s="762" t="s">
        <v>121</v>
      </c>
      <c r="BV24" s="839" t="s">
        <v>121</v>
      </c>
      <c r="BW24" s="762" t="s">
        <v>121</v>
      </c>
      <c r="BX24" s="762" t="s">
        <v>121</v>
      </c>
      <c r="BY24" s="762" t="s">
        <v>121</v>
      </c>
      <c r="BZ24" s="762" t="s">
        <v>121</v>
      </c>
      <c r="CA24" s="762" t="s">
        <v>121</v>
      </c>
      <c r="CB24" s="762" t="s">
        <v>121</v>
      </c>
      <c r="CC24" s="762" t="s">
        <v>121</v>
      </c>
      <c r="CD24" s="762" t="s">
        <v>121</v>
      </c>
      <c r="CE24" s="762" t="s">
        <v>121</v>
      </c>
      <c r="CF24" s="762" t="s">
        <v>121</v>
      </c>
      <c r="CG24" s="762" t="s">
        <v>121</v>
      </c>
      <c r="CH24" s="762" t="s">
        <v>121</v>
      </c>
      <c r="CI24" s="762" t="s">
        <v>121</v>
      </c>
      <c r="CJ24" s="762" t="s">
        <v>121</v>
      </c>
      <c r="CK24" s="762" t="s">
        <v>121</v>
      </c>
      <c r="CL24" s="762" t="s">
        <v>121</v>
      </c>
      <c r="CM24" s="762" t="s">
        <v>121</v>
      </c>
      <c r="CN24" s="762" t="s">
        <v>121</v>
      </c>
      <c r="CO24" s="72" t="s">
        <v>93</v>
      </c>
    </row>
    <row r="25" spans="2:96" x14ac:dyDescent="0.2">
      <c r="B25" s="208" t="s">
        <v>96</v>
      </c>
      <c r="C25" s="269">
        <v>3605</v>
      </c>
      <c r="D25" s="270">
        <v>3545</v>
      </c>
      <c r="E25" s="270">
        <v>3652</v>
      </c>
      <c r="F25" s="270">
        <v>3893</v>
      </c>
      <c r="G25" s="270">
        <v>4148</v>
      </c>
      <c r="H25" s="270">
        <v>3886</v>
      </c>
      <c r="I25" s="270">
        <v>4136</v>
      </c>
      <c r="J25" s="270">
        <v>4263</v>
      </c>
      <c r="K25" s="270">
        <v>4224</v>
      </c>
      <c r="L25" s="270">
        <v>4395</v>
      </c>
      <c r="M25" s="270">
        <v>4643</v>
      </c>
      <c r="N25" s="270">
        <v>4740</v>
      </c>
      <c r="O25" s="270">
        <v>5133</v>
      </c>
      <c r="P25" s="270">
        <v>5384</v>
      </c>
      <c r="Q25" s="270">
        <v>5758</v>
      </c>
      <c r="R25" s="270">
        <v>5918</v>
      </c>
      <c r="S25" s="270">
        <v>3774</v>
      </c>
      <c r="T25" s="271">
        <v>4452</v>
      </c>
      <c r="U25" s="270">
        <v>3605</v>
      </c>
      <c r="V25" s="270">
        <v>3545</v>
      </c>
      <c r="W25" s="270">
        <v>3652</v>
      </c>
      <c r="X25" s="270">
        <v>3891</v>
      </c>
      <c r="Y25" s="270">
        <v>3955</v>
      </c>
      <c r="Z25" s="270">
        <v>3885</v>
      </c>
      <c r="AA25" s="270">
        <v>4134</v>
      </c>
      <c r="AB25" s="270">
        <v>4246</v>
      </c>
      <c r="AC25" s="270">
        <v>4219</v>
      </c>
      <c r="AD25" s="270">
        <v>4395</v>
      </c>
      <c r="AE25" s="270">
        <v>4643</v>
      </c>
      <c r="AF25" s="270">
        <v>4740</v>
      </c>
      <c r="AG25" s="270">
        <v>5133</v>
      </c>
      <c r="AH25" s="270">
        <v>5384</v>
      </c>
      <c r="AI25" s="262">
        <v>5758</v>
      </c>
      <c r="AJ25" s="262">
        <v>5918</v>
      </c>
      <c r="AK25" s="262">
        <v>3774</v>
      </c>
      <c r="AL25" s="264">
        <v>4452</v>
      </c>
      <c r="AM25" s="270">
        <v>20</v>
      </c>
      <c r="AN25" s="270">
        <v>7</v>
      </c>
      <c r="AO25" s="270">
        <v>12</v>
      </c>
      <c r="AP25" s="270">
        <v>9</v>
      </c>
      <c r="AQ25" s="270">
        <v>14</v>
      </c>
      <c r="AR25" s="270">
        <v>14</v>
      </c>
      <c r="AS25" s="270">
        <v>15</v>
      </c>
      <c r="AT25" s="270">
        <v>56</v>
      </c>
      <c r="AU25" s="270">
        <v>46</v>
      </c>
      <c r="AV25" s="270">
        <v>51</v>
      </c>
      <c r="AW25" s="270">
        <v>46</v>
      </c>
      <c r="AX25" s="270">
        <v>70</v>
      </c>
      <c r="AY25" s="270">
        <v>58</v>
      </c>
      <c r="AZ25" s="270">
        <v>104</v>
      </c>
      <c r="BA25" s="270">
        <v>79</v>
      </c>
      <c r="BB25" s="270">
        <v>136</v>
      </c>
      <c r="BC25" s="270">
        <v>0</v>
      </c>
      <c r="BD25" s="271">
        <v>10</v>
      </c>
      <c r="BE25" s="270">
        <v>20</v>
      </c>
      <c r="BF25" s="270">
        <v>6</v>
      </c>
      <c r="BG25" s="270">
        <v>11</v>
      </c>
      <c r="BH25" s="270">
        <v>9</v>
      </c>
      <c r="BI25" s="270">
        <v>14</v>
      </c>
      <c r="BJ25" s="270">
        <v>14</v>
      </c>
      <c r="BK25" s="270">
        <v>15</v>
      </c>
      <c r="BL25" s="270">
        <v>56</v>
      </c>
      <c r="BM25" s="270">
        <v>46</v>
      </c>
      <c r="BN25" s="270">
        <v>51</v>
      </c>
      <c r="BO25" s="270">
        <v>47</v>
      </c>
      <c r="BP25" s="270">
        <v>70</v>
      </c>
      <c r="BQ25" s="270">
        <v>56</v>
      </c>
      <c r="BR25" s="270">
        <v>107</v>
      </c>
      <c r="BS25" s="270">
        <v>77</v>
      </c>
      <c r="BT25" s="270">
        <v>135</v>
      </c>
      <c r="BU25" s="270">
        <v>0</v>
      </c>
      <c r="BV25" s="271">
        <v>8</v>
      </c>
      <c r="BW25" s="270">
        <v>251</v>
      </c>
      <c r="BX25" s="270">
        <v>307</v>
      </c>
      <c r="BY25" s="270">
        <v>385</v>
      </c>
      <c r="BZ25" s="270">
        <v>472</v>
      </c>
      <c r="CA25" s="270">
        <v>528</v>
      </c>
      <c r="CB25" s="270">
        <v>414</v>
      </c>
      <c r="CC25" s="270">
        <v>464</v>
      </c>
      <c r="CD25" s="270">
        <v>446</v>
      </c>
      <c r="CE25" s="270">
        <v>519</v>
      </c>
      <c r="CF25" s="270" t="s">
        <v>118</v>
      </c>
      <c r="CG25" s="270" t="s">
        <v>118</v>
      </c>
      <c r="CH25" s="270" t="s">
        <v>118</v>
      </c>
      <c r="CI25" s="270" t="s">
        <v>118</v>
      </c>
      <c r="CJ25" s="270" t="s">
        <v>118</v>
      </c>
      <c r="CK25" s="270" t="s">
        <v>118</v>
      </c>
      <c r="CL25" s="270" t="s">
        <v>118</v>
      </c>
      <c r="CM25" s="270"/>
      <c r="CN25" s="270"/>
      <c r="CO25" s="208" t="s">
        <v>96</v>
      </c>
    </row>
    <row r="26" spans="2:96" x14ac:dyDescent="0.2">
      <c r="B26" s="207" t="s">
        <v>104</v>
      </c>
      <c r="C26" s="266">
        <v>1006</v>
      </c>
      <c r="D26" s="267">
        <v>1058</v>
      </c>
      <c r="E26" s="267">
        <v>1053</v>
      </c>
      <c r="F26" s="267">
        <v>945</v>
      </c>
      <c r="G26" s="267">
        <v>977</v>
      </c>
      <c r="H26" s="267">
        <v>827</v>
      </c>
      <c r="I26" s="267">
        <v>1005</v>
      </c>
      <c r="J26" s="267">
        <v>924</v>
      </c>
      <c r="K26" s="267">
        <v>863</v>
      </c>
      <c r="L26" s="267">
        <v>889</v>
      </c>
      <c r="M26" s="267">
        <v>911</v>
      </c>
      <c r="N26" s="267">
        <v>941</v>
      </c>
      <c r="O26" s="267">
        <v>997</v>
      </c>
      <c r="P26" s="267">
        <v>963</v>
      </c>
      <c r="Q26" s="267">
        <v>996</v>
      </c>
      <c r="R26" s="267">
        <v>998</v>
      </c>
      <c r="S26" s="267">
        <v>533</v>
      </c>
      <c r="T26" s="268">
        <v>465</v>
      </c>
      <c r="U26" s="267">
        <v>1006</v>
      </c>
      <c r="V26" s="267">
        <v>1057</v>
      </c>
      <c r="W26" s="267">
        <v>1074</v>
      </c>
      <c r="X26" s="267">
        <v>925</v>
      </c>
      <c r="Y26" s="267">
        <v>982</v>
      </c>
      <c r="Z26" s="267">
        <v>805</v>
      </c>
      <c r="AA26" s="267">
        <v>989</v>
      </c>
      <c r="AB26" s="267">
        <v>846</v>
      </c>
      <c r="AC26" s="267">
        <v>843</v>
      </c>
      <c r="AD26" s="267">
        <v>849</v>
      </c>
      <c r="AE26" s="267">
        <v>908</v>
      </c>
      <c r="AF26" s="267">
        <v>969</v>
      </c>
      <c r="AG26" s="267">
        <v>908</v>
      </c>
      <c r="AH26" s="267">
        <v>965</v>
      </c>
      <c r="AI26" s="259">
        <v>984</v>
      </c>
      <c r="AJ26" s="259">
        <v>1011</v>
      </c>
      <c r="AK26" s="259">
        <v>435</v>
      </c>
      <c r="AL26" s="265">
        <v>420</v>
      </c>
      <c r="AM26" s="267" t="s">
        <v>118</v>
      </c>
      <c r="AN26" s="267" t="s">
        <v>118</v>
      </c>
      <c r="AO26" s="267" t="s">
        <v>118</v>
      </c>
      <c r="AP26" s="267" t="s">
        <v>118</v>
      </c>
      <c r="AQ26" s="267" t="s">
        <v>118</v>
      </c>
      <c r="AR26" s="267" t="s">
        <v>118</v>
      </c>
      <c r="AS26" s="267" t="s">
        <v>118</v>
      </c>
      <c r="AT26" s="267" t="s">
        <v>118</v>
      </c>
      <c r="AU26" s="267" t="s">
        <v>118</v>
      </c>
      <c r="AV26" s="267" t="s">
        <v>118</v>
      </c>
      <c r="AW26" s="267" t="s">
        <v>118</v>
      </c>
      <c r="AX26" s="267"/>
      <c r="AY26" s="267"/>
      <c r="AZ26" s="267"/>
      <c r="BA26" s="267"/>
      <c r="BB26" s="267"/>
      <c r="BC26" s="267"/>
      <c r="BD26" s="268"/>
      <c r="BE26" s="267" t="s">
        <v>118</v>
      </c>
      <c r="BF26" s="267" t="s">
        <v>118</v>
      </c>
      <c r="BG26" s="267" t="s">
        <v>118</v>
      </c>
      <c r="BH26" s="267" t="s">
        <v>118</v>
      </c>
      <c r="BI26" s="267" t="s">
        <v>118</v>
      </c>
      <c r="BJ26" s="267" t="s">
        <v>118</v>
      </c>
      <c r="BK26" s="267" t="s">
        <v>118</v>
      </c>
      <c r="BL26" s="267" t="s">
        <v>118</v>
      </c>
      <c r="BM26" s="267" t="s">
        <v>118</v>
      </c>
      <c r="BN26" s="267" t="s">
        <v>118</v>
      </c>
      <c r="BO26" s="267" t="s">
        <v>118</v>
      </c>
      <c r="BP26" s="267"/>
      <c r="BQ26" s="267"/>
      <c r="BR26" s="267"/>
      <c r="BS26" s="267"/>
      <c r="BT26" s="267"/>
      <c r="BU26" s="267"/>
      <c r="BV26" s="268"/>
      <c r="BW26" s="273" t="s">
        <v>118</v>
      </c>
      <c r="BX26" s="273" t="s">
        <v>118</v>
      </c>
      <c r="BY26" s="273" t="s">
        <v>118</v>
      </c>
      <c r="BZ26" s="273" t="s">
        <v>118</v>
      </c>
      <c r="CA26" s="273" t="s">
        <v>118</v>
      </c>
      <c r="CB26" s="273" t="s">
        <v>118</v>
      </c>
      <c r="CC26" s="273" t="s">
        <v>118</v>
      </c>
      <c r="CD26" s="273" t="s">
        <v>118</v>
      </c>
      <c r="CE26" s="273" t="s">
        <v>118</v>
      </c>
      <c r="CF26" s="273" t="s">
        <v>118</v>
      </c>
      <c r="CG26" s="273" t="s">
        <v>118</v>
      </c>
      <c r="CH26" s="273" t="s">
        <v>118</v>
      </c>
      <c r="CI26" s="273" t="s">
        <v>118</v>
      </c>
      <c r="CJ26" s="273" t="s">
        <v>118</v>
      </c>
      <c r="CK26" s="273" t="s">
        <v>118</v>
      </c>
      <c r="CL26" s="273" t="s">
        <v>118</v>
      </c>
      <c r="CM26" s="273"/>
      <c r="CN26" s="273"/>
      <c r="CO26" s="207" t="s">
        <v>104</v>
      </c>
    </row>
    <row r="27" spans="2:96" x14ac:dyDescent="0.2">
      <c r="B27" s="208" t="s">
        <v>113</v>
      </c>
      <c r="C27" s="764" t="s">
        <v>121</v>
      </c>
      <c r="D27" s="764" t="s">
        <v>121</v>
      </c>
      <c r="E27" s="764" t="s">
        <v>121</v>
      </c>
      <c r="F27" s="764" t="s">
        <v>121</v>
      </c>
      <c r="G27" s="764" t="s">
        <v>121</v>
      </c>
      <c r="H27" s="764" t="s">
        <v>121</v>
      </c>
      <c r="I27" s="764" t="s">
        <v>121</v>
      </c>
      <c r="J27" s="764" t="s">
        <v>121</v>
      </c>
      <c r="K27" s="764" t="s">
        <v>121</v>
      </c>
      <c r="L27" s="764" t="s">
        <v>121</v>
      </c>
      <c r="M27" s="764" t="s">
        <v>121</v>
      </c>
      <c r="N27" s="764" t="s">
        <v>121</v>
      </c>
      <c r="O27" s="764" t="s">
        <v>121</v>
      </c>
      <c r="P27" s="764" t="s">
        <v>121</v>
      </c>
      <c r="Q27" s="764" t="s">
        <v>121</v>
      </c>
      <c r="R27" s="764" t="s">
        <v>121</v>
      </c>
      <c r="S27" s="764" t="s">
        <v>121</v>
      </c>
      <c r="T27" s="837"/>
      <c r="U27" s="764" t="s">
        <v>121</v>
      </c>
      <c r="V27" s="764" t="s">
        <v>121</v>
      </c>
      <c r="W27" s="764" t="s">
        <v>121</v>
      </c>
      <c r="X27" s="764" t="s">
        <v>121</v>
      </c>
      <c r="Y27" s="764" t="s">
        <v>121</v>
      </c>
      <c r="Z27" s="764" t="s">
        <v>121</v>
      </c>
      <c r="AA27" s="764" t="s">
        <v>121</v>
      </c>
      <c r="AB27" s="764" t="s">
        <v>121</v>
      </c>
      <c r="AC27" s="764" t="s">
        <v>121</v>
      </c>
      <c r="AD27" s="764" t="s">
        <v>121</v>
      </c>
      <c r="AE27" s="764" t="s">
        <v>121</v>
      </c>
      <c r="AF27" s="764" t="s">
        <v>121</v>
      </c>
      <c r="AG27" s="764" t="s">
        <v>121</v>
      </c>
      <c r="AH27" s="764" t="s">
        <v>121</v>
      </c>
      <c r="AI27" s="764" t="s">
        <v>121</v>
      </c>
      <c r="AJ27" s="764" t="s">
        <v>121</v>
      </c>
      <c r="AK27" s="764" t="s">
        <v>121</v>
      </c>
      <c r="AL27" s="837" t="s">
        <v>121</v>
      </c>
      <c r="AM27" s="764" t="s">
        <v>121</v>
      </c>
      <c r="AN27" s="764" t="s">
        <v>121</v>
      </c>
      <c r="AO27" s="764" t="s">
        <v>121</v>
      </c>
      <c r="AP27" s="764" t="s">
        <v>121</v>
      </c>
      <c r="AQ27" s="764" t="s">
        <v>121</v>
      </c>
      <c r="AR27" s="764" t="s">
        <v>121</v>
      </c>
      <c r="AS27" s="764" t="s">
        <v>121</v>
      </c>
      <c r="AT27" s="764" t="s">
        <v>121</v>
      </c>
      <c r="AU27" s="764" t="s">
        <v>121</v>
      </c>
      <c r="AV27" s="764" t="s">
        <v>121</v>
      </c>
      <c r="AW27" s="764" t="s">
        <v>121</v>
      </c>
      <c r="AX27" s="764" t="s">
        <v>121</v>
      </c>
      <c r="AY27" s="764" t="s">
        <v>121</v>
      </c>
      <c r="AZ27" s="764" t="s">
        <v>121</v>
      </c>
      <c r="BA27" s="764" t="s">
        <v>121</v>
      </c>
      <c r="BB27" s="764" t="s">
        <v>121</v>
      </c>
      <c r="BC27" s="764" t="s">
        <v>121</v>
      </c>
      <c r="BD27" s="837" t="s">
        <v>121</v>
      </c>
      <c r="BE27" s="764" t="s">
        <v>121</v>
      </c>
      <c r="BF27" s="764" t="s">
        <v>121</v>
      </c>
      <c r="BG27" s="764" t="s">
        <v>121</v>
      </c>
      <c r="BH27" s="764" t="s">
        <v>121</v>
      </c>
      <c r="BI27" s="764" t="s">
        <v>121</v>
      </c>
      <c r="BJ27" s="764" t="s">
        <v>121</v>
      </c>
      <c r="BK27" s="764" t="s">
        <v>121</v>
      </c>
      <c r="BL27" s="764" t="s">
        <v>121</v>
      </c>
      <c r="BM27" s="764" t="s">
        <v>121</v>
      </c>
      <c r="BN27" s="764" t="s">
        <v>121</v>
      </c>
      <c r="BO27" s="764" t="s">
        <v>121</v>
      </c>
      <c r="BP27" s="764" t="s">
        <v>121</v>
      </c>
      <c r="BQ27" s="764" t="s">
        <v>121</v>
      </c>
      <c r="BR27" s="764" t="s">
        <v>121</v>
      </c>
      <c r="BS27" s="764" t="s">
        <v>121</v>
      </c>
      <c r="BT27" s="764" t="s">
        <v>121</v>
      </c>
      <c r="BU27" s="764" t="s">
        <v>121</v>
      </c>
      <c r="BV27" s="837"/>
      <c r="BW27" s="764" t="s">
        <v>121</v>
      </c>
      <c r="BX27" s="764" t="s">
        <v>121</v>
      </c>
      <c r="BY27" s="764" t="s">
        <v>121</v>
      </c>
      <c r="BZ27" s="764" t="s">
        <v>121</v>
      </c>
      <c r="CA27" s="764" t="s">
        <v>121</v>
      </c>
      <c r="CB27" s="764" t="s">
        <v>121</v>
      </c>
      <c r="CC27" s="764" t="s">
        <v>121</v>
      </c>
      <c r="CD27" s="764" t="s">
        <v>121</v>
      </c>
      <c r="CE27" s="764" t="s">
        <v>121</v>
      </c>
      <c r="CF27" s="764" t="s">
        <v>121</v>
      </c>
      <c r="CG27" s="764" t="s">
        <v>121</v>
      </c>
      <c r="CH27" s="764" t="s">
        <v>121</v>
      </c>
      <c r="CI27" s="764" t="s">
        <v>121</v>
      </c>
      <c r="CJ27" s="764" t="s">
        <v>121</v>
      </c>
      <c r="CK27" s="764" t="s">
        <v>121</v>
      </c>
      <c r="CL27" s="764" t="s">
        <v>121</v>
      </c>
      <c r="CM27" s="764" t="s">
        <v>121</v>
      </c>
      <c r="CN27" s="764" t="s">
        <v>121</v>
      </c>
      <c r="CO27" s="208" t="s">
        <v>113</v>
      </c>
    </row>
    <row r="28" spans="2:96" x14ac:dyDescent="0.2">
      <c r="B28" s="72" t="s">
        <v>97</v>
      </c>
      <c r="C28" s="266">
        <v>1030</v>
      </c>
      <c r="D28" s="267">
        <v>812</v>
      </c>
      <c r="E28" s="267">
        <v>875</v>
      </c>
      <c r="F28" s="267">
        <v>1218</v>
      </c>
      <c r="G28" s="267">
        <v>1325</v>
      </c>
      <c r="H28" s="267">
        <v>1238</v>
      </c>
      <c r="I28" s="267">
        <v>1291</v>
      </c>
      <c r="J28" s="267">
        <v>1252</v>
      </c>
      <c r="K28" s="267">
        <v>1176</v>
      </c>
      <c r="L28" s="267">
        <v>1089</v>
      </c>
      <c r="M28" s="267">
        <v>1111</v>
      </c>
      <c r="N28" s="267">
        <v>1205</v>
      </c>
      <c r="O28" s="267">
        <v>1297</v>
      </c>
      <c r="P28" s="267">
        <v>1292</v>
      </c>
      <c r="Q28" s="267">
        <v>1360</v>
      </c>
      <c r="R28" s="267">
        <v>1409</v>
      </c>
      <c r="S28" s="267">
        <v>956</v>
      </c>
      <c r="T28" s="268">
        <v>1158</v>
      </c>
      <c r="U28" s="267">
        <v>1001</v>
      </c>
      <c r="V28" s="267">
        <v>828</v>
      </c>
      <c r="W28" s="267">
        <v>861</v>
      </c>
      <c r="X28" s="267">
        <v>1238</v>
      </c>
      <c r="Y28" s="267">
        <v>1322</v>
      </c>
      <c r="Z28" s="267">
        <v>1243</v>
      </c>
      <c r="AA28" s="267">
        <v>1310</v>
      </c>
      <c r="AB28" s="267">
        <v>1274</v>
      </c>
      <c r="AC28" s="267">
        <v>1183</v>
      </c>
      <c r="AD28" s="267">
        <v>1112</v>
      </c>
      <c r="AE28" s="267">
        <v>1113</v>
      </c>
      <c r="AF28" s="267">
        <v>1217</v>
      </c>
      <c r="AG28" s="267">
        <v>1305</v>
      </c>
      <c r="AH28" s="267">
        <v>1293</v>
      </c>
      <c r="AI28" s="259">
        <v>1360</v>
      </c>
      <c r="AJ28" s="259">
        <v>1378</v>
      </c>
      <c r="AK28" s="259">
        <v>948</v>
      </c>
      <c r="AL28" s="265">
        <v>1158</v>
      </c>
      <c r="AM28" s="267">
        <v>0</v>
      </c>
      <c r="AN28" s="267">
        <v>0</v>
      </c>
      <c r="AO28" s="267">
        <v>0</v>
      </c>
      <c r="AP28" s="267">
        <v>0</v>
      </c>
      <c r="AQ28" s="267">
        <v>0</v>
      </c>
      <c r="AR28" s="267">
        <v>0</v>
      </c>
      <c r="AS28" s="267">
        <v>0</v>
      </c>
      <c r="AT28" s="267">
        <v>1</v>
      </c>
      <c r="AU28" s="267">
        <v>0</v>
      </c>
      <c r="AV28" s="267">
        <v>0</v>
      </c>
      <c r="AW28" s="267">
        <v>0</v>
      </c>
      <c r="AX28" s="267">
        <v>0</v>
      </c>
      <c r="AY28" s="267">
        <v>0</v>
      </c>
      <c r="AZ28" s="267">
        <v>0</v>
      </c>
      <c r="BA28" s="267">
        <v>0</v>
      </c>
      <c r="BB28" s="267">
        <v>0</v>
      </c>
      <c r="BC28" s="267">
        <v>0</v>
      </c>
      <c r="BD28" s="268">
        <v>0</v>
      </c>
      <c r="BE28" s="267">
        <v>0</v>
      </c>
      <c r="BF28" s="267">
        <v>0</v>
      </c>
      <c r="BG28" s="267">
        <v>0</v>
      </c>
      <c r="BH28" s="267">
        <v>0</v>
      </c>
      <c r="BI28" s="267">
        <v>0</v>
      </c>
      <c r="BJ28" s="267">
        <v>0</v>
      </c>
      <c r="BK28" s="267">
        <v>0</v>
      </c>
      <c r="BL28" s="267">
        <v>1</v>
      </c>
      <c r="BM28" s="267">
        <v>0</v>
      </c>
      <c r="BN28" s="267">
        <v>0</v>
      </c>
      <c r="BO28" s="267">
        <v>0</v>
      </c>
      <c r="BP28" s="267">
        <v>0</v>
      </c>
      <c r="BQ28" s="267">
        <v>0</v>
      </c>
      <c r="BR28" s="267">
        <v>0</v>
      </c>
      <c r="BS28" s="267">
        <v>0</v>
      </c>
      <c r="BT28" s="267">
        <v>0</v>
      </c>
      <c r="BU28" s="267">
        <v>0</v>
      </c>
      <c r="BV28" s="268">
        <v>0</v>
      </c>
      <c r="BW28" s="273" t="s">
        <v>118</v>
      </c>
      <c r="BX28" s="273" t="s">
        <v>118</v>
      </c>
      <c r="BY28" s="273" t="s">
        <v>118</v>
      </c>
      <c r="BZ28" s="273" t="s">
        <v>118</v>
      </c>
      <c r="CA28" s="273" t="s">
        <v>118</v>
      </c>
      <c r="CB28" s="273" t="s">
        <v>118</v>
      </c>
      <c r="CC28" s="273" t="s">
        <v>118</v>
      </c>
      <c r="CD28" s="273" t="s">
        <v>118</v>
      </c>
      <c r="CE28" s="273" t="s">
        <v>118</v>
      </c>
      <c r="CF28" s="273" t="s">
        <v>118</v>
      </c>
      <c r="CG28" s="273" t="s">
        <v>118</v>
      </c>
      <c r="CH28" s="273" t="s">
        <v>118</v>
      </c>
      <c r="CI28" s="273" t="s">
        <v>118</v>
      </c>
      <c r="CJ28" s="273" t="s">
        <v>118</v>
      </c>
      <c r="CK28" s="273" t="s">
        <v>118</v>
      </c>
      <c r="CL28" s="273" t="s">
        <v>118</v>
      </c>
      <c r="CM28" s="273"/>
      <c r="CN28" s="273"/>
      <c r="CO28" s="72" t="s">
        <v>97</v>
      </c>
    </row>
    <row r="29" spans="2:96" x14ac:dyDescent="0.2">
      <c r="B29" s="208" t="s">
        <v>114</v>
      </c>
      <c r="C29" s="269">
        <v>325</v>
      </c>
      <c r="D29" s="270">
        <v>332</v>
      </c>
      <c r="E29" s="270">
        <v>343</v>
      </c>
      <c r="F29" s="270">
        <v>368</v>
      </c>
      <c r="G29" s="270">
        <v>382</v>
      </c>
      <c r="H29" s="270">
        <v>416</v>
      </c>
      <c r="I29" s="270">
        <v>351</v>
      </c>
      <c r="J29" s="270">
        <v>305</v>
      </c>
      <c r="K29" s="270">
        <v>254</v>
      </c>
      <c r="L29" s="270">
        <v>249</v>
      </c>
      <c r="M29" s="270">
        <v>252</v>
      </c>
      <c r="N29" s="270">
        <v>268</v>
      </c>
      <c r="O29" s="270">
        <v>314</v>
      </c>
      <c r="P29" s="270">
        <v>338</v>
      </c>
      <c r="Q29" s="270">
        <v>349</v>
      </c>
      <c r="R29" s="270">
        <v>370</v>
      </c>
      <c r="S29" s="270">
        <v>417</v>
      </c>
      <c r="T29" s="271">
        <v>524</v>
      </c>
      <c r="U29" s="270">
        <v>325</v>
      </c>
      <c r="V29" s="270">
        <v>330</v>
      </c>
      <c r="W29" s="270">
        <v>343</v>
      </c>
      <c r="X29" s="270">
        <v>367</v>
      </c>
      <c r="Y29" s="270">
        <v>380</v>
      </c>
      <c r="Z29" s="270">
        <v>417</v>
      </c>
      <c r="AA29" s="270">
        <v>350</v>
      </c>
      <c r="AB29" s="270">
        <v>305</v>
      </c>
      <c r="AC29" s="270">
        <v>254</v>
      </c>
      <c r="AD29" s="270">
        <v>249</v>
      </c>
      <c r="AE29" s="270">
        <v>252</v>
      </c>
      <c r="AF29" s="270">
        <v>268</v>
      </c>
      <c r="AG29" s="270">
        <v>314</v>
      </c>
      <c r="AH29" s="270">
        <v>338</v>
      </c>
      <c r="AI29" s="262">
        <v>349</v>
      </c>
      <c r="AJ29" s="262">
        <v>371</v>
      </c>
      <c r="AK29" s="262">
        <v>418</v>
      </c>
      <c r="AL29" s="264">
        <v>527</v>
      </c>
      <c r="AM29" s="270" t="s">
        <v>118</v>
      </c>
      <c r="AN29" s="270" t="s">
        <v>118</v>
      </c>
      <c r="AO29" s="270" t="s">
        <v>118</v>
      </c>
      <c r="AP29" s="270" t="s">
        <v>118</v>
      </c>
      <c r="AQ29" s="270" t="s">
        <v>118</v>
      </c>
      <c r="AR29" s="270" t="s">
        <v>118</v>
      </c>
      <c r="AS29" s="270" t="s">
        <v>118</v>
      </c>
      <c r="AT29" s="270">
        <v>33</v>
      </c>
      <c r="AU29" s="270">
        <v>28</v>
      </c>
      <c r="AV29" s="270">
        <v>30</v>
      </c>
      <c r="AW29" s="270">
        <v>23</v>
      </c>
      <c r="AX29" s="270">
        <v>24</v>
      </c>
      <c r="AY29" s="270">
        <v>26</v>
      </c>
      <c r="AZ29" s="270">
        <v>31</v>
      </c>
      <c r="BA29" s="270">
        <v>30</v>
      </c>
      <c r="BB29" s="270">
        <v>41</v>
      </c>
      <c r="BC29" s="270">
        <v>6</v>
      </c>
      <c r="BD29" s="271">
        <v>6</v>
      </c>
      <c r="BE29" s="270" t="s">
        <v>118</v>
      </c>
      <c r="BF29" s="270" t="s">
        <v>118</v>
      </c>
      <c r="BG29" s="270" t="s">
        <v>118</v>
      </c>
      <c r="BH29" s="270" t="s">
        <v>118</v>
      </c>
      <c r="BI29" s="270" t="s">
        <v>118</v>
      </c>
      <c r="BJ29" s="270" t="s">
        <v>118</v>
      </c>
      <c r="BK29" s="270" t="s">
        <v>118</v>
      </c>
      <c r="BL29" s="270">
        <v>34</v>
      </c>
      <c r="BM29" s="270">
        <v>29</v>
      </c>
      <c r="BN29" s="270">
        <v>28</v>
      </c>
      <c r="BO29" s="270">
        <v>24</v>
      </c>
      <c r="BP29" s="270">
        <v>23</v>
      </c>
      <c r="BQ29" s="270">
        <v>25</v>
      </c>
      <c r="BR29" s="270">
        <v>32</v>
      </c>
      <c r="BS29" s="270">
        <v>29</v>
      </c>
      <c r="BT29" s="270">
        <v>41</v>
      </c>
      <c r="BU29" s="270">
        <v>5</v>
      </c>
      <c r="BV29" s="271">
        <v>2</v>
      </c>
      <c r="BW29" s="272" t="s">
        <v>118</v>
      </c>
      <c r="BX29" s="272" t="s">
        <v>118</v>
      </c>
      <c r="BY29" s="272" t="s">
        <v>118</v>
      </c>
      <c r="BZ29" s="272" t="s">
        <v>118</v>
      </c>
      <c r="CA29" s="272" t="s">
        <v>118</v>
      </c>
      <c r="CB29" s="272" t="s">
        <v>118</v>
      </c>
      <c r="CC29" s="272" t="s">
        <v>118</v>
      </c>
      <c r="CD29" s="272" t="s">
        <v>118</v>
      </c>
      <c r="CE29" s="272" t="s">
        <v>118</v>
      </c>
      <c r="CF29" s="272">
        <v>472</v>
      </c>
      <c r="CG29" s="272">
        <v>537</v>
      </c>
      <c r="CH29" s="272">
        <v>654</v>
      </c>
      <c r="CI29" s="272">
        <v>591</v>
      </c>
      <c r="CJ29" s="272">
        <v>661</v>
      </c>
      <c r="CK29" s="272">
        <v>683</v>
      </c>
      <c r="CL29" s="272">
        <v>712</v>
      </c>
      <c r="CM29" s="272">
        <v>149</v>
      </c>
      <c r="CN29" s="272">
        <v>140</v>
      </c>
      <c r="CO29" s="208" t="s">
        <v>114</v>
      </c>
    </row>
    <row r="30" spans="2:96" x14ac:dyDescent="0.2">
      <c r="B30" s="72" t="s">
        <v>98</v>
      </c>
      <c r="C30" s="266">
        <v>0</v>
      </c>
      <c r="D30" s="267">
        <v>0</v>
      </c>
      <c r="E30" s="267">
        <v>0</v>
      </c>
      <c r="F30" s="267" t="s">
        <v>118</v>
      </c>
      <c r="G30" s="267" t="s">
        <v>118</v>
      </c>
      <c r="H30" s="267" t="s">
        <v>118</v>
      </c>
      <c r="I30" s="267" t="s">
        <v>118</v>
      </c>
      <c r="J30" s="267" t="s">
        <v>118</v>
      </c>
      <c r="K30" s="267" t="s">
        <v>118</v>
      </c>
      <c r="L30" s="267" t="s">
        <v>118</v>
      </c>
      <c r="M30" s="267" t="s">
        <v>118</v>
      </c>
      <c r="N30" s="267"/>
      <c r="O30" s="267"/>
      <c r="P30" s="267"/>
      <c r="Q30" s="267"/>
      <c r="R30" s="267"/>
      <c r="S30" s="267"/>
      <c r="T30" s="268" t="s">
        <v>285</v>
      </c>
      <c r="U30" s="267">
        <v>0</v>
      </c>
      <c r="V30" s="267">
        <v>0</v>
      </c>
      <c r="W30" s="267">
        <v>0</v>
      </c>
      <c r="X30" s="267" t="s">
        <v>118</v>
      </c>
      <c r="Y30" s="267" t="s">
        <v>118</v>
      </c>
      <c r="Z30" s="267" t="s">
        <v>118</v>
      </c>
      <c r="AA30" s="267" t="s">
        <v>118</v>
      </c>
      <c r="AB30" s="267" t="s">
        <v>118</v>
      </c>
      <c r="AC30" s="267" t="s">
        <v>118</v>
      </c>
      <c r="AD30" s="267" t="s">
        <v>118</v>
      </c>
      <c r="AE30" s="267" t="s">
        <v>118</v>
      </c>
      <c r="AF30" s="267"/>
      <c r="AG30" s="267"/>
      <c r="AH30" s="267"/>
      <c r="AI30" s="267"/>
      <c r="AJ30" s="267"/>
      <c r="AK30" s="267"/>
      <c r="AL30" s="268"/>
      <c r="AM30" s="267">
        <v>0</v>
      </c>
      <c r="AN30" s="267">
        <v>0</v>
      </c>
      <c r="AO30" s="267">
        <v>0</v>
      </c>
      <c r="AP30" s="267">
        <v>0</v>
      </c>
      <c r="AQ30" s="267">
        <v>0</v>
      </c>
      <c r="AR30" s="267">
        <v>0</v>
      </c>
      <c r="AS30" s="267">
        <v>0</v>
      </c>
      <c r="AT30" s="267">
        <v>0</v>
      </c>
      <c r="AU30" s="267">
        <v>0</v>
      </c>
      <c r="AV30" s="267">
        <v>0</v>
      </c>
      <c r="AW30" s="267">
        <v>0</v>
      </c>
      <c r="AX30" s="267">
        <v>0</v>
      </c>
      <c r="AY30" s="267">
        <v>0</v>
      </c>
      <c r="AZ30" s="267">
        <v>0</v>
      </c>
      <c r="BA30" s="552"/>
      <c r="BB30" s="552"/>
      <c r="BC30" s="552"/>
      <c r="BD30" s="765"/>
      <c r="BE30" s="267">
        <v>0</v>
      </c>
      <c r="BF30" s="267">
        <v>0</v>
      </c>
      <c r="BG30" s="267">
        <v>0</v>
      </c>
      <c r="BH30" s="267">
        <v>0</v>
      </c>
      <c r="BI30" s="267">
        <v>0</v>
      </c>
      <c r="BJ30" s="267">
        <v>0</v>
      </c>
      <c r="BK30" s="267">
        <v>0</v>
      </c>
      <c r="BL30" s="267">
        <v>0</v>
      </c>
      <c r="BM30" s="267">
        <v>0</v>
      </c>
      <c r="BN30" s="267">
        <v>0</v>
      </c>
      <c r="BO30" s="267">
        <v>0</v>
      </c>
      <c r="BP30" s="267">
        <v>0</v>
      </c>
      <c r="BQ30" s="267">
        <v>0</v>
      </c>
      <c r="BR30" s="267">
        <v>0</v>
      </c>
      <c r="BS30" s="552"/>
      <c r="BT30" s="552"/>
      <c r="BU30" s="552"/>
      <c r="BV30" s="765"/>
      <c r="BW30" s="273">
        <v>0</v>
      </c>
      <c r="BX30" s="273">
        <v>0</v>
      </c>
      <c r="BY30" s="273">
        <v>0</v>
      </c>
      <c r="BZ30" s="267">
        <v>12</v>
      </c>
      <c r="CA30" s="267">
        <v>38</v>
      </c>
      <c r="CB30" s="267">
        <v>13</v>
      </c>
      <c r="CC30" s="267">
        <v>23</v>
      </c>
      <c r="CD30" s="273">
        <v>27</v>
      </c>
      <c r="CE30" s="273">
        <v>30</v>
      </c>
      <c r="CF30" s="273">
        <v>49</v>
      </c>
      <c r="CG30" s="273">
        <v>62</v>
      </c>
      <c r="CH30" s="273">
        <v>31</v>
      </c>
      <c r="CI30" s="273">
        <v>7</v>
      </c>
      <c r="CJ30" s="273">
        <v>2</v>
      </c>
      <c r="CK30" s="273" t="s">
        <v>118</v>
      </c>
      <c r="CL30" s="273" t="s">
        <v>118</v>
      </c>
      <c r="CM30" s="273"/>
      <c r="CN30" s="273"/>
      <c r="CO30" s="72" t="s">
        <v>98</v>
      </c>
    </row>
    <row r="31" spans="2:96" x14ac:dyDescent="0.2">
      <c r="B31" s="208" t="s">
        <v>100</v>
      </c>
      <c r="C31" s="269" t="s">
        <v>118</v>
      </c>
      <c r="D31" s="270" t="s">
        <v>118</v>
      </c>
      <c r="E31" s="270" t="s">
        <v>118</v>
      </c>
      <c r="F31" s="270" t="s">
        <v>118</v>
      </c>
      <c r="G31" s="270">
        <v>15</v>
      </c>
      <c r="H31" s="270">
        <v>25</v>
      </c>
      <c r="I31" s="270">
        <v>16</v>
      </c>
      <c r="J31" s="270">
        <v>14</v>
      </c>
      <c r="K31" s="270">
        <v>16</v>
      </c>
      <c r="L31" s="270">
        <v>14</v>
      </c>
      <c r="M31" s="270">
        <v>13</v>
      </c>
      <c r="N31" s="270">
        <v>17</v>
      </c>
      <c r="O31" s="270">
        <v>14</v>
      </c>
      <c r="P31" s="270">
        <v>15</v>
      </c>
      <c r="Q31" s="270">
        <v>12</v>
      </c>
      <c r="R31" s="270">
        <v>13</v>
      </c>
      <c r="S31" s="270">
        <v>0</v>
      </c>
      <c r="T31" s="271">
        <v>1</v>
      </c>
      <c r="U31" s="270" t="s">
        <v>118</v>
      </c>
      <c r="V31" s="270" t="s">
        <v>118</v>
      </c>
      <c r="W31" s="270" t="s">
        <v>118</v>
      </c>
      <c r="X31" s="270" t="s">
        <v>118</v>
      </c>
      <c r="Y31" s="270">
        <v>16</v>
      </c>
      <c r="Z31" s="270">
        <v>24</v>
      </c>
      <c r="AA31" s="270">
        <v>17</v>
      </c>
      <c r="AB31" s="270">
        <v>17</v>
      </c>
      <c r="AC31" s="270">
        <v>18</v>
      </c>
      <c r="AD31" s="270">
        <v>14</v>
      </c>
      <c r="AE31" s="270">
        <v>14</v>
      </c>
      <c r="AF31" s="270">
        <v>17</v>
      </c>
      <c r="AG31" s="270">
        <v>14</v>
      </c>
      <c r="AH31" s="270">
        <v>16</v>
      </c>
      <c r="AI31" s="262">
        <v>12</v>
      </c>
      <c r="AJ31" s="262">
        <v>13</v>
      </c>
      <c r="AK31" s="262">
        <v>0</v>
      </c>
      <c r="AL31" s="264">
        <v>1</v>
      </c>
      <c r="AM31" s="270" t="s">
        <v>118</v>
      </c>
      <c r="AN31" s="270" t="s">
        <v>118</v>
      </c>
      <c r="AO31" s="270" t="s">
        <v>118</v>
      </c>
      <c r="AP31" s="270" t="s">
        <v>118</v>
      </c>
      <c r="AQ31" s="270">
        <v>11</v>
      </c>
      <c r="AR31" s="270">
        <v>4</v>
      </c>
      <c r="AS31" s="270">
        <v>3</v>
      </c>
      <c r="AT31" s="270">
        <v>2</v>
      </c>
      <c r="AU31" s="270" t="s">
        <v>118</v>
      </c>
      <c r="AV31" s="270" t="s">
        <v>118</v>
      </c>
      <c r="AW31" s="270" t="s">
        <v>118</v>
      </c>
      <c r="AX31" s="270"/>
      <c r="AY31" s="270"/>
      <c r="AZ31" s="270"/>
      <c r="BA31" s="262"/>
      <c r="BB31" s="262"/>
      <c r="BC31" s="262"/>
      <c r="BD31" s="264"/>
      <c r="BE31" s="262" t="s">
        <v>118</v>
      </c>
      <c r="BF31" s="270" t="s">
        <v>118</v>
      </c>
      <c r="BG31" s="270" t="s">
        <v>118</v>
      </c>
      <c r="BH31" s="270" t="s">
        <v>118</v>
      </c>
      <c r="BI31" s="270">
        <v>7</v>
      </c>
      <c r="BJ31" s="270">
        <v>4</v>
      </c>
      <c r="BK31" s="270">
        <v>3</v>
      </c>
      <c r="BL31" s="270">
        <v>3</v>
      </c>
      <c r="BM31" s="270" t="s">
        <v>118</v>
      </c>
      <c r="BN31" s="270" t="s">
        <v>118</v>
      </c>
      <c r="BO31" s="270" t="s">
        <v>118</v>
      </c>
      <c r="BP31" s="270"/>
      <c r="BQ31" s="270"/>
      <c r="BR31" s="270"/>
      <c r="BS31" s="270"/>
      <c r="BT31" s="270"/>
      <c r="BU31" s="270"/>
      <c r="BV31" s="271"/>
      <c r="BW31" s="272" t="s">
        <v>118</v>
      </c>
      <c r="BX31" s="272" t="s">
        <v>118</v>
      </c>
      <c r="BY31" s="272" t="s">
        <v>118</v>
      </c>
      <c r="BZ31" s="272" t="s">
        <v>118</v>
      </c>
      <c r="CA31" s="272" t="s">
        <v>118</v>
      </c>
      <c r="CB31" s="270">
        <v>21</v>
      </c>
      <c r="CC31" s="270">
        <v>32</v>
      </c>
      <c r="CD31" s="272">
        <v>98</v>
      </c>
      <c r="CE31" s="272">
        <v>65</v>
      </c>
      <c r="CF31" s="272">
        <v>68</v>
      </c>
      <c r="CG31" s="272">
        <v>60</v>
      </c>
      <c r="CH31" s="272">
        <v>61</v>
      </c>
      <c r="CI31" s="272">
        <v>81</v>
      </c>
      <c r="CJ31" s="272">
        <v>74</v>
      </c>
      <c r="CK31" s="272">
        <v>109</v>
      </c>
      <c r="CL31" s="272">
        <v>118</v>
      </c>
      <c r="CM31" s="272"/>
      <c r="CN31" s="272">
        <v>5</v>
      </c>
      <c r="CO31" s="208" t="s">
        <v>100</v>
      </c>
    </row>
    <row r="32" spans="2:96" x14ac:dyDescent="0.2">
      <c r="B32" s="72" t="s">
        <v>99</v>
      </c>
      <c r="C32" s="762" t="s">
        <v>121</v>
      </c>
      <c r="D32" s="762" t="s">
        <v>121</v>
      </c>
      <c r="E32" s="762" t="s">
        <v>121</v>
      </c>
      <c r="F32" s="762" t="s">
        <v>121</v>
      </c>
      <c r="G32" s="762" t="s">
        <v>121</v>
      </c>
      <c r="H32" s="762" t="s">
        <v>121</v>
      </c>
      <c r="I32" s="762" t="s">
        <v>121</v>
      </c>
      <c r="J32" s="762" t="s">
        <v>121</v>
      </c>
      <c r="K32" s="762" t="s">
        <v>121</v>
      </c>
      <c r="L32" s="762" t="s">
        <v>121</v>
      </c>
      <c r="M32" s="762" t="s">
        <v>121</v>
      </c>
      <c r="N32" s="762" t="s">
        <v>121</v>
      </c>
      <c r="O32" s="762" t="s">
        <v>121</v>
      </c>
      <c r="P32" s="762" t="s">
        <v>121</v>
      </c>
      <c r="Q32" s="762" t="s">
        <v>121</v>
      </c>
      <c r="R32" s="762" t="s">
        <v>121</v>
      </c>
      <c r="S32" s="762" t="s">
        <v>121</v>
      </c>
      <c r="T32" s="839"/>
      <c r="U32" s="762" t="s">
        <v>121</v>
      </c>
      <c r="V32" s="762" t="s">
        <v>121</v>
      </c>
      <c r="W32" s="762" t="s">
        <v>121</v>
      </c>
      <c r="X32" s="762" t="s">
        <v>121</v>
      </c>
      <c r="Y32" s="762" t="s">
        <v>121</v>
      </c>
      <c r="Z32" s="762" t="s">
        <v>121</v>
      </c>
      <c r="AA32" s="762" t="s">
        <v>121</v>
      </c>
      <c r="AB32" s="762" t="s">
        <v>121</v>
      </c>
      <c r="AC32" s="762" t="s">
        <v>121</v>
      </c>
      <c r="AD32" s="762" t="s">
        <v>121</v>
      </c>
      <c r="AE32" s="762" t="s">
        <v>121</v>
      </c>
      <c r="AF32" s="762" t="s">
        <v>121</v>
      </c>
      <c r="AG32" s="762" t="s">
        <v>121</v>
      </c>
      <c r="AH32" s="762" t="s">
        <v>121</v>
      </c>
      <c r="AI32" s="762" t="s">
        <v>121</v>
      </c>
      <c r="AJ32" s="762" t="s">
        <v>121</v>
      </c>
      <c r="AK32" s="762" t="s">
        <v>121</v>
      </c>
      <c r="AL32" s="839" t="s">
        <v>121</v>
      </c>
      <c r="AM32" s="762" t="s">
        <v>121</v>
      </c>
      <c r="AN32" s="762" t="s">
        <v>121</v>
      </c>
      <c r="AO32" s="762" t="s">
        <v>121</v>
      </c>
      <c r="AP32" s="762" t="s">
        <v>121</v>
      </c>
      <c r="AQ32" s="762" t="s">
        <v>121</v>
      </c>
      <c r="AR32" s="762" t="s">
        <v>121</v>
      </c>
      <c r="AS32" s="762" t="s">
        <v>121</v>
      </c>
      <c r="AT32" s="762" t="s">
        <v>121</v>
      </c>
      <c r="AU32" s="762" t="s">
        <v>121</v>
      </c>
      <c r="AV32" s="762" t="s">
        <v>121</v>
      </c>
      <c r="AW32" s="762" t="s">
        <v>121</v>
      </c>
      <c r="AX32" s="761" t="s">
        <v>121</v>
      </c>
      <c r="AY32" s="761" t="s">
        <v>121</v>
      </c>
      <c r="AZ32" s="761" t="s">
        <v>121</v>
      </c>
      <c r="BA32" s="761" t="s">
        <v>121</v>
      </c>
      <c r="BB32" s="761" t="s">
        <v>121</v>
      </c>
      <c r="BC32" s="761" t="s">
        <v>121</v>
      </c>
      <c r="BD32" s="838" t="s">
        <v>121</v>
      </c>
      <c r="BE32" s="762" t="s">
        <v>121</v>
      </c>
      <c r="BF32" s="762" t="s">
        <v>121</v>
      </c>
      <c r="BG32" s="762" t="s">
        <v>121</v>
      </c>
      <c r="BH32" s="762" t="s">
        <v>121</v>
      </c>
      <c r="BI32" s="762" t="s">
        <v>121</v>
      </c>
      <c r="BJ32" s="762" t="s">
        <v>121</v>
      </c>
      <c r="BK32" s="762" t="s">
        <v>121</v>
      </c>
      <c r="BL32" s="762" t="s">
        <v>121</v>
      </c>
      <c r="BM32" s="762" t="s">
        <v>121</v>
      </c>
      <c r="BN32" s="762" t="s">
        <v>121</v>
      </c>
      <c r="BO32" s="762" t="s">
        <v>121</v>
      </c>
      <c r="BP32" s="762" t="s">
        <v>121</v>
      </c>
      <c r="BQ32" s="762" t="s">
        <v>121</v>
      </c>
      <c r="BR32" s="762" t="s">
        <v>121</v>
      </c>
      <c r="BS32" s="762" t="s">
        <v>121</v>
      </c>
      <c r="BT32" s="762" t="s">
        <v>121</v>
      </c>
      <c r="BU32" s="762" t="s">
        <v>121</v>
      </c>
      <c r="BV32" s="839" t="s">
        <v>121</v>
      </c>
      <c r="BW32" s="762" t="s">
        <v>121</v>
      </c>
      <c r="BX32" s="762" t="s">
        <v>121</v>
      </c>
      <c r="BY32" s="762" t="s">
        <v>121</v>
      </c>
      <c r="BZ32" s="762" t="s">
        <v>121</v>
      </c>
      <c r="CA32" s="762" t="s">
        <v>121</v>
      </c>
      <c r="CB32" s="762" t="s">
        <v>121</v>
      </c>
      <c r="CC32" s="762" t="s">
        <v>121</v>
      </c>
      <c r="CD32" s="762" t="s">
        <v>121</v>
      </c>
      <c r="CE32" s="762" t="s">
        <v>121</v>
      </c>
      <c r="CF32" s="762" t="s">
        <v>121</v>
      </c>
      <c r="CG32" s="762" t="s">
        <v>121</v>
      </c>
      <c r="CH32" s="762" t="s">
        <v>121</v>
      </c>
      <c r="CI32" s="762" t="s">
        <v>121</v>
      </c>
      <c r="CJ32" s="762" t="s">
        <v>121</v>
      </c>
      <c r="CK32" s="762" t="s">
        <v>121</v>
      </c>
      <c r="CL32" s="762" t="s">
        <v>121</v>
      </c>
      <c r="CM32" s="761" t="s">
        <v>121</v>
      </c>
      <c r="CN32" s="761" t="s">
        <v>121</v>
      </c>
      <c r="CO32" s="72" t="s">
        <v>99</v>
      </c>
    </row>
    <row r="33" spans="1:99" x14ac:dyDescent="0.2">
      <c r="B33" s="208" t="s">
        <v>115</v>
      </c>
      <c r="C33" s="269">
        <v>8431</v>
      </c>
      <c r="D33" s="270">
        <v>8575</v>
      </c>
      <c r="E33" s="270">
        <v>8391</v>
      </c>
      <c r="F33" s="270">
        <v>8244</v>
      </c>
      <c r="G33" s="270">
        <v>8497</v>
      </c>
      <c r="H33" s="270">
        <v>8624</v>
      </c>
      <c r="I33" s="270">
        <v>8969</v>
      </c>
      <c r="J33" s="270">
        <v>9079</v>
      </c>
      <c r="K33" s="270">
        <v>9202</v>
      </c>
      <c r="L33" s="270">
        <v>9309</v>
      </c>
      <c r="M33" s="270">
        <v>9271</v>
      </c>
      <c r="N33" s="270">
        <v>9480</v>
      </c>
      <c r="O33" s="270">
        <v>9674</v>
      </c>
      <c r="P33" s="270">
        <v>9809</v>
      </c>
      <c r="Q33" s="270">
        <v>9670</v>
      </c>
      <c r="R33" s="270">
        <v>9642</v>
      </c>
      <c r="S33" s="270">
        <v>3696</v>
      </c>
      <c r="T33" s="271">
        <v>3543</v>
      </c>
      <c r="U33" s="270">
        <v>8374</v>
      </c>
      <c r="V33" s="270">
        <v>8524</v>
      </c>
      <c r="W33" s="270">
        <v>8348</v>
      </c>
      <c r="X33" s="270">
        <v>8192</v>
      </c>
      <c r="Y33" s="270">
        <v>8438</v>
      </c>
      <c r="Z33" s="270">
        <v>8559</v>
      </c>
      <c r="AA33" s="270">
        <v>8856</v>
      </c>
      <c r="AB33" s="270">
        <v>8965</v>
      </c>
      <c r="AC33" s="270">
        <v>9059</v>
      </c>
      <c r="AD33" s="270">
        <v>9211</v>
      </c>
      <c r="AE33" s="270">
        <v>9200</v>
      </c>
      <c r="AF33" s="270">
        <v>9404</v>
      </c>
      <c r="AG33" s="270">
        <v>9565</v>
      </c>
      <c r="AH33" s="270">
        <v>9698</v>
      </c>
      <c r="AI33" s="262">
        <v>9552</v>
      </c>
      <c r="AJ33" s="262">
        <v>9530</v>
      </c>
      <c r="AK33" s="262">
        <v>3647</v>
      </c>
      <c r="AL33" s="264">
        <v>3531</v>
      </c>
      <c r="AM33" s="270">
        <v>0</v>
      </c>
      <c r="AN33" s="270">
        <v>6</v>
      </c>
      <c r="AO33" s="270" t="s">
        <v>118</v>
      </c>
      <c r="AP33" s="270">
        <v>7</v>
      </c>
      <c r="AQ33" s="270">
        <v>20</v>
      </c>
      <c r="AR33" s="270">
        <v>21</v>
      </c>
      <c r="AS33" s="270">
        <v>20</v>
      </c>
      <c r="AT33" s="270">
        <v>15</v>
      </c>
      <c r="AU33" s="270">
        <v>1</v>
      </c>
      <c r="AV33" s="270">
        <v>2</v>
      </c>
      <c r="AW33" s="270" t="s">
        <v>118</v>
      </c>
      <c r="AX33" s="270"/>
      <c r="AY33" s="270"/>
      <c r="AZ33" s="270">
        <v>7</v>
      </c>
      <c r="BA33" s="270">
        <v>9</v>
      </c>
      <c r="BB33" s="270">
        <v>16</v>
      </c>
      <c r="BC33" s="270">
        <v>13</v>
      </c>
      <c r="BD33" s="271">
        <v>15</v>
      </c>
      <c r="BE33" s="270">
        <v>0</v>
      </c>
      <c r="BF33" s="270">
        <v>6</v>
      </c>
      <c r="BG33" s="270" t="s">
        <v>118</v>
      </c>
      <c r="BH33" s="270">
        <v>7</v>
      </c>
      <c r="BI33" s="270">
        <v>20</v>
      </c>
      <c r="BJ33" s="270">
        <v>22</v>
      </c>
      <c r="BK33" s="270">
        <v>21</v>
      </c>
      <c r="BL33" s="270">
        <v>15</v>
      </c>
      <c r="BM33" s="270">
        <v>2</v>
      </c>
      <c r="BN33" s="270">
        <v>2</v>
      </c>
      <c r="BO33" s="270" t="s">
        <v>118</v>
      </c>
      <c r="BP33" s="270"/>
      <c r="BQ33" s="270"/>
      <c r="BR33" s="270">
        <v>0</v>
      </c>
      <c r="BS33" s="270">
        <v>0</v>
      </c>
      <c r="BT33" s="270"/>
      <c r="BU33" s="270"/>
      <c r="BV33" s="271"/>
      <c r="BW33" s="270">
        <v>193</v>
      </c>
      <c r="BX33" s="270">
        <v>235</v>
      </c>
      <c r="BY33" s="270">
        <v>268</v>
      </c>
      <c r="BZ33" s="270">
        <v>255</v>
      </c>
      <c r="CA33" s="270">
        <v>344</v>
      </c>
      <c r="CB33" s="270">
        <v>344</v>
      </c>
      <c r="CC33" s="270">
        <v>323</v>
      </c>
      <c r="CD33" s="270">
        <v>364</v>
      </c>
      <c r="CE33" s="270">
        <v>368</v>
      </c>
      <c r="CF33" s="270">
        <v>425</v>
      </c>
      <c r="CG33" s="270">
        <v>420</v>
      </c>
      <c r="CH33" s="270">
        <v>440</v>
      </c>
      <c r="CI33" s="270">
        <v>408</v>
      </c>
      <c r="CJ33" s="270">
        <v>490</v>
      </c>
      <c r="CK33" s="270">
        <v>533</v>
      </c>
      <c r="CL33" s="270">
        <v>626</v>
      </c>
      <c r="CM33" s="270">
        <v>13</v>
      </c>
      <c r="CN33" s="270">
        <v>27</v>
      </c>
      <c r="CO33" s="208" t="s">
        <v>115</v>
      </c>
    </row>
    <row r="34" spans="1:99" x14ac:dyDescent="0.2">
      <c r="B34" s="687" t="s">
        <v>116</v>
      </c>
      <c r="C34" s="688">
        <v>16881</v>
      </c>
      <c r="D34" s="689">
        <v>16365</v>
      </c>
      <c r="E34" s="689">
        <v>16385</v>
      </c>
      <c r="F34" s="689">
        <v>16572</v>
      </c>
      <c r="G34" s="689">
        <v>16529</v>
      </c>
      <c r="H34" s="689">
        <v>15696</v>
      </c>
      <c r="I34" s="689">
        <v>15310</v>
      </c>
      <c r="J34" s="689">
        <v>15255</v>
      </c>
      <c r="K34" s="689">
        <v>14892</v>
      </c>
      <c r="L34" s="689">
        <v>14701</v>
      </c>
      <c r="M34" s="689">
        <v>14791</v>
      </c>
      <c r="N34" s="689">
        <v>14890</v>
      </c>
      <c r="O34" s="689">
        <v>15027</v>
      </c>
      <c r="P34" s="689">
        <v>15298</v>
      </c>
      <c r="Q34" s="689">
        <v>15151</v>
      </c>
      <c r="R34" s="689">
        <v>15476</v>
      </c>
      <c r="S34" s="689">
        <v>7010</v>
      </c>
      <c r="T34" s="690">
        <v>8514</v>
      </c>
      <c r="U34" s="689">
        <v>16424</v>
      </c>
      <c r="V34" s="689">
        <v>16225</v>
      </c>
      <c r="W34" s="689">
        <v>15927</v>
      </c>
      <c r="X34" s="689">
        <v>16075</v>
      </c>
      <c r="Y34" s="689">
        <v>16176</v>
      </c>
      <c r="Z34" s="689">
        <v>15304</v>
      </c>
      <c r="AA34" s="689">
        <v>14809</v>
      </c>
      <c r="AB34" s="689">
        <v>14779</v>
      </c>
      <c r="AC34" s="689">
        <v>14483</v>
      </c>
      <c r="AD34" s="689">
        <v>14382</v>
      </c>
      <c r="AE34" s="689">
        <v>14379</v>
      </c>
      <c r="AF34" s="689">
        <v>14467</v>
      </c>
      <c r="AG34" s="689">
        <v>14656</v>
      </c>
      <c r="AH34" s="689">
        <v>14793</v>
      </c>
      <c r="AI34" s="691">
        <v>14746</v>
      </c>
      <c r="AJ34" s="691">
        <v>14823</v>
      </c>
      <c r="AK34" s="691">
        <v>7010</v>
      </c>
      <c r="AL34" s="800">
        <v>8459</v>
      </c>
      <c r="AM34" s="689">
        <v>11</v>
      </c>
      <c r="AN34" s="689">
        <v>14</v>
      </c>
      <c r="AO34" s="689">
        <v>14</v>
      </c>
      <c r="AP34" s="689">
        <v>9</v>
      </c>
      <c r="AQ34" s="689">
        <v>22</v>
      </c>
      <c r="AR34" s="689">
        <v>52</v>
      </c>
      <c r="AS34" s="689">
        <v>36</v>
      </c>
      <c r="AT34" s="689">
        <v>44</v>
      </c>
      <c r="AU34" s="689">
        <v>48</v>
      </c>
      <c r="AV34" s="689">
        <v>42</v>
      </c>
      <c r="AW34" s="689">
        <v>44</v>
      </c>
      <c r="AX34" s="689">
        <v>95</v>
      </c>
      <c r="AY34" s="689">
        <v>66</v>
      </c>
      <c r="AZ34" s="689">
        <v>86</v>
      </c>
      <c r="BA34" s="689">
        <v>85</v>
      </c>
      <c r="BB34" s="689">
        <v>112</v>
      </c>
      <c r="BC34" s="689">
        <v>0</v>
      </c>
      <c r="BD34" s="690">
        <v>12</v>
      </c>
      <c r="BE34" s="689">
        <v>2</v>
      </c>
      <c r="BF34" s="689">
        <v>12</v>
      </c>
      <c r="BG34" s="689">
        <v>8</v>
      </c>
      <c r="BH34" s="689">
        <v>6</v>
      </c>
      <c r="BI34" s="689">
        <v>17</v>
      </c>
      <c r="BJ34" s="689">
        <v>14</v>
      </c>
      <c r="BK34" s="689">
        <v>30</v>
      </c>
      <c r="BL34" s="689">
        <v>15</v>
      </c>
      <c r="BM34" s="689">
        <v>49</v>
      </c>
      <c r="BN34" s="689">
        <v>21</v>
      </c>
      <c r="BO34" s="689">
        <v>31</v>
      </c>
      <c r="BP34" s="689">
        <v>49</v>
      </c>
      <c r="BQ34" s="689">
        <v>53</v>
      </c>
      <c r="BR34" s="689">
        <v>88</v>
      </c>
      <c r="BS34" s="689">
        <v>72</v>
      </c>
      <c r="BT34" s="689">
        <v>112</v>
      </c>
      <c r="BU34" s="689">
        <v>0</v>
      </c>
      <c r="BV34" s="690">
        <v>2</v>
      </c>
      <c r="BW34" s="689">
        <v>235</v>
      </c>
      <c r="BX34" s="689">
        <v>344</v>
      </c>
      <c r="BY34" s="689">
        <v>357</v>
      </c>
      <c r="BZ34" s="689">
        <v>402</v>
      </c>
      <c r="CA34" s="689">
        <v>430</v>
      </c>
      <c r="CB34" s="689">
        <v>497</v>
      </c>
      <c r="CC34" s="689">
        <v>471</v>
      </c>
      <c r="CD34" s="689">
        <v>499</v>
      </c>
      <c r="CE34" s="689">
        <v>524</v>
      </c>
      <c r="CF34" s="689">
        <v>527</v>
      </c>
      <c r="CG34" s="689">
        <v>586</v>
      </c>
      <c r="CH34" s="689">
        <v>559</v>
      </c>
      <c r="CI34" s="689">
        <v>468</v>
      </c>
      <c r="CJ34" s="689">
        <v>528</v>
      </c>
      <c r="CK34" s="689">
        <v>590</v>
      </c>
      <c r="CL34" s="689">
        <v>699</v>
      </c>
      <c r="CM34" s="689">
        <v>36</v>
      </c>
      <c r="CN34" s="689">
        <v>181</v>
      </c>
      <c r="CO34" s="687" t="s">
        <v>116</v>
      </c>
    </row>
    <row r="35" spans="1:99" x14ac:dyDescent="0.2">
      <c r="B35" s="208" t="s">
        <v>88</v>
      </c>
      <c r="C35" s="269" t="s">
        <v>118</v>
      </c>
      <c r="D35" s="270" t="s">
        <v>118</v>
      </c>
      <c r="E35" s="270" t="s">
        <v>118</v>
      </c>
      <c r="F35" s="270" t="s">
        <v>118</v>
      </c>
      <c r="G35" s="270" t="s">
        <v>118</v>
      </c>
      <c r="H35" s="270" t="s">
        <v>118</v>
      </c>
      <c r="I35" s="270" t="s">
        <v>118</v>
      </c>
      <c r="J35" s="270" t="s">
        <v>118</v>
      </c>
      <c r="K35" s="270" t="s">
        <v>118</v>
      </c>
      <c r="L35" s="270" t="s">
        <v>118</v>
      </c>
      <c r="M35" s="270" t="s">
        <v>118</v>
      </c>
      <c r="N35" s="270">
        <v>369</v>
      </c>
      <c r="O35" s="270">
        <v>274</v>
      </c>
      <c r="P35" s="270">
        <v>459</v>
      </c>
      <c r="Q35" s="270">
        <v>403</v>
      </c>
      <c r="R35" s="270">
        <v>414</v>
      </c>
      <c r="S35" s="270">
        <v>255</v>
      </c>
      <c r="T35" s="271">
        <v>350</v>
      </c>
      <c r="U35" s="270" t="s">
        <v>118</v>
      </c>
      <c r="V35" s="270" t="s">
        <v>118</v>
      </c>
      <c r="W35" s="270" t="s">
        <v>118</v>
      </c>
      <c r="X35" s="270" t="s">
        <v>118</v>
      </c>
      <c r="Y35" s="270" t="s">
        <v>118</v>
      </c>
      <c r="Z35" s="270" t="s">
        <v>118</v>
      </c>
      <c r="AA35" s="270" t="s">
        <v>118</v>
      </c>
      <c r="AB35" s="270" t="s">
        <v>118</v>
      </c>
      <c r="AC35" s="270" t="s">
        <v>118</v>
      </c>
      <c r="AD35" s="270" t="s">
        <v>118</v>
      </c>
      <c r="AE35" s="270" t="s">
        <v>118</v>
      </c>
      <c r="AF35" s="270">
        <v>368</v>
      </c>
      <c r="AG35" s="270">
        <v>271</v>
      </c>
      <c r="AH35" s="270">
        <v>458</v>
      </c>
      <c r="AI35" s="262">
        <v>403</v>
      </c>
      <c r="AJ35" s="262">
        <v>414</v>
      </c>
      <c r="AK35" s="262">
        <v>255</v>
      </c>
      <c r="AL35" s="264">
        <v>350</v>
      </c>
      <c r="AM35" s="270" t="s">
        <v>118</v>
      </c>
      <c r="AN35" s="270" t="s">
        <v>118</v>
      </c>
      <c r="AO35" s="270" t="s">
        <v>118</v>
      </c>
      <c r="AP35" s="270" t="s">
        <v>118</v>
      </c>
      <c r="AQ35" s="270" t="s">
        <v>118</v>
      </c>
      <c r="AR35" s="270" t="s">
        <v>118</v>
      </c>
      <c r="AS35" s="270" t="s">
        <v>118</v>
      </c>
      <c r="AT35" s="270" t="s">
        <v>118</v>
      </c>
      <c r="AU35" s="270" t="s">
        <v>118</v>
      </c>
      <c r="AV35" s="270" t="s">
        <v>118</v>
      </c>
      <c r="AW35" s="270" t="s">
        <v>118</v>
      </c>
      <c r="AX35" s="270" t="s">
        <v>118</v>
      </c>
      <c r="AY35" s="270" t="s">
        <v>118</v>
      </c>
      <c r="AZ35" s="270" t="s">
        <v>118</v>
      </c>
      <c r="BA35" s="270" t="s">
        <v>118</v>
      </c>
      <c r="BB35" s="270">
        <v>0</v>
      </c>
      <c r="BC35" s="270"/>
      <c r="BD35" s="271"/>
      <c r="BE35" s="270" t="s">
        <v>118</v>
      </c>
      <c r="BF35" s="270" t="s">
        <v>118</v>
      </c>
      <c r="BG35" s="270" t="s">
        <v>118</v>
      </c>
      <c r="BH35" s="270" t="s">
        <v>118</v>
      </c>
      <c r="BI35" s="270" t="s">
        <v>118</v>
      </c>
      <c r="BJ35" s="270" t="s">
        <v>118</v>
      </c>
      <c r="BK35" s="270" t="s">
        <v>118</v>
      </c>
      <c r="BL35" s="270" t="s">
        <v>118</v>
      </c>
      <c r="BM35" s="270" t="s">
        <v>118</v>
      </c>
      <c r="BN35" s="270" t="s">
        <v>118</v>
      </c>
      <c r="BO35" s="270" t="s">
        <v>118</v>
      </c>
      <c r="BP35" s="270" t="s">
        <v>118</v>
      </c>
      <c r="BQ35" s="270" t="s">
        <v>118</v>
      </c>
      <c r="BR35" s="270" t="s">
        <v>118</v>
      </c>
      <c r="BS35" s="270" t="s">
        <v>118</v>
      </c>
      <c r="BT35" s="270" t="s">
        <v>118</v>
      </c>
      <c r="BU35" s="270"/>
      <c r="BV35" s="271"/>
      <c r="BW35" s="270" t="s">
        <v>118</v>
      </c>
      <c r="BX35" s="270" t="s">
        <v>118</v>
      </c>
      <c r="BY35" s="270" t="s">
        <v>118</v>
      </c>
      <c r="BZ35" s="270" t="s">
        <v>118</v>
      </c>
      <c r="CA35" s="270" t="s">
        <v>118</v>
      </c>
      <c r="CB35" s="270" t="s">
        <v>118</v>
      </c>
      <c r="CC35" s="270" t="s">
        <v>118</v>
      </c>
      <c r="CD35" s="270" t="s">
        <v>118</v>
      </c>
      <c r="CE35" s="270" t="s">
        <v>118</v>
      </c>
      <c r="CF35" s="270" t="s">
        <v>118</v>
      </c>
      <c r="CG35" s="270" t="s">
        <v>118</v>
      </c>
      <c r="CH35" s="270">
        <v>262</v>
      </c>
      <c r="CI35" s="270">
        <v>242</v>
      </c>
      <c r="CJ35" s="270">
        <v>399</v>
      </c>
      <c r="CK35" s="270">
        <v>436</v>
      </c>
      <c r="CL35" s="270">
        <v>369</v>
      </c>
      <c r="CM35" s="270">
        <v>76</v>
      </c>
      <c r="CN35" s="270">
        <v>231</v>
      </c>
      <c r="CO35" s="208" t="s">
        <v>88</v>
      </c>
    </row>
    <row r="36" spans="1:99" ht="15" customHeight="1" x14ac:dyDescent="0.2">
      <c r="B36" s="687" t="s">
        <v>117</v>
      </c>
      <c r="C36" s="688">
        <v>2716</v>
      </c>
      <c r="D36" s="689">
        <v>3029</v>
      </c>
      <c r="E36" s="689">
        <v>2941</v>
      </c>
      <c r="F36" s="689">
        <v>2938</v>
      </c>
      <c r="G36" s="689">
        <v>2820</v>
      </c>
      <c r="H36" s="689">
        <v>2680</v>
      </c>
      <c r="I36" s="689">
        <v>2705</v>
      </c>
      <c r="J36" s="689">
        <v>2691</v>
      </c>
      <c r="K36" s="689">
        <v>2736</v>
      </c>
      <c r="L36" s="689">
        <v>2760</v>
      </c>
      <c r="M36" s="689">
        <v>2919</v>
      </c>
      <c r="N36" s="689">
        <v>3420</v>
      </c>
      <c r="O36" s="689">
        <v>2936</v>
      </c>
      <c r="P36" s="689">
        <v>2971</v>
      </c>
      <c r="Q36" s="689">
        <v>2923</v>
      </c>
      <c r="R36" s="689">
        <v>3012</v>
      </c>
      <c r="S36" s="689">
        <v>927</v>
      </c>
      <c r="T36" s="690">
        <v>844</v>
      </c>
      <c r="U36" s="689">
        <v>3061</v>
      </c>
      <c r="V36" s="689">
        <v>3431</v>
      </c>
      <c r="W36" s="689">
        <v>3292</v>
      </c>
      <c r="X36" s="689">
        <v>3334</v>
      </c>
      <c r="Y36" s="689">
        <v>3313</v>
      </c>
      <c r="Z36" s="689">
        <v>2953</v>
      </c>
      <c r="AA36" s="689">
        <v>3019</v>
      </c>
      <c r="AB36" s="689">
        <v>3085</v>
      </c>
      <c r="AC36" s="689">
        <v>3027</v>
      </c>
      <c r="AD36" s="689">
        <v>2974</v>
      </c>
      <c r="AE36" s="689">
        <v>3062</v>
      </c>
      <c r="AF36" s="689">
        <v>3214</v>
      </c>
      <c r="AG36" s="689">
        <v>3224</v>
      </c>
      <c r="AH36" s="689">
        <v>3272</v>
      </c>
      <c r="AI36" s="691">
        <v>3244</v>
      </c>
      <c r="AJ36" s="691">
        <v>3354</v>
      </c>
      <c r="AK36" s="691">
        <v>967</v>
      </c>
      <c r="AL36" s="800">
        <v>879</v>
      </c>
      <c r="AM36" s="689">
        <v>6</v>
      </c>
      <c r="AN36" s="689">
        <v>3</v>
      </c>
      <c r="AO36" s="689">
        <v>2</v>
      </c>
      <c r="AP36" s="689">
        <v>17</v>
      </c>
      <c r="AQ36" s="689">
        <v>15</v>
      </c>
      <c r="AR36" s="689">
        <v>16</v>
      </c>
      <c r="AS36" s="689">
        <v>16</v>
      </c>
      <c r="AT36" s="689">
        <v>20</v>
      </c>
      <c r="AU36" s="689">
        <v>22</v>
      </c>
      <c r="AV36" s="689">
        <v>13</v>
      </c>
      <c r="AW36" s="689">
        <v>1</v>
      </c>
      <c r="AX36" s="689">
        <v>3</v>
      </c>
      <c r="AY36" s="689">
        <v>3</v>
      </c>
      <c r="AZ36" s="689">
        <v>7</v>
      </c>
      <c r="BA36" s="689">
        <v>8</v>
      </c>
      <c r="BB36" s="689">
        <v>32</v>
      </c>
      <c r="BC36" s="689">
        <v>3</v>
      </c>
      <c r="BD36" s="690">
        <v>1</v>
      </c>
      <c r="BE36" s="689">
        <v>4</v>
      </c>
      <c r="BF36" s="689">
        <v>1</v>
      </c>
      <c r="BG36" s="689">
        <v>2</v>
      </c>
      <c r="BH36" s="689">
        <v>8</v>
      </c>
      <c r="BI36" s="689">
        <v>12</v>
      </c>
      <c r="BJ36" s="689">
        <v>15</v>
      </c>
      <c r="BK36" s="689">
        <v>15</v>
      </c>
      <c r="BL36" s="689">
        <v>7</v>
      </c>
      <c r="BM36" s="689">
        <v>7</v>
      </c>
      <c r="BN36" s="689">
        <v>1</v>
      </c>
      <c r="BO36" s="689">
        <v>3</v>
      </c>
      <c r="BP36" s="689">
        <v>4</v>
      </c>
      <c r="BQ36" s="689">
        <v>4</v>
      </c>
      <c r="BR36" s="689">
        <v>1</v>
      </c>
      <c r="BS36" s="689">
        <v>3</v>
      </c>
      <c r="BT36" s="689">
        <v>6</v>
      </c>
      <c r="BU36" s="689">
        <v>1</v>
      </c>
      <c r="BV36" s="690">
        <v>0</v>
      </c>
      <c r="BW36" s="689">
        <v>438</v>
      </c>
      <c r="BX36" s="689">
        <v>641</v>
      </c>
      <c r="BY36" s="689">
        <v>644</v>
      </c>
      <c r="BZ36" s="689">
        <v>642</v>
      </c>
      <c r="CA36" s="689">
        <v>817</v>
      </c>
      <c r="CB36" s="689">
        <v>937</v>
      </c>
      <c r="CC36" s="689">
        <v>914</v>
      </c>
      <c r="CD36" s="689">
        <v>998</v>
      </c>
      <c r="CE36" s="689">
        <v>1172</v>
      </c>
      <c r="CF36" s="689">
        <v>729</v>
      </c>
      <c r="CG36" s="689">
        <v>722</v>
      </c>
      <c r="CH36" s="689">
        <v>610</v>
      </c>
      <c r="CI36" s="689">
        <v>588</v>
      </c>
      <c r="CJ36" s="689">
        <v>556</v>
      </c>
      <c r="CK36" s="689">
        <v>646</v>
      </c>
      <c r="CL36" s="689">
        <v>563</v>
      </c>
      <c r="CM36" s="689">
        <v>2</v>
      </c>
      <c r="CN36" s="689">
        <v>27</v>
      </c>
      <c r="CO36" s="687" t="s">
        <v>117</v>
      </c>
    </row>
    <row r="37" spans="1:99" s="396" customFormat="1" ht="15" customHeight="1" x14ac:dyDescent="0.2">
      <c r="A37" s="529"/>
      <c r="B37" s="208" t="s">
        <v>321</v>
      </c>
      <c r="C37" s="269" t="s">
        <v>118</v>
      </c>
      <c r="D37" s="270" t="s">
        <v>118</v>
      </c>
      <c r="E37" s="270" t="s">
        <v>118</v>
      </c>
      <c r="F37" s="270" t="s">
        <v>118</v>
      </c>
      <c r="G37" s="270" t="s">
        <v>118</v>
      </c>
      <c r="H37" s="270" t="s">
        <v>118</v>
      </c>
      <c r="I37" s="270" t="s">
        <v>118</v>
      </c>
      <c r="J37" s="270" t="s">
        <v>118</v>
      </c>
      <c r="K37" s="270">
        <v>173</v>
      </c>
      <c r="L37" s="270">
        <v>107</v>
      </c>
      <c r="M37" s="270">
        <v>52</v>
      </c>
      <c r="N37" s="270">
        <v>48</v>
      </c>
      <c r="O37" s="270">
        <v>58</v>
      </c>
      <c r="P37" s="270">
        <v>62</v>
      </c>
      <c r="Q37" s="270">
        <v>45</v>
      </c>
      <c r="R37" s="270">
        <v>43</v>
      </c>
      <c r="S37" s="270">
        <v>0</v>
      </c>
      <c r="T37" s="271">
        <v>2</v>
      </c>
      <c r="U37" s="270" t="s">
        <v>118</v>
      </c>
      <c r="V37" s="270" t="s">
        <v>118</v>
      </c>
      <c r="W37" s="270" t="s">
        <v>118</v>
      </c>
      <c r="X37" s="270" t="s">
        <v>118</v>
      </c>
      <c r="Y37" s="270" t="s">
        <v>118</v>
      </c>
      <c r="Z37" s="270" t="s">
        <v>118</v>
      </c>
      <c r="AA37" s="270" t="s">
        <v>118</v>
      </c>
      <c r="AB37" s="270" t="s">
        <v>118</v>
      </c>
      <c r="AC37" s="270">
        <v>146</v>
      </c>
      <c r="AD37" s="270">
        <v>77</v>
      </c>
      <c r="AE37" s="270">
        <v>56</v>
      </c>
      <c r="AF37" s="270">
        <v>51</v>
      </c>
      <c r="AG37" s="270">
        <v>52</v>
      </c>
      <c r="AH37" s="270">
        <v>57</v>
      </c>
      <c r="AI37" s="262">
        <v>54</v>
      </c>
      <c r="AJ37" s="262">
        <v>46</v>
      </c>
      <c r="AK37" s="262">
        <v>0</v>
      </c>
      <c r="AL37" s="264">
        <v>3</v>
      </c>
      <c r="AM37" s="270" t="s">
        <v>118</v>
      </c>
      <c r="AN37" s="270" t="s">
        <v>118</v>
      </c>
      <c r="AO37" s="270" t="s">
        <v>118</v>
      </c>
      <c r="AP37" s="270" t="s">
        <v>118</v>
      </c>
      <c r="AQ37" s="270" t="s">
        <v>118</v>
      </c>
      <c r="AR37" s="270" t="s">
        <v>118</v>
      </c>
      <c r="AS37" s="270" t="s">
        <v>118</v>
      </c>
      <c r="AT37" s="270" t="s">
        <v>118</v>
      </c>
      <c r="AU37" s="270" t="s">
        <v>118</v>
      </c>
      <c r="AV37" s="270" t="s">
        <v>118</v>
      </c>
      <c r="AW37" s="270" t="s">
        <v>118</v>
      </c>
      <c r="AX37" s="270" t="s">
        <v>118</v>
      </c>
      <c r="AY37" s="270" t="s">
        <v>118</v>
      </c>
      <c r="AZ37" s="270" t="s">
        <v>118</v>
      </c>
      <c r="BA37" s="270" t="s">
        <v>118</v>
      </c>
      <c r="BB37" s="270" t="s">
        <v>118</v>
      </c>
      <c r="BC37" s="270"/>
      <c r="BD37" s="271"/>
      <c r="BE37" s="270" t="s">
        <v>118</v>
      </c>
      <c r="BF37" s="270" t="s">
        <v>118</v>
      </c>
      <c r="BG37" s="270" t="s">
        <v>118</v>
      </c>
      <c r="BH37" s="270" t="s">
        <v>118</v>
      </c>
      <c r="BI37" s="270" t="s">
        <v>118</v>
      </c>
      <c r="BJ37" s="270" t="s">
        <v>118</v>
      </c>
      <c r="BK37" s="270" t="s">
        <v>118</v>
      </c>
      <c r="BL37" s="270" t="s">
        <v>118</v>
      </c>
      <c r="BM37" s="270" t="s">
        <v>118</v>
      </c>
      <c r="BN37" s="270" t="s">
        <v>118</v>
      </c>
      <c r="BO37" s="270" t="s">
        <v>118</v>
      </c>
      <c r="BP37" s="270" t="s">
        <v>118</v>
      </c>
      <c r="BQ37" s="270" t="s">
        <v>118</v>
      </c>
      <c r="BR37" s="270" t="s">
        <v>118</v>
      </c>
      <c r="BS37" s="270" t="s">
        <v>118</v>
      </c>
      <c r="BT37" s="270" t="s">
        <v>118</v>
      </c>
      <c r="BU37" s="270"/>
      <c r="BV37" s="271"/>
      <c r="BW37" s="270" t="s">
        <v>118</v>
      </c>
      <c r="BX37" s="270" t="s">
        <v>118</v>
      </c>
      <c r="BY37" s="270" t="s">
        <v>118</v>
      </c>
      <c r="BZ37" s="270" t="s">
        <v>118</v>
      </c>
      <c r="CA37" s="270" t="s">
        <v>118</v>
      </c>
      <c r="CB37" s="270" t="s">
        <v>118</v>
      </c>
      <c r="CC37" s="270" t="s">
        <v>118</v>
      </c>
      <c r="CD37" s="270" t="s">
        <v>118</v>
      </c>
      <c r="CE37" s="270" t="s">
        <v>118</v>
      </c>
      <c r="CF37" s="270" t="s">
        <v>118</v>
      </c>
      <c r="CG37" s="270" t="s">
        <v>118</v>
      </c>
      <c r="CH37" s="270" t="s">
        <v>118</v>
      </c>
      <c r="CI37" s="270" t="s">
        <v>118</v>
      </c>
      <c r="CJ37" s="270" t="s">
        <v>118</v>
      </c>
      <c r="CK37" s="270" t="s">
        <v>118</v>
      </c>
      <c r="CL37" s="270" t="s">
        <v>118</v>
      </c>
      <c r="CM37" s="270">
        <v>3</v>
      </c>
      <c r="CN37" s="270">
        <v>9</v>
      </c>
      <c r="CO37" s="208" t="s">
        <v>321</v>
      </c>
      <c r="CT37" s="714"/>
      <c r="CU37" s="720"/>
    </row>
    <row r="38" spans="1:99" s="284" customFormat="1" ht="15" customHeight="1" x14ac:dyDescent="0.2">
      <c r="A38" s="529"/>
      <c r="B38" s="687" t="s">
        <v>101</v>
      </c>
      <c r="C38" s="688" t="s">
        <v>118</v>
      </c>
      <c r="D38" s="689" t="s">
        <v>118</v>
      </c>
      <c r="E38" s="689" t="s">
        <v>118</v>
      </c>
      <c r="F38" s="689" t="s">
        <v>118</v>
      </c>
      <c r="G38" s="689">
        <v>645</v>
      </c>
      <c r="H38" s="689">
        <v>599</v>
      </c>
      <c r="I38" s="689">
        <v>689</v>
      </c>
      <c r="J38" s="689">
        <v>749</v>
      </c>
      <c r="K38" s="689">
        <v>726</v>
      </c>
      <c r="L38" s="689">
        <v>789</v>
      </c>
      <c r="M38" s="689">
        <v>859</v>
      </c>
      <c r="N38" s="689">
        <v>897</v>
      </c>
      <c r="O38" s="689">
        <v>550</v>
      </c>
      <c r="P38" s="689">
        <v>626</v>
      </c>
      <c r="Q38" s="689">
        <v>624</v>
      </c>
      <c r="R38" s="689">
        <v>751</v>
      </c>
      <c r="S38" s="689">
        <v>160</v>
      </c>
      <c r="T38" s="690">
        <v>142</v>
      </c>
      <c r="U38" s="689" t="s">
        <v>118</v>
      </c>
      <c r="V38" s="689" t="s">
        <v>118</v>
      </c>
      <c r="W38" s="689" t="s">
        <v>118</v>
      </c>
      <c r="X38" s="689" t="s">
        <v>118</v>
      </c>
      <c r="Y38" s="689">
        <v>656</v>
      </c>
      <c r="Z38" s="689">
        <v>650</v>
      </c>
      <c r="AA38" s="689">
        <v>611</v>
      </c>
      <c r="AB38" s="689">
        <v>697</v>
      </c>
      <c r="AC38" s="689">
        <v>726</v>
      </c>
      <c r="AD38" s="689">
        <v>790</v>
      </c>
      <c r="AE38" s="689">
        <v>821</v>
      </c>
      <c r="AF38" s="689">
        <v>809</v>
      </c>
      <c r="AG38" s="689">
        <v>551</v>
      </c>
      <c r="AH38" s="689">
        <v>633</v>
      </c>
      <c r="AI38" s="691">
        <v>618</v>
      </c>
      <c r="AJ38" s="691">
        <v>861</v>
      </c>
      <c r="AK38" s="691">
        <v>146</v>
      </c>
      <c r="AL38" s="800">
        <v>144</v>
      </c>
      <c r="AM38" s="689" t="s">
        <v>118</v>
      </c>
      <c r="AN38" s="689" t="s">
        <v>118</v>
      </c>
      <c r="AO38" s="689" t="s">
        <v>118</v>
      </c>
      <c r="AP38" s="689" t="s">
        <v>118</v>
      </c>
      <c r="AQ38" s="689">
        <v>79</v>
      </c>
      <c r="AR38" s="689">
        <v>61</v>
      </c>
      <c r="AS38" s="689">
        <v>126</v>
      </c>
      <c r="AT38" s="689">
        <v>194</v>
      </c>
      <c r="AU38" s="689">
        <v>184</v>
      </c>
      <c r="AV38" s="689">
        <v>230</v>
      </c>
      <c r="AW38" s="689">
        <v>228</v>
      </c>
      <c r="AX38" s="689">
        <v>254</v>
      </c>
      <c r="AY38" s="689">
        <v>73</v>
      </c>
      <c r="AZ38" s="689">
        <v>58</v>
      </c>
      <c r="BA38" s="689">
        <v>64</v>
      </c>
      <c r="BB38" s="689"/>
      <c r="BC38" s="689">
        <v>0</v>
      </c>
      <c r="BD38" s="690">
        <v>2</v>
      </c>
      <c r="BE38" s="689" t="s">
        <v>118</v>
      </c>
      <c r="BF38" s="689" t="s">
        <v>118</v>
      </c>
      <c r="BG38" s="689" t="s">
        <v>118</v>
      </c>
      <c r="BH38" s="689" t="s">
        <v>118</v>
      </c>
      <c r="BI38" s="689">
        <v>118</v>
      </c>
      <c r="BJ38" s="689">
        <v>76</v>
      </c>
      <c r="BK38" s="689">
        <v>151</v>
      </c>
      <c r="BL38" s="689">
        <v>202</v>
      </c>
      <c r="BM38" s="689">
        <v>193</v>
      </c>
      <c r="BN38" s="689">
        <v>248</v>
      </c>
      <c r="BO38" s="689">
        <v>242</v>
      </c>
      <c r="BP38" s="689">
        <v>272</v>
      </c>
      <c r="BQ38" s="689">
        <v>77</v>
      </c>
      <c r="BR38" s="689">
        <v>61</v>
      </c>
      <c r="BS38" s="689">
        <v>77</v>
      </c>
      <c r="BT38" s="689"/>
      <c r="BU38" s="689"/>
      <c r="BV38" s="690">
        <v>1</v>
      </c>
      <c r="BW38" s="689" t="s">
        <v>118</v>
      </c>
      <c r="BX38" s="689" t="s">
        <v>118</v>
      </c>
      <c r="BY38" s="689" t="s">
        <v>118</v>
      </c>
      <c r="BZ38" s="689" t="s">
        <v>118</v>
      </c>
      <c r="CA38" s="689" t="s">
        <v>118</v>
      </c>
      <c r="CB38" s="689" t="s">
        <v>118</v>
      </c>
      <c r="CC38" s="689" t="s">
        <v>118</v>
      </c>
      <c r="CD38" s="689" t="s">
        <v>118</v>
      </c>
      <c r="CE38" s="689" t="s">
        <v>118</v>
      </c>
      <c r="CF38" s="689" t="s">
        <v>118</v>
      </c>
      <c r="CG38" s="689" t="s">
        <v>118</v>
      </c>
      <c r="CH38" s="689" t="s">
        <v>118</v>
      </c>
      <c r="CI38" s="689" t="s">
        <v>118</v>
      </c>
      <c r="CJ38" s="689" t="s">
        <v>118</v>
      </c>
      <c r="CK38" s="689" t="s">
        <v>118</v>
      </c>
      <c r="CL38" s="689" t="s">
        <v>118</v>
      </c>
      <c r="CM38" s="689"/>
      <c r="CN38" s="689"/>
      <c r="CO38" s="687" t="s">
        <v>101</v>
      </c>
    </row>
    <row r="39" spans="1:99" x14ac:dyDescent="0.2">
      <c r="B39" s="834" t="s">
        <v>105</v>
      </c>
      <c r="C39" s="835">
        <v>15994</v>
      </c>
      <c r="D39" s="799">
        <v>14575</v>
      </c>
      <c r="E39" s="799">
        <v>14359</v>
      </c>
      <c r="F39" s="799">
        <v>14594</v>
      </c>
      <c r="G39" s="799">
        <v>13953</v>
      </c>
      <c r="H39" s="799">
        <v>13377</v>
      </c>
      <c r="I39" s="799">
        <v>13599</v>
      </c>
      <c r="J39" s="799">
        <v>13129</v>
      </c>
      <c r="K39" s="799">
        <v>12259</v>
      </c>
      <c r="L39" s="799">
        <v>12696</v>
      </c>
      <c r="M39" s="799">
        <v>13086</v>
      </c>
      <c r="N39" s="799">
        <v>12876</v>
      </c>
      <c r="O39" s="799">
        <v>12321</v>
      </c>
      <c r="P39" s="835">
        <v>12075</v>
      </c>
      <c r="Q39" s="799">
        <v>12141</v>
      </c>
      <c r="R39" s="799">
        <v>11553</v>
      </c>
      <c r="S39" s="799"/>
      <c r="T39" s="836"/>
      <c r="U39" s="799">
        <v>16037</v>
      </c>
      <c r="V39" s="799">
        <v>14646</v>
      </c>
      <c r="W39" s="799">
        <v>14507</v>
      </c>
      <c r="X39" s="799">
        <v>14739</v>
      </c>
      <c r="Y39" s="799">
        <v>14188</v>
      </c>
      <c r="Z39" s="799">
        <v>13502</v>
      </c>
      <c r="AA39" s="799">
        <v>13614</v>
      </c>
      <c r="AB39" s="799">
        <v>13198</v>
      </c>
      <c r="AC39" s="799">
        <v>12382</v>
      </c>
      <c r="AD39" s="799">
        <v>12870</v>
      </c>
      <c r="AE39" s="799">
        <v>13273</v>
      </c>
      <c r="AF39" s="799">
        <v>12978</v>
      </c>
      <c r="AG39" s="799">
        <v>12522</v>
      </c>
      <c r="AH39" s="799">
        <v>12342</v>
      </c>
      <c r="AI39" s="695">
        <v>12326</v>
      </c>
      <c r="AJ39" s="695">
        <v>11779</v>
      </c>
      <c r="AK39" s="695"/>
      <c r="AL39" s="801"/>
      <c r="AM39" s="799">
        <v>401</v>
      </c>
      <c r="AN39" s="799">
        <v>487</v>
      </c>
      <c r="AO39" s="799">
        <v>534</v>
      </c>
      <c r="AP39" s="799">
        <v>562</v>
      </c>
      <c r="AQ39" s="799">
        <v>705</v>
      </c>
      <c r="AR39" s="799">
        <v>691</v>
      </c>
      <c r="AS39" s="799">
        <v>796</v>
      </c>
      <c r="AT39" s="799">
        <v>834</v>
      </c>
      <c r="AU39" s="799">
        <v>925</v>
      </c>
      <c r="AV39" s="799">
        <v>948</v>
      </c>
      <c r="AW39" s="799">
        <v>878</v>
      </c>
      <c r="AX39" s="799">
        <v>969</v>
      </c>
      <c r="AY39" s="799">
        <v>1009</v>
      </c>
      <c r="AZ39" s="799">
        <v>951</v>
      </c>
      <c r="BA39" s="799">
        <v>1105</v>
      </c>
      <c r="BB39" s="799">
        <v>1090</v>
      </c>
      <c r="BC39" s="799"/>
      <c r="BD39" s="836"/>
      <c r="BE39" s="799">
        <v>405</v>
      </c>
      <c r="BF39" s="799">
        <v>499</v>
      </c>
      <c r="BG39" s="799">
        <v>530</v>
      </c>
      <c r="BH39" s="799">
        <v>569</v>
      </c>
      <c r="BI39" s="799">
        <v>709</v>
      </c>
      <c r="BJ39" s="799">
        <v>710</v>
      </c>
      <c r="BK39" s="799">
        <v>816</v>
      </c>
      <c r="BL39" s="799">
        <v>841</v>
      </c>
      <c r="BM39" s="799">
        <v>951</v>
      </c>
      <c r="BN39" s="799">
        <v>958</v>
      </c>
      <c r="BO39" s="799">
        <v>898</v>
      </c>
      <c r="BP39" s="799">
        <v>982</v>
      </c>
      <c r="BQ39" s="799">
        <v>1035</v>
      </c>
      <c r="BR39" s="799">
        <v>968</v>
      </c>
      <c r="BS39" s="799">
        <v>1103</v>
      </c>
      <c r="BT39" s="799">
        <v>1082</v>
      </c>
      <c r="BU39" s="799"/>
      <c r="BV39" s="836"/>
      <c r="BW39" s="799"/>
      <c r="BX39" s="799"/>
      <c r="BY39" s="799"/>
      <c r="BZ39" s="799"/>
      <c r="CA39" s="799"/>
      <c r="CB39" s="799"/>
      <c r="CC39" s="799"/>
      <c r="CD39" s="799"/>
      <c r="CE39" s="799"/>
      <c r="CF39" s="799"/>
      <c r="CG39" s="799"/>
      <c r="CH39" s="799"/>
      <c r="CI39" s="799"/>
      <c r="CJ39" s="799"/>
      <c r="CK39" s="799"/>
      <c r="CL39" s="799"/>
      <c r="CM39" s="799"/>
      <c r="CN39" s="799"/>
      <c r="CO39" s="834" t="s">
        <v>105</v>
      </c>
    </row>
    <row r="40" spans="1:99" ht="12.75" customHeight="1" x14ac:dyDescent="0.2">
      <c r="B40" s="717" t="s">
        <v>467</v>
      </c>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2"/>
      <c r="AS40" s="52"/>
      <c r="AT40" s="52"/>
      <c r="AU40" s="52"/>
      <c r="AV40" s="52"/>
      <c r="AW40" s="52"/>
      <c r="AX40" s="52"/>
      <c r="AY40" s="52"/>
      <c r="AZ40" s="52"/>
      <c r="BA40" s="52"/>
      <c r="BB40" s="52"/>
      <c r="BC40" s="52"/>
      <c r="BD40" s="52"/>
      <c r="BE40" s="52"/>
      <c r="BF40" s="52"/>
      <c r="BG40" s="52"/>
      <c r="BH40" s="52"/>
      <c r="BI40" s="52"/>
      <c r="BJ40" s="52"/>
      <c r="BK40" s="52"/>
      <c r="BL40" s="52"/>
      <c r="BM40" s="52"/>
      <c r="BN40" s="52"/>
      <c r="BO40" s="52"/>
      <c r="BP40" s="52"/>
      <c r="BQ40" s="52"/>
      <c r="BR40" s="52"/>
      <c r="BS40" s="52"/>
      <c r="BT40" s="52"/>
      <c r="BU40" s="52"/>
      <c r="BV40" s="52"/>
    </row>
    <row r="41" spans="1:99" x14ac:dyDescent="0.2">
      <c r="G41" s="866"/>
      <c r="H41" s="866"/>
      <c r="I41" s="866"/>
      <c r="J41" s="866"/>
      <c r="K41" s="866"/>
      <c r="L41" s="866"/>
      <c r="M41" s="866"/>
      <c r="N41" s="866"/>
      <c r="O41" s="866"/>
      <c r="P41" s="866"/>
      <c r="Q41" s="866"/>
      <c r="R41" s="866"/>
      <c r="S41" s="866"/>
      <c r="T41" s="866"/>
      <c r="U41" s="866"/>
      <c r="V41" s="866"/>
      <c r="W41" s="866"/>
      <c r="X41" s="866"/>
      <c r="Y41" s="866"/>
      <c r="Z41" s="866"/>
      <c r="AA41" s="866"/>
      <c r="AB41" s="866"/>
      <c r="AC41" s="866"/>
      <c r="AD41" s="866"/>
      <c r="AE41" s="866"/>
      <c r="AF41" s="866"/>
      <c r="AG41" s="866"/>
      <c r="AH41" s="866"/>
      <c r="AI41" s="866"/>
      <c r="AJ41" s="866"/>
      <c r="AK41" s="866"/>
      <c r="AL41" s="866"/>
      <c r="AM41" s="866"/>
      <c r="AN41" s="866"/>
      <c r="AO41" s="866"/>
      <c r="AP41" s="866"/>
      <c r="AQ41" s="866"/>
      <c r="AR41" s="866"/>
      <c r="AS41" s="866"/>
      <c r="AT41" s="866"/>
      <c r="AU41" s="866"/>
      <c r="AV41" s="866"/>
      <c r="AW41" s="866"/>
      <c r="AX41" s="866"/>
      <c r="AY41" s="866"/>
      <c r="AZ41" s="866"/>
      <c r="BA41" s="866"/>
      <c r="BB41" s="866"/>
      <c r="BC41" s="866"/>
      <c r="BD41" s="866"/>
      <c r="BE41" s="866"/>
      <c r="BF41" s="866"/>
      <c r="BG41" s="866"/>
      <c r="BH41" s="866"/>
      <c r="BI41" s="866"/>
      <c r="BJ41" s="866"/>
      <c r="BK41" s="866"/>
      <c r="BL41" s="866"/>
      <c r="BM41" s="866"/>
      <c r="BN41" s="866"/>
      <c r="BO41" s="866"/>
      <c r="BP41" s="866"/>
      <c r="BQ41" s="866"/>
      <c r="BR41" s="866"/>
      <c r="BS41" s="866"/>
      <c r="BT41" s="866"/>
      <c r="BU41" s="866"/>
      <c r="BV41" s="866"/>
      <c r="BW41" s="866"/>
      <c r="BX41" s="866"/>
      <c r="BY41" s="866"/>
      <c r="BZ41" s="866"/>
      <c r="CA41" s="866"/>
      <c r="CB41" s="866"/>
      <c r="CC41" s="866"/>
      <c r="CD41" s="866"/>
      <c r="CE41" s="866"/>
      <c r="CF41" s="866"/>
      <c r="CG41" s="866"/>
      <c r="CH41" s="866"/>
      <c r="CI41" s="866"/>
      <c r="CJ41" s="866"/>
      <c r="CK41" s="866"/>
      <c r="CL41" s="866"/>
      <c r="CM41" s="866"/>
      <c r="CN41" s="866"/>
    </row>
    <row r="42" spans="1:99" x14ac:dyDescent="0.2">
      <c r="AG42" s="866"/>
    </row>
  </sheetData>
  <mergeCells count="11">
    <mergeCell ref="B2:CO2"/>
    <mergeCell ref="BW3:CN4"/>
    <mergeCell ref="AM3:BV3"/>
    <mergeCell ref="AM4:BV4"/>
    <mergeCell ref="C3:AL3"/>
    <mergeCell ref="C4:AL4"/>
    <mergeCell ref="BW5:CN5"/>
    <mergeCell ref="BE5:BV5"/>
    <mergeCell ref="AM5:BD5"/>
    <mergeCell ref="U5:AL5"/>
    <mergeCell ref="C5:T5"/>
  </mergeCells>
  <phoneticPr fontId="6" type="noConversion"/>
  <hyperlinks>
    <hyperlink ref="B40" r:id="rId1" display="Source: Eurostat [mar_pa_aa]" xr:uid="{00000000-0004-0000-0800-000000000000}"/>
  </hyperlinks>
  <printOptions horizontalCentered="1"/>
  <pageMargins left="0.6692913385826772" right="0.27559055118110237" top="0.51181102362204722" bottom="0.27559055118110237" header="0" footer="0"/>
  <pageSetup paperSize="9" orientation="landscape"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20</vt:i4>
      </vt:variant>
    </vt:vector>
  </HeadingPairs>
  <TitlesOfParts>
    <vt:vector size="41" baseType="lpstr">
      <vt:lpstr>T2.4</vt:lpstr>
      <vt:lpstr>air_cntr</vt:lpstr>
      <vt:lpstr>airlines</vt:lpstr>
      <vt:lpstr>airpt_pass_maj</vt:lpstr>
      <vt:lpstr>airpt_pairs_intra</vt:lpstr>
      <vt:lpstr>airpt_pairs_extra</vt:lpstr>
      <vt:lpstr>airpt_cargo_maj</vt:lpstr>
      <vt:lpstr>airpt_mvmnt_maj</vt:lpstr>
      <vt:lpstr>sea_cntry_pass</vt:lpstr>
      <vt:lpstr>sea_ports_pass </vt:lpstr>
      <vt:lpstr>sea_ports_freight</vt:lpstr>
      <vt:lpstr>sea_intra_rel</vt:lpstr>
      <vt:lpstr>sea_intra_routes</vt:lpstr>
      <vt:lpstr>sea_container</vt:lpstr>
      <vt:lpstr>combined</vt:lpstr>
      <vt:lpstr>alps</vt:lpstr>
      <vt:lpstr>pyrenee</vt:lpstr>
      <vt:lpstr>rail_traffic</vt:lpstr>
      <vt:lpstr>rail_share_pas</vt:lpstr>
      <vt:lpstr>rail_share_fr</vt:lpstr>
      <vt:lpstr>rail_alp_pyr</vt:lpstr>
      <vt:lpstr>T2.4!A</vt:lpstr>
      <vt:lpstr>airlines!Print_Area</vt:lpstr>
      <vt:lpstr>airpt_cargo_maj!Print_Area</vt:lpstr>
      <vt:lpstr>airpt_mvmnt_maj!Print_Area</vt:lpstr>
      <vt:lpstr>airpt_pass_maj!Print_Area</vt:lpstr>
      <vt:lpstr>combined!Print_Area</vt:lpstr>
      <vt:lpstr>pyrenee!Print_Area</vt:lpstr>
      <vt:lpstr>rail_alp_pyr!Print_Area</vt:lpstr>
      <vt:lpstr>sea_cntry_pass!Print_Area</vt:lpstr>
      <vt:lpstr>sea_intra_rel!Print_Area</vt:lpstr>
      <vt:lpstr>sea_ports_freight!Print_Area</vt:lpstr>
      <vt:lpstr>'sea_ports_pass '!Print_Area</vt:lpstr>
      <vt:lpstr>T2.4!Print_Area</vt:lpstr>
      <vt:lpstr>air_cntr!Print_Titles</vt:lpstr>
      <vt:lpstr>airpt_cargo_maj!Print_Titles</vt:lpstr>
      <vt:lpstr>airpt_mvmnt_maj!Print_Titles</vt:lpstr>
      <vt:lpstr>airpt_pairs_extra!Print_Titles</vt:lpstr>
      <vt:lpstr>airpt_pass_maj!Print_Titles</vt:lpstr>
      <vt:lpstr>sea_ports_freight!Print_Titles</vt:lpstr>
      <vt:lpstr>'sea_ports_pass '!Print_Titles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georgpi</dc:creator>
  <cp:lastModifiedBy>Iuliana</cp:lastModifiedBy>
  <cp:lastPrinted>2017-07-12T16:09:36Z</cp:lastPrinted>
  <dcterms:created xsi:type="dcterms:W3CDTF">2003-09-05T14:33:05Z</dcterms:created>
  <dcterms:modified xsi:type="dcterms:W3CDTF">2023-09-20T08:13:03Z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d9ddd1-4d20-43f6-abfa-fc3c07406f94_Enabled">
    <vt:lpwstr>true</vt:lpwstr>
  </property>
  <property fmtid="{D5CDD505-2E9C-101B-9397-08002B2CF9AE}" pid="3" name="MSIP_Label_6bd9ddd1-4d20-43f6-abfa-fc3c07406f94_SetDate">
    <vt:lpwstr>2023-05-30T15:52:01Z</vt:lpwstr>
  </property>
  <property fmtid="{D5CDD505-2E9C-101B-9397-08002B2CF9AE}" pid="4" name="MSIP_Label_6bd9ddd1-4d20-43f6-abfa-fc3c07406f94_Method">
    <vt:lpwstr>Standard</vt:lpwstr>
  </property>
  <property fmtid="{D5CDD505-2E9C-101B-9397-08002B2CF9AE}" pid="5" name="MSIP_Label_6bd9ddd1-4d20-43f6-abfa-fc3c07406f94_Name">
    <vt:lpwstr>Commission Use</vt:lpwstr>
  </property>
  <property fmtid="{D5CDD505-2E9C-101B-9397-08002B2CF9AE}" pid="6" name="MSIP_Label_6bd9ddd1-4d20-43f6-abfa-fc3c07406f94_SiteId">
    <vt:lpwstr>b24c8b06-522c-46fe-9080-70926f8dddb1</vt:lpwstr>
  </property>
  <property fmtid="{D5CDD505-2E9C-101B-9397-08002B2CF9AE}" pid="7" name="MSIP_Label_6bd9ddd1-4d20-43f6-abfa-fc3c07406f94_ActionId">
    <vt:lpwstr>af5103a1-9246-4a47-8de2-2eedc684c3f8</vt:lpwstr>
  </property>
  <property fmtid="{D5CDD505-2E9C-101B-9397-08002B2CF9AE}" pid="8" name="MSIP_Label_6bd9ddd1-4d20-43f6-abfa-fc3c07406f94_ContentBits">
    <vt:lpwstr>0</vt:lpwstr>
  </property>
</Properties>
</file>